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17"/>
  <workbookPr defaultThemeVersion="166925"/>
  <mc:AlternateContent xmlns:mc="http://schemas.openxmlformats.org/markup-compatibility/2006">
    <mc:Choice Requires="x15">
      <x15ac:absPath xmlns:x15ac="http://schemas.microsoft.com/office/spreadsheetml/2010/11/ac" url="/Users/markkelson/Downloads/"/>
    </mc:Choice>
  </mc:AlternateContent>
  <xr:revisionPtr revIDLastSave="2475" documentId="13_ncr:1_{AA70412A-8EF2-9B43-917A-69BC30BED0E5}" xr6:coauthVersionLast="47" xr6:coauthVersionMax="47" xr10:uidLastSave="{308BD45A-89C0-429B-BBD3-3C20FD312EF5}"/>
  <bookViews>
    <workbookView xWindow="3900" yWindow="2260" windowWidth="28040" windowHeight="17440" firstSheet="65" activeTab="5" xr2:uid="{24B86F3F-7BB3-0B47-8099-E55ED2B453C5}"/>
  </bookViews>
  <sheets>
    <sheet name="GeneralPrinciples" sheetId="5" r:id="rId1"/>
    <sheet name="Bovell-Ammon2020" sheetId="33" r:id="rId2"/>
    <sheet name="Bradford2005" sheetId="34" r:id="rId3"/>
    <sheet name="Brown2016" sheetId="27" r:id="rId4"/>
    <sheet name="Buchanan2007" sheetId="35" r:id="rId5"/>
    <sheet name="Buchanan2009" sheetId="71" r:id="rId6"/>
    <sheet name="Burt2012" sheetId="36" r:id="rId7"/>
    <sheet name="Calsyn2006" sheetId="9" r:id="rId8"/>
    <sheet name="Calsyn2016" sheetId="37" r:id="rId9"/>
    <sheet name="Cherner2017" sheetId="29" r:id="rId10"/>
    <sheet name="Collins2020" sheetId="25" r:id="rId11"/>
    <sheet name="Conrad1998" sheetId="38" r:id="rId12"/>
    <sheet name="Cox1998" sheetId="39" r:id="rId13"/>
    <sheet name="Erdem2014" sheetId="40" r:id="rId14"/>
    <sheet name="Essock2006" sheetId="10" r:id="rId15"/>
    <sheet name="Ferreiro2020" sheetId="42" r:id="rId16"/>
    <sheet name="Goering2014" sheetId="69" r:id="rId17"/>
    <sheet name="Grace2014" sheetId="41" r:id="rId18"/>
    <sheet name="Graham-Jones2004" sheetId="43" r:id="rId19"/>
    <sheet name="Greenwood2005" sheetId="30" r:id="rId20"/>
    <sheet name="Gulcur2003" sheetId="50" r:id="rId21"/>
    <sheet name="Hall2018" sheetId="46" r:id="rId22"/>
    <sheet name="Hanratty2011" sheetId="1" r:id="rId23"/>
    <sheet name="Herman2011" sheetId="20" r:id="rId24"/>
    <sheet name="Hurlburt1996" sheetId="51" r:id="rId25"/>
    <sheet name="Lapham1996" sheetId="52" r:id="rId26"/>
    <sheet name="Larimer2009" sheetId="64" r:id="rId27"/>
    <sheet name="Kenny2004" sheetId="6" r:id="rId28"/>
    <sheet name="Kidd2020" sheetId="16" r:id="rId29"/>
    <sheet name="Kidd2020a" sheetId="17" r:id="rId30"/>
    <sheet name="Kidd2020b" sheetId="18" r:id="rId31"/>
    <sheet name="Korr1996" sheetId="3" r:id="rId32"/>
    <sheet name="Lako2018" sheetId="24" r:id="rId33"/>
    <sheet name="Lehman1997" sheetId="2" r:id="rId34"/>
    <sheet name="Levitt2013" sheetId="44" r:id="rId35"/>
    <sheet name="Malte2017" sheetId="45" r:id="rId36"/>
    <sheet name="Mares2011" sheetId="53" r:id="rId37"/>
    <sheet name="Marshall1995" sheetId="54" r:id="rId38"/>
    <sheet name="McHugo2004" sheetId="7" r:id="rId39"/>
    <sheet name="Montgomery2013" sheetId="55" r:id="rId40"/>
    <sheet name="Morse1992" sheetId="56" r:id="rId41"/>
    <sheet name="Morse1997" sheetId="4" r:id="rId42"/>
    <sheet name="Morse2006" sheetId="11" r:id="rId43"/>
    <sheet name="Nyamathi2001" sheetId="57" r:id="rId44"/>
    <sheet name="Nyamathi2008" sheetId="58" r:id="rId45"/>
    <sheet name="Nyamathi2009" sheetId="62" r:id="rId46"/>
    <sheet name="Nyamathi2016" sheetId="47" r:id="rId47"/>
    <sheet name="Nyamathi2017" sheetId="63" r:id="rId48"/>
    <sheet name="Padgett 2011" sheetId="14" r:id="rId49"/>
    <sheet name="Padgett2011" sheetId="28" r:id="rId50"/>
    <sheet name="Pakzad2017" sheetId="12" r:id="rId51"/>
    <sheet name="Rosenblum2002" sheetId="59" r:id="rId52"/>
    <sheet name="Rosenheck2003" sheetId="70" r:id="rId53"/>
    <sheet name="Sadowski2009" sheetId="60" r:id="rId54"/>
    <sheet name="Samuels2015" sheetId="21" r:id="rId55"/>
    <sheet name="Shaw2017" sheetId="15" r:id="rId56"/>
    <sheet name="Shern2000" sheetId="48" r:id="rId57"/>
    <sheet name="Slesnick2013" sheetId="49" r:id="rId58"/>
    <sheet name="Somers2015" sheetId="8" r:id="rId59"/>
    <sheet name="Stergiopoulos2019" sheetId="13" r:id="rId60"/>
    <sheet name="Susser1997Bloom2001" sheetId="19" r:id="rId61"/>
    <sheet name="Tinland2020" sheetId="61" r:id="rId62"/>
    <sheet name="Tomita2012" sheetId="26" r:id="rId63"/>
    <sheet name="Tomita2015" sheetId="32" r:id="rId64"/>
    <sheet name="Toro1997" sheetId="65" r:id="rId65"/>
    <sheet name="Towe2019" sheetId="66" r:id="rId66"/>
    <sheet name="Upshur2015" sheetId="67" r:id="rId67"/>
    <sheet name="Vet2017" sheetId="22" r:id="rId68"/>
    <sheet name="Weinreb2016" sheetId="68" r:id="rId6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4" i="69" l="1"/>
  <c r="B30" i="69" s="1"/>
  <c r="A34" i="69"/>
  <c r="A30" i="69" s="1"/>
  <c r="B6" i="69"/>
  <c r="A6" i="69"/>
  <c r="B62" i="68"/>
  <c r="A62" i="68"/>
  <c r="F46" i="68"/>
  <c r="E46" i="68"/>
  <c r="B48" i="68"/>
  <c r="A48" i="68"/>
  <c r="B46" i="68"/>
  <c r="A46" i="68"/>
  <c r="F34" i="68"/>
  <c r="E34" i="68"/>
  <c r="B36" i="68"/>
  <c r="A36" i="68"/>
  <c r="B34" i="68"/>
  <c r="A34" i="68"/>
  <c r="E22" i="68"/>
  <c r="D22" i="68"/>
  <c r="B22" i="68"/>
  <c r="A22" i="68"/>
  <c r="B24" i="68"/>
  <c r="A24" i="68"/>
  <c r="B14" i="68"/>
  <c r="A14" i="68"/>
  <c r="E4" i="68"/>
  <c r="E3" i="68"/>
  <c r="E32" i="67"/>
  <c r="B32" i="67"/>
  <c r="E19" i="67"/>
  <c r="E70" i="67"/>
  <c r="D70" i="67"/>
  <c r="B72" i="67"/>
  <c r="A72" i="67"/>
  <c r="B70" i="67"/>
  <c r="A70" i="67"/>
  <c r="B61" i="67"/>
  <c r="A61" i="67"/>
  <c r="B49" i="67"/>
  <c r="A49" i="67"/>
  <c r="D32" i="67"/>
  <c r="A32" i="67"/>
  <c r="B34" i="67"/>
  <c r="A34" i="67"/>
  <c r="D19" i="67"/>
  <c r="B19" i="67"/>
  <c r="A19" i="67"/>
  <c r="B21" i="67"/>
  <c r="A21" i="67"/>
  <c r="B11" i="67"/>
  <c r="A11" i="67"/>
  <c r="H6" i="67"/>
  <c r="F5" i="67"/>
  <c r="B6" i="66"/>
  <c r="A6" i="66"/>
  <c r="B8" i="59"/>
  <c r="A8" i="59"/>
  <c r="D4" i="58"/>
  <c r="C3" i="58"/>
  <c r="D12" i="57"/>
  <c r="G12" i="57"/>
  <c r="A12" i="57"/>
  <c r="E10" i="57"/>
  <c r="E8" i="57"/>
  <c r="B10" i="57"/>
  <c r="B8" i="57"/>
  <c r="B8" i="55"/>
  <c r="A8" i="55"/>
  <c r="B54" i="53"/>
  <c r="A54" i="53"/>
  <c r="B88" i="53"/>
  <c r="A88" i="53"/>
  <c r="B76" i="53"/>
  <c r="A76" i="53"/>
  <c r="B66" i="53"/>
  <c r="A66" i="53"/>
  <c r="B42" i="53"/>
  <c r="A42" i="53"/>
  <c r="B30" i="53"/>
  <c r="A30" i="53"/>
  <c r="B18" i="53"/>
  <c r="A18" i="53"/>
  <c r="B8" i="53"/>
  <c r="A8" i="53"/>
  <c r="C7" i="44"/>
  <c r="A7" i="44"/>
  <c r="D6" i="43"/>
  <c r="A6" i="43"/>
  <c r="B52" i="40"/>
  <c r="A52" i="40"/>
  <c r="B22" i="40"/>
  <c r="A22" i="40"/>
  <c r="B13" i="40"/>
  <c r="A13" i="40"/>
  <c r="B12" i="37"/>
  <c r="A12" i="37"/>
  <c r="B25" i="33"/>
  <c r="A25" i="33"/>
  <c r="B16" i="33"/>
  <c r="A16" i="33"/>
  <c r="B7" i="33"/>
  <c r="A7" i="33"/>
  <c r="A25" i="32"/>
  <c r="A9" i="32"/>
  <c r="C25" i="32"/>
  <c r="C9" i="32"/>
  <c r="B7" i="25"/>
  <c r="A7" i="25"/>
  <c r="B26" i="21"/>
  <c r="A26" i="21"/>
  <c r="B18" i="21"/>
  <c r="A18" i="21"/>
  <c r="B34" i="16"/>
  <c r="A34" i="16"/>
  <c r="B24" i="16"/>
  <c r="A24" i="16"/>
  <c r="B8" i="16"/>
  <c r="A8" i="16"/>
  <c r="D29" i="13"/>
  <c r="D34" i="13" s="1"/>
  <c r="C29" i="13"/>
  <c r="C34" i="13" s="1"/>
  <c r="C36" i="13" s="1"/>
  <c r="B29" i="13"/>
  <c r="B34" i="13" s="1"/>
  <c r="A29" i="13"/>
  <c r="A34" i="13" s="1"/>
  <c r="A36" i="13" s="1"/>
  <c r="C11" i="13"/>
  <c r="C16" i="13" s="1"/>
  <c r="D11" i="13"/>
  <c r="D16" i="13" s="1"/>
  <c r="B11" i="13"/>
  <c r="B16" i="13" s="1"/>
  <c r="A11" i="13"/>
  <c r="A16" i="13" s="1"/>
  <c r="A18" i="13" s="1"/>
  <c r="B31" i="2"/>
  <c r="A31" i="2"/>
  <c r="B22" i="2"/>
  <c r="A22" i="2"/>
  <c r="B13" i="2"/>
  <c r="A13" i="2"/>
  <c r="B6" i="2"/>
  <c r="A6" i="2"/>
  <c r="B26" i="1"/>
  <c r="A26" i="1"/>
  <c r="B22" i="1"/>
  <c r="A22" i="1"/>
  <c r="B18" i="1"/>
  <c r="A18" i="1"/>
  <c r="B14" i="1"/>
  <c r="A14" i="1"/>
  <c r="B10" i="1"/>
  <c r="A10" i="1"/>
  <c r="B6" i="1"/>
  <c r="A6" i="1"/>
  <c r="C18" i="13" l="1"/>
</calcChain>
</file>

<file path=xl/sharedStrings.xml><?xml version="1.0" encoding="utf-8"?>
<sst xmlns="http://schemas.openxmlformats.org/spreadsheetml/2006/main" count="2403" uniqueCount="570">
  <si>
    <t>General principles</t>
  </si>
  <si>
    <t>Using self-report</t>
  </si>
  <si>
    <t>If drug and alcohol reported then take alcohol</t>
  </si>
  <si>
    <t>If multiple MH measures  then take commonest</t>
  </si>
  <si>
    <t>Take the longest follow-up (longest less than 1 year, longest greater than one year)</t>
  </si>
  <si>
    <t>I went up to CTI_Tomita on Endnote, then switched to the DE master copy 010422</t>
  </si>
  <si>
    <t>Table 2</t>
  </si>
  <si>
    <t>Currently Homeless</t>
  </si>
  <si>
    <t xml:space="preserve">6m </t>
  </si>
  <si>
    <t>Intervention</t>
  </si>
  <si>
    <t>Control</t>
  </si>
  <si>
    <t>Events</t>
  </si>
  <si>
    <t>n</t>
  </si>
  <si>
    <t>proportion</t>
  </si>
  <si>
    <t>Employment</t>
  </si>
  <si>
    <t>Some of the proportions quoted do not match to the third decimal (are not possible with the stated denominator)</t>
  </si>
  <si>
    <t>PhysicalHealth</t>
  </si>
  <si>
    <t>MentalHealth- chosen PHQ</t>
  </si>
  <si>
    <t>Mean</t>
  </si>
  <si>
    <t>SD</t>
  </si>
  <si>
    <t>Service Use ED (chosen the highest mean in the hope it is least affected by floor asymmetry</t>
  </si>
  <si>
    <t>Taken directly from Table 3</t>
  </si>
  <si>
    <t xml:space="preserve"> Housing at shelter exit</t>
  </si>
  <si>
    <t>Cannot see the follow-up time. I think it must be short. I have included as 6 months</t>
  </si>
  <si>
    <t>Attending one CMHC visit is access to services</t>
  </si>
  <si>
    <t>Not extracting attendance at substance abuse visits because it can't be unamibuously interpreted (is up good or bad?)</t>
  </si>
  <si>
    <t>Change score selected because it is a matched comparison</t>
  </si>
  <si>
    <t>Extracter: Jeff</t>
  </si>
  <si>
    <t>2-arm trial between HF and TAU</t>
  </si>
  <si>
    <t>problem: need to double check whether the post-housing first period is 12 months</t>
  </si>
  <si>
    <t>p5</t>
  </si>
  <si>
    <t>Homelessness day</t>
  </si>
  <si>
    <t>Continous</t>
  </si>
  <si>
    <t>Table 1</t>
  </si>
  <si>
    <t>Pre-study mean</t>
  </si>
  <si>
    <t>Post-study mean</t>
  </si>
  <si>
    <t>No. of Participants</t>
  </si>
  <si>
    <t>HF</t>
  </si>
  <si>
    <t>TAU</t>
  </si>
  <si>
    <t>Hospital</t>
  </si>
  <si>
    <t>Buchanan2007 and 2009 are identical (one an MSc dissertation, the other the published article).</t>
  </si>
  <si>
    <t>Taking survival with intatc immune system as a physical health measure</t>
  </si>
  <si>
    <t>Table2</t>
  </si>
  <si>
    <t>2-arm trial between Intervention and TAU</t>
  </si>
  <si>
    <t>p4</t>
  </si>
  <si>
    <t>RR</t>
  </si>
  <si>
    <t>Survival with intact immunity RR</t>
  </si>
  <si>
    <t>95% low CI</t>
  </si>
  <si>
    <t>95% high CI</t>
  </si>
  <si>
    <t>No. of Participants in each group</t>
  </si>
  <si>
    <t>v</t>
  </si>
  <si>
    <t>Undetectable viral load RR</t>
  </si>
  <si>
    <t>Non-randomised desgin, meant imbalance on important covariates at baseline.</t>
  </si>
  <si>
    <t xml:space="preserve">Propensity score analysis addressed this. </t>
  </si>
  <si>
    <t>Table 4 presents outcomes including an odds ratio of 19 thousand!</t>
  </si>
  <si>
    <t>I have selected the OLS regression on average days spent in permanent housing</t>
  </si>
  <si>
    <t>I have selected FU despite the regression controlling for average days homeless at baseline (this was sufficiently different from average days in permanent supportive housing)</t>
  </si>
  <si>
    <t>Effect</t>
  </si>
  <si>
    <t>SE</t>
  </si>
  <si>
    <t>Table 5 selecting the days employed OLS- last column</t>
  </si>
  <si>
    <t>For criminalisation i have selected arrests</t>
  </si>
  <si>
    <t>Using the generic inverse variance approach</t>
  </si>
  <si>
    <t>From table 3, the comparison is Control vs ACT or IT</t>
  </si>
  <si>
    <t>Taking gen inv infor from table 3</t>
  </si>
  <si>
    <t>Choosing arrests as criminalisation</t>
  </si>
  <si>
    <t>Getting the SE of the OR (the SE of beta is reported)</t>
  </si>
  <si>
    <t>OR</t>
  </si>
  <si>
    <t>Beta</t>
  </si>
  <si>
    <t>This is what we need</t>
  </si>
  <si>
    <t>SE Beta</t>
  </si>
  <si>
    <t>95%Lower</t>
  </si>
  <si>
    <t>Extracter: Jeff Double Checked: MK</t>
  </si>
  <si>
    <t>% of time housed in own place (proxy for stable housing)</t>
  </si>
  <si>
    <t>6 months</t>
  </si>
  <si>
    <t>High is good</t>
  </si>
  <si>
    <t>Taking baseline numbers here</t>
  </si>
  <si>
    <t>24 months</t>
  </si>
  <si>
    <t>Numbers from flowchart at 24 months</t>
  </si>
  <si>
    <t>Alcohol</t>
  </si>
  <si>
    <t>High is bad</t>
  </si>
  <si>
    <t>Physical health</t>
  </si>
  <si>
    <t>SF-12 high score is good</t>
  </si>
  <si>
    <t>Mental health</t>
  </si>
  <si>
    <t>Community functioning (capabilities and wellbeing)</t>
  </si>
  <si>
    <t>This is Jeff's extraction (the new stuff is above)</t>
  </si>
  <si>
    <t>Round up?</t>
  </si>
  <si>
    <t>p7</t>
  </si>
  <si>
    <t>Alcohol Use during study</t>
  </si>
  <si>
    <t>Binary</t>
  </si>
  <si>
    <t>Table 3</t>
  </si>
  <si>
    <t>0 month</t>
  </si>
  <si>
    <t>12 month</t>
  </si>
  <si>
    <t>24 month</t>
  </si>
  <si>
    <t>Drug Use during study</t>
  </si>
  <si>
    <t>% of time housed in own place in previous 6 months</t>
  </si>
  <si>
    <t>% of time housed in previous 6 months</t>
  </si>
  <si>
    <t>% of time housed in emergency shelter in previous 6 months</t>
  </si>
  <si>
    <t>Table 4</t>
  </si>
  <si>
    <t>Any homeless system involvement</t>
  </si>
  <si>
    <t>24 months (after program)</t>
  </si>
  <si>
    <t>Treatment</t>
  </si>
  <si>
    <t>events</t>
  </si>
  <si>
    <t>Access to health and social care</t>
  </si>
  <si>
    <t>Child welfare- all reports</t>
  </si>
  <si>
    <t>We don't use this. it is not access, this is about child maltreatment.</t>
  </si>
  <si>
    <t>Not data extracted</t>
  </si>
  <si>
    <t xml:space="preserve">We know there were differential numbers in trt and control, but these figures are not provided for each time point. Some proportions could be extracted from graphs. But without the sample sizes there is no point. Gen inv methods could be used on the regression output, but they have included a groupxmonth interaction which makes it tricky to get the SE of the treatment effect. </t>
  </si>
  <si>
    <t>Cox 1993 is a protocol paper so no results</t>
  </si>
  <si>
    <t>Nights in own residence in last 60 days</t>
  </si>
  <si>
    <t>6m</t>
  </si>
  <si>
    <t>18m</t>
  </si>
  <si>
    <t>Alcohol (days drinking in last 30)</t>
  </si>
  <si>
    <t>Days employed in last 30 days</t>
  </si>
  <si>
    <t>Table 5</t>
  </si>
  <si>
    <t>Independent livign days (nights in own apartment in last 90 days)</t>
  </si>
  <si>
    <t>9m</t>
  </si>
  <si>
    <t>Taken from meeting basic needs % in this table</t>
  </si>
  <si>
    <t>Employment status</t>
  </si>
  <si>
    <t>Had a job</t>
  </si>
  <si>
    <t>Event</t>
  </si>
  <si>
    <t>Income in dollars</t>
  </si>
  <si>
    <t>Continuous</t>
  </si>
  <si>
    <t>Capabilities nad Well being</t>
  </si>
  <si>
    <t>QoL</t>
  </si>
  <si>
    <t>Acces to services</t>
  </si>
  <si>
    <t>Seeking medical care</t>
  </si>
  <si>
    <t xml:space="preserve">P.190 </t>
  </si>
  <si>
    <t>Assuming SDs are reported</t>
  </si>
  <si>
    <t>Choosing institutionalisation (as it incorporates hospitalisation and incarceration). This is reported under the residential status outcome, so is the authors way of assessing homelessness</t>
  </si>
  <si>
    <t>Days institutionalised</t>
  </si>
  <si>
    <t>ACT</t>
  </si>
  <si>
    <t xml:space="preserve">Attrition was reported as low, 19 withdrew. I've conservatively assumed 10 per arm. </t>
  </si>
  <si>
    <t>Lots of outcomes reported through F-statistics</t>
  </si>
  <si>
    <t>8m</t>
  </si>
  <si>
    <t xml:space="preserve">Binary </t>
  </si>
  <si>
    <t>Loneliness (mental health) - no loneliness</t>
  </si>
  <si>
    <t>21m</t>
  </si>
  <si>
    <t>Original report</t>
  </si>
  <si>
    <t>Goering2014</t>
  </si>
  <si>
    <t>Goering2011 is protocol</t>
  </si>
  <si>
    <t>Outcomes extractd from</t>
  </si>
  <si>
    <t>Author</t>
  </si>
  <si>
    <t>Intervention n</t>
  </si>
  <si>
    <t>Control n</t>
  </si>
  <si>
    <t>ISCRTN</t>
  </si>
  <si>
    <t>Reason to exclude?</t>
  </si>
  <si>
    <t>Overall was 2148</t>
  </si>
  <si>
    <t>Original study separated into High and medium needs</t>
  </si>
  <si>
    <t>October 2009 and June 2011</t>
  </si>
  <si>
    <t>Housing stability-housed all of the time</t>
  </si>
  <si>
    <t>Chum2020</t>
  </si>
  <si>
    <t> </t>
  </si>
  <si>
    <t>ISRCTN42520374</t>
  </si>
  <si>
    <t>Secondary data from Toronto site only</t>
  </si>
  <si>
    <t>24m</t>
  </si>
  <si>
    <t>Poremski2016</t>
  </si>
  <si>
    <t>Chung2018</t>
  </si>
  <si>
    <t>Comparing older and younger groups</t>
  </si>
  <si>
    <t>Aubry2015</t>
  </si>
  <si>
    <t>Durbin2018</t>
  </si>
  <si>
    <t>Subset of toronto site</t>
  </si>
  <si>
    <t>Aubry2016</t>
  </si>
  <si>
    <t>Edalati2020</t>
  </si>
  <si>
    <t>4 year FU but exploring impact of childhood experiences</t>
  </si>
  <si>
    <t>This ithe original report</t>
  </si>
  <si>
    <t>Goering2016</t>
  </si>
  <si>
    <t>Fidelity assessment</t>
  </si>
  <si>
    <t>Hwang2012</t>
  </si>
  <si>
    <t>Toronto subgroup</t>
  </si>
  <si>
    <t>prop</t>
  </si>
  <si>
    <t>Kerman2018</t>
  </si>
  <si>
    <t>This covers service use outcomes for the whole cohort. Splits by housing stability though</t>
  </si>
  <si>
    <t>Kerman2019</t>
  </si>
  <si>
    <t>Gen inv result on mental health recovery for whole cohort at 24m</t>
  </si>
  <si>
    <t>Kirst2015</t>
  </si>
  <si>
    <t>No measures of precision reported in this report</t>
  </si>
  <si>
    <t>Kirst2020</t>
  </si>
  <si>
    <t>Interaction models/mediation</t>
  </si>
  <si>
    <t>Kerman2020</t>
  </si>
  <si>
    <t>ED users comparison</t>
  </si>
  <si>
    <t>Aubry gives one year outcomes</t>
  </si>
  <si>
    <t>Kozloff2016a Junior</t>
  </si>
  <si>
    <t>Youthsubsample</t>
  </si>
  <si>
    <t>Kozloff2016b(adair) homeless youth</t>
  </si>
  <si>
    <t>Luong2020</t>
  </si>
  <si>
    <t>Toronto subsample</t>
  </si>
  <si>
    <t>Geninv</t>
  </si>
  <si>
    <t>Using Aubry2016 instead</t>
  </si>
  <si>
    <t>Mejia-lancheros2020</t>
  </si>
  <si>
    <t>Mental health recovery</t>
  </si>
  <si>
    <t>O'campo2016</t>
  </si>
  <si>
    <t>TE</t>
  </si>
  <si>
    <t>O'campo2017</t>
  </si>
  <si>
    <t>Total sample- 2011 putcomes - focusses on food insecurity</t>
  </si>
  <si>
    <t>Pakzad2017</t>
  </si>
  <si>
    <t>Monckton subsample</t>
  </si>
  <si>
    <t>seTE</t>
  </si>
  <si>
    <t>Total sample employment and incmoe outcomes</t>
  </si>
  <si>
    <t>Poremski2017</t>
  </si>
  <si>
    <t>Toronto subsample- all in HF experimental arm</t>
  </si>
  <si>
    <t>Stergiopoulos2015</t>
  </si>
  <si>
    <t>Stergiopoulos2016</t>
  </si>
  <si>
    <t>Income-employment</t>
  </si>
  <si>
    <t>High needs</t>
  </si>
  <si>
    <t>Stergiopoulos2019</t>
  </si>
  <si>
    <t>Extension study of the Toronto subsample</t>
  </si>
  <si>
    <t>Veldhuizen2015</t>
  </si>
  <si>
    <t>Predictors of attrition no outcomes</t>
  </si>
  <si>
    <t>Volk2016</t>
  </si>
  <si>
    <t>Subsample of group with high instability 1 year into study</t>
  </si>
  <si>
    <t>Urbanoski2018</t>
  </si>
  <si>
    <t>Secondardy analysis of substance abuse particiapnts</t>
  </si>
  <si>
    <t>Whisler</t>
  </si>
  <si>
    <t xml:space="preserve">n </t>
  </si>
  <si>
    <t>&lt;12</t>
  </si>
  <si>
    <t>12&gt;=</t>
  </si>
  <si>
    <t>Outcome</t>
  </si>
  <si>
    <t>IQR-width</t>
  </si>
  <si>
    <t>Homelessness</t>
  </si>
  <si>
    <t>Mental Health</t>
  </si>
  <si>
    <t>Aubry2015-HN</t>
  </si>
  <si>
    <t>Access to services</t>
  </si>
  <si>
    <t>Substance use</t>
  </si>
  <si>
    <t>Crime</t>
  </si>
  <si>
    <t>Capabilities</t>
  </si>
  <si>
    <t>More than 2 substanceuse problems</t>
  </si>
  <si>
    <t>Percetnage of time housed</t>
  </si>
  <si>
    <t>Community fucntion-capabilities</t>
  </si>
  <si>
    <t>CSI- Mental health</t>
  </si>
  <si>
    <t>GAIN-substance use</t>
  </si>
  <si>
    <t>J is intervention, S is standard services</t>
  </si>
  <si>
    <t>Days in private rent accommodation</t>
  </si>
  <si>
    <t>From figure 1</t>
  </si>
  <si>
    <t>Income (dollars)</t>
  </si>
  <si>
    <t>Total health centre contacts (excluding health advocate, which was the intervention) % -access</t>
  </si>
  <si>
    <t>Splitting the control group</t>
  </si>
  <si>
    <t>InterventionA (health centre advocacy)</t>
  </si>
  <si>
    <t>Intervention B (outreach advocacy)</t>
  </si>
  <si>
    <t>There are 3/42 events in the control</t>
  </si>
  <si>
    <t>Matching the proportion as much as possible give 1/14</t>
  </si>
  <si>
    <t>Nottingham Health profile</t>
  </si>
  <si>
    <t>Physical mobility</t>
  </si>
  <si>
    <t>Emotional distress</t>
  </si>
  <si>
    <t xml:space="preserve">Not data extractable. </t>
  </si>
  <si>
    <t xml:space="preserve">Overall randomsied groups are expressed solely through F-statistics. </t>
  </si>
  <si>
    <t>No descriptive comparison of control versus treatment is presented</t>
  </si>
  <si>
    <t>Not randomised but propensity score matched</t>
  </si>
  <si>
    <t>CHI data extraction notes</t>
  </si>
  <si>
    <t>Hanratty2011</t>
  </si>
  <si>
    <t>Table 2 SE's converted to SDs</t>
  </si>
  <si>
    <t>6 months avg nights</t>
  </si>
  <si>
    <t>Experimental</t>
  </si>
  <si>
    <t>6 months any night</t>
  </si>
  <si>
    <t>12 months avg nights</t>
  </si>
  <si>
    <t>12 months any night</t>
  </si>
  <si>
    <t>18 months avg nights</t>
  </si>
  <si>
    <t>18 months any night</t>
  </si>
  <si>
    <t>Binary homelessness</t>
  </si>
  <si>
    <t>18 months</t>
  </si>
  <si>
    <t>Any homelessness in last 18 weeks</t>
  </si>
  <si>
    <t>Taking the OR as a generic inverse ratio analysis</t>
  </si>
  <si>
    <t>Taking log</t>
  </si>
  <si>
    <t>Lod odds</t>
  </si>
  <si>
    <t>SE from Revman (entering CI end as 1.02)</t>
  </si>
  <si>
    <t xml:space="preserve">There is an error in the published paper, the lower limit must be 0.077, not 0.78 as reported </t>
  </si>
  <si>
    <t>The a paper doesn't present a case management overall effect.</t>
  </si>
  <si>
    <t>The b paper does</t>
  </si>
  <si>
    <t>I ignore the section 8 arm as it is not case management</t>
  </si>
  <si>
    <t>Gen inv</t>
  </si>
  <si>
    <t>1993 is a protocol paper</t>
  </si>
  <si>
    <t>This has outcomes, however table 2 listed coefficients for all 4 treatment conditions.</t>
  </si>
  <si>
    <t xml:space="preserve">It is not clear what the reference category is (all coefficients share a positive sign). </t>
  </si>
  <si>
    <t xml:space="preserve">Not extractable. </t>
  </si>
  <si>
    <t>Costs</t>
  </si>
  <si>
    <t>GenInv</t>
  </si>
  <si>
    <t>This is the only one extracted</t>
  </si>
  <si>
    <t>The control arm were only followed up for 6 month,s but some of the GEE models seem to include data for longer</t>
  </si>
  <si>
    <t>Kenny</t>
  </si>
  <si>
    <t xml:space="preserve">P.310 </t>
  </si>
  <si>
    <t>Standardised effect size = 0.51</t>
  </si>
  <si>
    <t>I can see a mean difference in days and a p-value 0.0015 but no way to get an SE</t>
  </si>
  <si>
    <t>Transitional case management is UC</t>
  </si>
  <si>
    <t>Taking from images, see other sheets for other images</t>
  </si>
  <si>
    <t>Housing gained</t>
  </si>
  <si>
    <t>Korr1996</t>
  </si>
  <si>
    <t>From table 6</t>
  </si>
  <si>
    <t>percentage housed</t>
  </si>
  <si>
    <t>n=36</t>
  </si>
  <si>
    <t>n=15</t>
  </si>
  <si>
    <t>N=48</t>
  </si>
  <si>
    <t>N=47</t>
  </si>
  <si>
    <t>Table 9</t>
  </si>
  <si>
    <t>Sevice use</t>
  </si>
  <si>
    <t>Days hospitalised</t>
  </si>
  <si>
    <t>Taken directly from table 3</t>
  </si>
  <si>
    <t>CES-D score (first reported in table 3)</t>
  </si>
  <si>
    <t>High scores are bad https://conservancy.umn.edu/bitstream/handle/11299/98561/v01n3p385.pdf</t>
  </si>
  <si>
    <t>Unmet care needs is binary and a measure of service utilisation</t>
  </si>
  <si>
    <t>ACT arm</t>
  </si>
  <si>
    <t>n=77</t>
  </si>
  <si>
    <t>n=75</t>
  </si>
  <si>
    <t>SE=12.3</t>
  </si>
  <si>
    <t>SE+12.5</t>
  </si>
  <si>
    <t>SF-36 mental health</t>
  </si>
  <si>
    <t>From table 3</t>
  </si>
  <si>
    <t>SE=1.9</t>
  </si>
  <si>
    <t>12 months</t>
  </si>
  <si>
    <t>Choosing inpatient days (psych hospital table 2) as service use</t>
  </si>
  <si>
    <t>12m</t>
  </si>
  <si>
    <t>Top of page S351</t>
  </si>
  <si>
    <t>The more complicated survival analysis doesn't present a point estimate HR -we can get it from the CI but there are simpler outcomes to extract</t>
  </si>
  <si>
    <t>Exiting shelter by Dec</t>
  </si>
  <si>
    <t>Total days in shelter</t>
  </si>
  <si>
    <t>From Revman- see screenshot</t>
  </si>
  <si>
    <t xml:space="preserve">Housing </t>
  </si>
  <si>
    <t>Own home or long-term transitional percentage</t>
  </si>
  <si>
    <t xml:space="preserve">12m </t>
  </si>
  <si>
    <t>Taken from figure 1</t>
  </si>
  <si>
    <t>I am not extracting health service utilisation under access. Improving access is good, but increasing use of health services indicates poorer outcomes so is ambiguous</t>
  </si>
  <si>
    <t>SF-36 PCS</t>
  </si>
  <si>
    <t>Change score</t>
  </si>
  <si>
    <t>Alcohol- ASI</t>
  </si>
  <si>
    <t>Alcohol and drug abstinence % is not actually a binary outcome</t>
  </si>
  <si>
    <t>SF36-MCS</t>
  </si>
  <si>
    <t>Days housed in last 90</t>
  </si>
  <si>
    <t>From table 1</t>
  </si>
  <si>
    <t>Prop</t>
  </si>
  <si>
    <t>Employment -income</t>
  </si>
  <si>
    <t>Health -physical SF-36</t>
  </si>
  <si>
    <t>Health -mental SF-36</t>
  </si>
  <si>
    <t>Substance Use - days intoxicated in last 30</t>
  </si>
  <si>
    <t>Substance use - used illict drugs</t>
  </si>
  <si>
    <t>Community integration -capabilities and wellbeing</t>
  </si>
  <si>
    <t>Healthcare costs are reported, but not cost of the intervention</t>
  </si>
  <si>
    <t>Days in better accommodation</t>
  </si>
  <si>
    <t>Reported in text on P3- Mann Whitney, but assumed t-test. Assumed equal SD and matched the p-value</t>
  </si>
  <si>
    <t>Manchester scale- Mental health</t>
  </si>
  <si>
    <t>14m</t>
  </si>
  <si>
    <t>QoL- Capabilities and wellbeing</t>
  </si>
  <si>
    <t>Proportion stably housed</t>
  </si>
  <si>
    <t>This is an average of individual proportions</t>
  </si>
  <si>
    <t>6 months outcome (less than 1 year)</t>
  </si>
  <si>
    <t>IHS is treatment, PHS is control</t>
  </si>
  <si>
    <t>From table 2</t>
  </si>
  <si>
    <t>Sample sizes taken from footnote</t>
  </si>
  <si>
    <t>Extracted days stabling housed, Colorado Symptom Index (mental health) and Days alcohol used on 6m and 18m</t>
  </si>
  <si>
    <t>table 3</t>
  </si>
  <si>
    <t>Time to placement</t>
  </si>
  <si>
    <t>No SD or SE presented</t>
  </si>
  <si>
    <t>% stably housed</t>
  </si>
  <si>
    <t>Gen Inv</t>
  </si>
  <si>
    <t>Housing stability</t>
  </si>
  <si>
    <t>Calsyn1998 has nothing to extract</t>
  </si>
  <si>
    <t>Intervention is continuous treatment, control is outpatient clinic</t>
  </si>
  <si>
    <t>Days homeless</t>
  </si>
  <si>
    <t>From middle column on page 1006</t>
  </si>
  <si>
    <t>Monthly income- Employment</t>
  </si>
  <si>
    <t>Psychiatric symptoms- MentalHealth</t>
  </si>
  <si>
    <t>AlcoholOunces-SubstanceUse</t>
  </si>
  <si>
    <t>Morse1997</t>
  </si>
  <si>
    <t>Splitting the control group as there are 2 ACT arms</t>
  </si>
  <si>
    <t>N days stably housed</t>
  </si>
  <si>
    <t>ACTPlus</t>
  </si>
  <si>
    <t>SD=13.89</t>
  </si>
  <si>
    <t>SD=14.77</t>
  </si>
  <si>
    <t>SD=11.42</t>
  </si>
  <si>
    <t>For sample size the total was 135 split between 3 groups- assuming is is 45 per arm</t>
  </si>
  <si>
    <t>n=45</t>
  </si>
  <si>
    <t>n=22</t>
  </si>
  <si>
    <t>This is Morse1997a</t>
  </si>
  <si>
    <t>This is Morse 1997b</t>
  </si>
  <si>
    <t>Selecting Anxiety and depression subscale for mental health</t>
  </si>
  <si>
    <t>SubstanceUse (alcohol)</t>
  </si>
  <si>
    <t>Taking client rated</t>
  </si>
  <si>
    <t>Splitting the control arm as there are two active treatments: 24 control in each comparison</t>
  </si>
  <si>
    <t>Days living in stable housing</t>
  </si>
  <si>
    <t>Morse2006a</t>
  </si>
  <si>
    <t>Morse2006b</t>
  </si>
  <si>
    <t>IACT</t>
  </si>
  <si>
    <t>ACTO</t>
  </si>
  <si>
    <t>Stable housing</t>
  </si>
  <si>
    <t>BPRS</t>
  </si>
  <si>
    <t>Substance use days in past 90</t>
  </si>
  <si>
    <t>Extracting the women's info, not the partners.</t>
  </si>
  <si>
    <t>This might be cluster randomised. Not particularly clear (is randomised by shelter statified?)</t>
  </si>
  <si>
    <t xml:space="preserve">No info on number of clusters per arm. </t>
  </si>
  <si>
    <t>Can't extract any of the continuous outcomes as no SDs are presented</t>
  </si>
  <si>
    <t>Drug use</t>
  </si>
  <si>
    <t>Nyamathi_a</t>
  </si>
  <si>
    <t>Nyamathi_b</t>
  </si>
  <si>
    <t>NCM</t>
  </si>
  <si>
    <t>PCM</t>
  </si>
  <si>
    <t>MHI-5: Psych Well being</t>
  </si>
  <si>
    <t>Not including these in yellow because it would double count the control group</t>
  </si>
  <si>
    <t>Depression</t>
  </si>
  <si>
    <t>Non-injection drug use</t>
  </si>
  <si>
    <t xml:space="preserve">Cluster randomised design -not correctly accounted for. </t>
  </si>
  <si>
    <t>12 sites</t>
  </si>
  <si>
    <t>Average cluster size</t>
  </si>
  <si>
    <t>Daily alc</t>
  </si>
  <si>
    <t>No data to extract</t>
  </si>
  <si>
    <t>One paper looks at feasibility.</t>
  </si>
  <si>
    <t>The other "Effects of..." i extract</t>
  </si>
  <si>
    <t>Three arms</t>
  </si>
  <si>
    <t>NCMIT is intervention</t>
  </si>
  <si>
    <t>SI is control</t>
  </si>
  <si>
    <t>Cluster randomised</t>
  </si>
  <si>
    <t>No outcome of interest (vaccination was offered as part of the study- it is not a routinely accessed service)</t>
  </si>
  <si>
    <t>Nyamathi 2015 is focussed on a subset of vaccine eligible participants</t>
  </si>
  <si>
    <t>3 arm trial, one arm has case management</t>
  </si>
  <si>
    <t>I want to sum all homelessness types, but they are not mutually exclusive but are exhaustive. Selecting street/shelter as outcome</t>
  </si>
  <si>
    <t>Physical health - good- binary</t>
  </si>
  <si>
    <t>New arrest -criminalisation</t>
  </si>
  <si>
    <t>Drug use - selecting the first reported- marijuana</t>
  </si>
  <si>
    <t>Unemployed</t>
  </si>
  <si>
    <t>Cost effectiveness outcomes reported, but no SDs provided for the total cost per participant</t>
  </si>
  <si>
    <t>Alcohol abstinence</t>
  </si>
  <si>
    <t>problem: "During Study" is not well defigned</t>
  </si>
  <si>
    <t>Substance Use during study</t>
  </si>
  <si>
    <t>Use detox/rehab during study</t>
  </si>
  <si>
    <t>Extracter: Mark</t>
  </si>
  <si>
    <t>Choosing HSP - the number of days hospitalised</t>
  </si>
  <si>
    <t>6 month</t>
  </si>
  <si>
    <t xml:space="preserve">18 month </t>
  </si>
  <si>
    <t>I can't take 24 months as the SD is 0 (actually NA) in control</t>
  </si>
  <si>
    <t>No SDs reported</t>
  </si>
  <si>
    <t>Receipt of medicare - Access to services</t>
  </si>
  <si>
    <t>4m</t>
  </si>
  <si>
    <t>Assuming even split</t>
  </si>
  <si>
    <t>Rosenheck2003</t>
  </si>
  <si>
    <t>No SDs reported. Matching t-stats and assuming equal variance</t>
  </si>
  <si>
    <t>Assuming SD of 22.3</t>
  </si>
  <si>
    <t>Splitting the group</t>
  </si>
  <si>
    <t>CM v Control</t>
  </si>
  <si>
    <t>HUDVASH v Control</t>
  </si>
  <si>
    <t>Days Housed</t>
  </si>
  <si>
    <t>36m</t>
  </si>
  <si>
    <t>HUDVASH</t>
  </si>
  <si>
    <t>CM</t>
  </si>
  <si>
    <t>Assuming 0.</t>
  </si>
  <si>
    <t>PsychIndex score-mental health</t>
  </si>
  <si>
    <t>1V3</t>
  </si>
  <si>
    <t>2V3</t>
  </si>
  <si>
    <t>Medical Index score-Physical</t>
  </si>
  <si>
    <t>HUDVASHvControl</t>
  </si>
  <si>
    <t>CMvControl</t>
  </si>
  <si>
    <t>Arrests Major crimes</t>
  </si>
  <si>
    <t>Assuming a small favouring of treatment in both cases</t>
  </si>
  <si>
    <t>Drank to Intoxication</t>
  </si>
  <si>
    <t>Worked past 30 days</t>
  </si>
  <si>
    <t>QoL overall</t>
  </si>
  <si>
    <t>Arms</t>
  </si>
  <si>
    <t>N</t>
  </si>
  <si>
    <t>182+90+188</t>
  </si>
  <si>
    <t>Primary study</t>
  </si>
  <si>
    <t>Cheng2007</t>
  </si>
  <si>
    <t>MI adjusted re-analysis</t>
  </si>
  <si>
    <t>O'Connell2008</t>
  </si>
  <si>
    <t>Re-analysis- 5 year outcomes but onditions on a post randomisation variable (successful housing)</t>
  </si>
  <si>
    <t>O'Connell2012</t>
  </si>
  <si>
    <t>Sub-group analysis of substance abuse participants</t>
  </si>
  <si>
    <t>Marcus2012</t>
  </si>
  <si>
    <t>Using a housing voucher exclude</t>
  </si>
  <si>
    <t>O'Connell2017</t>
  </si>
  <si>
    <t>Maybe Qol</t>
  </si>
  <si>
    <t>P1774</t>
  </si>
  <si>
    <t>Stably housed</t>
  </si>
  <si>
    <t>Incarceration-Criminalisation</t>
  </si>
  <si>
    <t>Hospitalizations not extracted</t>
  </si>
  <si>
    <t>Taking average days to move into stable housing as the outcome</t>
  </si>
  <si>
    <t>Reported on p. 528</t>
  </si>
  <si>
    <t>Actually not using this as average time to event can't be meta-analysed as continuous (Cochrnae 9.2.6)</t>
  </si>
  <si>
    <t>Mental health- nromal health- High is good</t>
  </si>
  <si>
    <t>Excluding dropouts</t>
  </si>
  <si>
    <t>15m</t>
  </si>
  <si>
    <t xml:space="preserve">Regression analyses presented in table 3 but time separated out. </t>
  </si>
  <si>
    <t>Engagement with MH services</t>
  </si>
  <si>
    <t>Binary outcome</t>
  </si>
  <si>
    <t>Referral to drugs and alc</t>
  </si>
  <si>
    <t>Change in prop of time spent on streets</t>
  </si>
  <si>
    <t>Change</t>
  </si>
  <si>
    <t>Unmet needs doesn't neatly fit in any of our outcomes</t>
  </si>
  <si>
    <t>Overall</t>
  </si>
  <si>
    <t>Psych symptoms- Mental health</t>
  </si>
  <si>
    <t>Service use- access to services</t>
  </si>
  <si>
    <t>Any help</t>
  </si>
  <si>
    <t>Means and SD reported. It sounds like a binary variable but it is not (averaged over all appointments)</t>
  </si>
  <si>
    <t>Independent living days- Homelessness</t>
  </si>
  <si>
    <t>Section 3.2</t>
  </si>
  <si>
    <t xml:space="preserve">Own housing- Homelessness </t>
  </si>
  <si>
    <t>Alcohol- SubstanceUse</t>
  </si>
  <si>
    <t>Table 3 presents mixed effects models with quadratic terms. Not enough info to DE</t>
  </si>
  <si>
    <t>Extractor: Tom</t>
  </si>
  <si>
    <t xml:space="preserve">Multi arm trial </t>
  </si>
  <si>
    <t>Fig 1</t>
  </si>
  <si>
    <t>Follow Up rate 24mo</t>
  </si>
  <si>
    <t>High Needs</t>
  </si>
  <si>
    <t>CONG</t>
  </si>
  <si>
    <t>?</t>
  </si>
  <si>
    <t>Moderate Needs</t>
  </si>
  <si>
    <t>ICM</t>
  </si>
  <si>
    <t>N of substance abuse at 24 mos</t>
  </si>
  <si>
    <t>Chose to collect for High need only</t>
  </si>
  <si>
    <t>Somers2015a</t>
  </si>
  <si>
    <t>Somers2015b</t>
  </si>
  <si>
    <t>% time spent stable housing from randomization to last follow-up</t>
  </si>
  <si>
    <t>mean</t>
  </si>
  <si>
    <t>sd</t>
  </si>
  <si>
    <t>Split by High and moderate needs. Treating as two separate studies.</t>
  </si>
  <si>
    <t>Taking Year 6 (earlier years will come from other reports?)</t>
  </si>
  <si>
    <t>Rate of days stably housed</t>
  </si>
  <si>
    <t>Need to convert CIs to SDs. Non-symmetric CI so doing it for both sides and averaging</t>
  </si>
  <si>
    <t>High support needs so Stergiopoulos2019a</t>
  </si>
  <si>
    <t>95% CI L</t>
  </si>
  <si>
    <t>95%CI U</t>
  </si>
  <si>
    <t>Whisker length</t>
  </si>
  <si>
    <t>AvgSD</t>
  </si>
  <si>
    <t>Moderate support needs so Stergiopoulos2019b</t>
  </si>
  <si>
    <t>There are QoL outcomes reported in table 4. Potential for geninv analysis, but time and group are separated</t>
  </si>
  <si>
    <t>PhD thesis - this is based on Susser 1997 but provides the SD info needed</t>
  </si>
  <si>
    <t>No homeless nights</t>
  </si>
  <si>
    <t>Table 6</t>
  </si>
  <si>
    <t>Homeless nights average</t>
  </si>
  <si>
    <t>Jail nights</t>
  </si>
  <si>
    <t>From Table 4</t>
  </si>
  <si>
    <t>6 and 24</t>
  </si>
  <si>
    <t>Housing stablility</t>
  </si>
  <si>
    <t>PCS</t>
  </si>
  <si>
    <t>MCS</t>
  </si>
  <si>
    <t>The percentages reported in table 4 do not match the reported drop-out rates</t>
  </si>
  <si>
    <t>OR contributing to geninv</t>
  </si>
  <si>
    <t>log odds from revman</t>
  </si>
  <si>
    <t>SE from revman</t>
  </si>
  <si>
    <t>This papers adds info on perceived ease of access to services</t>
  </si>
  <si>
    <t>Using mean (median is reported also, but matches well)</t>
  </si>
  <si>
    <t>High is better</t>
  </si>
  <si>
    <t>P0.75</t>
  </si>
  <si>
    <t>P0.25</t>
  </si>
  <si>
    <t>Using 1.35 the Interquartile range to estimate the SD</t>
  </si>
  <si>
    <t>https://handbook-5-1.cochrane.org/chapter_7/7_7_3_5_mediansand_interquartile_ranges.htm#:~:text=Interquartile%20ranges%20describe%20where%20the,be%20approximately%201.35%20standard%20deviations.</t>
  </si>
  <si>
    <t>Assuming numbers underneath are the SDs</t>
  </si>
  <si>
    <t>Income</t>
  </si>
  <si>
    <t>Other income _this is a proxy for access to services</t>
  </si>
  <si>
    <t>SCL-90 -Mental health</t>
  </si>
  <si>
    <t>Self-efficacy-capabilities and well being</t>
  </si>
  <si>
    <t>Drinking index</t>
  </si>
  <si>
    <t>Housing placement</t>
  </si>
  <si>
    <t>Alcohol in last 3 month</t>
  </si>
  <si>
    <t>15 clusters</t>
  </si>
  <si>
    <t>6m follow-up = 76</t>
  </si>
  <si>
    <t>Avg cluster size</t>
  </si>
  <si>
    <t>Assume an ICC of 0.05</t>
  </si>
  <si>
    <t>Design effect</t>
  </si>
  <si>
    <t>neffective</t>
  </si>
  <si>
    <t>No Alcohol binary</t>
  </si>
  <si>
    <t>Housing- own appartment binary</t>
  </si>
  <si>
    <t>Depression binary</t>
  </si>
  <si>
    <t>Days re-housed-high is good</t>
  </si>
  <si>
    <t>General QoL _high is goo</t>
  </si>
  <si>
    <t>GSI_mental health -high is bad</t>
  </si>
  <si>
    <t>Excessive Alcohol - high is bad</t>
  </si>
  <si>
    <t>Cluster randomised 2 clusters</t>
  </si>
  <si>
    <t>n=47</t>
  </si>
  <si>
    <t>Deff</t>
  </si>
  <si>
    <t>Hopkins checklist-mental health</t>
  </si>
  <si>
    <t>neff</t>
  </si>
  <si>
    <t>Hopkins 50% checklist - mental health</t>
  </si>
  <si>
    <t>Currently employed</t>
  </si>
  <si>
    <t>Living in a shelter</t>
  </si>
  <si>
    <t>SF-8PCS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</si>
</sst>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Calibri"/>
      <family val="2"/>
      <scheme val="minor"/>
    </font>
    <font>
      <sz val="9"/>
      <color theme="1"/>
      <name val="Helvetica"/>
      <charset val="1"/>
    </font>
    <font>
      <b/>
      <sz val="9"/>
      <color theme="1"/>
      <name val="Helvetica"/>
      <charset val="1"/>
    </font>
    <font>
      <sz val="12"/>
      <color rgb="FF000000"/>
      <name val="Calibri"/>
      <charset val="1"/>
    </font>
    <font>
      <sz val="12"/>
      <color rgb="FFFF0000"/>
      <name val="Calibri"/>
      <family val="2"/>
      <scheme val="minor"/>
    </font>
    <font>
      <u/>
      <sz val="12"/>
      <color theme="10"/>
      <name val="Calibri"/>
      <family val="2"/>
      <scheme val="minor"/>
    </font>
    <font>
      <sz val="12"/>
      <color rgb="FF000000"/>
      <name val="Calibri"/>
      <family val="2"/>
    </font>
    <font>
      <sz val="10"/>
      <color rgb="FF000000"/>
      <name val="Times"/>
      <family val="1"/>
    </font>
    <font>
      <sz val="12"/>
      <color rgb="FFFF0000"/>
      <name val="Calibri"/>
      <family val="2"/>
    </font>
    <font>
      <sz val="9"/>
      <color rgb="FFFF0000"/>
      <name val="Helvetica"/>
      <family val="2"/>
    </font>
    <font>
      <sz val="11"/>
      <color rgb="FFFF0000"/>
      <name val="Times"/>
      <family val="1"/>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9" fontId="0" fillId="0" borderId="0" xfId="0" applyNumberFormat="1"/>
    <xf numFmtId="0" fontId="2" fillId="0" borderId="0" xfId="0" applyFont="1"/>
    <xf numFmtId="0" fontId="3" fillId="0" borderId="0" xfId="0" applyFont="1"/>
    <xf numFmtId="0" fontId="0" fillId="0" borderId="0" xfId="0" applyAlignment="1">
      <alignment horizontal="left"/>
    </xf>
    <xf numFmtId="10" fontId="0" fillId="0" borderId="0" xfId="0" applyNumberFormat="1"/>
    <xf numFmtId="0" fontId="4" fillId="0" borderId="0" xfId="0" applyFont="1"/>
    <xf numFmtId="0" fontId="0" fillId="2" borderId="0" xfId="0" applyFill="1"/>
    <xf numFmtId="0" fontId="0" fillId="0" borderId="1" xfId="0" applyBorder="1"/>
    <xf numFmtId="9" fontId="0" fillId="0" borderId="2" xfId="0" applyNumberFormat="1" applyBorder="1"/>
    <xf numFmtId="0" fontId="0" fillId="0" borderId="2" xfId="0" applyBorder="1"/>
    <xf numFmtId="2" fontId="0" fillId="0" borderId="0" xfId="0" applyNumberFormat="1"/>
    <xf numFmtId="2" fontId="1" fillId="0" borderId="0" xfId="0" applyNumberFormat="1" applyFont="1"/>
    <xf numFmtId="0" fontId="0" fillId="0" borderId="3" xfId="0" applyBorder="1"/>
    <xf numFmtId="9" fontId="0" fillId="0" borderId="3" xfId="0" applyNumberFormat="1" applyBorder="1"/>
    <xf numFmtId="0" fontId="5" fillId="0" borderId="0" xfId="0" applyFont="1"/>
    <xf numFmtId="0" fontId="0" fillId="0" borderId="0" xfId="0" applyAlignment="1">
      <alignment horizontal="right"/>
    </xf>
    <xf numFmtId="0" fontId="6" fillId="0" borderId="0" xfId="1"/>
    <xf numFmtId="0" fontId="7" fillId="0" borderId="0" xfId="0" applyFont="1"/>
    <xf numFmtId="0" fontId="8" fillId="0" borderId="0" xfId="0" applyFont="1"/>
    <xf numFmtId="0" fontId="9" fillId="0" borderId="0" xfId="0" applyFont="1"/>
    <xf numFmtId="0" fontId="9" fillId="3" borderId="0" xfId="0" applyFont="1" applyFill="1"/>
    <xf numFmtId="0" fontId="10" fillId="0" borderId="0" xfId="0" applyFont="1"/>
    <xf numFmtId="0" fontId="11" fillId="0" borderId="0" xfId="0" applyFont="1"/>
    <xf numFmtId="0" fontId="7"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2.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9</xdr:col>
      <xdr:colOff>657225</xdr:colOff>
      <xdr:row>1</xdr:row>
      <xdr:rowOff>180975</xdr:rowOff>
    </xdr:from>
    <xdr:to>
      <xdr:col>18</xdr:col>
      <xdr:colOff>57150</xdr:colOff>
      <xdr:row>18</xdr:row>
      <xdr:rowOff>123825</xdr:rowOff>
    </xdr:to>
    <xdr:pic>
      <xdr:nvPicPr>
        <xdr:cNvPr id="2" name="Picture 1">
          <a:extLst>
            <a:ext uri="{FF2B5EF4-FFF2-40B4-BE49-F238E27FC236}">
              <a16:creationId xmlns:a16="http://schemas.microsoft.com/office/drawing/2014/main" id="{6E9B299D-EDF2-1EC0-C0F1-C2A92E654D8F}"/>
            </a:ext>
          </a:extLst>
        </xdr:cNvPr>
        <xdr:cNvPicPr>
          <a:picLocks noChangeAspect="1"/>
        </xdr:cNvPicPr>
      </xdr:nvPicPr>
      <xdr:blipFill>
        <a:blip xmlns:r="http://schemas.openxmlformats.org/officeDocument/2006/relationships" r:embed="rId1"/>
        <a:stretch>
          <a:fillRect/>
        </a:stretch>
      </xdr:blipFill>
      <xdr:spPr>
        <a:xfrm>
          <a:off x="6829425" y="381000"/>
          <a:ext cx="5572125" cy="33432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552450</xdr:colOff>
      <xdr:row>1</xdr:row>
      <xdr:rowOff>171450</xdr:rowOff>
    </xdr:from>
    <xdr:to>
      <xdr:col>13</xdr:col>
      <xdr:colOff>161925</xdr:colOff>
      <xdr:row>12</xdr:row>
      <xdr:rowOff>123825</xdr:rowOff>
    </xdr:to>
    <xdr:pic>
      <xdr:nvPicPr>
        <xdr:cNvPr id="2" name="Picture 1">
          <a:extLst>
            <a:ext uri="{FF2B5EF4-FFF2-40B4-BE49-F238E27FC236}">
              <a16:creationId xmlns:a16="http://schemas.microsoft.com/office/drawing/2014/main" id="{F72E511C-F6F3-409B-8B7E-05EFFE186C1A}"/>
            </a:ext>
          </a:extLst>
        </xdr:cNvPr>
        <xdr:cNvPicPr>
          <a:picLocks noChangeAspect="1"/>
        </xdr:cNvPicPr>
      </xdr:nvPicPr>
      <xdr:blipFill>
        <a:blip xmlns:r="http://schemas.openxmlformats.org/officeDocument/2006/relationships" r:embed="rId1"/>
        <a:stretch>
          <a:fillRect/>
        </a:stretch>
      </xdr:blipFill>
      <xdr:spPr>
        <a:xfrm>
          <a:off x="1924050" y="371475"/>
          <a:ext cx="7153275" cy="2152650"/>
        </a:xfrm>
        <a:prstGeom prst="rect">
          <a:avLst/>
        </a:prstGeom>
      </xdr:spPr>
    </xdr:pic>
    <xdr:clientData/>
  </xdr:twoCellAnchor>
  <xdr:twoCellAnchor editAs="oneCell">
    <xdr:from>
      <xdr:col>4</xdr:col>
      <xdr:colOff>0</xdr:colOff>
      <xdr:row>19</xdr:row>
      <xdr:rowOff>0</xdr:rowOff>
    </xdr:from>
    <xdr:to>
      <xdr:col>10</xdr:col>
      <xdr:colOff>457200</xdr:colOff>
      <xdr:row>21</xdr:row>
      <xdr:rowOff>0</xdr:rowOff>
    </xdr:to>
    <xdr:pic>
      <xdr:nvPicPr>
        <xdr:cNvPr id="3" name="Picture 2">
          <a:extLst>
            <a:ext uri="{FF2B5EF4-FFF2-40B4-BE49-F238E27FC236}">
              <a16:creationId xmlns:a16="http://schemas.microsoft.com/office/drawing/2014/main" id="{13ED07F5-0A53-4198-BED5-FF33EE4E3A84}"/>
            </a:ext>
            <a:ext uri="{147F2762-F138-4A5C-976F-8EAC2B608ADB}">
              <a16:predDERef xmlns:a16="http://schemas.microsoft.com/office/drawing/2014/main" pred="{F72E511C-F6F3-409B-8B7E-05EFFE186C1A}"/>
            </a:ext>
          </a:extLst>
        </xdr:cNvPr>
        <xdr:cNvPicPr>
          <a:picLocks noChangeAspect="1"/>
        </xdr:cNvPicPr>
      </xdr:nvPicPr>
      <xdr:blipFill>
        <a:blip xmlns:r="http://schemas.openxmlformats.org/officeDocument/2006/relationships" r:embed="rId2"/>
        <a:stretch>
          <a:fillRect/>
        </a:stretch>
      </xdr:blipFill>
      <xdr:spPr>
        <a:xfrm>
          <a:off x="2743200" y="3800475"/>
          <a:ext cx="4572000" cy="400050"/>
        </a:xfrm>
        <a:prstGeom prst="rect">
          <a:avLst/>
        </a:prstGeom>
      </xdr:spPr>
    </xdr:pic>
    <xdr:clientData/>
  </xdr:twoCellAnchor>
  <xdr:twoCellAnchor editAs="oneCell">
    <xdr:from>
      <xdr:col>4</xdr:col>
      <xdr:colOff>0</xdr:colOff>
      <xdr:row>28</xdr:row>
      <xdr:rowOff>0</xdr:rowOff>
    </xdr:from>
    <xdr:to>
      <xdr:col>10</xdr:col>
      <xdr:colOff>457200</xdr:colOff>
      <xdr:row>29</xdr:row>
      <xdr:rowOff>142875</xdr:rowOff>
    </xdr:to>
    <xdr:pic>
      <xdr:nvPicPr>
        <xdr:cNvPr id="4" name="Picture 3">
          <a:extLst>
            <a:ext uri="{FF2B5EF4-FFF2-40B4-BE49-F238E27FC236}">
              <a16:creationId xmlns:a16="http://schemas.microsoft.com/office/drawing/2014/main" id="{D207905E-C722-4071-9675-D8D87DDA888A}"/>
            </a:ext>
            <a:ext uri="{147F2762-F138-4A5C-976F-8EAC2B608ADB}">
              <a16:predDERef xmlns:a16="http://schemas.microsoft.com/office/drawing/2014/main" pred="{13ED07F5-0A53-4198-BED5-FF33EE4E3A84}"/>
            </a:ext>
          </a:extLst>
        </xdr:cNvPr>
        <xdr:cNvPicPr>
          <a:picLocks noChangeAspect="1"/>
        </xdr:cNvPicPr>
      </xdr:nvPicPr>
      <xdr:blipFill>
        <a:blip xmlns:r="http://schemas.openxmlformats.org/officeDocument/2006/relationships" r:embed="rId3"/>
        <a:stretch>
          <a:fillRect/>
        </a:stretch>
      </xdr:blipFill>
      <xdr:spPr>
        <a:xfrm>
          <a:off x="2743200" y="5600700"/>
          <a:ext cx="4572000" cy="3429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16</xdr:row>
      <xdr:rowOff>0</xdr:rowOff>
    </xdr:from>
    <xdr:to>
      <xdr:col>9</xdr:col>
      <xdr:colOff>514350</xdr:colOff>
      <xdr:row>19</xdr:row>
      <xdr:rowOff>161925</xdr:rowOff>
    </xdr:to>
    <xdr:pic>
      <xdr:nvPicPr>
        <xdr:cNvPr id="2" name="Picture 1">
          <a:extLst>
            <a:ext uri="{FF2B5EF4-FFF2-40B4-BE49-F238E27FC236}">
              <a16:creationId xmlns:a16="http://schemas.microsoft.com/office/drawing/2014/main" id="{A77B19CC-AF73-5223-3152-4570E748C65A}"/>
            </a:ext>
          </a:extLst>
        </xdr:cNvPr>
        <xdr:cNvPicPr>
          <a:picLocks noChangeAspect="1"/>
        </xdr:cNvPicPr>
      </xdr:nvPicPr>
      <xdr:blipFill>
        <a:blip xmlns:r="http://schemas.openxmlformats.org/officeDocument/2006/relationships" r:embed="rId1"/>
        <a:stretch>
          <a:fillRect/>
        </a:stretch>
      </xdr:blipFill>
      <xdr:spPr>
        <a:xfrm>
          <a:off x="2028825" y="3200400"/>
          <a:ext cx="4572000" cy="76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0</xdr:colOff>
      <xdr:row>35</xdr:row>
      <xdr:rowOff>0</xdr:rowOff>
    </xdr:from>
    <xdr:to>
      <xdr:col>11</xdr:col>
      <xdr:colOff>457200</xdr:colOff>
      <xdr:row>40</xdr:row>
      <xdr:rowOff>152400</xdr:rowOff>
    </xdr:to>
    <xdr:pic>
      <xdr:nvPicPr>
        <xdr:cNvPr id="4" name="Picture 3">
          <a:extLst>
            <a:ext uri="{FF2B5EF4-FFF2-40B4-BE49-F238E27FC236}">
              <a16:creationId xmlns:a16="http://schemas.microsoft.com/office/drawing/2014/main" id="{D7435C7E-0050-A1A7-1CC2-C4DCE477C095}"/>
            </a:ext>
            <a:ext uri="{147F2762-F138-4A5C-976F-8EAC2B608ADB}">
              <a16:predDERef xmlns:a16="http://schemas.microsoft.com/office/drawing/2014/main" pred="{7E851A50-4987-BDB3-6A54-05C7BBFB02D7}"/>
            </a:ext>
          </a:extLst>
        </xdr:cNvPr>
        <xdr:cNvPicPr>
          <a:picLocks noChangeAspect="1"/>
        </xdr:cNvPicPr>
      </xdr:nvPicPr>
      <xdr:blipFill>
        <a:blip xmlns:r="http://schemas.openxmlformats.org/officeDocument/2006/relationships" r:embed="rId1"/>
        <a:stretch>
          <a:fillRect/>
        </a:stretch>
      </xdr:blipFill>
      <xdr:spPr>
        <a:xfrm>
          <a:off x="3429000" y="7000875"/>
          <a:ext cx="4572000" cy="1152525"/>
        </a:xfrm>
        <a:prstGeom prst="rect">
          <a:avLst/>
        </a:prstGeom>
      </xdr:spPr>
    </xdr:pic>
    <xdr:clientData/>
  </xdr:twoCellAnchor>
  <xdr:twoCellAnchor editAs="oneCell">
    <xdr:from>
      <xdr:col>13</xdr:col>
      <xdr:colOff>0</xdr:colOff>
      <xdr:row>35</xdr:row>
      <xdr:rowOff>0</xdr:rowOff>
    </xdr:from>
    <xdr:to>
      <xdr:col>19</xdr:col>
      <xdr:colOff>457200</xdr:colOff>
      <xdr:row>40</xdr:row>
      <xdr:rowOff>171450</xdr:rowOff>
    </xdr:to>
    <xdr:pic>
      <xdr:nvPicPr>
        <xdr:cNvPr id="9" name="Picture 8">
          <a:extLst>
            <a:ext uri="{FF2B5EF4-FFF2-40B4-BE49-F238E27FC236}">
              <a16:creationId xmlns:a16="http://schemas.microsoft.com/office/drawing/2014/main" id="{27148EF6-5E72-67A1-CC82-82481AAC9805}"/>
            </a:ext>
            <a:ext uri="{147F2762-F138-4A5C-976F-8EAC2B608ADB}">
              <a16:predDERef xmlns:a16="http://schemas.microsoft.com/office/drawing/2014/main" pred="{D7435C7E-0050-A1A7-1CC2-C4DCE477C095}"/>
            </a:ext>
          </a:extLst>
        </xdr:cNvPr>
        <xdr:cNvPicPr>
          <a:picLocks noChangeAspect="1"/>
        </xdr:cNvPicPr>
      </xdr:nvPicPr>
      <xdr:blipFill>
        <a:blip xmlns:r="http://schemas.openxmlformats.org/officeDocument/2006/relationships" r:embed="rId2"/>
        <a:stretch>
          <a:fillRect/>
        </a:stretch>
      </xdr:blipFill>
      <xdr:spPr>
        <a:xfrm>
          <a:off x="8915400" y="7000875"/>
          <a:ext cx="4572000" cy="1171575"/>
        </a:xfrm>
        <a:prstGeom prst="rect">
          <a:avLst/>
        </a:prstGeom>
      </xdr:spPr>
    </xdr:pic>
    <xdr:clientData/>
  </xdr:twoCellAnchor>
  <xdr:twoCellAnchor editAs="oneCell">
    <xdr:from>
      <xdr:col>6</xdr:col>
      <xdr:colOff>0</xdr:colOff>
      <xdr:row>45</xdr:row>
      <xdr:rowOff>0</xdr:rowOff>
    </xdr:from>
    <xdr:to>
      <xdr:col>14</xdr:col>
      <xdr:colOff>104775</xdr:colOff>
      <xdr:row>52</xdr:row>
      <xdr:rowOff>9525</xdr:rowOff>
    </xdr:to>
    <xdr:pic>
      <xdr:nvPicPr>
        <xdr:cNvPr id="10" name="Picture 9">
          <a:extLst>
            <a:ext uri="{FF2B5EF4-FFF2-40B4-BE49-F238E27FC236}">
              <a16:creationId xmlns:a16="http://schemas.microsoft.com/office/drawing/2014/main" id="{B24ADE65-AE5F-3D41-F6B4-6C9FC4F90A2D}"/>
            </a:ext>
            <a:ext uri="{147F2762-F138-4A5C-976F-8EAC2B608ADB}">
              <a16:predDERef xmlns:a16="http://schemas.microsoft.com/office/drawing/2014/main" pred="{27148EF6-5E72-67A1-CC82-82481AAC9805}"/>
            </a:ext>
          </a:extLst>
        </xdr:cNvPr>
        <xdr:cNvPicPr>
          <a:picLocks noChangeAspect="1"/>
        </xdr:cNvPicPr>
      </xdr:nvPicPr>
      <xdr:blipFill>
        <a:blip xmlns:r="http://schemas.openxmlformats.org/officeDocument/2006/relationships" r:embed="rId3"/>
        <a:stretch>
          <a:fillRect/>
        </a:stretch>
      </xdr:blipFill>
      <xdr:spPr>
        <a:xfrm>
          <a:off x="4114800" y="9001125"/>
          <a:ext cx="5591175" cy="1409700"/>
        </a:xfrm>
        <a:prstGeom prst="rect">
          <a:avLst/>
        </a:prstGeom>
      </xdr:spPr>
    </xdr:pic>
    <xdr:clientData/>
  </xdr:twoCellAnchor>
  <xdr:twoCellAnchor editAs="oneCell">
    <xdr:from>
      <xdr:col>15</xdr:col>
      <xdr:colOff>352425</xdr:colOff>
      <xdr:row>44</xdr:row>
      <xdr:rowOff>171450</xdr:rowOff>
    </xdr:from>
    <xdr:to>
      <xdr:col>23</xdr:col>
      <xdr:colOff>142875</xdr:colOff>
      <xdr:row>51</xdr:row>
      <xdr:rowOff>123825</xdr:rowOff>
    </xdr:to>
    <xdr:pic>
      <xdr:nvPicPr>
        <xdr:cNvPr id="11" name="Picture 10">
          <a:extLst>
            <a:ext uri="{FF2B5EF4-FFF2-40B4-BE49-F238E27FC236}">
              <a16:creationId xmlns:a16="http://schemas.microsoft.com/office/drawing/2014/main" id="{747219D9-F1D5-2EE2-3614-B1C2A24AD1B3}"/>
            </a:ext>
            <a:ext uri="{147F2762-F138-4A5C-976F-8EAC2B608ADB}">
              <a16:predDERef xmlns:a16="http://schemas.microsoft.com/office/drawing/2014/main" pred="{B24ADE65-AE5F-3D41-F6B4-6C9FC4F90A2D}"/>
            </a:ext>
          </a:extLst>
        </xdr:cNvPr>
        <xdr:cNvPicPr>
          <a:picLocks noChangeAspect="1"/>
        </xdr:cNvPicPr>
      </xdr:nvPicPr>
      <xdr:blipFill>
        <a:blip xmlns:r="http://schemas.openxmlformats.org/officeDocument/2006/relationships" r:embed="rId4"/>
        <a:stretch>
          <a:fillRect/>
        </a:stretch>
      </xdr:blipFill>
      <xdr:spPr>
        <a:xfrm>
          <a:off x="10639425" y="8972550"/>
          <a:ext cx="5276850" cy="1352550"/>
        </a:xfrm>
        <a:prstGeom prst="rect">
          <a:avLst/>
        </a:prstGeom>
      </xdr:spPr>
    </xdr:pic>
    <xdr:clientData/>
  </xdr:twoCellAnchor>
  <xdr:twoCellAnchor editAs="oneCell">
    <xdr:from>
      <xdr:col>6</xdr:col>
      <xdr:colOff>0</xdr:colOff>
      <xdr:row>54</xdr:row>
      <xdr:rowOff>0</xdr:rowOff>
    </xdr:from>
    <xdr:to>
      <xdr:col>14</xdr:col>
      <xdr:colOff>133350</xdr:colOff>
      <xdr:row>60</xdr:row>
      <xdr:rowOff>180975</xdr:rowOff>
    </xdr:to>
    <xdr:pic>
      <xdr:nvPicPr>
        <xdr:cNvPr id="12" name="Picture 11">
          <a:extLst>
            <a:ext uri="{FF2B5EF4-FFF2-40B4-BE49-F238E27FC236}">
              <a16:creationId xmlns:a16="http://schemas.microsoft.com/office/drawing/2014/main" id="{13872C32-F64C-6EED-4253-4975C8AA96C1}"/>
            </a:ext>
            <a:ext uri="{147F2762-F138-4A5C-976F-8EAC2B608ADB}">
              <a16:predDERef xmlns:a16="http://schemas.microsoft.com/office/drawing/2014/main" pred="{747219D9-F1D5-2EE2-3614-B1C2A24AD1B3}"/>
            </a:ext>
          </a:extLst>
        </xdr:cNvPr>
        <xdr:cNvPicPr>
          <a:picLocks noChangeAspect="1"/>
        </xdr:cNvPicPr>
      </xdr:nvPicPr>
      <xdr:blipFill>
        <a:blip xmlns:r="http://schemas.openxmlformats.org/officeDocument/2006/relationships" r:embed="rId5"/>
        <a:stretch>
          <a:fillRect/>
        </a:stretch>
      </xdr:blipFill>
      <xdr:spPr>
        <a:xfrm>
          <a:off x="4114800" y="10801350"/>
          <a:ext cx="5619750" cy="1381125"/>
        </a:xfrm>
        <a:prstGeom prst="rect">
          <a:avLst/>
        </a:prstGeom>
      </xdr:spPr>
    </xdr:pic>
    <xdr:clientData/>
  </xdr:twoCellAnchor>
  <xdr:twoCellAnchor editAs="oneCell">
    <xdr:from>
      <xdr:col>15</xdr:col>
      <xdr:colOff>0</xdr:colOff>
      <xdr:row>54</xdr:row>
      <xdr:rowOff>0</xdr:rowOff>
    </xdr:from>
    <xdr:to>
      <xdr:col>23</xdr:col>
      <xdr:colOff>114300</xdr:colOff>
      <xdr:row>60</xdr:row>
      <xdr:rowOff>190500</xdr:rowOff>
    </xdr:to>
    <xdr:pic>
      <xdr:nvPicPr>
        <xdr:cNvPr id="13" name="Picture 12">
          <a:extLst>
            <a:ext uri="{FF2B5EF4-FFF2-40B4-BE49-F238E27FC236}">
              <a16:creationId xmlns:a16="http://schemas.microsoft.com/office/drawing/2014/main" id="{9C822590-9AAF-AC4B-66FD-D745A1C28F09}"/>
            </a:ext>
            <a:ext uri="{147F2762-F138-4A5C-976F-8EAC2B608ADB}">
              <a16:predDERef xmlns:a16="http://schemas.microsoft.com/office/drawing/2014/main" pred="{13872C32-F64C-6EED-4253-4975C8AA96C1}"/>
            </a:ext>
          </a:extLst>
        </xdr:cNvPr>
        <xdr:cNvPicPr>
          <a:picLocks noChangeAspect="1"/>
        </xdr:cNvPicPr>
      </xdr:nvPicPr>
      <xdr:blipFill>
        <a:blip xmlns:r="http://schemas.openxmlformats.org/officeDocument/2006/relationships" r:embed="rId6"/>
        <a:stretch>
          <a:fillRect/>
        </a:stretch>
      </xdr:blipFill>
      <xdr:spPr>
        <a:xfrm>
          <a:off x="10287000" y="10801350"/>
          <a:ext cx="5600700" cy="1390650"/>
        </a:xfrm>
        <a:prstGeom prst="rect">
          <a:avLst/>
        </a:prstGeom>
      </xdr:spPr>
    </xdr:pic>
    <xdr:clientData/>
  </xdr:twoCellAnchor>
  <xdr:twoCellAnchor editAs="oneCell">
    <xdr:from>
      <xdr:col>6</xdr:col>
      <xdr:colOff>0</xdr:colOff>
      <xdr:row>65</xdr:row>
      <xdr:rowOff>0</xdr:rowOff>
    </xdr:from>
    <xdr:to>
      <xdr:col>14</xdr:col>
      <xdr:colOff>647700</xdr:colOff>
      <xdr:row>72</xdr:row>
      <xdr:rowOff>133350</xdr:rowOff>
    </xdr:to>
    <xdr:pic>
      <xdr:nvPicPr>
        <xdr:cNvPr id="14" name="Picture 13">
          <a:extLst>
            <a:ext uri="{FF2B5EF4-FFF2-40B4-BE49-F238E27FC236}">
              <a16:creationId xmlns:a16="http://schemas.microsoft.com/office/drawing/2014/main" id="{54DE3A9F-707D-C079-9BEB-515D4B81C71E}"/>
            </a:ext>
            <a:ext uri="{147F2762-F138-4A5C-976F-8EAC2B608ADB}">
              <a16:predDERef xmlns:a16="http://schemas.microsoft.com/office/drawing/2014/main" pred="{9C822590-9AAF-AC4B-66FD-D745A1C28F09}"/>
            </a:ext>
          </a:extLst>
        </xdr:cNvPr>
        <xdr:cNvPicPr>
          <a:picLocks noChangeAspect="1"/>
        </xdr:cNvPicPr>
      </xdr:nvPicPr>
      <xdr:blipFill>
        <a:blip xmlns:r="http://schemas.openxmlformats.org/officeDocument/2006/relationships" r:embed="rId7"/>
        <a:stretch>
          <a:fillRect/>
        </a:stretch>
      </xdr:blipFill>
      <xdr:spPr>
        <a:xfrm>
          <a:off x="4114800" y="13001625"/>
          <a:ext cx="6134100" cy="1533525"/>
        </a:xfrm>
        <a:prstGeom prst="rect">
          <a:avLst/>
        </a:prstGeom>
      </xdr:spPr>
    </xdr:pic>
    <xdr:clientData/>
  </xdr:twoCellAnchor>
  <xdr:twoCellAnchor editAs="oneCell">
    <xdr:from>
      <xdr:col>14</xdr:col>
      <xdr:colOff>666750</xdr:colOff>
      <xdr:row>65</xdr:row>
      <xdr:rowOff>0</xdr:rowOff>
    </xdr:from>
    <xdr:to>
      <xdr:col>23</xdr:col>
      <xdr:colOff>609600</xdr:colOff>
      <xdr:row>72</xdr:row>
      <xdr:rowOff>180975</xdr:rowOff>
    </xdr:to>
    <xdr:pic>
      <xdr:nvPicPr>
        <xdr:cNvPr id="15" name="Picture 14">
          <a:extLst>
            <a:ext uri="{FF2B5EF4-FFF2-40B4-BE49-F238E27FC236}">
              <a16:creationId xmlns:a16="http://schemas.microsoft.com/office/drawing/2014/main" id="{2EC18735-8557-AB0E-FA0D-486E80B1ECA4}"/>
            </a:ext>
            <a:ext uri="{147F2762-F138-4A5C-976F-8EAC2B608ADB}">
              <a16:predDERef xmlns:a16="http://schemas.microsoft.com/office/drawing/2014/main" pred="{54DE3A9F-707D-C079-9BEB-515D4B81C71E}"/>
            </a:ext>
          </a:extLst>
        </xdr:cNvPr>
        <xdr:cNvPicPr>
          <a:picLocks noChangeAspect="1"/>
        </xdr:cNvPicPr>
      </xdr:nvPicPr>
      <xdr:blipFill>
        <a:blip xmlns:r="http://schemas.openxmlformats.org/officeDocument/2006/relationships" r:embed="rId8"/>
        <a:stretch>
          <a:fillRect/>
        </a:stretch>
      </xdr:blipFill>
      <xdr:spPr>
        <a:xfrm>
          <a:off x="10267950" y="13001625"/>
          <a:ext cx="6115050" cy="1581150"/>
        </a:xfrm>
        <a:prstGeom prst="rect">
          <a:avLst/>
        </a:prstGeom>
      </xdr:spPr>
    </xdr:pic>
    <xdr:clientData/>
  </xdr:twoCellAnchor>
  <xdr:twoCellAnchor editAs="oneCell">
    <xdr:from>
      <xdr:col>6</xdr:col>
      <xdr:colOff>0</xdr:colOff>
      <xdr:row>77</xdr:row>
      <xdr:rowOff>9525</xdr:rowOff>
    </xdr:from>
    <xdr:to>
      <xdr:col>14</xdr:col>
      <xdr:colOff>504825</xdr:colOff>
      <xdr:row>84</xdr:row>
      <xdr:rowOff>171450</xdr:rowOff>
    </xdr:to>
    <xdr:pic>
      <xdr:nvPicPr>
        <xdr:cNvPr id="18" name="Picture 15">
          <a:extLst>
            <a:ext uri="{FF2B5EF4-FFF2-40B4-BE49-F238E27FC236}">
              <a16:creationId xmlns:a16="http://schemas.microsoft.com/office/drawing/2014/main" id="{7E328AAC-C1FE-56E2-86E6-F16079C65815}"/>
            </a:ext>
            <a:ext uri="{147F2762-F138-4A5C-976F-8EAC2B608ADB}">
              <a16:predDERef xmlns:a16="http://schemas.microsoft.com/office/drawing/2014/main" pred="{2EC18735-8557-AB0E-FA0D-486E80B1ECA4}"/>
            </a:ext>
          </a:extLst>
        </xdr:cNvPr>
        <xdr:cNvPicPr>
          <a:picLocks noChangeAspect="1"/>
        </xdr:cNvPicPr>
      </xdr:nvPicPr>
      <xdr:blipFill>
        <a:blip xmlns:r="http://schemas.openxmlformats.org/officeDocument/2006/relationships" r:embed="rId9"/>
        <a:stretch>
          <a:fillRect/>
        </a:stretch>
      </xdr:blipFill>
      <xdr:spPr>
        <a:xfrm>
          <a:off x="4114800" y="15411450"/>
          <a:ext cx="5991225" cy="1562100"/>
        </a:xfrm>
        <a:prstGeom prst="rect">
          <a:avLst/>
        </a:prstGeom>
      </xdr:spPr>
    </xdr:pic>
    <xdr:clientData/>
  </xdr:twoCellAnchor>
  <xdr:twoCellAnchor editAs="oneCell">
    <xdr:from>
      <xdr:col>14</xdr:col>
      <xdr:colOff>676275</xdr:colOff>
      <xdr:row>77</xdr:row>
      <xdr:rowOff>9525</xdr:rowOff>
    </xdr:from>
    <xdr:to>
      <xdr:col>24</xdr:col>
      <xdr:colOff>304800</xdr:colOff>
      <xdr:row>85</xdr:row>
      <xdr:rowOff>114300</xdr:rowOff>
    </xdr:to>
    <xdr:pic>
      <xdr:nvPicPr>
        <xdr:cNvPr id="19" name="Picture 16">
          <a:extLst>
            <a:ext uri="{FF2B5EF4-FFF2-40B4-BE49-F238E27FC236}">
              <a16:creationId xmlns:a16="http://schemas.microsoft.com/office/drawing/2014/main" id="{CDB2338C-16D3-371A-AC63-9EA3FE17E2DE}"/>
            </a:ext>
            <a:ext uri="{147F2762-F138-4A5C-976F-8EAC2B608ADB}">
              <a16:predDERef xmlns:a16="http://schemas.microsoft.com/office/drawing/2014/main" pred="{7E328AAC-C1FE-56E2-86E6-F16079C65815}"/>
            </a:ext>
          </a:extLst>
        </xdr:cNvPr>
        <xdr:cNvPicPr>
          <a:picLocks noChangeAspect="1"/>
        </xdr:cNvPicPr>
      </xdr:nvPicPr>
      <xdr:blipFill>
        <a:blip xmlns:r="http://schemas.openxmlformats.org/officeDocument/2006/relationships" r:embed="rId10"/>
        <a:stretch>
          <a:fillRect/>
        </a:stretch>
      </xdr:blipFill>
      <xdr:spPr>
        <a:xfrm>
          <a:off x="10277475" y="15411450"/>
          <a:ext cx="6486525" cy="1704975"/>
        </a:xfrm>
        <a:prstGeom prst="rect">
          <a:avLst/>
        </a:prstGeom>
      </xdr:spPr>
    </xdr:pic>
    <xdr:clientData/>
  </xdr:twoCellAnchor>
  <xdr:twoCellAnchor editAs="oneCell">
    <xdr:from>
      <xdr:col>7</xdr:col>
      <xdr:colOff>0</xdr:colOff>
      <xdr:row>11</xdr:row>
      <xdr:rowOff>0</xdr:rowOff>
    </xdr:from>
    <xdr:to>
      <xdr:col>13</xdr:col>
      <xdr:colOff>457200</xdr:colOff>
      <xdr:row>17</xdr:row>
      <xdr:rowOff>38100</xdr:rowOff>
    </xdr:to>
    <xdr:pic>
      <xdr:nvPicPr>
        <xdr:cNvPr id="20" name="Picture 19">
          <a:extLst>
            <a:ext uri="{FF2B5EF4-FFF2-40B4-BE49-F238E27FC236}">
              <a16:creationId xmlns:a16="http://schemas.microsoft.com/office/drawing/2014/main" id="{EAAC795F-DFA1-437E-925F-76E9D6E96A4C}"/>
            </a:ext>
            <a:ext uri="{147F2762-F138-4A5C-976F-8EAC2B608ADB}">
              <a16:predDERef xmlns:a16="http://schemas.microsoft.com/office/drawing/2014/main" pred="{CDB2338C-16D3-371A-AC63-9EA3FE17E2DE}"/>
            </a:ext>
          </a:extLst>
        </xdr:cNvPr>
        <xdr:cNvPicPr>
          <a:picLocks noChangeAspect="1"/>
        </xdr:cNvPicPr>
      </xdr:nvPicPr>
      <xdr:blipFill>
        <a:blip xmlns:r="http://schemas.openxmlformats.org/officeDocument/2006/relationships" r:embed="rId11"/>
        <a:stretch>
          <a:fillRect/>
        </a:stretch>
      </xdr:blipFill>
      <xdr:spPr>
        <a:xfrm>
          <a:off x="4800600" y="2200275"/>
          <a:ext cx="4572000" cy="1238250"/>
        </a:xfrm>
        <a:prstGeom prst="rect">
          <a:avLst/>
        </a:prstGeom>
      </xdr:spPr>
    </xdr:pic>
    <xdr:clientData/>
  </xdr:twoCellAnchor>
  <xdr:twoCellAnchor editAs="oneCell">
    <xdr:from>
      <xdr:col>7</xdr:col>
      <xdr:colOff>0</xdr:colOff>
      <xdr:row>23</xdr:row>
      <xdr:rowOff>0</xdr:rowOff>
    </xdr:from>
    <xdr:to>
      <xdr:col>13</xdr:col>
      <xdr:colOff>457200</xdr:colOff>
      <xdr:row>29</xdr:row>
      <xdr:rowOff>47625</xdr:rowOff>
    </xdr:to>
    <xdr:pic>
      <xdr:nvPicPr>
        <xdr:cNvPr id="21" name="Picture 20">
          <a:extLst>
            <a:ext uri="{FF2B5EF4-FFF2-40B4-BE49-F238E27FC236}">
              <a16:creationId xmlns:a16="http://schemas.microsoft.com/office/drawing/2014/main" id="{E906A8B4-7E74-4802-97B7-481E519A11F9}"/>
            </a:ext>
            <a:ext uri="{147F2762-F138-4A5C-976F-8EAC2B608ADB}">
              <a16:predDERef xmlns:a16="http://schemas.microsoft.com/office/drawing/2014/main" pred="{EAAC795F-DFA1-437E-925F-76E9D6E96A4C}"/>
            </a:ext>
          </a:extLst>
        </xdr:cNvPr>
        <xdr:cNvPicPr>
          <a:picLocks noChangeAspect="1"/>
        </xdr:cNvPicPr>
      </xdr:nvPicPr>
      <xdr:blipFill>
        <a:blip xmlns:r="http://schemas.openxmlformats.org/officeDocument/2006/relationships" r:embed="rId12"/>
        <a:stretch>
          <a:fillRect/>
        </a:stretch>
      </xdr:blipFill>
      <xdr:spPr>
        <a:xfrm>
          <a:off x="4800600" y="4600575"/>
          <a:ext cx="4572000" cy="1247775"/>
        </a:xfrm>
        <a:prstGeom prst="rect">
          <a:avLst/>
        </a:prstGeom>
      </xdr:spPr>
    </xdr:pic>
    <xdr:clientData/>
  </xdr:twoCellAnchor>
  <xdr:twoCellAnchor editAs="oneCell">
    <xdr:from>
      <xdr:col>15</xdr:col>
      <xdr:colOff>0</xdr:colOff>
      <xdr:row>10</xdr:row>
      <xdr:rowOff>0</xdr:rowOff>
    </xdr:from>
    <xdr:to>
      <xdr:col>21</xdr:col>
      <xdr:colOff>447675</xdr:colOff>
      <xdr:row>15</xdr:row>
      <xdr:rowOff>161925</xdr:rowOff>
    </xdr:to>
    <xdr:pic>
      <xdr:nvPicPr>
        <xdr:cNvPr id="22" name="Picture 21">
          <a:extLst>
            <a:ext uri="{FF2B5EF4-FFF2-40B4-BE49-F238E27FC236}">
              <a16:creationId xmlns:a16="http://schemas.microsoft.com/office/drawing/2014/main" id="{1DD352F8-449C-46F2-965B-7CE0C4063296}"/>
            </a:ext>
            <a:ext uri="{147F2762-F138-4A5C-976F-8EAC2B608ADB}">
              <a16:predDERef xmlns:a16="http://schemas.microsoft.com/office/drawing/2014/main" pred="{E906A8B4-7E74-4802-97B7-481E519A11F9}"/>
            </a:ext>
          </a:extLst>
        </xdr:cNvPr>
        <xdr:cNvPicPr>
          <a:picLocks noChangeAspect="1"/>
        </xdr:cNvPicPr>
      </xdr:nvPicPr>
      <xdr:blipFill>
        <a:blip xmlns:r="http://schemas.openxmlformats.org/officeDocument/2006/relationships" r:embed="rId13"/>
        <a:stretch>
          <a:fillRect/>
        </a:stretch>
      </xdr:blipFill>
      <xdr:spPr>
        <a:xfrm>
          <a:off x="10287000" y="2000250"/>
          <a:ext cx="4562475" cy="1162050"/>
        </a:xfrm>
        <a:prstGeom prst="rect">
          <a:avLst/>
        </a:prstGeom>
      </xdr:spPr>
    </xdr:pic>
    <xdr:clientData/>
  </xdr:twoCellAnchor>
  <xdr:twoCellAnchor editAs="oneCell">
    <xdr:from>
      <xdr:col>15</xdr:col>
      <xdr:colOff>0</xdr:colOff>
      <xdr:row>24</xdr:row>
      <xdr:rowOff>0</xdr:rowOff>
    </xdr:from>
    <xdr:to>
      <xdr:col>21</xdr:col>
      <xdr:colOff>457200</xdr:colOff>
      <xdr:row>30</xdr:row>
      <xdr:rowOff>38100</xdr:rowOff>
    </xdr:to>
    <xdr:pic>
      <xdr:nvPicPr>
        <xdr:cNvPr id="23" name="Picture 22">
          <a:extLst>
            <a:ext uri="{FF2B5EF4-FFF2-40B4-BE49-F238E27FC236}">
              <a16:creationId xmlns:a16="http://schemas.microsoft.com/office/drawing/2014/main" id="{BDF59242-810A-4C12-95BC-7CF7D133E409}"/>
            </a:ext>
            <a:ext uri="{147F2762-F138-4A5C-976F-8EAC2B608ADB}">
              <a16:predDERef xmlns:a16="http://schemas.microsoft.com/office/drawing/2014/main" pred="{1DD352F8-449C-46F2-965B-7CE0C4063296}"/>
            </a:ext>
          </a:extLst>
        </xdr:cNvPr>
        <xdr:cNvPicPr>
          <a:picLocks noChangeAspect="1"/>
        </xdr:cNvPicPr>
      </xdr:nvPicPr>
      <xdr:blipFill>
        <a:blip xmlns:r="http://schemas.openxmlformats.org/officeDocument/2006/relationships" r:embed="rId14"/>
        <a:stretch>
          <a:fillRect/>
        </a:stretch>
      </xdr:blipFill>
      <xdr:spPr>
        <a:xfrm>
          <a:off x="10287000" y="4800600"/>
          <a:ext cx="4572000" cy="12382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466725</xdr:colOff>
      <xdr:row>1</xdr:row>
      <xdr:rowOff>161925</xdr:rowOff>
    </xdr:from>
    <xdr:to>
      <xdr:col>10</xdr:col>
      <xdr:colOff>238125</xdr:colOff>
      <xdr:row>16</xdr:row>
      <xdr:rowOff>0</xdr:rowOff>
    </xdr:to>
    <xdr:pic>
      <xdr:nvPicPr>
        <xdr:cNvPr id="2" name="Picture 1">
          <a:extLst>
            <a:ext uri="{FF2B5EF4-FFF2-40B4-BE49-F238E27FC236}">
              <a16:creationId xmlns:a16="http://schemas.microsoft.com/office/drawing/2014/main" id="{3794093E-CDC3-4E1A-AF2B-91941EBD0FDE}"/>
            </a:ext>
          </a:extLst>
        </xdr:cNvPr>
        <xdr:cNvPicPr>
          <a:picLocks noChangeAspect="1"/>
        </xdr:cNvPicPr>
      </xdr:nvPicPr>
      <xdr:blipFill>
        <a:blip xmlns:r="http://schemas.openxmlformats.org/officeDocument/2006/relationships" r:embed="rId1"/>
        <a:stretch>
          <a:fillRect/>
        </a:stretch>
      </xdr:blipFill>
      <xdr:spPr>
        <a:xfrm>
          <a:off x="2524125" y="361950"/>
          <a:ext cx="4572000" cy="28384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0</xdr:colOff>
      <xdr:row>13</xdr:row>
      <xdr:rowOff>0</xdr:rowOff>
    </xdr:from>
    <xdr:to>
      <xdr:col>10</xdr:col>
      <xdr:colOff>457200</xdr:colOff>
      <xdr:row>19</xdr:row>
      <xdr:rowOff>95250</xdr:rowOff>
    </xdr:to>
    <xdr:pic>
      <xdr:nvPicPr>
        <xdr:cNvPr id="2" name="Picture 1">
          <a:extLst>
            <a:ext uri="{FF2B5EF4-FFF2-40B4-BE49-F238E27FC236}">
              <a16:creationId xmlns:a16="http://schemas.microsoft.com/office/drawing/2014/main" id="{A7C55118-2AEF-15A6-2878-F2BE0E94D4CF}"/>
            </a:ext>
          </a:extLst>
        </xdr:cNvPr>
        <xdr:cNvPicPr>
          <a:picLocks noChangeAspect="1"/>
        </xdr:cNvPicPr>
      </xdr:nvPicPr>
      <xdr:blipFill>
        <a:blip xmlns:r="http://schemas.openxmlformats.org/officeDocument/2006/relationships" r:embed="rId1"/>
        <a:stretch>
          <a:fillRect/>
        </a:stretch>
      </xdr:blipFill>
      <xdr:spPr>
        <a:xfrm>
          <a:off x="2743200" y="2600325"/>
          <a:ext cx="4572000"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15</xdr:col>
      <xdr:colOff>609600</xdr:colOff>
      <xdr:row>7</xdr:row>
      <xdr:rowOff>171450</xdr:rowOff>
    </xdr:to>
    <xdr:pic>
      <xdr:nvPicPr>
        <xdr:cNvPr id="2" name="Picture 1">
          <a:extLst>
            <a:ext uri="{FF2B5EF4-FFF2-40B4-BE49-F238E27FC236}">
              <a16:creationId xmlns:a16="http://schemas.microsoft.com/office/drawing/2014/main" id="{19F48734-3BAD-4BD8-AE9D-5FC60020FCA1}"/>
            </a:ext>
          </a:extLst>
        </xdr:cNvPr>
        <xdr:cNvPicPr>
          <a:picLocks noChangeAspect="1"/>
        </xdr:cNvPicPr>
      </xdr:nvPicPr>
      <xdr:blipFill>
        <a:blip xmlns:r="http://schemas.openxmlformats.org/officeDocument/2006/relationships" r:embed="rId1"/>
        <a:stretch>
          <a:fillRect/>
        </a:stretch>
      </xdr:blipFill>
      <xdr:spPr>
        <a:xfrm>
          <a:off x="3429000" y="0"/>
          <a:ext cx="7467600" cy="1571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9</xdr:col>
      <xdr:colOff>447675</xdr:colOff>
      <xdr:row>11</xdr:row>
      <xdr:rowOff>152400</xdr:rowOff>
    </xdr:to>
    <xdr:pic>
      <xdr:nvPicPr>
        <xdr:cNvPr id="2" name="Picture 1">
          <a:extLst>
            <a:ext uri="{FF2B5EF4-FFF2-40B4-BE49-F238E27FC236}">
              <a16:creationId xmlns:a16="http://schemas.microsoft.com/office/drawing/2014/main" id="{E03C7264-1ECF-4753-BB50-21A9D783A7A4}"/>
            </a:ext>
          </a:extLst>
        </xdr:cNvPr>
        <xdr:cNvPicPr>
          <a:picLocks noChangeAspect="1"/>
        </xdr:cNvPicPr>
      </xdr:nvPicPr>
      <xdr:blipFill>
        <a:blip xmlns:r="http://schemas.openxmlformats.org/officeDocument/2006/relationships" r:embed="rId1"/>
        <a:stretch>
          <a:fillRect/>
        </a:stretch>
      </xdr:blipFill>
      <xdr:spPr>
        <a:xfrm>
          <a:off x="2057400" y="800100"/>
          <a:ext cx="4562475" cy="1552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10</xdr:col>
      <xdr:colOff>447675</xdr:colOff>
      <xdr:row>8</xdr:row>
      <xdr:rowOff>38100</xdr:rowOff>
    </xdr:to>
    <xdr:pic>
      <xdr:nvPicPr>
        <xdr:cNvPr id="2" name="Picture 1">
          <a:extLst>
            <a:ext uri="{FF2B5EF4-FFF2-40B4-BE49-F238E27FC236}">
              <a16:creationId xmlns:a16="http://schemas.microsoft.com/office/drawing/2014/main" id="{1471DEE8-41B6-D92C-BF04-F01CADBC1128}"/>
            </a:ext>
          </a:extLst>
        </xdr:cNvPr>
        <xdr:cNvPicPr>
          <a:picLocks noChangeAspect="1"/>
        </xdr:cNvPicPr>
      </xdr:nvPicPr>
      <xdr:blipFill>
        <a:blip xmlns:r="http://schemas.openxmlformats.org/officeDocument/2006/relationships" r:embed="rId1"/>
        <a:stretch>
          <a:fillRect/>
        </a:stretch>
      </xdr:blipFill>
      <xdr:spPr>
        <a:xfrm>
          <a:off x="2743200" y="400050"/>
          <a:ext cx="4562475" cy="1238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546097</xdr:colOff>
      <xdr:row>1</xdr:row>
      <xdr:rowOff>76200</xdr:rowOff>
    </xdr:from>
    <xdr:to>
      <xdr:col>75</xdr:col>
      <xdr:colOff>482600</xdr:colOff>
      <xdr:row>135</xdr:row>
      <xdr:rowOff>43040</xdr:rowOff>
    </xdr:to>
    <xdr:pic>
      <xdr:nvPicPr>
        <xdr:cNvPr id="2" name="Picture 1">
          <a:extLst>
            <a:ext uri="{FF2B5EF4-FFF2-40B4-BE49-F238E27FC236}">
              <a16:creationId xmlns:a16="http://schemas.microsoft.com/office/drawing/2014/main" id="{32337280-A42B-4F8C-80AC-0D4FA35639B9}"/>
            </a:ext>
          </a:extLst>
        </xdr:cNvPr>
        <xdr:cNvPicPr>
          <a:picLocks noChangeAspect="1"/>
        </xdr:cNvPicPr>
      </xdr:nvPicPr>
      <xdr:blipFill>
        <a:blip xmlns:r="http://schemas.openxmlformats.org/officeDocument/2006/relationships" r:embed="rId1">
          <a:alphaModFix amt="50000"/>
        </a:blip>
        <a:stretch>
          <a:fillRect/>
        </a:stretch>
      </xdr:blipFill>
      <xdr:spPr>
        <a:xfrm>
          <a:off x="5930897" y="279400"/>
          <a:ext cx="45034203" cy="272210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495299</xdr:colOff>
      <xdr:row>5</xdr:row>
      <xdr:rowOff>111760</xdr:rowOff>
    </xdr:from>
    <xdr:to>
      <xdr:col>59</xdr:col>
      <xdr:colOff>0</xdr:colOff>
      <xdr:row>129</xdr:row>
      <xdr:rowOff>153830</xdr:rowOff>
    </xdr:to>
    <xdr:pic>
      <xdr:nvPicPr>
        <xdr:cNvPr id="3" name="Picture 2">
          <a:extLst>
            <a:ext uri="{FF2B5EF4-FFF2-40B4-BE49-F238E27FC236}">
              <a16:creationId xmlns:a16="http://schemas.microsoft.com/office/drawing/2014/main" id="{E40974F0-2C92-D947-9869-428CF134B7F2}"/>
            </a:ext>
          </a:extLst>
        </xdr:cNvPr>
        <xdr:cNvPicPr>
          <a:picLocks noChangeAspect="1"/>
        </xdr:cNvPicPr>
      </xdr:nvPicPr>
      <xdr:blipFill rotWithShape="1">
        <a:blip xmlns:r="http://schemas.openxmlformats.org/officeDocument/2006/relationships" r:embed="rId1">
          <a:alphaModFix amt="50000"/>
          <a:extLst>
            <a:ext uri="{28A0092B-C50C-407E-A947-70E740481C1C}">
              <a14:useLocalDpi xmlns:a14="http://schemas.microsoft.com/office/drawing/2010/main" val="0"/>
            </a:ext>
          </a:extLst>
        </a:blip>
        <a:srcRect t="4617" b="3729"/>
        <a:stretch/>
      </xdr:blipFill>
      <xdr:spPr>
        <a:xfrm>
          <a:off x="2971799" y="1127760"/>
          <a:ext cx="45732701" cy="252388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787400</xdr:colOff>
      <xdr:row>6</xdr:row>
      <xdr:rowOff>38100</xdr:rowOff>
    </xdr:from>
    <xdr:to>
      <xdr:col>55</xdr:col>
      <xdr:colOff>120140</xdr:colOff>
      <xdr:row>129</xdr:row>
      <xdr:rowOff>12700</xdr:rowOff>
    </xdr:to>
    <xdr:pic>
      <xdr:nvPicPr>
        <xdr:cNvPr id="3" name="Picture 2">
          <a:extLst>
            <a:ext uri="{FF2B5EF4-FFF2-40B4-BE49-F238E27FC236}">
              <a16:creationId xmlns:a16="http://schemas.microsoft.com/office/drawing/2014/main" id="{EA3B5B63-B21E-F644-A139-15FB1112FF86}"/>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2438400" y="1257300"/>
          <a:ext cx="43084240" cy="249682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13</xdr:col>
      <xdr:colOff>457200</xdr:colOff>
      <xdr:row>11</xdr:row>
      <xdr:rowOff>161925</xdr:rowOff>
    </xdr:to>
    <xdr:pic>
      <xdr:nvPicPr>
        <xdr:cNvPr id="2" name="Picture 1">
          <a:extLst>
            <a:ext uri="{FF2B5EF4-FFF2-40B4-BE49-F238E27FC236}">
              <a16:creationId xmlns:a16="http://schemas.microsoft.com/office/drawing/2014/main" id="{CA215E50-BD80-4CAF-B6D2-AF141AA123E5}"/>
            </a:ext>
          </a:extLst>
        </xdr:cNvPr>
        <xdr:cNvPicPr>
          <a:picLocks noChangeAspect="1"/>
        </xdr:cNvPicPr>
      </xdr:nvPicPr>
      <xdr:blipFill>
        <a:blip xmlns:r="http://schemas.openxmlformats.org/officeDocument/2006/relationships" r:embed="rId1"/>
        <a:stretch>
          <a:fillRect/>
        </a:stretch>
      </xdr:blipFill>
      <xdr:spPr>
        <a:xfrm>
          <a:off x="4800600" y="1200150"/>
          <a:ext cx="4572000" cy="11620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514350</xdr:colOff>
      <xdr:row>0</xdr:row>
      <xdr:rowOff>161925</xdr:rowOff>
    </xdr:from>
    <xdr:to>
      <xdr:col>19</xdr:col>
      <xdr:colOff>647700</xdr:colOff>
      <xdr:row>13</xdr:row>
      <xdr:rowOff>190500</xdr:rowOff>
    </xdr:to>
    <xdr:pic>
      <xdr:nvPicPr>
        <xdr:cNvPr id="2" name="Picture 1">
          <a:extLst>
            <a:ext uri="{FF2B5EF4-FFF2-40B4-BE49-F238E27FC236}">
              <a16:creationId xmlns:a16="http://schemas.microsoft.com/office/drawing/2014/main" id="{6242453D-EBBA-41D4-B974-6453CF9B92E6}"/>
            </a:ext>
          </a:extLst>
        </xdr:cNvPr>
        <xdr:cNvPicPr>
          <a:picLocks noChangeAspect="1"/>
        </xdr:cNvPicPr>
      </xdr:nvPicPr>
      <xdr:blipFill>
        <a:blip xmlns:r="http://schemas.openxmlformats.org/officeDocument/2006/relationships" r:embed="rId1"/>
        <a:stretch>
          <a:fillRect/>
        </a:stretch>
      </xdr:blipFill>
      <xdr:spPr>
        <a:xfrm>
          <a:off x="3257550" y="161925"/>
          <a:ext cx="10420350" cy="2628900"/>
        </a:xfrm>
        <a:prstGeom prst="rect">
          <a:avLst/>
        </a:prstGeom>
      </xdr:spPr>
    </xdr:pic>
    <xdr:clientData/>
  </xdr:twoCellAnchor>
  <xdr:twoCellAnchor editAs="oneCell">
    <xdr:from>
      <xdr:col>4</xdr:col>
      <xdr:colOff>514350</xdr:colOff>
      <xdr:row>16</xdr:row>
      <xdr:rowOff>85725</xdr:rowOff>
    </xdr:from>
    <xdr:to>
      <xdr:col>14</xdr:col>
      <xdr:colOff>638175</xdr:colOff>
      <xdr:row>25</xdr:row>
      <xdr:rowOff>28575</xdr:rowOff>
    </xdr:to>
    <xdr:pic>
      <xdr:nvPicPr>
        <xdr:cNvPr id="3" name="Picture 2">
          <a:extLst>
            <a:ext uri="{FF2B5EF4-FFF2-40B4-BE49-F238E27FC236}">
              <a16:creationId xmlns:a16="http://schemas.microsoft.com/office/drawing/2014/main" id="{8A247A78-82A7-4E85-A31B-882FC0D8F03B}"/>
            </a:ext>
            <a:ext uri="{147F2762-F138-4A5C-976F-8EAC2B608ADB}">
              <a16:predDERef xmlns:a16="http://schemas.microsoft.com/office/drawing/2014/main" pred="{6242453D-EBBA-41D4-B974-6453CF9B92E6}"/>
            </a:ext>
          </a:extLst>
        </xdr:cNvPr>
        <xdr:cNvPicPr>
          <a:picLocks noChangeAspect="1"/>
        </xdr:cNvPicPr>
      </xdr:nvPicPr>
      <xdr:blipFill>
        <a:blip xmlns:r="http://schemas.openxmlformats.org/officeDocument/2006/relationships" r:embed="rId2"/>
        <a:stretch>
          <a:fillRect/>
        </a:stretch>
      </xdr:blipFill>
      <xdr:spPr>
        <a:xfrm>
          <a:off x="3257550" y="3286125"/>
          <a:ext cx="6981825" cy="1743075"/>
        </a:xfrm>
        <a:prstGeom prst="rect">
          <a:avLst/>
        </a:prstGeom>
      </xdr:spPr>
    </xdr:pic>
    <xdr:clientData/>
  </xdr:twoCellAnchor>
  <xdr:twoCellAnchor editAs="oneCell">
    <xdr:from>
      <xdr:col>5</xdr:col>
      <xdr:colOff>0</xdr:colOff>
      <xdr:row>26</xdr:row>
      <xdr:rowOff>0</xdr:rowOff>
    </xdr:from>
    <xdr:to>
      <xdr:col>14</xdr:col>
      <xdr:colOff>457200</xdr:colOff>
      <xdr:row>34</xdr:row>
      <xdr:rowOff>28575</xdr:rowOff>
    </xdr:to>
    <xdr:pic>
      <xdr:nvPicPr>
        <xdr:cNvPr id="4" name="Picture 3">
          <a:extLst>
            <a:ext uri="{FF2B5EF4-FFF2-40B4-BE49-F238E27FC236}">
              <a16:creationId xmlns:a16="http://schemas.microsoft.com/office/drawing/2014/main" id="{6E726A19-76B9-4A34-83E5-000B387F9B5A}"/>
            </a:ext>
            <a:ext uri="{147F2762-F138-4A5C-976F-8EAC2B608ADB}">
              <a16:predDERef xmlns:a16="http://schemas.microsoft.com/office/drawing/2014/main" pred="{8A247A78-82A7-4E85-A31B-882FC0D8F03B}"/>
            </a:ext>
          </a:extLst>
        </xdr:cNvPr>
        <xdr:cNvPicPr>
          <a:picLocks noChangeAspect="1"/>
        </xdr:cNvPicPr>
      </xdr:nvPicPr>
      <xdr:blipFill>
        <a:blip xmlns:r="http://schemas.openxmlformats.org/officeDocument/2006/relationships" r:embed="rId3"/>
        <a:stretch>
          <a:fillRect/>
        </a:stretch>
      </xdr:blipFill>
      <xdr:spPr>
        <a:xfrm>
          <a:off x="3429000" y="5200650"/>
          <a:ext cx="6629400" cy="1628775"/>
        </a:xfrm>
        <a:prstGeom prst="rect">
          <a:avLst/>
        </a:prstGeom>
      </xdr:spPr>
    </xdr:pic>
    <xdr:clientData/>
  </xdr:twoCellAnchor>
  <xdr:twoCellAnchor editAs="oneCell">
    <xdr:from>
      <xdr:col>5</xdr:col>
      <xdr:colOff>0</xdr:colOff>
      <xdr:row>45</xdr:row>
      <xdr:rowOff>0</xdr:rowOff>
    </xdr:from>
    <xdr:to>
      <xdr:col>14</xdr:col>
      <xdr:colOff>466725</xdr:colOff>
      <xdr:row>53</xdr:row>
      <xdr:rowOff>47625</xdr:rowOff>
    </xdr:to>
    <xdr:pic>
      <xdr:nvPicPr>
        <xdr:cNvPr id="6" name="Picture 5">
          <a:extLst>
            <a:ext uri="{FF2B5EF4-FFF2-40B4-BE49-F238E27FC236}">
              <a16:creationId xmlns:a16="http://schemas.microsoft.com/office/drawing/2014/main" id="{0EBAC260-1138-492B-8990-495A1A6AAC26}"/>
            </a:ext>
            <a:ext uri="{147F2762-F138-4A5C-976F-8EAC2B608ADB}">
              <a16:predDERef xmlns:a16="http://schemas.microsoft.com/office/drawing/2014/main" pred="{1DEDDD88-94ED-4D8B-8BB5-958E3F4E34D9}"/>
            </a:ext>
          </a:extLst>
        </xdr:cNvPr>
        <xdr:cNvPicPr>
          <a:picLocks noChangeAspect="1"/>
        </xdr:cNvPicPr>
      </xdr:nvPicPr>
      <xdr:blipFill>
        <a:blip xmlns:r="http://schemas.openxmlformats.org/officeDocument/2006/relationships" r:embed="rId4"/>
        <a:stretch>
          <a:fillRect/>
        </a:stretch>
      </xdr:blipFill>
      <xdr:spPr>
        <a:xfrm>
          <a:off x="3429000" y="9001125"/>
          <a:ext cx="6638925" cy="1647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64.xml.rels><?xml version="1.0" encoding="UTF-8" standalone="yes"?>
<Relationships xmlns="http://schemas.openxmlformats.org/package/2006/relationships"><Relationship Id="rId1" Type="http://schemas.openxmlformats.org/officeDocument/2006/relationships/hyperlink" Target="https://handbook-5-1.cochrane.org/chapter_7/7_7_3_5_mediansand_interquartile_ranges.htm" TargetMode="Externa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19343-155A-4811-BDBF-100BA596B32F}">
  <dimension ref="A1:A10"/>
  <sheetViews>
    <sheetView workbookViewId="0">
      <selection activeCell="A11" sqref="A11"/>
    </sheetView>
  </sheetViews>
  <sheetFormatPr defaultColWidth="8.875" defaultRowHeight="15.95"/>
  <sheetData>
    <row r="1" spans="1:1">
      <c r="A1" s="4" t="s">
        <v>0</v>
      </c>
    </row>
    <row r="2" spans="1:1">
      <c r="A2" s="3" t="s">
        <v>1</v>
      </c>
    </row>
    <row r="3" spans="1:1">
      <c r="A3" s="3" t="s">
        <v>2</v>
      </c>
    </row>
    <row r="4" spans="1:1">
      <c r="A4" s="3" t="s">
        <v>3</v>
      </c>
    </row>
    <row r="5" spans="1:1">
      <c r="A5" t="s">
        <v>4</v>
      </c>
    </row>
    <row r="7" spans="1:1">
      <c r="A7" s="3"/>
    </row>
    <row r="10" spans="1:1">
      <c r="A10"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649-E6CD-46FC-A58F-59BD676F605E}">
  <dimension ref="A1:F101"/>
  <sheetViews>
    <sheetView topLeftCell="A15" workbookViewId="0">
      <selection activeCell="F47" sqref="F47"/>
    </sheetView>
  </sheetViews>
  <sheetFormatPr defaultRowHeight="15.75"/>
  <sheetData>
    <row r="1" spans="1:4">
      <c r="A1" t="s">
        <v>71</v>
      </c>
    </row>
    <row r="2" spans="1:4">
      <c r="A2" t="s">
        <v>72</v>
      </c>
    </row>
    <row r="3" spans="1:4">
      <c r="A3" t="s">
        <v>73</v>
      </c>
    </row>
    <row r="4" spans="1:4">
      <c r="A4" t="s">
        <v>9</v>
      </c>
      <c r="B4" t="s">
        <v>10</v>
      </c>
    </row>
    <row r="5" spans="1:4">
      <c r="A5">
        <v>42.74</v>
      </c>
      <c r="B5">
        <v>13.94</v>
      </c>
      <c r="D5" t="s">
        <v>74</v>
      </c>
    </row>
    <row r="6" spans="1:4">
      <c r="A6" t="s">
        <v>19</v>
      </c>
      <c r="B6" t="s">
        <v>19</v>
      </c>
    </row>
    <row r="7" spans="1:4">
      <c r="A7">
        <v>34.94</v>
      </c>
      <c r="B7">
        <v>35.020000000000003</v>
      </c>
    </row>
    <row r="8" spans="1:4">
      <c r="A8" t="s">
        <v>12</v>
      </c>
      <c r="B8" t="s">
        <v>12</v>
      </c>
    </row>
    <row r="9" spans="1:4">
      <c r="A9">
        <v>87</v>
      </c>
      <c r="B9">
        <v>89</v>
      </c>
      <c r="C9" t="s">
        <v>75</v>
      </c>
    </row>
    <row r="11" spans="1:4">
      <c r="A11" t="s">
        <v>76</v>
      </c>
    </row>
    <row r="12" spans="1:4">
      <c r="A12" t="s">
        <v>9</v>
      </c>
      <c r="B12" t="s">
        <v>10</v>
      </c>
    </row>
    <row r="13" spans="1:4">
      <c r="A13">
        <v>79.33</v>
      </c>
      <c r="B13">
        <v>39.36</v>
      </c>
    </row>
    <row r="14" spans="1:4">
      <c r="A14" t="s">
        <v>19</v>
      </c>
      <c r="B14" t="s">
        <v>19</v>
      </c>
    </row>
    <row r="15" spans="1:4">
      <c r="A15">
        <v>41.31</v>
      </c>
      <c r="B15">
        <v>39.270000000000003</v>
      </c>
    </row>
    <row r="16" spans="1:4">
      <c r="A16" t="s">
        <v>12</v>
      </c>
      <c r="B16" t="s">
        <v>12</v>
      </c>
    </row>
    <row r="17" spans="1:4">
      <c r="A17">
        <v>78</v>
      </c>
      <c r="B17">
        <v>56</v>
      </c>
      <c r="C17" t="s">
        <v>77</v>
      </c>
    </row>
    <row r="19" spans="1:4">
      <c r="A19" t="s">
        <v>78</v>
      </c>
    </row>
    <row r="20" spans="1:4">
      <c r="A20" t="s">
        <v>76</v>
      </c>
    </row>
    <row r="21" spans="1:4">
      <c r="A21" t="s">
        <v>9</v>
      </c>
      <c r="B21" t="s">
        <v>10</v>
      </c>
    </row>
    <row r="22" spans="1:4">
      <c r="A22">
        <v>12.98</v>
      </c>
      <c r="B22">
        <v>9.5299999999999994</v>
      </c>
      <c r="D22" t="s">
        <v>79</v>
      </c>
    </row>
    <row r="23" spans="1:4">
      <c r="A23" t="s">
        <v>19</v>
      </c>
      <c r="B23" t="s">
        <v>19</v>
      </c>
    </row>
    <row r="24" spans="1:4">
      <c r="A24">
        <v>12.08</v>
      </c>
      <c r="B24">
        <v>11.05</v>
      </c>
    </row>
    <row r="25" spans="1:4">
      <c r="A25" t="s">
        <v>12</v>
      </c>
      <c r="B25" t="s">
        <v>12</v>
      </c>
    </row>
    <row r="26" spans="1:4">
      <c r="A26">
        <v>78</v>
      </c>
      <c r="B26">
        <v>56</v>
      </c>
      <c r="C26" t="s">
        <v>77</v>
      </c>
    </row>
    <row r="28" spans="1:4">
      <c r="A28" t="s">
        <v>80</v>
      </c>
      <c r="D28" t="s">
        <v>81</v>
      </c>
    </row>
    <row r="29" spans="1:4">
      <c r="A29" t="s">
        <v>76</v>
      </c>
    </row>
    <row r="30" spans="1:4">
      <c r="A30" t="s">
        <v>9</v>
      </c>
      <c r="B30" t="s">
        <v>10</v>
      </c>
    </row>
    <row r="31" spans="1:4">
      <c r="A31">
        <v>43.5</v>
      </c>
      <c r="B31">
        <v>43.62</v>
      </c>
    </row>
    <row r="32" spans="1:4">
      <c r="A32" t="s">
        <v>19</v>
      </c>
      <c r="B32" t="s">
        <v>19</v>
      </c>
    </row>
    <row r="33" spans="1:6">
      <c r="A33">
        <v>10.93</v>
      </c>
      <c r="B33">
        <v>10.37</v>
      </c>
    </row>
    <row r="34" spans="1:6">
      <c r="A34" t="s">
        <v>12</v>
      </c>
      <c r="B34" t="s">
        <v>12</v>
      </c>
    </row>
    <row r="35" spans="1:6">
      <c r="A35">
        <v>78</v>
      </c>
      <c r="B35">
        <v>56</v>
      </c>
      <c r="C35" t="s">
        <v>77</v>
      </c>
    </row>
    <row r="37" spans="1:6">
      <c r="A37" t="s">
        <v>82</v>
      </c>
      <c r="D37" t="s">
        <v>81</v>
      </c>
    </row>
    <row r="38" spans="1:6">
      <c r="A38" t="s">
        <v>76</v>
      </c>
    </row>
    <row r="39" spans="1:6">
      <c r="A39" t="s">
        <v>9</v>
      </c>
      <c r="B39" t="s">
        <v>10</v>
      </c>
    </row>
    <row r="40" spans="1:6">
      <c r="A40">
        <v>38.47</v>
      </c>
      <c r="B40">
        <v>44.5</v>
      </c>
    </row>
    <row r="41" spans="1:6">
      <c r="A41" t="s">
        <v>19</v>
      </c>
      <c r="B41" t="s">
        <v>19</v>
      </c>
    </row>
    <row r="42" spans="1:6">
      <c r="A42">
        <v>8.83</v>
      </c>
      <c r="B42">
        <v>11.96</v>
      </c>
    </row>
    <row r="43" spans="1:6">
      <c r="A43" t="s">
        <v>12</v>
      </c>
      <c r="B43" t="s">
        <v>12</v>
      </c>
    </row>
    <row r="44" spans="1:6">
      <c r="A44">
        <v>78</v>
      </c>
      <c r="B44">
        <v>56</v>
      </c>
      <c r="C44" t="s">
        <v>77</v>
      </c>
    </row>
    <row r="46" spans="1:6">
      <c r="A46" t="s">
        <v>83</v>
      </c>
      <c r="F46" t="s">
        <v>74</v>
      </c>
    </row>
    <row r="47" spans="1:6">
      <c r="A47" t="s">
        <v>76</v>
      </c>
    </row>
    <row r="48" spans="1:6">
      <c r="A48" t="s">
        <v>9</v>
      </c>
      <c r="B48" t="s">
        <v>10</v>
      </c>
    </row>
    <row r="49" spans="1:3">
      <c r="A49">
        <v>68.06</v>
      </c>
      <c r="B49">
        <v>68.19</v>
      </c>
    </row>
    <row r="50" spans="1:3">
      <c r="A50" t="s">
        <v>19</v>
      </c>
      <c r="B50" t="s">
        <v>19</v>
      </c>
    </row>
    <row r="51" spans="1:3">
      <c r="A51">
        <v>7.22</v>
      </c>
      <c r="B51">
        <v>7.16</v>
      </c>
    </row>
    <row r="52" spans="1:3">
      <c r="A52" t="s">
        <v>12</v>
      </c>
      <c r="B52" t="s">
        <v>12</v>
      </c>
    </row>
    <row r="53" spans="1:3">
      <c r="A53">
        <v>78</v>
      </c>
      <c r="B53">
        <v>56</v>
      </c>
      <c r="C53" t="s">
        <v>77</v>
      </c>
    </row>
    <row r="73" spans="1:6">
      <c r="A73" t="s">
        <v>84</v>
      </c>
    </row>
    <row r="75" spans="1:6">
      <c r="A75" t="s">
        <v>28</v>
      </c>
    </row>
    <row r="76" spans="1:6">
      <c r="A76" s="8" t="s">
        <v>85</v>
      </c>
    </row>
    <row r="78" spans="1:6">
      <c r="A78" t="s">
        <v>86</v>
      </c>
      <c r="B78" t="s">
        <v>87</v>
      </c>
    </row>
    <row r="79" spans="1:6">
      <c r="A79" t="s">
        <v>88</v>
      </c>
      <c r="B79" t="s">
        <v>89</v>
      </c>
      <c r="C79" t="s">
        <v>90</v>
      </c>
      <c r="D79" t="s">
        <v>91</v>
      </c>
      <c r="E79" t="s">
        <v>92</v>
      </c>
      <c r="F79" t="s">
        <v>49</v>
      </c>
    </row>
    <row r="80" spans="1:6">
      <c r="A80" t="s">
        <v>37</v>
      </c>
      <c r="C80" s="17">
        <v>14</v>
      </c>
      <c r="D80" s="17">
        <v>12</v>
      </c>
      <c r="E80" s="17">
        <v>12</v>
      </c>
      <c r="F80" s="17">
        <v>89</v>
      </c>
    </row>
    <row r="81" spans="1:6">
      <c r="A81" t="s">
        <v>38</v>
      </c>
      <c r="C81" s="17">
        <v>14</v>
      </c>
      <c r="D81" s="17">
        <v>10</v>
      </c>
      <c r="E81" s="17">
        <v>9</v>
      </c>
      <c r="F81" s="17">
        <v>89</v>
      </c>
    </row>
    <row r="83" spans="1:6">
      <c r="A83" t="s">
        <v>86</v>
      </c>
      <c r="B83" t="s">
        <v>93</v>
      </c>
    </row>
    <row r="84" spans="1:6">
      <c r="A84" t="s">
        <v>88</v>
      </c>
      <c r="B84" t="s">
        <v>89</v>
      </c>
      <c r="C84" t="s">
        <v>90</v>
      </c>
      <c r="D84" t="s">
        <v>91</v>
      </c>
      <c r="E84" t="s">
        <v>92</v>
      </c>
      <c r="F84" t="s">
        <v>49</v>
      </c>
    </row>
    <row r="85" spans="1:6">
      <c r="A85" t="s">
        <v>37</v>
      </c>
      <c r="C85" s="17">
        <v>5</v>
      </c>
      <c r="D85" s="17">
        <v>5</v>
      </c>
      <c r="E85" s="17">
        <v>5</v>
      </c>
      <c r="F85" s="17">
        <v>89</v>
      </c>
    </row>
    <row r="86" spans="1:6">
      <c r="A86" t="s">
        <v>38</v>
      </c>
      <c r="C86" s="17">
        <v>6</v>
      </c>
      <c r="D86" s="17">
        <v>5</v>
      </c>
      <c r="E86" s="17">
        <v>3</v>
      </c>
      <c r="F86" s="17">
        <v>89</v>
      </c>
    </row>
    <row r="88" spans="1:6">
      <c r="A88" t="s">
        <v>86</v>
      </c>
      <c r="B88" t="s">
        <v>94</v>
      </c>
    </row>
    <row r="89" spans="1:6">
      <c r="A89" t="s">
        <v>88</v>
      </c>
      <c r="B89" t="s">
        <v>6</v>
      </c>
      <c r="C89" t="s">
        <v>90</v>
      </c>
      <c r="D89" t="s">
        <v>91</v>
      </c>
      <c r="E89" t="s">
        <v>92</v>
      </c>
      <c r="F89" t="s">
        <v>49</v>
      </c>
    </row>
    <row r="90" spans="1:6">
      <c r="A90" t="s">
        <v>37</v>
      </c>
      <c r="C90" s="17">
        <v>9</v>
      </c>
      <c r="D90" s="17">
        <v>59</v>
      </c>
      <c r="E90" s="17">
        <v>71</v>
      </c>
      <c r="F90" s="17">
        <v>89</v>
      </c>
    </row>
    <row r="91" spans="1:6">
      <c r="A91" t="s">
        <v>38</v>
      </c>
      <c r="C91" s="17">
        <v>5</v>
      </c>
      <c r="D91" s="17">
        <v>25</v>
      </c>
      <c r="E91" s="17">
        <v>36</v>
      </c>
      <c r="F91" s="17">
        <v>89</v>
      </c>
    </row>
    <row r="93" spans="1:6">
      <c r="A93" t="s">
        <v>86</v>
      </c>
      <c r="B93" t="s">
        <v>95</v>
      </c>
    </row>
    <row r="94" spans="1:6">
      <c r="A94" t="s">
        <v>88</v>
      </c>
      <c r="B94" t="s">
        <v>6</v>
      </c>
      <c r="C94" t="s">
        <v>90</v>
      </c>
      <c r="D94" t="s">
        <v>91</v>
      </c>
      <c r="E94" t="s">
        <v>92</v>
      </c>
      <c r="F94" t="s">
        <v>49</v>
      </c>
    </row>
    <row r="95" spans="1:6">
      <c r="A95" t="s">
        <v>37</v>
      </c>
      <c r="C95" s="17">
        <v>31</v>
      </c>
      <c r="D95" s="17">
        <v>68</v>
      </c>
      <c r="E95" s="17">
        <v>78</v>
      </c>
      <c r="F95" s="17">
        <v>89</v>
      </c>
    </row>
    <row r="96" spans="1:6">
      <c r="A96" t="s">
        <v>38</v>
      </c>
      <c r="C96" s="17">
        <v>19</v>
      </c>
      <c r="D96" s="17">
        <v>46</v>
      </c>
      <c r="E96" s="17">
        <v>56</v>
      </c>
      <c r="F96" s="17">
        <v>89</v>
      </c>
    </row>
    <row r="98" spans="1:6">
      <c r="A98" t="s">
        <v>86</v>
      </c>
      <c r="B98" t="s">
        <v>96</v>
      </c>
    </row>
    <row r="99" spans="1:6">
      <c r="A99" t="s">
        <v>88</v>
      </c>
      <c r="B99" t="s">
        <v>6</v>
      </c>
      <c r="C99" t="s">
        <v>90</v>
      </c>
      <c r="D99" t="s">
        <v>91</v>
      </c>
      <c r="E99" t="s">
        <v>92</v>
      </c>
      <c r="F99" t="s">
        <v>49</v>
      </c>
    </row>
    <row r="100" spans="1:6">
      <c r="A100" t="s">
        <v>37</v>
      </c>
      <c r="C100" s="17">
        <v>39</v>
      </c>
      <c r="D100" s="17">
        <v>14</v>
      </c>
      <c r="E100" s="17">
        <v>6</v>
      </c>
      <c r="F100" s="17">
        <v>89</v>
      </c>
    </row>
    <row r="101" spans="1:6">
      <c r="A101" t="s">
        <v>38</v>
      </c>
      <c r="C101" s="17">
        <v>46</v>
      </c>
      <c r="D101" s="17">
        <v>25</v>
      </c>
      <c r="E101" s="17">
        <v>23</v>
      </c>
      <c r="F101" s="17">
        <v>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91C0-D2BF-4C0B-A50B-3CDFBBD27F82}">
  <dimension ref="A1:B14"/>
  <sheetViews>
    <sheetView workbookViewId="0">
      <selection activeCell="A14" sqref="A14"/>
    </sheetView>
  </sheetViews>
  <sheetFormatPr defaultRowHeight="15.75"/>
  <sheetData>
    <row r="1" spans="1:2">
      <c r="A1" t="s">
        <v>97</v>
      </c>
    </row>
    <row r="2" spans="1:2">
      <c r="A2" t="s">
        <v>98</v>
      </c>
    </row>
    <row r="4" spans="1:2">
      <c r="A4" t="s">
        <v>99</v>
      </c>
    </row>
    <row r="5" spans="1:2">
      <c r="A5" t="s">
        <v>100</v>
      </c>
      <c r="B5" t="s">
        <v>10</v>
      </c>
    </row>
    <row r="6" spans="1:2">
      <c r="A6" t="s">
        <v>101</v>
      </c>
      <c r="B6" t="s">
        <v>101</v>
      </c>
    </row>
    <row r="7" spans="1:2">
      <c r="A7">
        <f>A9*0.056</f>
        <v>5.04</v>
      </c>
      <c r="B7">
        <f>B9*0.177</f>
        <v>12.920999999999999</v>
      </c>
    </row>
    <row r="8" spans="1:2">
      <c r="A8" t="s">
        <v>12</v>
      </c>
      <c r="B8" t="s">
        <v>12</v>
      </c>
    </row>
    <row r="9" spans="1:2">
      <c r="A9">
        <v>90</v>
      </c>
      <c r="B9">
        <v>73</v>
      </c>
    </row>
    <row r="12" spans="1:2">
      <c r="A12" t="s">
        <v>102</v>
      </c>
    </row>
    <row r="13" spans="1:2">
      <c r="A13" t="s">
        <v>103</v>
      </c>
    </row>
    <row r="14" spans="1:2">
      <c r="A14" t="s">
        <v>104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5F273-5B43-447C-8392-159B2EE7B356}">
  <dimension ref="A1:A2"/>
  <sheetViews>
    <sheetView workbookViewId="0">
      <selection activeCell="A6" sqref="A6"/>
    </sheetView>
  </sheetViews>
  <sheetFormatPr defaultRowHeight="15.75"/>
  <sheetData>
    <row r="1" spans="1:1">
      <c r="A1" t="s">
        <v>105</v>
      </c>
    </row>
    <row r="2" spans="1:1">
      <c r="A2" t="s">
        <v>106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FF55B-51AF-48FF-9492-0D31331C2690}">
  <dimension ref="A1:D58"/>
  <sheetViews>
    <sheetView topLeftCell="A37" workbookViewId="0">
      <selection activeCell="E57" sqref="E57"/>
    </sheetView>
  </sheetViews>
  <sheetFormatPr defaultRowHeight="15.75"/>
  <sheetData>
    <row r="1" spans="1:4">
      <c r="A1" t="s">
        <v>107</v>
      </c>
    </row>
    <row r="2" spans="1:4">
      <c r="A2" t="s">
        <v>6</v>
      </c>
    </row>
    <row r="3" spans="1:4">
      <c r="A3" t="s">
        <v>108</v>
      </c>
    </row>
    <row r="4" spans="1:4">
      <c r="A4" t="s">
        <v>109</v>
      </c>
    </row>
    <row r="5" spans="1:4">
      <c r="A5" t="s">
        <v>9</v>
      </c>
      <c r="B5" t="s">
        <v>10</v>
      </c>
      <c r="D5" t="s">
        <v>74</v>
      </c>
    </row>
    <row r="6" spans="1:4">
      <c r="A6" t="s">
        <v>18</v>
      </c>
      <c r="B6" t="s">
        <v>18</v>
      </c>
    </row>
    <row r="7" spans="1:4">
      <c r="A7">
        <v>19.399999999999999</v>
      </c>
      <c r="B7">
        <v>10.3</v>
      </c>
    </row>
    <row r="8" spans="1:4">
      <c r="A8" t="s">
        <v>19</v>
      </c>
      <c r="B8" t="s">
        <v>19</v>
      </c>
    </row>
    <row r="9" spans="1:4">
      <c r="A9">
        <v>25</v>
      </c>
      <c r="B9">
        <v>20</v>
      </c>
    </row>
    <row r="10" spans="1:4">
      <c r="A10" t="s">
        <v>12</v>
      </c>
      <c r="B10" t="s">
        <v>12</v>
      </c>
    </row>
    <row r="11" spans="1:4">
      <c r="A11">
        <v>108</v>
      </c>
      <c r="B11">
        <v>83</v>
      </c>
    </row>
    <row r="12" spans="1:4">
      <c r="A12" t="s">
        <v>108</v>
      </c>
    </row>
    <row r="13" spans="1:4">
      <c r="A13" t="s">
        <v>110</v>
      </c>
    </row>
    <row r="14" spans="1:4">
      <c r="A14" t="s">
        <v>9</v>
      </c>
      <c r="B14" t="s">
        <v>10</v>
      </c>
      <c r="D14" t="s">
        <v>74</v>
      </c>
    </row>
    <row r="15" spans="1:4">
      <c r="A15" t="s">
        <v>18</v>
      </c>
      <c r="B15" t="s">
        <v>18</v>
      </c>
    </row>
    <row r="16" spans="1:4">
      <c r="A16">
        <v>25.4</v>
      </c>
      <c r="B16">
        <v>21.7</v>
      </c>
    </row>
    <row r="17" spans="1:4">
      <c r="A17" t="s">
        <v>19</v>
      </c>
      <c r="B17" t="s">
        <v>19</v>
      </c>
    </row>
    <row r="18" spans="1:4">
      <c r="A18">
        <v>26</v>
      </c>
      <c r="B18">
        <v>26.4</v>
      </c>
    </row>
    <row r="19" spans="1:4">
      <c r="A19" t="s">
        <v>12</v>
      </c>
      <c r="B19" t="s">
        <v>12</v>
      </c>
    </row>
    <row r="20" spans="1:4">
      <c r="A20">
        <v>108</v>
      </c>
      <c r="B20">
        <v>83</v>
      </c>
    </row>
    <row r="22" spans="1:4">
      <c r="A22" t="s">
        <v>111</v>
      </c>
    </row>
    <row r="23" spans="1:4">
      <c r="A23" t="s">
        <v>109</v>
      </c>
    </row>
    <row r="24" spans="1:4">
      <c r="A24" t="s">
        <v>9</v>
      </c>
      <c r="B24" t="s">
        <v>10</v>
      </c>
      <c r="D24" t="s">
        <v>79</v>
      </c>
    </row>
    <row r="25" spans="1:4">
      <c r="A25" t="s">
        <v>18</v>
      </c>
      <c r="B25" t="s">
        <v>18</v>
      </c>
    </row>
    <row r="26" spans="1:4">
      <c r="A26">
        <v>14.6</v>
      </c>
      <c r="B26">
        <v>17.8</v>
      </c>
    </row>
    <row r="27" spans="1:4">
      <c r="A27" t="s">
        <v>19</v>
      </c>
      <c r="B27" t="s">
        <v>19</v>
      </c>
    </row>
    <row r="28" spans="1:4">
      <c r="A28">
        <v>12</v>
      </c>
      <c r="B28">
        <v>11.1</v>
      </c>
    </row>
    <row r="29" spans="1:4">
      <c r="A29" t="s">
        <v>12</v>
      </c>
      <c r="B29" t="s">
        <v>12</v>
      </c>
    </row>
    <row r="30" spans="1:4">
      <c r="A30">
        <v>108</v>
      </c>
      <c r="B30">
        <v>85</v>
      </c>
    </row>
    <row r="31" spans="1:4">
      <c r="A31" t="s">
        <v>111</v>
      </c>
    </row>
    <row r="32" spans="1:4">
      <c r="A32" t="s">
        <v>110</v>
      </c>
    </row>
    <row r="33" spans="1:4">
      <c r="A33" t="s">
        <v>9</v>
      </c>
      <c r="B33" t="s">
        <v>10</v>
      </c>
      <c r="D33" t="s">
        <v>79</v>
      </c>
    </row>
    <row r="34" spans="1:4">
      <c r="A34" t="s">
        <v>18</v>
      </c>
      <c r="B34" t="s">
        <v>18</v>
      </c>
    </row>
    <row r="35" spans="1:4">
      <c r="A35">
        <v>11.3</v>
      </c>
      <c r="B35">
        <v>15.3</v>
      </c>
    </row>
    <row r="36" spans="1:4">
      <c r="A36" t="s">
        <v>19</v>
      </c>
      <c r="B36" t="s">
        <v>19</v>
      </c>
    </row>
    <row r="37" spans="1:4">
      <c r="A37">
        <v>11.4</v>
      </c>
      <c r="B37">
        <v>12.5</v>
      </c>
    </row>
    <row r="38" spans="1:4">
      <c r="A38" t="s">
        <v>12</v>
      </c>
      <c r="B38" t="s">
        <v>12</v>
      </c>
    </row>
    <row r="39" spans="1:4">
      <c r="A39">
        <v>108</v>
      </c>
      <c r="B39">
        <v>85</v>
      </c>
    </row>
    <row r="41" spans="1:4">
      <c r="A41" t="s">
        <v>112</v>
      </c>
    </row>
    <row r="42" spans="1:4">
      <c r="A42" t="s">
        <v>109</v>
      </c>
    </row>
    <row r="43" spans="1:4">
      <c r="A43" t="s">
        <v>9</v>
      </c>
      <c r="B43" t="s">
        <v>10</v>
      </c>
      <c r="D43" t="s">
        <v>74</v>
      </c>
    </row>
    <row r="44" spans="1:4">
      <c r="A44" t="s">
        <v>18</v>
      </c>
      <c r="B44" t="s">
        <v>18</v>
      </c>
    </row>
    <row r="45" spans="1:4">
      <c r="A45">
        <v>1.8</v>
      </c>
      <c r="B45">
        <v>2</v>
      </c>
    </row>
    <row r="46" spans="1:4">
      <c r="A46" t="s">
        <v>19</v>
      </c>
      <c r="B46" t="s">
        <v>19</v>
      </c>
    </row>
    <row r="47" spans="1:4">
      <c r="A47">
        <v>5</v>
      </c>
      <c r="B47">
        <v>5.7</v>
      </c>
    </row>
    <row r="48" spans="1:4">
      <c r="A48" t="s">
        <v>12</v>
      </c>
      <c r="B48" t="s">
        <v>12</v>
      </c>
    </row>
    <row r="49" spans="1:4">
      <c r="A49">
        <v>105</v>
      </c>
      <c r="B49">
        <v>82</v>
      </c>
    </row>
    <row r="50" spans="1:4">
      <c r="A50" t="s">
        <v>112</v>
      </c>
    </row>
    <row r="51" spans="1:4">
      <c r="A51" t="s">
        <v>110</v>
      </c>
    </row>
    <row r="52" spans="1:4">
      <c r="A52" t="s">
        <v>9</v>
      </c>
      <c r="B52" t="s">
        <v>10</v>
      </c>
      <c r="D52" t="s">
        <v>74</v>
      </c>
    </row>
    <row r="53" spans="1:4">
      <c r="A53" t="s">
        <v>18</v>
      </c>
      <c r="B53" t="s">
        <v>18</v>
      </c>
    </row>
    <row r="54" spans="1:4">
      <c r="A54">
        <v>3.1</v>
      </c>
      <c r="B54">
        <v>2.5</v>
      </c>
    </row>
    <row r="55" spans="1:4">
      <c r="A55" t="s">
        <v>19</v>
      </c>
      <c r="B55" t="s">
        <v>19</v>
      </c>
    </row>
    <row r="56" spans="1:4">
      <c r="A56">
        <v>7.4</v>
      </c>
      <c r="B56">
        <v>6.3</v>
      </c>
    </row>
    <row r="57" spans="1:4">
      <c r="A57" t="s">
        <v>12</v>
      </c>
      <c r="B57" t="s">
        <v>12</v>
      </c>
    </row>
    <row r="58" spans="1:4">
      <c r="A58">
        <v>105</v>
      </c>
      <c r="B58">
        <v>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0364C-7D1B-46B8-A536-8D5506F3D818}">
  <dimension ref="A1:D52"/>
  <sheetViews>
    <sheetView topLeftCell="A35" workbookViewId="0">
      <selection activeCell="B53" sqref="B53"/>
    </sheetView>
  </sheetViews>
  <sheetFormatPr defaultRowHeight="15.75"/>
  <sheetData>
    <row r="1" spans="1:4">
      <c r="A1" t="s">
        <v>113</v>
      </c>
    </row>
    <row r="3" spans="1:4">
      <c r="A3" t="s">
        <v>114</v>
      </c>
    </row>
    <row r="4" spans="1:4">
      <c r="A4" t="s">
        <v>115</v>
      </c>
    </row>
    <row r="5" spans="1:4">
      <c r="A5" t="s">
        <v>9</v>
      </c>
      <c r="B5" t="s">
        <v>10</v>
      </c>
      <c r="D5" t="s">
        <v>74</v>
      </c>
    </row>
    <row r="6" spans="1:4">
      <c r="A6" t="s">
        <v>18</v>
      </c>
      <c r="B6" t="s">
        <v>18</v>
      </c>
    </row>
    <row r="7" spans="1:4">
      <c r="A7">
        <v>65.33</v>
      </c>
      <c r="B7">
        <v>62</v>
      </c>
    </row>
    <row r="8" spans="1:4">
      <c r="A8" t="s">
        <v>19</v>
      </c>
      <c r="B8" t="s">
        <v>19</v>
      </c>
    </row>
    <row r="9" spans="1:4">
      <c r="A9">
        <v>34.68</v>
      </c>
      <c r="B9">
        <v>35.19</v>
      </c>
    </row>
    <row r="10" spans="1:4">
      <c r="A10" t="s">
        <v>12</v>
      </c>
      <c r="B10" t="s">
        <v>12</v>
      </c>
    </row>
    <row r="11" spans="1:4">
      <c r="A11">
        <v>30</v>
      </c>
      <c r="B11">
        <v>30</v>
      </c>
    </row>
    <row r="13" spans="1:4">
      <c r="A13">
        <f>13/0.433</f>
        <v>30.023094688221708</v>
      </c>
      <c r="B13">
        <f>14/0.467</f>
        <v>29.978586723768736</v>
      </c>
      <c r="C13" t="s">
        <v>116</v>
      </c>
    </row>
    <row r="15" spans="1:4">
      <c r="A15" t="s">
        <v>117</v>
      </c>
    </row>
    <row r="16" spans="1:4">
      <c r="A16" t="s">
        <v>118</v>
      </c>
      <c r="B16" t="s">
        <v>88</v>
      </c>
      <c r="D16" t="s">
        <v>74</v>
      </c>
    </row>
    <row r="17" spans="1:4">
      <c r="A17" t="s">
        <v>115</v>
      </c>
    </row>
    <row r="18" spans="1:4">
      <c r="A18" t="s">
        <v>9</v>
      </c>
      <c r="B18" t="s">
        <v>10</v>
      </c>
    </row>
    <row r="19" spans="1:4">
      <c r="A19" t="s">
        <v>119</v>
      </c>
      <c r="B19" t="s">
        <v>119</v>
      </c>
    </row>
    <row r="20" spans="1:4">
      <c r="A20">
        <v>13</v>
      </c>
      <c r="B20">
        <v>4</v>
      </c>
    </row>
    <row r="21" spans="1:4">
      <c r="A21" t="s">
        <v>12</v>
      </c>
      <c r="B21" t="s">
        <v>12</v>
      </c>
    </row>
    <row r="22" spans="1:4">
      <c r="A22">
        <f>A20/0.433</f>
        <v>30.023094688221708</v>
      </c>
      <c r="B22">
        <f>B20/0.167</f>
        <v>23.95209580838323</v>
      </c>
    </row>
    <row r="24" spans="1:4">
      <c r="A24" t="s">
        <v>117</v>
      </c>
      <c r="D24" t="s">
        <v>74</v>
      </c>
    </row>
    <row r="25" spans="1:4">
      <c r="A25" t="s">
        <v>120</v>
      </c>
      <c r="B25" t="s">
        <v>121</v>
      </c>
    </row>
    <row r="26" spans="1:4">
      <c r="A26" t="s">
        <v>115</v>
      </c>
    </row>
    <row r="27" spans="1:4">
      <c r="A27" t="s">
        <v>9</v>
      </c>
      <c r="B27" t="s">
        <v>10</v>
      </c>
    </row>
    <row r="28" spans="1:4">
      <c r="A28" t="s">
        <v>18</v>
      </c>
      <c r="B28" t="s">
        <v>18</v>
      </c>
    </row>
    <row r="29" spans="1:4">
      <c r="A29">
        <v>561.77</v>
      </c>
      <c r="B29">
        <v>529.83000000000004</v>
      </c>
    </row>
    <row r="30" spans="1:4">
      <c r="A30" t="s">
        <v>19</v>
      </c>
      <c r="B30" t="s">
        <v>19</v>
      </c>
    </row>
    <row r="31" spans="1:4">
      <c r="A31">
        <v>470.15</v>
      </c>
      <c r="B31">
        <v>616.69000000000005</v>
      </c>
    </row>
    <row r="32" spans="1:4">
      <c r="A32" t="s">
        <v>12</v>
      </c>
      <c r="B32" t="s">
        <v>12</v>
      </c>
    </row>
    <row r="33" spans="1:2">
      <c r="A33">
        <v>30</v>
      </c>
      <c r="B33">
        <v>30</v>
      </c>
    </row>
    <row r="35" spans="1:2">
      <c r="A35" t="s">
        <v>122</v>
      </c>
    </row>
    <row r="36" spans="1:2">
      <c r="A36" t="s">
        <v>123</v>
      </c>
    </row>
    <row r="37" spans="1:2">
      <c r="A37" t="s">
        <v>115</v>
      </c>
    </row>
    <row r="38" spans="1:2">
      <c r="A38" t="s">
        <v>9</v>
      </c>
      <c r="B38" t="s">
        <v>10</v>
      </c>
    </row>
    <row r="39" spans="1:2">
      <c r="A39" t="s">
        <v>18</v>
      </c>
      <c r="B39" t="s">
        <v>18</v>
      </c>
    </row>
    <row r="40" spans="1:2">
      <c r="A40">
        <v>37.85</v>
      </c>
      <c r="B40">
        <v>35.6</v>
      </c>
    </row>
    <row r="41" spans="1:2">
      <c r="A41" t="s">
        <v>19</v>
      </c>
      <c r="B41" t="s">
        <v>19</v>
      </c>
    </row>
    <row r="42" spans="1:2">
      <c r="A42">
        <v>8.44</v>
      </c>
      <c r="B42">
        <v>10.02</v>
      </c>
    </row>
    <row r="43" spans="1:2">
      <c r="A43" t="s">
        <v>12</v>
      </c>
      <c r="B43" t="s">
        <v>12</v>
      </c>
    </row>
    <row r="44" spans="1:2">
      <c r="A44">
        <v>30</v>
      </c>
      <c r="B44">
        <v>30</v>
      </c>
    </row>
    <row r="46" spans="1:2">
      <c r="A46" t="s">
        <v>124</v>
      </c>
    </row>
    <row r="47" spans="1:2">
      <c r="A47" t="s">
        <v>125</v>
      </c>
    </row>
    <row r="48" spans="1:2">
      <c r="A48" t="s">
        <v>9</v>
      </c>
      <c r="B48" t="s">
        <v>10</v>
      </c>
    </row>
    <row r="49" spans="1:2">
      <c r="A49" t="s">
        <v>119</v>
      </c>
      <c r="B49" t="s">
        <v>119</v>
      </c>
    </row>
    <row r="50" spans="1:2">
      <c r="A50">
        <v>15</v>
      </c>
      <c r="B50">
        <v>13</v>
      </c>
    </row>
    <row r="51" spans="1:2">
      <c r="A51" t="s">
        <v>12</v>
      </c>
      <c r="B51" t="s">
        <v>12</v>
      </c>
    </row>
    <row r="52" spans="1:2">
      <c r="A52">
        <f>15/0.5</f>
        <v>30</v>
      </c>
      <c r="B52">
        <f>B50/0.542</f>
        <v>23.985239852398522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4C25-FBAB-4D4D-8A1A-A02AA6D838E1}">
  <dimension ref="A1:D13"/>
  <sheetViews>
    <sheetView workbookViewId="0">
      <selection activeCell="A14" sqref="A14"/>
    </sheetView>
  </sheetViews>
  <sheetFormatPr defaultColWidth="8.875" defaultRowHeight="15.95"/>
  <sheetData>
    <row r="1" spans="1:4">
      <c r="A1" t="s">
        <v>126</v>
      </c>
    </row>
    <row r="2" spans="1:4">
      <c r="A2" t="s">
        <v>127</v>
      </c>
    </row>
    <row r="4" spans="1:4">
      <c r="A4" t="s">
        <v>128</v>
      </c>
    </row>
    <row r="5" spans="1:4">
      <c r="A5" t="s">
        <v>129</v>
      </c>
    </row>
    <row r="6" spans="1:4">
      <c r="A6" t="s">
        <v>130</v>
      </c>
      <c r="B6" t="s">
        <v>10</v>
      </c>
    </row>
    <row r="7" spans="1:4">
      <c r="A7">
        <v>139</v>
      </c>
      <c r="B7">
        <v>158</v>
      </c>
    </row>
    <row r="8" spans="1:4">
      <c r="A8" t="s">
        <v>19</v>
      </c>
      <c r="B8" t="s">
        <v>19</v>
      </c>
    </row>
    <row r="9" spans="1:4">
      <c r="A9">
        <v>262</v>
      </c>
      <c r="B9">
        <v>254</v>
      </c>
    </row>
    <row r="10" spans="1:4">
      <c r="A10" t="s">
        <v>12</v>
      </c>
      <c r="B10" t="s">
        <v>12</v>
      </c>
    </row>
    <row r="11" spans="1:4">
      <c r="A11">
        <v>89</v>
      </c>
      <c r="B11">
        <v>89</v>
      </c>
      <c r="D11" t="s">
        <v>131</v>
      </c>
    </row>
    <row r="13" spans="1:4">
      <c r="A13" t="s">
        <v>132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89EA-745E-45DF-97B6-22865EA75945}">
  <dimension ref="A1:E19"/>
  <sheetViews>
    <sheetView workbookViewId="0">
      <selection activeCell="B20" sqref="B20"/>
    </sheetView>
  </sheetViews>
  <sheetFormatPr defaultRowHeight="15.75"/>
  <sheetData>
    <row r="1" spans="1:5">
      <c r="A1" t="s">
        <v>6</v>
      </c>
    </row>
    <row r="2" spans="1:5">
      <c r="A2" t="s">
        <v>133</v>
      </c>
    </row>
    <row r="3" spans="1:5">
      <c r="A3" t="s">
        <v>134</v>
      </c>
    </row>
    <row r="4" spans="1:5">
      <c r="A4" t="s">
        <v>135</v>
      </c>
      <c r="E4" t="s">
        <v>74</v>
      </c>
    </row>
    <row r="5" spans="1:5">
      <c r="A5" t="s">
        <v>9</v>
      </c>
      <c r="B5" t="s">
        <v>10</v>
      </c>
    </row>
    <row r="6" spans="1:5">
      <c r="A6" t="s">
        <v>101</v>
      </c>
      <c r="B6" t="s">
        <v>101</v>
      </c>
    </row>
    <row r="7" spans="1:5">
      <c r="A7">
        <v>22</v>
      </c>
      <c r="B7">
        <v>21</v>
      </c>
    </row>
    <row r="8" spans="1:5">
      <c r="A8" t="s">
        <v>12</v>
      </c>
      <c r="B8" t="s">
        <v>12</v>
      </c>
    </row>
    <row r="9" spans="1:5">
      <c r="A9">
        <v>44</v>
      </c>
      <c r="B9">
        <v>34</v>
      </c>
    </row>
    <row r="12" spans="1:5">
      <c r="A12" t="s">
        <v>136</v>
      </c>
    </row>
    <row r="13" spans="1:5">
      <c r="A13" t="s">
        <v>134</v>
      </c>
    </row>
    <row r="14" spans="1:5">
      <c r="A14" t="s">
        <v>135</v>
      </c>
    </row>
    <row r="15" spans="1:5">
      <c r="A15" t="s">
        <v>9</v>
      </c>
      <c r="B15" t="s">
        <v>10</v>
      </c>
    </row>
    <row r="16" spans="1:5">
      <c r="A16" t="s">
        <v>101</v>
      </c>
      <c r="B16" t="s">
        <v>101</v>
      </c>
    </row>
    <row r="17" spans="1:2">
      <c r="A17">
        <v>17</v>
      </c>
      <c r="B17">
        <v>12</v>
      </c>
    </row>
    <row r="18" spans="1:2">
      <c r="A18" t="s">
        <v>12</v>
      </c>
      <c r="B18" t="s">
        <v>12</v>
      </c>
    </row>
    <row r="19" spans="1:2">
      <c r="A19">
        <v>37</v>
      </c>
      <c r="B19">
        <v>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D331F-0AC6-445C-B94F-EBF167BA2AA9}">
  <dimension ref="A1:AG107"/>
  <sheetViews>
    <sheetView workbookViewId="0">
      <selection activeCell="G6" sqref="G6"/>
    </sheetView>
  </sheetViews>
  <sheetFormatPr defaultRowHeight="15.75"/>
  <sheetData>
    <row r="1" spans="1:33">
      <c r="A1" t="s">
        <v>137</v>
      </c>
      <c r="C1" t="s">
        <v>138</v>
      </c>
      <c r="D1" t="s">
        <v>139</v>
      </c>
      <c r="G1" t="s">
        <v>140</v>
      </c>
      <c r="K1" s="19" t="s">
        <v>141</v>
      </c>
      <c r="L1" s="19">
        <v>2012</v>
      </c>
      <c r="M1" s="19">
        <v>2013</v>
      </c>
      <c r="N1" s="19">
        <v>2014</v>
      </c>
      <c r="O1" s="19">
        <v>2015</v>
      </c>
      <c r="P1" s="19">
        <v>2016</v>
      </c>
      <c r="Q1" s="19">
        <v>2017</v>
      </c>
      <c r="R1" s="19">
        <v>2018</v>
      </c>
      <c r="S1" s="19">
        <v>2019</v>
      </c>
      <c r="T1" s="19">
        <v>2020</v>
      </c>
      <c r="U1" s="19">
        <v>2021</v>
      </c>
      <c r="V1" s="19"/>
      <c r="W1" s="19" t="s">
        <v>142</v>
      </c>
      <c r="X1" s="19" t="s">
        <v>143</v>
      </c>
      <c r="Y1" s="19" t="s">
        <v>144</v>
      </c>
      <c r="Z1" s="19" t="s">
        <v>145</v>
      </c>
      <c r="AA1" s="19"/>
      <c r="AB1" s="19"/>
      <c r="AC1" s="19"/>
      <c r="AD1" s="19" t="s">
        <v>146</v>
      </c>
      <c r="AE1" s="19" t="s">
        <v>147</v>
      </c>
      <c r="AF1" s="20" t="s">
        <v>148</v>
      </c>
      <c r="AG1" s="20"/>
    </row>
    <row r="2" spans="1:33">
      <c r="A2" t="s">
        <v>149</v>
      </c>
      <c r="D2" t="s">
        <v>74</v>
      </c>
      <c r="G2" t="s">
        <v>138</v>
      </c>
      <c r="K2" s="21" t="s">
        <v>150</v>
      </c>
      <c r="L2" s="21"/>
      <c r="M2" s="21"/>
      <c r="N2" s="21"/>
      <c r="O2" s="21"/>
      <c r="P2" s="21"/>
      <c r="Q2" s="21"/>
      <c r="R2" s="21"/>
      <c r="S2" s="21"/>
      <c r="T2" s="22" t="s">
        <v>151</v>
      </c>
      <c r="U2" s="21"/>
      <c r="V2" s="21"/>
      <c r="W2" s="21">
        <v>301</v>
      </c>
      <c r="X2" s="21">
        <v>274</v>
      </c>
      <c r="Y2" s="23" t="s">
        <v>152</v>
      </c>
      <c r="Z2" s="21" t="s">
        <v>153</v>
      </c>
      <c r="AA2" s="21"/>
      <c r="AB2" s="21"/>
      <c r="AC2" s="21"/>
      <c r="AD2" s="21"/>
      <c r="AE2" s="21"/>
      <c r="AF2" s="21"/>
      <c r="AG2" s="21"/>
    </row>
    <row r="3" spans="1:33">
      <c r="A3" t="s">
        <v>154</v>
      </c>
      <c r="G3" t="s">
        <v>155</v>
      </c>
      <c r="K3" s="21" t="s">
        <v>156</v>
      </c>
      <c r="L3" s="21"/>
      <c r="M3" s="21"/>
      <c r="N3" s="21"/>
      <c r="O3" s="21"/>
      <c r="P3" s="21"/>
      <c r="Q3" s="21"/>
      <c r="R3" s="22" t="s">
        <v>151</v>
      </c>
      <c r="S3" s="21"/>
      <c r="T3" s="21"/>
      <c r="U3" s="21"/>
      <c r="V3" s="21"/>
      <c r="W3" s="21"/>
      <c r="X3" s="21"/>
      <c r="Y3" s="24" t="s">
        <v>152</v>
      </c>
      <c r="Z3" s="21" t="s">
        <v>157</v>
      </c>
      <c r="AA3" s="21"/>
      <c r="AB3" s="21"/>
      <c r="AC3" s="21"/>
      <c r="AD3" s="21"/>
      <c r="AE3" s="21"/>
      <c r="AF3" s="21"/>
      <c r="AG3" s="21"/>
    </row>
    <row r="4" spans="1:33">
      <c r="A4" t="s">
        <v>9</v>
      </c>
      <c r="B4" t="s">
        <v>10</v>
      </c>
      <c r="G4" t="s">
        <v>158</v>
      </c>
      <c r="K4" s="21" t="s">
        <v>159</v>
      </c>
      <c r="L4" s="21"/>
      <c r="M4" s="21"/>
      <c r="N4" s="21"/>
      <c r="O4" s="21"/>
      <c r="P4" s="21"/>
      <c r="Q4" s="21"/>
      <c r="R4" s="22" t="s">
        <v>151</v>
      </c>
      <c r="S4" s="21"/>
      <c r="T4" s="21"/>
      <c r="U4" s="21"/>
      <c r="V4" s="21"/>
      <c r="W4" s="21">
        <v>103</v>
      </c>
      <c r="X4" s="21">
        <v>69</v>
      </c>
      <c r="Y4" s="21"/>
      <c r="Z4" s="21" t="s">
        <v>160</v>
      </c>
      <c r="AA4" s="21"/>
      <c r="AB4" s="21"/>
      <c r="AC4" s="21"/>
      <c r="AD4" s="21"/>
      <c r="AE4" s="21"/>
      <c r="AF4" s="21"/>
      <c r="AG4" s="21"/>
    </row>
    <row r="5" spans="1:33">
      <c r="A5" t="s">
        <v>11</v>
      </c>
      <c r="B5" t="s">
        <v>11</v>
      </c>
      <c r="G5" t="s">
        <v>161</v>
      </c>
      <c r="K5" s="21" t="s">
        <v>162</v>
      </c>
      <c r="L5" s="21"/>
      <c r="M5" s="21"/>
      <c r="N5" s="21"/>
      <c r="O5" s="21"/>
      <c r="P5" s="21"/>
      <c r="Q5" s="21"/>
      <c r="R5" s="21"/>
      <c r="S5" s="21"/>
      <c r="T5" s="22" t="s">
        <v>151</v>
      </c>
      <c r="U5" s="21"/>
      <c r="V5" s="21"/>
      <c r="W5" s="21"/>
      <c r="X5" s="21"/>
      <c r="Y5" s="21"/>
      <c r="Z5" s="21" t="s">
        <v>163</v>
      </c>
      <c r="AA5" s="21"/>
      <c r="AB5" s="21"/>
      <c r="AC5" s="21"/>
      <c r="AD5" s="21"/>
      <c r="AE5" s="21"/>
      <c r="AF5" s="21"/>
      <c r="AG5" s="21"/>
    </row>
    <row r="6" spans="1:33">
      <c r="A6">
        <f>A8*A10</f>
        <v>717.96</v>
      </c>
      <c r="B6">
        <f>B8*B10</f>
        <v>306.89999999999998</v>
      </c>
      <c r="K6" s="19" t="s">
        <v>138</v>
      </c>
      <c r="L6" s="19"/>
      <c r="M6" s="19"/>
      <c r="N6" s="25" t="s">
        <v>151</v>
      </c>
      <c r="O6" s="19"/>
      <c r="P6" s="19"/>
      <c r="Q6" s="19"/>
      <c r="R6" s="19"/>
      <c r="S6" s="19"/>
      <c r="T6" s="19"/>
      <c r="U6" s="19"/>
      <c r="V6" s="19"/>
      <c r="W6" s="19"/>
      <c r="X6" s="19"/>
      <c r="Y6" s="19"/>
      <c r="Z6" s="19" t="s">
        <v>164</v>
      </c>
      <c r="AA6" s="19"/>
      <c r="AB6" s="19"/>
      <c r="AC6" s="19"/>
      <c r="AD6" s="19"/>
      <c r="AE6" s="19"/>
      <c r="AF6" s="19"/>
      <c r="AG6" s="19"/>
    </row>
    <row r="7" spans="1:33">
      <c r="A7" t="s">
        <v>12</v>
      </c>
      <c r="B7" t="s">
        <v>12</v>
      </c>
      <c r="K7" s="21" t="s">
        <v>165</v>
      </c>
      <c r="L7" s="21"/>
      <c r="M7" s="21"/>
      <c r="N7" s="21"/>
      <c r="O7" s="21"/>
      <c r="P7" s="22" t="s">
        <v>151</v>
      </c>
      <c r="Q7" s="21"/>
      <c r="R7" s="21"/>
      <c r="S7" s="21"/>
      <c r="T7" s="21"/>
      <c r="U7" s="21"/>
      <c r="V7" s="21"/>
      <c r="W7" s="21"/>
      <c r="X7" s="21"/>
      <c r="Y7" s="21"/>
      <c r="Z7" s="21" t="s">
        <v>166</v>
      </c>
      <c r="AA7" s="21"/>
      <c r="AB7" s="21"/>
      <c r="AC7" s="21"/>
      <c r="AD7" s="21"/>
      <c r="AE7" s="21"/>
      <c r="AF7" s="21"/>
      <c r="AG7" s="21"/>
    </row>
    <row r="8" spans="1:33">
      <c r="A8">
        <v>1158</v>
      </c>
      <c r="B8">
        <v>990</v>
      </c>
      <c r="K8" s="21" t="s">
        <v>167</v>
      </c>
      <c r="L8" s="22" t="s">
        <v>151</v>
      </c>
      <c r="M8" s="21"/>
      <c r="N8" s="21"/>
      <c r="O8" s="21"/>
      <c r="P8" s="21"/>
      <c r="Q8" s="21"/>
      <c r="R8" s="21"/>
      <c r="S8" s="21"/>
      <c r="T8" s="21"/>
      <c r="U8" s="21"/>
      <c r="V8" s="21"/>
      <c r="W8" s="21"/>
      <c r="X8" s="21"/>
      <c r="Y8" s="21"/>
      <c r="Z8" s="21" t="s">
        <v>168</v>
      </c>
      <c r="AA8" s="21"/>
      <c r="AB8" s="21"/>
      <c r="AC8" s="21"/>
      <c r="AD8" s="21"/>
      <c r="AE8" s="21"/>
      <c r="AF8" s="21"/>
      <c r="AG8" s="21"/>
    </row>
    <row r="9" spans="1:33">
      <c r="A9" t="s">
        <v>169</v>
      </c>
      <c r="B9" t="s">
        <v>169</v>
      </c>
      <c r="K9" s="19" t="s">
        <v>170</v>
      </c>
      <c r="L9" s="19"/>
      <c r="M9" s="19"/>
      <c r="N9" s="19"/>
      <c r="O9" s="19"/>
      <c r="P9" s="19"/>
      <c r="Q9" s="19"/>
      <c r="R9" s="25" t="s">
        <v>151</v>
      </c>
      <c r="S9" s="19"/>
      <c r="T9" s="19"/>
      <c r="U9" s="19"/>
      <c r="V9" s="19"/>
      <c r="W9" s="19"/>
      <c r="X9" s="19"/>
      <c r="Y9" s="19"/>
      <c r="Z9" s="19" t="s">
        <v>171</v>
      </c>
      <c r="AA9" s="19"/>
      <c r="AB9" s="19"/>
      <c r="AC9" s="19"/>
      <c r="AD9" s="19"/>
      <c r="AE9" s="19"/>
      <c r="AF9" s="19"/>
      <c r="AG9" s="19"/>
    </row>
    <row r="10" spans="1:33">
      <c r="A10">
        <v>0.62</v>
      </c>
      <c r="B10">
        <v>0.31</v>
      </c>
      <c r="K10" s="19" t="s">
        <v>172</v>
      </c>
      <c r="L10" s="19"/>
      <c r="M10" s="19"/>
      <c r="N10" s="19"/>
      <c r="O10" s="19"/>
      <c r="P10" s="19"/>
      <c r="Q10" s="19"/>
      <c r="R10" s="19"/>
      <c r="S10" s="25" t="s">
        <v>151</v>
      </c>
      <c r="T10" s="19"/>
      <c r="U10" s="19"/>
      <c r="V10" s="19"/>
      <c r="W10" s="19"/>
      <c r="X10" s="19"/>
      <c r="Y10" s="19"/>
      <c r="Z10" s="19" t="s">
        <v>173</v>
      </c>
      <c r="AA10" s="19"/>
      <c r="AB10" s="19"/>
      <c r="AC10" s="19"/>
      <c r="AD10" s="19"/>
      <c r="AE10" s="19"/>
      <c r="AF10" s="19"/>
      <c r="AG10" s="19"/>
    </row>
    <row r="11" spans="1:33">
      <c r="K11" s="21" t="s">
        <v>174</v>
      </c>
      <c r="L11" s="21"/>
      <c r="M11" s="21"/>
      <c r="N11" s="21"/>
      <c r="O11" s="22" t="s">
        <v>151</v>
      </c>
      <c r="P11" s="21"/>
      <c r="Q11" s="21"/>
      <c r="R11" s="21"/>
      <c r="S11" s="21"/>
      <c r="T11" s="21"/>
      <c r="U11" s="21"/>
      <c r="V11" s="21"/>
      <c r="W11" s="21"/>
      <c r="X11" s="21"/>
      <c r="Y11" s="21"/>
      <c r="Z11" s="21" t="s">
        <v>168</v>
      </c>
      <c r="AA11" s="21"/>
      <c r="AB11" s="21"/>
      <c r="AC11" s="21"/>
      <c r="AD11" s="21"/>
      <c r="AE11" s="21"/>
      <c r="AF11" s="21"/>
      <c r="AG11" s="21"/>
    </row>
    <row r="12" spans="1:33">
      <c r="A12" t="s">
        <v>175</v>
      </c>
      <c r="K12" s="21" t="s">
        <v>176</v>
      </c>
      <c r="L12" s="21"/>
      <c r="M12" s="21"/>
      <c r="N12" s="21"/>
      <c r="O12" s="21"/>
      <c r="P12" s="21"/>
      <c r="Q12" s="21"/>
      <c r="R12" s="21"/>
      <c r="S12" s="21"/>
      <c r="T12" s="22" t="s">
        <v>151</v>
      </c>
      <c r="U12" s="21"/>
      <c r="V12" s="21"/>
      <c r="W12" s="21"/>
      <c r="X12" s="21"/>
      <c r="Y12" s="21"/>
      <c r="Z12" s="21" t="s">
        <v>177</v>
      </c>
      <c r="AA12" s="21"/>
      <c r="AB12" s="21"/>
      <c r="AC12" s="21"/>
      <c r="AD12" s="21"/>
      <c r="AE12" s="21"/>
      <c r="AF12" s="21"/>
      <c r="AG12" s="21"/>
    </row>
    <row r="13" spans="1:33">
      <c r="K13" s="21" t="s">
        <v>178</v>
      </c>
      <c r="L13" s="21"/>
      <c r="M13" s="21"/>
      <c r="N13" s="21"/>
      <c r="O13" s="21"/>
      <c r="P13" s="21"/>
      <c r="Q13" s="21"/>
      <c r="R13" s="21"/>
      <c r="S13" s="21"/>
      <c r="T13" s="22" t="s">
        <v>151</v>
      </c>
      <c r="U13" s="21"/>
      <c r="V13" s="21"/>
      <c r="W13" s="21"/>
      <c r="X13" s="21"/>
      <c r="Y13" s="21"/>
      <c r="Z13" s="21" t="s">
        <v>179</v>
      </c>
      <c r="AA13" s="21"/>
      <c r="AB13" s="21"/>
      <c r="AC13" s="21"/>
      <c r="AD13" s="21"/>
      <c r="AE13" s="21"/>
      <c r="AF13" s="21"/>
      <c r="AG13" s="21"/>
    </row>
    <row r="14" spans="1:33">
      <c r="A14" t="s">
        <v>180</v>
      </c>
      <c r="K14" s="21" t="s">
        <v>181</v>
      </c>
      <c r="L14" s="21"/>
      <c r="M14" s="21"/>
      <c r="N14" s="21"/>
      <c r="O14" s="21"/>
      <c r="P14" s="22" t="s">
        <v>151</v>
      </c>
      <c r="Q14" s="21"/>
      <c r="R14" s="21"/>
      <c r="S14" s="21"/>
      <c r="T14" s="21"/>
      <c r="U14" s="21"/>
      <c r="V14" s="21"/>
      <c r="W14" s="21"/>
      <c r="X14" s="21"/>
      <c r="Y14" s="21"/>
      <c r="Z14" s="21" t="s">
        <v>182</v>
      </c>
      <c r="AA14" s="21"/>
      <c r="AB14" s="21"/>
      <c r="AC14" s="21"/>
      <c r="AD14" s="21"/>
      <c r="AE14" s="21"/>
      <c r="AF14" s="21"/>
      <c r="AG14" s="21"/>
    </row>
    <row r="15" spans="1:33">
      <c r="K15" s="21" t="s">
        <v>183</v>
      </c>
      <c r="L15" s="21"/>
      <c r="M15" s="21"/>
      <c r="N15" s="21"/>
      <c r="O15" s="21"/>
      <c r="P15" s="22" t="s">
        <v>151</v>
      </c>
      <c r="Q15" s="21"/>
      <c r="R15" s="21"/>
      <c r="S15" s="21"/>
      <c r="T15" s="21"/>
      <c r="U15" s="21"/>
      <c r="V15" s="21"/>
      <c r="W15" s="21"/>
      <c r="X15" s="21"/>
      <c r="Y15" s="21"/>
      <c r="Z15" s="21" t="s">
        <v>182</v>
      </c>
      <c r="AA15" s="21"/>
      <c r="AB15" s="21"/>
      <c r="AC15" s="21"/>
      <c r="AD15" s="21"/>
      <c r="AE15" s="21"/>
      <c r="AF15" s="21"/>
      <c r="AG15" s="21"/>
    </row>
    <row r="16" spans="1:33">
      <c r="A16" s="8" t="s">
        <v>170</v>
      </c>
      <c r="B16" s="8"/>
      <c r="C16" s="8"/>
      <c r="K16" s="21" t="s">
        <v>184</v>
      </c>
      <c r="L16" s="21"/>
      <c r="M16" s="21"/>
      <c r="N16" s="21"/>
      <c r="O16" s="21"/>
      <c r="P16" s="21"/>
      <c r="Q16" s="21"/>
      <c r="R16" s="21"/>
      <c r="S16" s="21"/>
      <c r="T16" s="22" t="s">
        <v>151</v>
      </c>
      <c r="U16" s="21"/>
      <c r="V16" s="21"/>
      <c r="W16" s="21"/>
      <c r="X16" s="21"/>
      <c r="Y16" s="21"/>
      <c r="Z16" s="21" t="s">
        <v>185</v>
      </c>
      <c r="AA16" s="21"/>
      <c r="AB16" s="21"/>
      <c r="AC16" s="21"/>
      <c r="AD16" s="21"/>
      <c r="AE16" s="21"/>
      <c r="AF16" s="21"/>
      <c r="AG16" s="21"/>
    </row>
    <row r="17" spans="1:33">
      <c r="A17" s="8" t="s">
        <v>186</v>
      </c>
      <c r="B17" s="8"/>
      <c r="C17" s="8"/>
      <c r="E17" t="s">
        <v>187</v>
      </c>
      <c r="K17" s="21" t="s">
        <v>188</v>
      </c>
      <c r="L17" s="21"/>
      <c r="M17" s="21"/>
      <c r="N17" s="21"/>
      <c r="O17" s="21"/>
      <c r="P17" s="21"/>
      <c r="Q17" s="21"/>
      <c r="R17" s="21"/>
      <c r="S17" s="21"/>
      <c r="T17" s="22" t="s">
        <v>151</v>
      </c>
      <c r="U17" s="21"/>
      <c r="V17" s="21"/>
      <c r="W17" s="21"/>
      <c r="X17" s="21"/>
      <c r="Y17" s="21"/>
      <c r="Z17" s="21" t="s">
        <v>185</v>
      </c>
      <c r="AA17" s="21"/>
      <c r="AB17" s="21"/>
      <c r="AC17" s="21"/>
      <c r="AD17" s="21"/>
      <c r="AE17" s="21"/>
      <c r="AF17" s="21"/>
      <c r="AG17" s="21"/>
    </row>
    <row r="18" spans="1:33">
      <c r="A18" s="8" t="s">
        <v>189</v>
      </c>
      <c r="B18" s="8"/>
      <c r="C18" s="8"/>
      <c r="K18" s="21" t="s">
        <v>190</v>
      </c>
      <c r="L18" s="21"/>
      <c r="M18" s="21"/>
      <c r="N18" s="21"/>
      <c r="O18" s="21"/>
      <c r="P18" s="22" t="s">
        <v>151</v>
      </c>
      <c r="Q18" s="21"/>
      <c r="R18" s="21"/>
      <c r="S18" s="21"/>
      <c r="T18" s="21"/>
      <c r="U18" s="21"/>
      <c r="V18" s="21"/>
      <c r="W18" s="21"/>
      <c r="X18" s="21"/>
      <c r="Y18" s="21"/>
      <c r="Z18" s="21" t="s">
        <v>185</v>
      </c>
      <c r="AA18" s="21"/>
      <c r="AB18" s="21"/>
      <c r="AC18" s="21"/>
      <c r="AD18" s="21"/>
      <c r="AE18" s="21"/>
      <c r="AF18" s="21"/>
      <c r="AG18" s="21"/>
    </row>
    <row r="19" spans="1:33">
      <c r="A19" s="8" t="s">
        <v>191</v>
      </c>
      <c r="B19" s="8"/>
      <c r="C19" s="8"/>
      <c r="K19" s="21" t="s">
        <v>192</v>
      </c>
      <c r="L19" s="21"/>
      <c r="M19" s="21"/>
      <c r="N19" s="21"/>
      <c r="O19" s="21"/>
      <c r="P19" s="21"/>
      <c r="Q19" s="22" t="s">
        <v>151</v>
      </c>
      <c r="R19" s="21"/>
      <c r="S19" s="21"/>
      <c r="T19" s="21"/>
      <c r="U19" s="21"/>
      <c r="V19" s="21"/>
      <c r="W19" s="21"/>
      <c r="X19" s="21"/>
      <c r="Y19" s="21"/>
      <c r="Z19" s="21" t="s">
        <v>193</v>
      </c>
      <c r="AA19" s="21"/>
      <c r="AB19" s="21"/>
      <c r="AC19" s="21"/>
      <c r="AD19" s="21"/>
      <c r="AE19" s="21"/>
      <c r="AF19" s="21"/>
      <c r="AG19" s="21"/>
    </row>
    <row r="20" spans="1:33">
      <c r="A20" s="8">
        <v>0.86</v>
      </c>
      <c r="B20" s="8"/>
      <c r="C20" s="8" t="s">
        <v>74</v>
      </c>
      <c r="K20" s="21" t="s">
        <v>194</v>
      </c>
      <c r="L20" s="21"/>
      <c r="M20" s="21"/>
      <c r="N20" s="21"/>
      <c r="O20" s="21"/>
      <c r="P20" s="21"/>
      <c r="Q20" s="22" t="s">
        <v>151</v>
      </c>
      <c r="R20" s="21"/>
      <c r="S20" s="21"/>
      <c r="T20" s="21"/>
      <c r="U20" s="21"/>
      <c r="V20" s="21"/>
      <c r="W20" s="21"/>
      <c r="X20" s="21"/>
      <c r="Y20" s="21"/>
      <c r="Z20" s="21" t="s">
        <v>195</v>
      </c>
      <c r="AA20" s="21"/>
      <c r="AB20" s="21"/>
      <c r="AC20" s="21"/>
      <c r="AD20" s="21"/>
      <c r="AE20" s="21"/>
      <c r="AF20" s="21"/>
      <c r="AG20" s="21"/>
    </row>
    <row r="21" spans="1:33">
      <c r="A21" s="8" t="s">
        <v>196</v>
      </c>
      <c r="B21" s="8"/>
      <c r="C21" s="8"/>
      <c r="K21" s="19" t="s">
        <v>155</v>
      </c>
      <c r="L21" s="19"/>
      <c r="M21" s="19"/>
      <c r="N21" s="19"/>
      <c r="O21" s="19"/>
      <c r="P21" s="25" t="s">
        <v>151</v>
      </c>
      <c r="Q21" s="19"/>
      <c r="R21" s="19"/>
      <c r="S21" s="19"/>
      <c r="T21" s="19"/>
      <c r="U21" s="19"/>
      <c r="V21" s="19"/>
      <c r="W21" s="19"/>
      <c r="X21" s="19"/>
      <c r="Y21" s="19"/>
      <c r="Z21" s="19" t="s">
        <v>197</v>
      </c>
      <c r="AA21" s="19"/>
      <c r="AB21" s="19"/>
      <c r="AC21" s="19"/>
      <c r="AD21" s="19"/>
      <c r="AE21" s="19"/>
      <c r="AF21" s="19"/>
      <c r="AG21" s="19"/>
    </row>
    <row r="22" spans="1:33">
      <c r="A22" s="8">
        <v>0.61</v>
      </c>
      <c r="B22" s="8"/>
      <c r="C22" s="8"/>
      <c r="K22" s="21" t="s">
        <v>198</v>
      </c>
      <c r="L22" s="21"/>
      <c r="M22" s="21"/>
      <c r="N22" s="21"/>
      <c r="O22" s="21"/>
      <c r="P22" s="21"/>
      <c r="Q22" s="22" t="s">
        <v>151</v>
      </c>
      <c r="R22" s="21"/>
      <c r="S22" s="21"/>
      <c r="T22" s="21"/>
      <c r="U22" s="21"/>
      <c r="V22" s="21"/>
      <c r="W22" s="21"/>
      <c r="X22" s="21"/>
      <c r="Y22" s="21"/>
      <c r="Z22" s="21" t="s">
        <v>199</v>
      </c>
      <c r="AA22" s="21"/>
      <c r="AB22" s="21"/>
      <c r="AC22" s="21"/>
      <c r="AD22" s="21"/>
      <c r="AE22" s="21"/>
      <c r="AF22" s="21"/>
      <c r="AG22" s="21"/>
    </row>
    <row r="23" spans="1:33">
      <c r="K23" s="21" t="s">
        <v>200</v>
      </c>
      <c r="L23" s="21"/>
      <c r="M23" s="21"/>
      <c r="N23" s="21"/>
      <c r="O23" s="22" t="s">
        <v>151</v>
      </c>
      <c r="P23" s="21"/>
      <c r="Q23" s="21"/>
      <c r="R23" s="21"/>
      <c r="S23" s="21"/>
      <c r="T23" s="21"/>
      <c r="U23" s="21"/>
      <c r="V23" s="21"/>
      <c r="W23" s="21"/>
      <c r="X23" s="21"/>
      <c r="Y23" s="21"/>
      <c r="Z23" s="21" t="s">
        <v>185</v>
      </c>
      <c r="AA23" s="21"/>
      <c r="AB23" s="21"/>
      <c r="AC23" s="21"/>
      <c r="AD23" s="21"/>
      <c r="AE23" s="21"/>
      <c r="AF23" s="21"/>
      <c r="AG23" s="21"/>
    </row>
    <row r="24" spans="1:33">
      <c r="A24" t="s">
        <v>155</v>
      </c>
      <c r="C24" t="s">
        <v>154</v>
      </c>
      <c r="K24" s="21" t="s">
        <v>201</v>
      </c>
      <c r="L24" s="21"/>
      <c r="M24" s="21"/>
      <c r="N24" s="21"/>
      <c r="O24" s="21"/>
      <c r="P24" s="22" t="s">
        <v>151</v>
      </c>
      <c r="Q24" s="21"/>
      <c r="R24" s="21"/>
      <c r="S24" s="21"/>
      <c r="T24" s="21"/>
      <c r="U24" s="21"/>
      <c r="V24" s="21"/>
      <c r="W24" s="21"/>
      <c r="X24" s="21"/>
      <c r="Y24" s="21"/>
      <c r="Z24" s="21" t="s">
        <v>185</v>
      </c>
      <c r="AA24" s="21"/>
      <c r="AB24" s="21"/>
      <c r="AC24" s="21"/>
      <c r="AD24" s="21"/>
      <c r="AE24" s="21"/>
      <c r="AF24" s="21"/>
      <c r="AG24" s="21"/>
    </row>
    <row r="25" spans="1:33">
      <c r="A25" t="s">
        <v>202</v>
      </c>
      <c r="C25" t="s">
        <v>203</v>
      </c>
      <c r="K25" s="19" t="s">
        <v>204</v>
      </c>
      <c r="L25" s="19"/>
      <c r="M25" s="19"/>
      <c r="N25" s="19"/>
      <c r="O25" s="19"/>
      <c r="P25" s="19"/>
      <c r="Q25" s="19"/>
      <c r="R25" s="19"/>
      <c r="S25" s="25" t="s">
        <v>151</v>
      </c>
      <c r="T25" s="19"/>
      <c r="U25" s="19"/>
      <c r="V25" s="19"/>
      <c r="W25" s="19"/>
      <c r="X25" s="19"/>
      <c r="Y25" s="19"/>
      <c r="Z25" s="19" t="s">
        <v>205</v>
      </c>
      <c r="AA25" s="19"/>
      <c r="AB25" s="19"/>
      <c r="AC25" s="19"/>
      <c r="AD25" s="19"/>
      <c r="AE25" s="19"/>
      <c r="AF25" s="19"/>
      <c r="AG25" s="19"/>
    </row>
    <row r="26" spans="1:33">
      <c r="A26" t="s">
        <v>9</v>
      </c>
      <c r="B26" t="s">
        <v>10</v>
      </c>
      <c r="D26" t="s">
        <v>74</v>
      </c>
      <c r="K26" s="21" t="s">
        <v>206</v>
      </c>
      <c r="L26" s="21"/>
      <c r="M26" s="21"/>
      <c r="N26" s="21"/>
      <c r="O26" s="22" t="s">
        <v>151</v>
      </c>
      <c r="P26" s="21"/>
      <c r="Q26" s="21"/>
      <c r="R26" s="21"/>
      <c r="S26" s="21"/>
      <c r="T26" s="21"/>
      <c r="U26" s="21"/>
      <c r="V26" s="21"/>
      <c r="W26" s="21"/>
      <c r="X26" s="21"/>
      <c r="Y26" s="21"/>
      <c r="Z26" s="21" t="s">
        <v>207</v>
      </c>
      <c r="AA26" s="21"/>
      <c r="AB26" s="21"/>
      <c r="AC26" s="21"/>
      <c r="AD26" s="21"/>
      <c r="AE26" s="21"/>
      <c r="AF26" s="21"/>
      <c r="AG26" s="21"/>
    </row>
    <row r="27" spans="1:33">
      <c r="A27" t="s">
        <v>18</v>
      </c>
      <c r="B27" t="s">
        <v>18</v>
      </c>
      <c r="K27" s="21" t="s">
        <v>208</v>
      </c>
      <c r="L27" s="21"/>
      <c r="M27" s="21"/>
      <c r="N27" s="21"/>
      <c r="O27" s="21"/>
      <c r="P27" s="22" t="s">
        <v>151</v>
      </c>
      <c r="Q27" s="21"/>
      <c r="R27" s="21"/>
      <c r="S27" s="21"/>
      <c r="T27" s="21"/>
      <c r="U27" s="21"/>
      <c r="V27" s="21"/>
      <c r="W27" s="21"/>
      <c r="X27" s="21"/>
      <c r="Y27" s="21"/>
      <c r="Z27" s="21" t="s">
        <v>209</v>
      </c>
      <c r="AA27" s="21"/>
      <c r="AB27" s="21"/>
      <c r="AC27" s="21"/>
      <c r="AD27" s="21"/>
      <c r="AE27" s="21"/>
      <c r="AF27" s="21"/>
      <c r="AG27" s="21"/>
    </row>
    <row r="28" spans="1:33">
      <c r="A28">
        <v>881</v>
      </c>
      <c r="B28">
        <v>890</v>
      </c>
      <c r="K28" s="21" t="s">
        <v>210</v>
      </c>
      <c r="L28" s="21"/>
      <c r="M28" s="21"/>
      <c r="N28" s="21"/>
      <c r="O28" s="21"/>
      <c r="P28" s="21"/>
      <c r="Q28" s="21"/>
      <c r="R28" s="22" t="s">
        <v>151</v>
      </c>
      <c r="S28" s="21"/>
      <c r="T28" s="21"/>
      <c r="U28" s="21"/>
      <c r="V28" s="21"/>
      <c r="W28" s="21"/>
      <c r="X28" s="21"/>
      <c r="Y28" s="21"/>
      <c r="Z28" s="21" t="s">
        <v>211</v>
      </c>
      <c r="AA28" s="21"/>
      <c r="AB28" s="21"/>
      <c r="AC28" s="21"/>
      <c r="AD28" s="21"/>
      <c r="AE28" s="21"/>
      <c r="AF28" s="21"/>
      <c r="AG28" s="21"/>
    </row>
    <row r="29" spans="1:33">
      <c r="A29" t="s">
        <v>19</v>
      </c>
      <c r="B29" t="s">
        <v>19</v>
      </c>
      <c r="K29" s="21" t="s">
        <v>212</v>
      </c>
      <c r="L29" s="21"/>
      <c r="M29" s="21"/>
      <c r="N29" s="21"/>
      <c r="O29" s="21"/>
      <c r="P29" s="21"/>
      <c r="Q29" s="21"/>
      <c r="R29" s="21"/>
      <c r="S29" s="21"/>
      <c r="T29" s="21"/>
      <c r="U29" s="22" t="s">
        <v>151</v>
      </c>
      <c r="V29" s="21"/>
      <c r="W29" s="21"/>
      <c r="X29" s="21"/>
      <c r="Y29" s="21"/>
      <c r="Z29" s="21" t="s">
        <v>185</v>
      </c>
      <c r="AA29" s="21"/>
      <c r="AB29" s="21"/>
      <c r="AC29" s="21"/>
      <c r="AD29" s="21"/>
      <c r="AE29" s="21"/>
      <c r="AF29" s="21"/>
      <c r="AG29" s="21"/>
    </row>
    <row r="30" spans="1:33">
      <c r="A30">
        <f>1.35*A34</f>
        <v>519.75</v>
      </c>
      <c r="B30">
        <f>1.35*B34</f>
        <v>529.20000000000005</v>
      </c>
      <c r="K30" s="19"/>
      <c r="L30" s="19"/>
      <c r="M30" s="19"/>
      <c r="N30" s="19"/>
      <c r="O30" s="19"/>
      <c r="P30" s="19"/>
      <c r="Q30" s="19"/>
      <c r="R30" s="19"/>
      <c r="S30" s="19"/>
      <c r="T30" s="19"/>
      <c r="U30" s="19"/>
      <c r="V30" s="19"/>
      <c r="W30" s="19"/>
      <c r="X30" s="19"/>
      <c r="Y30" s="19"/>
      <c r="Z30" s="19"/>
      <c r="AA30" s="19"/>
      <c r="AB30" s="19"/>
      <c r="AC30" s="19"/>
      <c r="AD30" s="19"/>
      <c r="AE30" s="19"/>
      <c r="AF30" s="19"/>
      <c r="AG30" s="19"/>
    </row>
    <row r="31" spans="1:33">
      <c r="A31" t="s">
        <v>213</v>
      </c>
      <c r="B31" t="s">
        <v>12</v>
      </c>
      <c r="K31" s="19"/>
      <c r="L31" s="19" t="s">
        <v>214</v>
      </c>
      <c r="M31" s="19"/>
      <c r="N31" s="19"/>
      <c r="O31" s="19"/>
      <c r="P31" s="19" t="s">
        <v>215</v>
      </c>
      <c r="Q31" s="19"/>
      <c r="R31" s="19"/>
      <c r="S31" s="19"/>
      <c r="T31" s="19"/>
      <c r="U31" s="19"/>
      <c r="V31" s="19"/>
      <c r="W31" s="19"/>
      <c r="X31" s="19"/>
      <c r="Y31" s="19"/>
      <c r="Z31" s="19"/>
      <c r="AA31" s="19"/>
      <c r="AB31" s="19"/>
      <c r="AC31" s="19"/>
      <c r="AD31" s="19"/>
      <c r="AE31" s="19"/>
      <c r="AF31" s="19"/>
      <c r="AG31" s="19"/>
    </row>
    <row r="32" spans="1:33">
      <c r="A32">
        <v>439</v>
      </c>
      <c r="B32">
        <v>417</v>
      </c>
      <c r="K32" s="19" t="s">
        <v>216</v>
      </c>
      <c r="L32" s="19" t="s">
        <v>88</v>
      </c>
      <c r="M32" s="19" t="s">
        <v>121</v>
      </c>
      <c r="N32" s="19" t="s">
        <v>186</v>
      </c>
      <c r="O32" s="19"/>
      <c r="P32" s="19" t="s">
        <v>216</v>
      </c>
      <c r="Q32" s="19" t="s">
        <v>88</v>
      </c>
      <c r="R32" s="19" t="s">
        <v>121</v>
      </c>
      <c r="S32" s="19" t="s">
        <v>186</v>
      </c>
      <c r="T32" s="19"/>
      <c r="U32" s="19"/>
      <c r="V32" s="19"/>
      <c r="W32" s="19"/>
      <c r="X32" s="19"/>
      <c r="Y32" s="19"/>
      <c r="Z32" s="19"/>
      <c r="AA32" s="19"/>
      <c r="AB32" s="19"/>
      <c r="AC32" s="19"/>
      <c r="AD32" s="19"/>
      <c r="AE32" s="19"/>
      <c r="AF32" s="19"/>
      <c r="AG32" s="19"/>
    </row>
    <row r="33" spans="1:33">
      <c r="A33" t="s">
        <v>217</v>
      </c>
      <c r="B33" t="s">
        <v>217</v>
      </c>
      <c r="K33" s="19" t="s">
        <v>218</v>
      </c>
      <c r="L33" s="19"/>
      <c r="M33" s="19"/>
      <c r="N33" s="19"/>
      <c r="O33" s="19"/>
      <c r="P33" s="19" t="s">
        <v>218</v>
      </c>
      <c r="Q33" s="19" t="s">
        <v>138</v>
      </c>
      <c r="R33" s="19" t="s">
        <v>161</v>
      </c>
      <c r="S33" s="19"/>
      <c r="T33" s="19"/>
      <c r="U33" s="19"/>
      <c r="V33" s="19"/>
      <c r="W33" s="19"/>
      <c r="X33" s="19"/>
      <c r="Y33" s="19"/>
      <c r="Z33" s="19"/>
      <c r="AA33" s="19"/>
      <c r="AB33" s="19"/>
      <c r="AC33" s="19"/>
      <c r="AD33" s="19"/>
      <c r="AE33" s="19"/>
      <c r="AF33" s="19"/>
      <c r="AG33" s="19"/>
    </row>
    <row r="34" spans="1:33">
      <c r="A34">
        <f>975-590</f>
        <v>385</v>
      </c>
      <c r="B34">
        <f>986-594</f>
        <v>392</v>
      </c>
      <c r="K34" s="19" t="s">
        <v>219</v>
      </c>
      <c r="L34" s="19"/>
      <c r="M34" s="19" t="s">
        <v>220</v>
      </c>
      <c r="N34" s="19"/>
      <c r="O34" s="19"/>
      <c r="P34" s="19" t="s">
        <v>219</v>
      </c>
      <c r="Q34" s="19"/>
      <c r="R34" s="19" t="s">
        <v>161</v>
      </c>
      <c r="S34" s="19" t="s">
        <v>172</v>
      </c>
      <c r="T34" s="19"/>
      <c r="U34" s="19"/>
      <c r="V34" s="19"/>
      <c r="W34" s="19"/>
      <c r="X34" s="19"/>
      <c r="Y34" s="19"/>
      <c r="Z34" s="19"/>
      <c r="AA34" s="19"/>
      <c r="AB34" s="19"/>
      <c r="AC34" s="19"/>
      <c r="AD34" s="19"/>
      <c r="AE34" s="19"/>
      <c r="AF34" s="19"/>
      <c r="AG34" s="19"/>
    </row>
    <row r="35" spans="1:33">
      <c r="K35" s="19" t="s">
        <v>221</v>
      </c>
      <c r="L35" s="19"/>
      <c r="M35" s="19"/>
      <c r="N35" s="19"/>
      <c r="O35" s="19"/>
      <c r="P35" s="19" t="s">
        <v>221</v>
      </c>
      <c r="Q35" s="19"/>
      <c r="R35" s="19"/>
      <c r="S35" s="19"/>
      <c r="T35" s="19"/>
      <c r="U35" s="19"/>
      <c r="V35" s="19"/>
      <c r="W35" s="19"/>
      <c r="X35" s="19"/>
      <c r="Y35" s="19"/>
      <c r="Z35" s="19"/>
      <c r="AA35" s="19"/>
      <c r="AB35" s="19"/>
      <c r="AC35" s="19"/>
      <c r="AD35" s="19"/>
      <c r="AE35" s="19"/>
      <c r="AF35" s="19"/>
      <c r="AG35" s="19"/>
    </row>
    <row r="36" spans="1:33">
      <c r="A36" t="s">
        <v>123</v>
      </c>
      <c r="B36" t="s">
        <v>158</v>
      </c>
      <c r="C36" t="s">
        <v>89</v>
      </c>
      <c r="K36" s="19" t="s">
        <v>80</v>
      </c>
      <c r="L36" s="19"/>
      <c r="M36" s="19"/>
      <c r="N36" s="19"/>
      <c r="O36" s="19"/>
      <c r="P36" s="19" t="s">
        <v>80</v>
      </c>
      <c r="Q36" s="19"/>
      <c r="R36" s="19"/>
      <c r="S36" s="19"/>
      <c r="T36" s="19"/>
      <c r="U36" s="19"/>
      <c r="V36" s="19"/>
      <c r="W36" s="19"/>
      <c r="X36" s="19"/>
      <c r="Y36" s="19"/>
      <c r="Z36" s="19"/>
      <c r="AA36" s="19"/>
      <c r="AB36" s="19"/>
      <c r="AC36" s="19"/>
      <c r="AD36" s="19"/>
      <c r="AE36" s="19"/>
      <c r="AF36" s="19"/>
      <c r="AG36" s="19"/>
    </row>
    <row r="37" spans="1:33">
      <c r="A37" t="s">
        <v>109</v>
      </c>
      <c r="C37" t="s">
        <v>74</v>
      </c>
      <c r="K37" s="19" t="s">
        <v>222</v>
      </c>
      <c r="L37" s="19"/>
      <c r="M37" s="19" t="s">
        <v>220</v>
      </c>
      <c r="N37" s="19"/>
      <c r="O37" s="19"/>
      <c r="P37" s="19" t="s">
        <v>222</v>
      </c>
      <c r="Q37" s="19"/>
      <c r="R37" s="19" t="s">
        <v>161</v>
      </c>
      <c r="S37" s="19"/>
      <c r="T37" s="19"/>
      <c r="U37" s="19"/>
      <c r="V37" s="19"/>
      <c r="W37" s="19"/>
      <c r="X37" s="19"/>
      <c r="Y37" s="19"/>
      <c r="Z37" s="19"/>
      <c r="AA37" s="19"/>
      <c r="AB37" s="19"/>
      <c r="AC37" s="19"/>
      <c r="AD37" s="19"/>
      <c r="AE37" s="19"/>
      <c r="AF37" s="19"/>
      <c r="AG37" s="19"/>
    </row>
    <row r="38" spans="1:33">
      <c r="A38" t="s">
        <v>9</v>
      </c>
      <c r="B38" t="s">
        <v>10</v>
      </c>
      <c r="K38" s="19" t="s">
        <v>223</v>
      </c>
      <c r="L38" s="19"/>
      <c r="M38" s="19"/>
      <c r="N38" s="19"/>
      <c r="O38" s="19"/>
      <c r="P38" s="19" t="s">
        <v>223</v>
      </c>
      <c r="Q38" s="19"/>
      <c r="R38" s="19"/>
      <c r="S38" s="19"/>
      <c r="T38" s="19"/>
      <c r="U38" s="19"/>
      <c r="V38" s="19"/>
      <c r="W38" s="19"/>
      <c r="X38" s="19"/>
      <c r="Y38" s="19"/>
      <c r="Z38" s="19"/>
      <c r="AA38" s="19"/>
      <c r="AB38" s="19"/>
      <c r="AC38" s="19"/>
      <c r="AD38" s="19"/>
      <c r="AE38" s="19"/>
      <c r="AF38" s="19"/>
      <c r="AG38" s="19"/>
    </row>
    <row r="39" spans="1:33">
      <c r="A39" t="s">
        <v>18</v>
      </c>
      <c r="B39" t="s">
        <v>18</v>
      </c>
      <c r="C39" t="s">
        <v>203</v>
      </c>
      <c r="K39" s="19" t="s">
        <v>14</v>
      </c>
      <c r="L39" s="19"/>
      <c r="M39" s="19"/>
      <c r="N39" s="19"/>
      <c r="O39" s="19"/>
      <c r="P39" s="19" t="s">
        <v>14</v>
      </c>
      <c r="Q39" s="19"/>
      <c r="R39" s="19"/>
      <c r="S39" s="19"/>
      <c r="T39" s="19"/>
      <c r="U39" s="19"/>
      <c r="V39" s="19"/>
      <c r="W39" s="19"/>
      <c r="X39" s="19"/>
      <c r="Y39" s="19"/>
      <c r="Z39" s="19"/>
      <c r="AA39" s="19"/>
      <c r="AB39" s="19"/>
      <c r="AC39" s="19"/>
      <c r="AD39" s="19"/>
      <c r="AE39" s="19"/>
      <c r="AF39" s="19"/>
      <c r="AG39" s="19"/>
    </row>
    <row r="40" spans="1:33">
      <c r="A40">
        <v>87.07</v>
      </c>
      <c r="B40">
        <v>79.92</v>
      </c>
      <c r="K40" s="19" t="s">
        <v>224</v>
      </c>
      <c r="L40" s="19"/>
      <c r="M40" s="19" t="s">
        <v>220</v>
      </c>
      <c r="N40" s="19"/>
      <c r="O40" s="19"/>
      <c r="P40" s="19" t="s">
        <v>224</v>
      </c>
      <c r="Q40" s="19"/>
      <c r="R40" s="19" t="s">
        <v>161</v>
      </c>
      <c r="S40" s="19"/>
      <c r="T40" s="19"/>
      <c r="U40" s="19"/>
      <c r="V40" s="19"/>
      <c r="W40" s="19"/>
      <c r="X40" s="19"/>
      <c r="Y40" s="19"/>
      <c r="Z40" s="19"/>
      <c r="AA40" s="19"/>
      <c r="AB40" s="19"/>
      <c r="AC40" s="19"/>
      <c r="AD40" s="19"/>
      <c r="AE40" s="19"/>
      <c r="AF40" s="19"/>
      <c r="AG40" s="19"/>
    </row>
    <row r="41" spans="1:33">
      <c r="A41" t="s">
        <v>19</v>
      </c>
      <c r="B41" t="s">
        <v>19</v>
      </c>
      <c r="K41" s="19"/>
      <c r="L41" s="19"/>
      <c r="M41" s="19"/>
      <c r="N41" s="19"/>
      <c r="O41" s="19"/>
      <c r="P41" s="19"/>
      <c r="Q41" s="19"/>
      <c r="R41" s="19"/>
      <c r="S41" s="19"/>
      <c r="T41" s="19"/>
      <c r="U41" s="19"/>
      <c r="V41" s="19"/>
      <c r="W41" s="19"/>
      <c r="X41" s="19"/>
      <c r="Y41" s="19"/>
      <c r="Z41" s="19"/>
      <c r="AA41" s="19"/>
      <c r="AB41" s="19"/>
      <c r="AC41" s="19"/>
      <c r="AD41" s="19"/>
      <c r="AE41" s="19"/>
      <c r="AF41" s="19"/>
      <c r="AG41" s="19"/>
    </row>
    <row r="42" spans="1:33">
      <c r="A42">
        <v>20.49</v>
      </c>
      <c r="B42">
        <v>6.81</v>
      </c>
    </row>
    <row r="43" spans="1:33">
      <c r="A43" t="s">
        <v>12</v>
      </c>
      <c r="B43" t="s">
        <v>12</v>
      </c>
    </row>
    <row r="44" spans="1:33">
      <c r="A44">
        <v>469</v>
      </c>
      <c r="B44">
        <v>481</v>
      </c>
    </row>
    <row r="46" spans="1:33">
      <c r="A46" t="s">
        <v>82</v>
      </c>
      <c r="B46" t="s">
        <v>158</v>
      </c>
      <c r="C46" t="s">
        <v>203</v>
      </c>
      <c r="D46" t="s">
        <v>89</v>
      </c>
    </row>
    <row r="47" spans="1:33">
      <c r="A47" t="s">
        <v>109</v>
      </c>
    </row>
    <row r="48" spans="1:33">
      <c r="A48" t="s">
        <v>9</v>
      </c>
      <c r="B48" t="s">
        <v>10</v>
      </c>
      <c r="D48" t="s">
        <v>79</v>
      </c>
    </row>
    <row r="49" spans="1:4">
      <c r="A49" t="s">
        <v>18</v>
      </c>
      <c r="B49" t="s">
        <v>18</v>
      </c>
    </row>
    <row r="50" spans="1:4">
      <c r="A50">
        <v>34.93</v>
      </c>
      <c r="B50">
        <v>36.31</v>
      </c>
    </row>
    <row r="51" spans="1:4">
      <c r="A51" t="s">
        <v>19</v>
      </c>
      <c r="B51" t="s">
        <v>19</v>
      </c>
    </row>
    <row r="52" spans="1:4">
      <c r="A52">
        <v>12.34</v>
      </c>
      <c r="B52">
        <v>12.34</v>
      </c>
    </row>
    <row r="53" spans="1:4">
      <c r="A53" t="s">
        <v>213</v>
      </c>
      <c r="B53" t="s">
        <v>12</v>
      </c>
    </row>
    <row r="54" spans="1:4">
      <c r="A54">
        <v>469</v>
      </c>
      <c r="B54">
        <v>481</v>
      </c>
    </row>
    <row r="56" spans="1:4">
      <c r="A56" t="s">
        <v>225</v>
      </c>
      <c r="B56" t="s">
        <v>158</v>
      </c>
      <c r="C56" t="s">
        <v>203</v>
      </c>
      <c r="D56" t="s">
        <v>89</v>
      </c>
    </row>
    <row r="57" spans="1:4">
      <c r="A57" t="s">
        <v>109</v>
      </c>
    </row>
    <row r="58" spans="1:4">
      <c r="A58" t="s">
        <v>9</v>
      </c>
      <c r="B58" t="s">
        <v>10</v>
      </c>
      <c r="D58" t="s">
        <v>79</v>
      </c>
    </row>
    <row r="59" spans="1:4">
      <c r="A59" t="s">
        <v>11</v>
      </c>
      <c r="B59" t="s">
        <v>11</v>
      </c>
    </row>
    <row r="60" spans="1:4">
      <c r="A60">
        <v>44</v>
      </c>
      <c r="B60">
        <v>47</v>
      </c>
    </row>
    <row r="61" spans="1:4">
      <c r="A61" t="s">
        <v>12</v>
      </c>
      <c r="B61" t="s">
        <v>12</v>
      </c>
    </row>
    <row r="62" spans="1:4">
      <c r="A62">
        <v>469</v>
      </c>
      <c r="B62">
        <v>481</v>
      </c>
    </row>
    <row r="64" spans="1:4">
      <c r="A64" t="s">
        <v>161</v>
      </c>
      <c r="B64" t="s">
        <v>6</v>
      </c>
    </row>
    <row r="65" spans="1:4">
      <c r="A65" t="s">
        <v>226</v>
      </c>
    </row>
    <row r="66" spans="1:4">
      <c r="A66" t="s">
        <v>154</v>
      </c>
    </row>
    <row r="67" spans="1:4">
      <c r="A67" t="s">
        <v>9</v>
      </c>
      <c r="B67" t="s">
        <v>10</v>
      </c>
    </row>
    <row r="68" spans="1:4">
      <c r="A68" t="s">
        <v>18</v>
      </c>
      <c r="B68" t="s">
        <v>18</v>
      </c>
    </row>
    <row r="69" spans="1:4">
      <c r="A69">
        <v>72.599999999999994</v>
      </c>
      <c r="B69">
        <v>41.79</v>
      </c>
    </row>
    <row r="70" spans="1:4">
      <c r="A70" t="s">
        <v>19</v>
      </c>
      <c r="B70" t="s">
        <v>19</v>
      </c>
    </row>
    <row r="71" spans="1:4">
      <c r="A71">
        <v>42.81</v>
      </c>
      <c r="B71">
        <v>47.61</v>
      </c>
    </row>
    <row r="72" spans="1:4">
      <c r="A72" t="s">
        <v>213</v>
      </c>
      <c r="B72" t="s">
        <v>12</v>
      </c>
    </row>
    <row r="73" spans="1:4">
      <c r="A73">
        <v>369</v>
      </c>
      <c r="B73">
        <v>337</v>
      </c>
    </row>
    <row r="75" spans="1:4">
      <c r="A75" t="s">
        <v>161</v>
      </c>
      <c r="B75" t="s">
        <v>6</v>
      </c>
    </row>
    <row r="76" spans="1:4">
      <c r="A76" t="s">
        <v>227</v>
      </c>
    </row>
    <row r="77" spans="1:4">
      <c r="A77" t="s">
        <v>154</v>
      </c>
    </row>
    <row r="78" spans="1:4">
      <c r="A78" t="s">
        <v>9</v>
      </c>
      <c r="B78" t="s">
        <v>10</v>
      </c>
      <c r="D78" t="s">
        <v>74</v>
      </c>
    </row>
    <row r="79" spans="1:4">
      <c r="A79" t="s">
        <v>18</v>
      </c>
      <c r="B79" t="s">
        <v>18</v>
      </c>
    </row>
    <row r="80" spans="1:4">
      <c r="A80">
        <v>62.53</v>
      </c>
      <c r="B80">
        <v>61.04</v>
      </c>
    </row>
    <row r="81" spans="1:4">
      <c r="A81" t="s">
        <v>19</v>
      </c>
      <c r="B81" t="s">
        <v>19</v>
      </c>
    </row>
    <row r="82" spans="1:4">
      <c r="A82">
        <v>9.2899999999999991</v>
      </c>
      <c r="B82">
        <v>9.75</v>
      </c>
    </row>
    <row r="83" spans="1:4">
      <c r="A83" t="s">
        <v>213</v>
      </c>
      <c r="B83" t="s">
        <v>12</v>
      </c>
    </row>
    <row r="84" spans="1:4">
      <c r="A84">
        <v>369</v>
      </c>
      <c r="B84">
        <v>337</v>
      </c>
    </row>
    <row r="86" spans="1:4">
      <c r="A86" t="s">
        <v>161</v>
      </c>
      <c r="B86" t="s">
        <v>6</v>
      </c>
    </row>
    <row r="87" spans="1:4">
      <c r="A87" t="s">
        <v>228</v>
      </c>
      <c r="D87" t="s">
        <v>79</v>
      </c>
    </row>
    <row r="88" spans="1:4">
      <c r="A88" t="s">
        <v>154</v>
      </c>
    </row>
    <row r="89" spans="1:4">
      <c r="A89" t="s">
        <v>9</v>
      </c>
      <c r="B89" t="s">
        <v>10</v>
      </c>
    </row>
    <row r="90" spans="1:4">
      <c r="A90" t="s">
        <v>18</v>
      </c>
      <c r="B90" t="s">
        <v>18</v>
      </c>
    </row>
    <row r="91" spans="1:4">
      <c r="A91">
        <v>32.57</v>
      </c>
      <c r="B91">
        <v>31.49</v>
      </c>
    </row>
    <row r="92" spans="1:4">
      <c r="A92" t="s">
        <v>19</v>
      </c>
      <c r="B92" t="s">
        <v>19</v>
      </c>
    </row>
    <row r="93" spans="1:4">
      <c r="A93">
        <v>11.79</v>
      </c>
      <c r="B93">
        <v>12.54</v>
      </c>
    </row>
    <row r="94" spans="1:4">
      <c r="A94" t="s">
        <v>213</v>
      </c>
      <c r="B94" t="s">
        <v>12</v>
      </c>
    </row>
    <row r="95" spans="1:4">
      <c r="A95">
        <v>369</v>
      </c>
      <c r="B95">
        <v>337</v>
      </c>
    </row>
    <row r="98" spans="1:4">
      <c r="A98" t="s">
        <v>161</v>
      </c>
      <c r="B98" t="s">
        <v>6</v>
      </c>
    </row>
    <row r="99" spans="1:4">
      <c r="A99" t="s">
        <v>229</v>
      </c>
      <c r="D99" t="s">
        <v>79</v>
      </c>
    </row>
    <row r="100" spans="1:4">
      <c r="A100" t="s">
        <v>154</v>
      </c>
    </row>
    <row r="101" spans="1:4">
      <c r="A101" t="s">
        <v>9</v>
      </c>
      <c r="B101" t="s">
        <v>10</v>
      </c>
    </row>
    <row r="102" spans="1:4">
      <c r="A102" t="s">
        <v>18</v>
      </c>
      <c r="B102" t="s">
        <v>18</v>
      </c>
    </row>
    <row r="103" spans="1:4">
      <c r="A103">
        <v>1.47</v>
      </c>
      <c r="B103">
        <v>1.31</v>
      </c>
    </row>
    <row r="104" spans="1:4">
      <c r="A104" t="s">
        <v>19</v>
      </c>
      <c r="B104" t="s">
        <v>19</v>
      </c>
    </row>
    <row r="105" spans="1:4">
      <c r="A105">
        <v>1.78</v>
      </c>
      <c r="B105">
        <v>1.73</v>
      </c>
    </row>
    <row r="106" spans="1:4">
      <c r="A106" t="s">
        <v>213</v>
      </c>
      <c r="B106" t="s">
        <v>12</v>
      </c>
    </row>
    <row r="107" spans="1:4">
      <c r="A107">
        <v>369</v>
      </c>
      <c r="B107">
        <v>337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377FC-708B-4449-A6F4-8D723E715378}">
  <dimension ref="A1:D20"/>
  <sheetViews>
    <sheetView workbookViewId="0">
      <selection activeCell="C18" sqref="C18"/>
    </sheetView>
  </sheetViews>
  <sheetFormatPr defaultRowHeight="15.75"/>
  <sheetData>
    <row r="1" spans="1:4">
      <c r="A1" t="s">
        <v>230</v>
      </c>
    </row>
    <row r="2" spans="1:4">
      <c r="A2" t="s">
        <v>154</v>
      </c>
      <c r="B2" t="s">
        <v>89</v>
      </c>
    </row>
    <row r="3" spans="1:4">
      <c r="A3" t="s">
        <v>231</v>
      </c>
      <c r="C3" t="s">
        <v>74</v>
      </c>
    </row>
    <row r="4" spans="1:4">
      <c r="A4" t="s">
        <v>9</v>
      </c>
      <c r="B4" t="s">
        <v>10</v>
      </c>
    </row>
    <row r="5" spans="1:4">
      <c r="A5" t="s">
        <v>18</v>
      </c>
      <c r="B5" t="s">
        <v>18</v>
      </c>
    </row>
    <row r="6" spans="1:4">
      <c r="A6">
        <v>159</v>
      </c>
      <c r="B6">
        <v>168</v>
      </c>
    </row>
    <row r="7" spans="1:4">
      <c r="A7" t="s">
        <v>19</v>
      </c>
      <c r="B7" t="s">
        <v>19</v>
      </c>
    </row>
    <row r="8" spans="1:4">
      <c r="A8">
        <v>154</v>
      </c>
      <c r="B8">
        <v>159</v>
      </c>
    </row>
    <row r="9" spans="1:4">
      <c r="A9" t="s">
        <v>12</v>
      </c>
      <c r="B9" t="s">
        <v>12</v>
      </c>
    </row>
    <row r="10" spans="1:4">
      <c r="A10">
        <v>196</v>
      </c>
      <c r="B10">
        <v>174</v>
      </c>
      <c r="D10" t="s">
        <v>232</v>
      </c>
    </row>
    <row r="12" spans="1:4">
      <c r="A12" t="s">
        <v>154</v>
      </c>
      <c r="B12" t="s">
        <v>89</v>
      </c>
    </row>
    <row r="13" spans="1:4">
      <c r="A13" t="s">
        <v>233</v>
      </c>
    </row>
    <row r="14" spans="1:4">
      <c r="A14" t="s">
        <v>9</v>
      </c>
      <c r="B14" t="s">
        <v>10</v>
      </c>
    </row>
    <row r="15" spans="1:4">
      <c r="A15" t="s">
        <v>18</v>
      </c>
      <c r="B15" t="s">
        <v>18</v>
      </c>
    </row>
    <row r="16" spans="1:4">
      <c r="A16">
        <v>2562</v>
      </c>
      <c r="B16">
        <v>1392</v>
      </c>
    </row>
    <row r="17" spans="1:2">
      <c r="A17" t="s">
        <v>19</v>
      </c>
      <c r="B17" t="s">
        <v>19</v>
      </c>
    </row>
    <row r="18" spans="1:2">
      <c r="A18">
        <v>10180</v>
      </c>
      <c r="B18">
        <v>4250</v>
      </c>
    </row>
    <row r="19" spans="1:2">
      <c r="A19" t="s">
        <v>12</v>
      </c>
      <c r="B19" t="s">
        <v>12</v>
      </c>
    </row>
    <row r="20" spans="1:2">
      <c r="A20">
        <v>196</v>
      </c>
      <c r="B20">
        <v>174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C33C-983D-4FA3-8FFE-D517191B616B}">
  <dimension ref="A1:I29"/>
  <sheetViews>
    <sheetView topLeftCell="A9" workbookViewId="0">
      <selection activeCell="H15" sqref="H15"/>
    </sheetView>
  </sheetViews>
  <sheetFormatPr defaultRowHeight="15.75"/>
  <cols>
    <col min="1" max="1" width="32" customWidth="1"/>
  </cols>
  <sheetData>
    <row r="1" spans="1:9">
      <c r="A1" t="s">
        <v>33</v>
      </c>
    </row>
    <row r="2" spans="1:9">
      <c r="A2" t="s">
        <v>234</v>
      </c>
    </row>
    <row r="3" spans="1:9">
      <c r="A3" t="s">
        <v>235</v>
      </c>
    </row>
    <row r="4" spans="1:9">
      <c r="A4" t="s">
        <v>236</v>
      </c>
      <c r="B4" t="s">
        <v>10</v>
      </c>
      <c r="D4" t="s">
        <v>237</v>
      </c>
      <c r="E4" t="s">
        <v>10</v>
      </c>
      <c r="I4" t="s">
        <v>74</v>
      </c>
    </row>
    <row r="5" spans="1:9">
      <c r="A5" t="s">
        <v>11</v>
      </c>
      <c r="B5" t="s">
        <v>11</v>
      </c>
      <c r="D5" t="s">
        <v>11</v>
      </c>
      <c r="E5" t="s">
        <v>11</v>
      </c>
      <c r="I5" t="s">
        <v>238</v>
      </c>
    </row>
    <row r="6" spans="1:9">
      <c r="A6">
        <f>A8*0.05</f>
        <v>1.1000000000000001</v>
      </c>
      <c r="B6">
        <v>1</v>
      </c>
      <c r="D6">
        <f>D8*0.32</f>
        <v>16.96</v>
      </c>
      <c r="E6">
        <v>1</v>
      </c>
    </row>
    <row r="7" spans="1:9">
      <c r="A7" t="s">
        <v>12</v>
      </c>
      <c r="B7" t="s">
        <v>12</v>
      </c>
      <c r="D7" t="s">
        <v>12</v>
      </c>
      <c r="E7" t="s">
        <v>12</v>
      </c>
      <c r="I7" t="s">
        <v>239</v>
      </c>
    </row>
    <row r="8" spans="1:9">
      <c r="A8">
        <v>22</v>
      </c>
      <c r="B8">
        <v>14</v>
      </c>
      <c r="D8">
        <v>53</v>
      </c>
      <c r="E8">
        <v>14</v>
      </c>
    </row>
    <row r="11" spans="1:9">
      <c r="A11" t="s">
        <v>240</v>
      </c>
      <c r="I11" t="s">
        <v>79</v>
      </c>
    </row>
    <row r="12" spans="1:9">
      <c r="A12" t="s">
        <v>241</v>
      </c>
    </row>
    <row r="13" spans="1:9">
      <c r="A13" t="s">
        <v>236</v>
      </c>
      <c r="B13" t="s">
        <v>10</v>
      </c>
      <c r="D13" t="s">
        <v>237</v>
      </c>
      <c r="E13" t="s">
        <v>10</v>
      </c>
    </row>
    <row r="14" spans="1:9">
      <c r="A14" t="s">
        <v>18</v>
      </c>
      <c r="B14" t="s">
        <v>18</v>
      </c>
      <c r="D14" t="s">
        <v>18</v>
      </c>
      <c r="E14" t="s">
        <v>18</v>
      </c>
    </row>
    <row r="15" spans="1:9">
      <c r="A15">
        <v>2</v>
      </c>
      <c r="B15">
        <v>11.8</v>
      </c>
      <c r="D15">
        <v>9.3000000000000007</v>
      </c>
      <c r="E15">
        <v>11.8</v>
      </c>
    </row>
    <row r="16" spans="1:9">
      <c r="A16" t="s">
        <v>19</v>
      </c>
      <c r="B16" t="s">
        <v>19</v>
      </c>
      <c r="D16" t="s">
        <v>19</v>
      </c>
      <c r="E16" t="s">
        <v>19</v>
      </c>
    </row>
    <row r="17" spans="1:9">
      <c r="A17">
        <v>4.3</v>
      </c>
      <c r="B17">
        <v>18.2</v>
      </c>
      <c r="D17">
        <v>15.3</v>
      </c>
      <c r="E17">
        <v>18.2</v>
      </c>
    </row>
    <row r="18" spans="1:9">
      <c r="A18" t="s">
        <v>213</v>
      </c>
      <c r="B18" t="s">
        <v>12</v>
      </c>
      <c r="D18" t="s">
        <v>213</v>
      </c>
      <c r="E18" t="s">
        <v>12</v>
      </c>
    </row>
    <row r="19" spans="1:9">
      <c r="A19">
        <v>22</v>
      </c>
      <c r="B19">
        <v>21</v>
      </c>
      <c r="D19">
        <v>53</v>
      </c>
      <c r="E19">
        <v>21</v>
      </c>
    </row>
    <row r="21" spans="1:9">
      <c r="A21" t="s">
        <v>240</v>
      </c>
    </row>
    <row r="22" spans="1:9">
      <c r="A22" t="s">
        <v>242</v>
      </c>
    </row>
    <row r="23" spans="1:9">
      <c r="A23" t="s">
        <v>236</v>
      </c>
      <c r="B23" t="s">
        <v>10</v>
      </c>
      <c r="D23" t="s">
        <v>237</v>
      </c>
      <c r="E23" t="s">
        <v>10</v>
      </c>
      <c r="I23" t="s">
        <v>79</v>
      </c>
    </row>
    <row r="24" spans="1:9">
      <c r="A24" t="s">
        <v>18</v>
      </c>
      <c r="B24" t="s">
        <v>18</v>
      </c>
      <c r="D24" t="s">
        <v>18</v>
      </c>
      <c r="E24" t="s">
        <v>18</v>
      </c>
    </row>
    <row r="25" spans="1:9">
      <c r="A25">
        <v>54.7</v>
      </c>
      <c r="B25">
        <v>40.299999999999997</v>
      </c>
      <c r="D25">
        <v>57.3</v>
      </c>
      <c r="E25">
        <v>40.299999999999997</v>
      </c>
    </row>
    <row r="26" spans="1:9">
      <c r="A26" t="s">
        <v>19</v>
      </c>
      <c r="B26" t="s">
        <v>19</v>
      </c>
      <c r="D26" t="s">
        <v>19</v>
      </c>
      <c r="E26" t="s">
        <v>19</v>
      </c>
    </row>
    <row r="27" spans="1:9">
      <c r="A27">
        <v>31.2</v>
      </c>
      <c r="B27">
        <v>29.9</v>
      </c>
      <c r="D27">
        <v>31.5</v>
      </c>
      <c r="E27">
        <v>29.9</v>
      </c>
    </row>
    <row r="28" spans="1:9">
      <c r="A28" t="s">
        <v>213</v>
      </c>
      <c r="B28" t="s">
        <v>12</v>
      </c>
      <c r="D28" t="s">
        <v>213</v>
      </c>
      <c r="E28" t="s">
        <v>12</v>
      </c>
    </row>
    <row r="29" spans="1:9">
      <c r="A29">
        <v>22</v>
      </c>
      <c r="B29">
        <v>21</v>
      </c>
      <c r="D29">
        <v>53</v>
      </c>
      <c r="E29">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6EF2-92F8-4693-8DA2-E8BA8C78D0F9}">
  <dimension ref="A1:D47"/>
  <sheetViews>
    <sheetView topLeftCell="A28" workbookViewId="0">
      <selection activeCell="C46" sqref="C46"/>
    </sheetView>
  </sheetViews>
  <sheetFormatPr defaultRowHeight="15.75"/>
  <sheetData>
    <row r="1" spans="1:4">
      <c r="A1" t="s">
        <v>6</v>
      </c>
    </row>
    <row r="2" spans="1:4">
      <c r="A2" t="s">
        <v>7</v>
      </c>
    </row>
    <row r="3" spans="1:4">
      <c r="A3" t="s">
        <v>8</v>
      </c>
    </row>
    <row r="5" spans="1:4">
      <c r="A5" t="s">
        <v>9</v>
      </c>
      <c r="B5" t="s">
        <v>10</v>
      </c>
    </row>
    <row r="6" spans="1:4">
      <c r="A6" t="s">
        <v>11</v>
      </c>
      <c r="B6" t="s">
        <v>11</v>
      </c>
    </row>
    <row r="7" spans="1:4">
      <c r="A7">
        <f>A9*A11</f>
        <v>10.907999999999999</v>
      </c>
      <c r="B7">
        <f>B9*B11</f>
        <v>11.749000000000001</v>
      </c>
    </row>
    <row r="8" spans="1:4">
      <c r="A8" t="s">
        <v>12</v>
      </c>
      <c r="B8" t="s">
        <v>12</v>
      </c>
    </row>
    <row r="9" spans="1:4">
      <c r="A9">
        <v>36</v>
      </c>
      <c r="B9">
        <v>31</v>
      </c>
    </row>
    <row r="10" spans="1:4">
      <c r="A10" t="s">
        <v>13</v>
      </c>
      <c r="B10" t="s">
        <v>13</v>
      </c>
    </row>
    <row r="11" spans="1:4">
      <c r="A11">
        <v>0.30299999999999999</v>
      </c>
      <c r="B11">
        <v>0.379</v>
      </c>
    </row>
    <row r="13" spans="1:4">
      <c r="A13" t="s">
        <v>14</v>
      </c>
    </row>
    <row r="14" spans="1:4">
      <c r="A14" t="s">
        <v>9</v>
      </c>
      <c r="B14" t="s">
        <v>10</v>
      </c>
    </row>
    <row r="15" spans="1:4">
      <c r="A15" t="s">
        <v>11</v>
      </c>
      <c r="B15" t="s">
        <v>11</v>
      </c>
    </row>
    <row r="16" spans="1:4">
      <c r="A16">
        <f>A18*A20</f>
        <v>20.555999999999997</v>
      </c>
      <c r="B16">
        <f>B18*B20</f>
        <v>17.112000000000002</v>
      </c>
      <c r="D16" t="s">
        <v>15</v>
      </c>
    </row>
    <row r="17" spans="1:2">
      <c r="A17" t="s">
        <v>12</v>
      </c>
      <c r="B17" t="s">
        <v>12</v>
      </c>
    </row>
    <row r="18" spans="1:2">
      <c r="A18">
        <v>36</v>
      </c>
      <c r="B18">
        <v>31</v>
      </c>
    </row>
    <row r="19" spans="1:2">
      <c r="A19" t="s">
        <v>13</v>
      </c>
      <c r="B19" t="s">
        <v>13</v>
      </c>
    </row>
    <row r="20" spans="1:2">
      <c r="A20">
        <v>0.57099999999999995</v>
      </c>
      <c r="B20">
        <v>0.55200000000000005</v>
      </c>
    </row>
    <row r="22" spans="1:2">
      <c r="A22" t="s">
        <v>16</v>
      </c>
    </row>
    <row r="23" spans="1:2">
      <c r="A23" t="s">
        <v>9</v>
      </c>
      <c r="B23" t="s">
        <v>10</v>
      </c>
    </row>
    <row r="24" spans="1:2">
      <c r="A24" t="s">
        <v>11</v>
      </c>
      <c r="B24" t="s">
        <v>11</v>
      </c>
    </row>
    <row r="25" spans="1:2">
      <c r="A25">
        <f>A27*A29</f>
        <v>20.555999999999997</v>
      </c>
      <c r="B25">
        <f>B27*B29</f>
        <v>13.888</v>
      </c>
    </row>
    <row r="26" spans="1:2">
      <c r="A26" t="s">
        <v>12</v>
      </c>
      <c r="B26" t="s">
        <v>12</v>
      </c>
    </row>
    <row r="27" spans="1:2">
      <c r="A27">
        <v>36</v>
      </c>
      <c r="B27">
        <v>31</v>
      </c>
    </row>
    <row r="28" spans="1:2">
      <c r="A28" t="s">
        <v>13</v>
      </c>
      <c r="B28" t="s">
        <v>13</v>
      </c>
    </row>
    <row r="29" spans="1:2">
      <c r="A29">
        <v>0.57099999999999995</v>
      </c>
      <c r="B29">
        <v>0.44800000000000001</v>
      </c>
    </row>
    <row r="31" spans="1:2">
      <c r="A31" t="s">
        <v>17</v>
      </c>
    </row>
    <row r="32" spans="1:2">
      <c r="A32" t="s">
        <v>9</v>
      </c>
      <c r="B32" t="s">
        <v>10</v>
      </c>
    </row>
    <row r="33" spans="1:2">
      <c r="A33" t="s">
        <v>18</v>
      </c>
      <c r="B33" t="s">
        <v>18</v>
      </c>
    </row>
    <row r="34" spans="1:2">
      <c r="A34">
        <v>1.49</v>
      </c>
      <c r="B34">
        <v>2.21</v>
      </c>
    </row>
    <row r="35" spans="1:2">
      <c r="A35" t="s">
        <v>19</v>
      </c>
      <c r="B35" t="s">
        <v>19</v>
      </c>
    </row>
    <row r="36" spans="1:2">
      <c r="A36">
        <v>1.67</v>
      </c>
      <c r="B36">
        <v>2.2400000000000002</v>
      </c>
    </row>
    <row r="37" spans="1:2">
      <c r="A37" t="s">
        <v>12</v>
      </c>
      <c r="B37" t="s">
        <v>12</v>
      </c>
    </row>
    <row r="38" spans="1:2">
      <c r="A38">
        <v>36</v>
      </c>
      <c r="B38">
        <v>31</v>
      </c>
    </row>
    <row r="40" spans="1:2">
      <c r="A40" t="s">
        <v>20</v>
      </c>
    </row>
    <row r="41" spans="1:2">
      <c r="A41" t="s">
        <v>9</v>
      </c>
      <c r="B41" t="s">
        <v>10</v>
      </c>
    </row>
    <row r="42" spans="1:2">
      <c r="A42" t="s">
        <v>18</v>
      </c>
      <c r="B42" t="s">
        <v>18</v>
      </c>
    </row>
    <row r="43" spans="1:2">
      <c r="A43">
        <v>0.71</v>
      </c>
      <c r="B43">
        <v>1.1399999999999999</v>
      </c>
    </row>
    <row r="44" spans="1:2">
      <c r="A44" t="s">
        <v>19</v>
      </c>
      <c r="B44" t="s">
        <v>19</v>
      </c>
    </row>
    <row r="45" spans="1:2">
      <c r="A45">
        <v>1.02</v>
      </c>
      <c r="B45">
        <v>1.25</v>
      </c>
    </row>
    <row r="46" spans="1:2">
      <c r="A46" t="s">
        <v>12</v>
      </c>
      <c r="B46" t="s">
        <v>12</v>
      </c>
    </row>
    <row r="47" spans="1:2">
      <c r="A47">
        <v>36</v>
      </c>
      <c r="B47">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FCB85-6091-44A5-A02B-94AB4EE56E96}">
  <dimension ref="A1"/>
  <sheetViews>
    <sheetView workbookViewId="0">
      <selection activeCell="P17" sqref="P17"/>
    </sheetView>
  </sheetViews>
  <sheetFormatPr defaultRowHeight="15.7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4DE9F-28ED-4D3F-B0AF-5A39393BF843}">
  <dimension ref="A1:A3"/>
  <sheetViews>
    <sheetView workbookViewId="0">
      <selection activeCell="A4" sqref="A4"/>
    </sheetView>
  </sheetViews>
  <sheetFormatPr defaultRowHeight="15.75"/>
  <sheetData>
    <row r="1" spans="1:1">
      <c r="A1" t="s">
        <v>243</v>
      </c>
    </row>
    <row r="2" spans="1:1">
      <c r="A2" t="s">
        <v>244</v>
      </c>
    </row>
    <row r="3" spans="1:1">
      <c r="A3" t="s">
        <v>245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6706-1E4A-440B-9770-24550ADBF0B4}">
  <dimension ref="A1"/>
  <sheetViews>
    <sheetView workbookViewId="0">
      <selection activeCell="A2" sqref="A2"/>
    </sheetView>
  </sheetViews>
  <sheetFormatPr defaultRowHeight="15.75"/>
  <sheetData>
    <row r="1" spans="1:1">
      <c r="A1" t="s">
        <v>246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2F2DA-333D-3F4D-9337-86A79BD634EF}">
  <dimension ref="A1:C26"/>
  <sheetViews>
    <sheetView workbookViewId="0">
      <selection activeCell="A2" sqref="A2"/>
    </sheetView>
  </sheetViews>
  <sheetFormatPr defaultColWidth="11" defaultRowHeight="15.95"/>
  <sheetData>
    <row r="1" spans="1:3">
      <c r="A1" t="s">
        <v>247</v>
      </c>
    </row>
    <row r="2" spans="1:3">
      <c r="A2" t="s">
        <v>248</v>
      </c>
    </row>
    <row r="3" spans="1:3">
      <c r="A3" t="s">
        <v>249</v>
      </c>
    </row>
    <row r="4" spans="1:3">
      <c r="A4" t="s">
        <v>250</v>
      </c>
      <c r="C4" t="s">
        <v>121</v>
      </c>
    </row>
    <row r="5" spans="1:3">
      <c r="A5" t="s">
        <v>251</v>
      </c>
      <c r="B5" t="s">
        <v>10</v>
      </c>
    </row>
    <row r="6" spans="1:3">
      <c r="A6">
        <f>3.2*SQRT(264)</f>
        <v>51.993845789670154</v>
      </c>
      <c r="B6">
        <f>3*SQRT(264)</f>
        <v>48.744230427815765</v>
      </c>
    </row>
    <row r="8" spans="1:3">
      <c r="A8" t="s">
        <v>252</v>
      </c>
      <c r="C8" t="s">
        <v>88</v>
      </c>
    </row>
    <row r="9" spans="1:3">
      <c r="A9" t="s">
        <v>251</v>
      </c>
      <c r="B9" t="s">
        <v>10</v>
      </c>
    </row>
    <row r="10" spans="1:3">
      <c r="A10">
        <f>0.22*264</f>
        <v>58.08</v>
      </c>
      <c r="B10">
        <f>0.735*264</f>
        <v>194.04</v>
      </c>
    </row>
    <row r="12" spans="1:3">
      <c r="A12" t="s">
        <v>253</v>
      </c>
      <c r="C12" t="s">
        <v>121</v>
      </c>
    </row>
    <row r="13" spans="1:3">
      <c r="A13" t="s">
        <v>251</v>
      </c>
      <c r="B13" t="s">
        <v>10</v>
      </c>
    </row>
    <row r="14" spans="1:3">
      <c r="A14">
        <f>6.8*SQRT(224)</f>
        <v>101.7730809202512</v>
      </c>
      <c r="B14">
        <f>4.4*SQRT(224)</f>
        <v>65.853170007221379</v>
      </c>
    </row>
    <row r="16" spans="1:3">
      <c r="A16" t="s">
        <v>254</v>
      </c>
      <c r="C16" t="s">
        <v>88</v>
      </c>
    </row>
    <row r="17" spans="1:3">
      <c r="A17" t="s">
        <v>251</v>
      </c>
      <c r="B17" t="s">
        <v>10</v>
      </c>
    </row>
    <row r="18" spans="1:3">
      <c r="A18">
        <f>0.276*224</f>
        <v>61.824000000000005</v>
      </c>
      <c r="B18">
        <f>0.763*224</f>
        <v>170.91200000000001</v>
      </c>
    </row>
    <row r="20" spans="1:3">
      <c r="A20" s="1" t="s">
        <v>255</v>
      </c>
      <c r="B20" s="1"/>
      <c r="C20" t="s">
        <v>121</v>
      </c>
    </row>
    <row r="21" spans="1:3">
      <c r="A21" s="1" t="s">
        <v>251</v>
      </c>
      <c r="B21" s="1" t="s">
        <v>10</v>
      </c>
    </row>
    <row r="22" spans="1:3">
      <c r="A22" s="1">
        <f>10.5*SQRT(156)</f>
        <v>131.14495796636638</v>
      </c>
      <c r="B22" s="1">
        <f>6.6*SQRT(156)</f>
        <v>82.433973578858854</v>
      </c>
    </row>
    <row r="23" spans="1:3">
      <c r="A23" s="1"/>
      <c r="B23" s="1"/>
    </row>
    <row r="24" spans="1:3">
      <c r="A24" s="1" t="s">
        <v>256</v>
      </c>
      <c r="B24" s="1"/>
      <c r="C24" t="s">
        <v>88</v>
      </c>
    </row>
    <row r="25" spans="1:3">
      <c r="A25" s="1" t="s">
        <v>251</v>
      </c>
      <c r="B25" s="1" t="s">
        <v>10</v>
      </c>
    </row>
    <row r="26" spans="1:3">
      <c r="A26" s="1">
        <f>0.333*156</f>
        <v>51.948</v>
      </c>
      <c r="B26" s="1">
        <f>0.801*156</f>
        <v>124.956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F98D1-FE28-4D85-B8FA-F416F65D5E2C}">
  <dimension ref="A1:F14"/>
  <sheetViews>
    <sheetView workbookViewId="0">
      <selection activeCell="B14" sqref="B14"/>
    </sheetView>
  </sheetViews>
  <sheetFormatPr defaultRowHeight="15.75"/>
  <sheetData>
    <row r="1" spans="1:6">
      <c r="A1" t="s">
        <v>257</v>
      </c>
    </row>
    <row r="2" spans="1:6">
      <c r="A2" t="s">
        <v>258</v>
      </c>
    </row>
    <row r="3" spans="1:6">
      <c r="A3" t="s">
        <v>259</v>
      </c>
    </row>
    <row r="4" spans="1:6">
      <c r="A4" t="s">
        <v>9</v>
      </c>
      <c r="B4" t="s">
        <v>10</v>
      </c>
      <c r="D4" t="s">
        <v>79</v>
      </c>
    </row>
    <row r="5" spans="1:6">
      <c r="A5" t="s">
        <v>101</v>
      </c>
      <c r="B5" t="s">
        <v>101</v>
      </c>
    </row>
    <row r="6" spans="1:6">
      <c r="A6">
        <v>3</v>
      </c>
      <c r="B6">
        <v>11</v>
      </c>
    </row>
    <row r="7" spans="1:6">
      <c r="A7" t="s">
        <v>12</v>
      </c>
      <c r="B7" t="s">
        <v>12</v>
      </c>
    </row>
    <row r="8" spans="1:6">
      <c r="A8">
        <v>58</v>
      </c>
      <c r="B8">
        <v>59</v>
      </c>
    </row>
    <row r="11" spans="1:6">
      <c r="A11" t="s">
        <v>260</v>
      </c>
    </row>
    <row r="12" spans="1:6">
      <c r="A12" t="s">
        <v>261</v>
      </c>
    </row>
    <row r="13" spans="1:6">
      <c r="A13" t="s">
        <v>262</v>
      </c>
      <c r="B13" t="s">
        <v>263</v>
      </c>
      <c r="F13" t="s">
        <v>264</v>
      </c>
    </row>
    <row r="14" spans="1:6">
      <c r="A14">
        <v>-1.2729999999999999</v>
      </c>
      <c r="B14">
        <v>0.65959999999999996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3F7AE-0D1C-402B-8E14-05C45476EA40}">
  <dimension ref="A1:A10"/>
  <sheetViews>
    <sheetView workbookViewId="0">
      <selection activeCell="A11" sqref="A11"/>
    </sheetView>
  </sheetViews>
  <sheetFormatPr defaultRowHeight="15.75"/>
  <sheetData>
    <row r="1" spans="1:1">
      <c r="A1" t="s">
        <v>265</v>
      </c>
    </row>
    <row r="2" spans="1:1">
      <c r="A2" t="s">
        <v>266</v>
      </c>
    </row>
    <row r="3" spans="1:1">
      <c r="A3" t="s">
        <v>267</v>
      </c>
    </row>
    <row r="4" spans="1:1">
      <c r="A4" t="s">
        <v>268</v>
      </c>
    </row>
    <row r="5" spans="1:1">
      <c r="A5" t="s">
        <v>154</v>
      </c>
    </row>
    <row r="6" spans="1:1">
      <c r="A6" t="s">
        <v>97</v>
      </c>
    </row>
    <row r="7" spans="1:1">
      <c r="A7" t="s">
        <v>191</v>
      </c>
    </row>
    <row r="8" spans="1:1">
      <c r="A8">
        <v>8.6199999999999999E-2</v>
      </c>
    </row>
    <row r="9" spans="1:1">
      <c r="A9" t="s">
        <v>196</v>
      </c>
    </row>
    <row r="10" spans="1:1">
      <c r="A10">
        <v>0.12</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797BF-3C36-4C3E-96BC-374B75CF4465}">
  <dimension ref="A1:A4"/>
  <sheetViews>
    <sheetView workbookViewId="0">
      <selection activeCell="A5" sqref="A5"/>
    </sheetView>
  </sheetViews>
  <sheetFormatPr defaultRowHeight="15.75"/>
  <sheetData>
    <row r="1" spans="1:1">
      <c r="A1" t="s">
        <v>269</v>
      </c>
    </row>
    <row r="2" spans="1:1">
      <c r="A2" t="s">
        <v>270</v>
      </c>
    </row>
    <row r="3" spans="1:1">
      <c r="A3" t="s">
        <v>271</v>
      </c>
    </row>
    <row r="4" spans="1:1">
      <c r="A4" t="s">
        <v>272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0BB3-E0A8-4B4D-96A5-1EF1E07FDAEE}">
  <dimension ref="A1:C10"/>
  <sheetViews>
    <sheetView workbookViewId="0">
      <selection activeCell="B13" sqref="B13"/>
    </sheetView>
  </sheetViews>
  <sheetFormatPr defaultRowHeight="15.75"/>
  <sheetData>
    <row r="1" spans="1:3">
      <c r="A1" t="s">
        <v>273</v>
      </c>
    </row>
    <row r="2" spans="1:3">
      <c r="A2" t="s">
        <v>274</v>
      </c>
    </row>
    <row r="3" spans="1:3">
      <c r="A3" t="s">
        <v>191</v>
      </c>
      <c r="C3" t="s">
        <v>79</v>
      </c>
    </row>
    <row r="4" spans="1:3">
      <c r="A4">
        <v>-0.755</v>
      </c>
    </row>
    <row r="5" spans="1:3">
      <c r="A5" t="s">
        <v>196</v>
      </c>
    </row>
    <row r="6" spans="1:3">
      <c r="A6">
        <v>0.3221</v>
      </c>
    </row>
    <row r="9" spans="1:3">
      <c r="A9" t="s">
        <v>275</v>
      </c>
    </row>
    <row r="10" spans="1:3">
      <c r="A10" t="s">
        <v>276</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DB8E6-8868-420E-97E7-AFD85FAE29F6}">
  <dimension ref="A1:A5"/>
  <sheetViews>
    <sheetView workbookViewId="0">
      <selection activeCell="G4" sqref="G4"/>
    </sheetView>
  </sheetViews>
  <sheetFormatPr defaultColWidth="8.875" defaultRowHeight="15.95"/>
  <sheetData>
    <row r="1" spans="1:1">
      <c r="A1" t="s">
        <v>277</v>
      </c>
    </row>
    <row r="2" spans="1:1">
      <c r="A2" t="s">
        <v>278</v>
      </c>
    </row>
    <row r="3" spans="1:1">
      <c r="A3" t="s">
        <v>279</v>
      </c>
    </row>
    <row r="4" spans="1:1">
      <c r="A4" t="s">
        <v>74</v>
      </c>
    </row>
    <row r="5" spans="1:1">
      <c r="A5" t="s">
        <v>280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A8959-40B3-4364-83EF-294262239FF8}">
  <dimension ref="A1:H110"/>
  <sheetViews>
    <sheetView zoomScaleNormal="100" workbookViewId="0">
      <selection activeCell="B33" sqref="B33"/>
    </sheetView>
  </sheetViews>
  <sheetFormatPr defaultColWidth="8.875" defaultRowHeight="15.95"/>
  <sheetData>
    <row r="1" spans="1:8">
      <c r="A1" t="s">
        <v>281</v>
      </c>
    </row>
    <row r="2" spans="1:8">
      <c r="A2" t="s">
        <v>282</v>
      </c>
    </row>
    <row r="3" spans="1:8">
      <c r="A3" t="s">
        <v>283</v>
      </c>
    </row>
    <row r="4" spans="1:8">
      <c r="A4" t="s">
        <v>10</v>
      </c>
      <c r="D4" t="s">
        <v>74</v>
      </c>
    </row>
    <row r="5" spans="1:8">
      <c r="A5" t="s">
        <v>9</v>
      </c>
      <c r="B5" t="s">
        <v>10</v>
      </c>
    </row>
    <row r="6" spans="1:8">
      <c r="A6" s="12">
        <v>0.94</v>
      </c>
      <c r="B6" s="12">
        <v>0.87</v>
      </c>
    </row>
    <row r="7" spans="1:8">
      <c r="A7" t="s">
        <v>101</v>
      </c>
      <c r="B7" t="s">
        <v>101</v>
      </c>
    </row>
    <row r="8" spans="1:8">
      <c r="A8">
        <f>A10*A6</f>
        <v>28.2</v>
      </c>
      <c r="B8">
        <f>B10*B6</f>
        <v>24.36</v>
      </c>
    </row>
    <row r="9" spans="1:8">
      <c r="A9" t="s">
        <v>12</v>
      </c>
    </row>
    <row r="10" spans="1:8" s="9" customFormat="1">
      <c r="A10">
        <v>30</v>
      </c>
      <c r="B10">
        <v>28</v>
      </c>
    </row>
    <row r="11" spans="1:8">
      <c r="H11" s="2">
        <v>1</v>
      </c>
    </row>
    <row r="12" spans="1:8">
      <c r="H12" s="2">
        <v>0.99</v>
      </c>
    </row>
    <row r="13" spans="1:8">
      <c r="H13" s="2">
        <v>0.98</v>
      </c>
    </row>
    <row r="14" spans="1:8">
      <c r="H14" s="2">
        <v>0.97</v>
      </c>
    </row>
    <row r="15" spans="1:8">
      <c r="H15" s="2">
        <v>0.96</v>
      </c>
    </row>
    <row r="16" spans="1:8">
      <c r="H16" s="2">
        <v>0.95</v>
      </c>
    </row>
    <row r="17" spans="1:8" s="11" customFormat="1" ht="17.100000000000001" thickBot="1">
      <c r="F17" s="10">
        <v>0.94</v>
      </c>
      <c r="H17" s="10">
        <v>0.94</v>
      </c>
    </row>
    <row r="18" spans="1:8" ht="17.100000000000001" thickTop="1">
      <c r="H18" s="2">
        <v>0.93</v>
      </c>
    </row>
    <row r="19" spans="1:8">
      <c r="A19" t="s">
        <v>82</v>
      </c>
      <c r="H19" s="2">
        <v>0.92</v>
      </c>
    </row>
    <row r="20" spans="1:8">
      <c r="A20" t="s">
        <v>10</v>
      </c>
      <c r="H20" s="2">
        <v>0.91</v>
      </c>
    </row>
    <row r="21" spans="1:8">
      <c r="A21" t="s">
        <v>9</v>
      </c>
      <c r="B21" t="s">
        <v>10</v>
      </c>
      <c r="H21" s="2">
        <v>0.9</v>
      </c>
    </row>
    <row r="22" spans="1:8">
      <c r="A22" s="12">
        <v>0.9</v>
      </c>
      <c r="B22" s="12">
        <v>0.73</v>
      </c>
      <c r="H22" s="2">
        <v>0.89</v>
      </c>
    </row>
    <row r="23" spans="1:8">
      <c r="A23" t="s">
        <v>101</v>
      </c>
      <c r="B23" t="s">
        <v>101</v>
      </c>
      <c r="H23" s="2">
        <v>0.88</v>
      </c>
    </row>
    <row r="24" spans="1:8">
      <c r="A24">
        <f>A26*A22</f>
        <v>27</v>
      </c>
      <c r="B24">
        <f>B26*B22</f>
        <v>20.439999999999998</v>
      </c>
      <c r="F24" s="2">
        <v>0.87</v>
      </c>
      <c r="H24" s="2">
        <v>0.87</v>
      </c>
    </row>
    <row r="25" spans="1:8">
      <c r="A25" t="s">
        <v>12</v>
      </c>
      <c r="F25" s="2"/>
      <c r="H25" s="2">
        <v>0.86</v>
      </c>
    </row>
    <row r="26" spans="1:8">
      <c r="A26">
        <v>30</v>
      </c>
      <c r="B26">
        <v>28</v>
      </c>
      <c r="H26" s="2">
        <v>0.85</v>
      </c>
    </row>
    <row r="27" spans="1:8">
      <c r="H27" s="2">
        <v>0.84</v>
      </c>
    </row>
    <row r="28" spans="1:8">
      <c r="H28" s="2">
        <v>0.83</v>
      </c>
    </row>
    <row r="29" spans="1:8">
      <c r="A29" t="s">
        <v>82</v>
      </c>
      <c r="H29" s="2">
        <v>0.82</v>
      </c>
    </row>
    <row r="30" spans="1:8">
      <c r="A30" t="s">
        <v>10</v>
      </c>
      <c r="H30" s="2">
        <v>0.81</v>
      </c>
    </row>
    <row r="31" spans="1:8">
      <c r="A31" t="s">
        <v>9</v>
      </c>
      <c r="B31" t="s">
        <v>10</v>
      </c>
      <c r="H31" s="2">
        <v>0.8</v>
      </c>
    </row>
    <row r="32" spans="1:8">
      <c r="A32" s="12">
        <v>0.81</v>
      </c>
      <c r="B32" s="12">
        <v>0.63</v>
      </c>
      <c r="H32" s="2">
        <v>0.79</v>
      </c>
    </row>
    <row r="33" spans="1:8">
      <c r="A33" t="s">
        <v>101</v>
      </c>
      <c r="B33" t="s">
        <v>101</v>
      </c>
      <c r="H33" s="2">
        <v>0.78</v>
      </c>
    </row>
    <row r="34" spans="1:8">
      <c r="A34">
        <f>A36*A32</f>
        <v>24.3</v>
      </c>
      <c r="B34">
        <f>B36*B32</f>
        <v>17.64</v>
      </c>
      <c r="H34" s="2">
        <v>0.77</v>
      </c>
    </row>
    <row r="35" spans="1:8">
      <c r="A35" t="s">
        <v>12</v>
      </c>
      <c r="H35" s="2">
        <v>0.76</v>
      </c>
    </row>
    <row r="36" spans="1:8">
      <c r="A36">
        <v>30</v>
      </c>
      <c r="B36">
        <v>28</v>
      </c>
      <c r="H36" s="2">
        <v>0.75</v>
      </c>
    </row>
    <row r="37" spans="1:8">
      <c r="H37" s="2">
        <v>0.74</v>
      </c>
    </row>
    <row r="38" spans="1:8">
      <c r="H38" s="2">
        <v>0.73</v>
      </c>
    </row>
    <row r="39" spans="1:8">
      <c r="H39" s="2">
        <v>0.72</v>
      </c>
    </row>
    <row r="40" spans="1:8">
      <c r="H40" s="2">
        <v>0.71</v>
      </c>
    </row>
    <row r="41" spans="1:8">
      <c r="H41" s="2">
        <v>0.7</v>
      </c>
    </row>
    <row r="42" spans="1:8">
      <c r="H42" s="2">
        <v>0.69</v>
      </c>
    </row>
    <row r="43" spans="1:8">
      <c r="H43" s="2">
        <v>0.68</v>
      </c>
    </row>
    <row r="44" spans="1:8">
      <c r="H44" s="2">
        <v>0.67</v>
      </c>
    </row>
    <row r="45" spans="1:8">
      <c r="H45" s="2">
        <v>0.66</v>
      </c>
    </row>
    <row r="46" spans="1:8">
      <c r="H46" s="2">
        <v>0.65</v>
      </c>
    </row>
    <row r="47" spans="1:8">
      <c r="H47" s="2">
        <v>0.64</v>
      </c>
    </row>
    <row r="48" spans="1:8">
      <c r="H48" s="2">
        <v>0.63</v>
      </c>
    </row>
    <row r="49" spans="8:8">
      <c r="H49" s="2">
        <v>0.62</v>
      </c>
    </row>
    <row r="50" spans="8:8">
      <c r="H50" s="2">
        <v>0.61</v>
      </c>
    </row>
    <row r="51" spans="8:8">
      <c r="H51" s="2">
        <v>0.6</v>
      </c>
    </row>
    <row r="52" spans="8:8">
      <c r="H52" s="2">
        <v>0.59</v>
      </c>
    </row>
    <row r="53" spans="8:8">
      <c r="H53" s="2">
        <v>0.57999999999999996</v>
      </c>
    </row>
    <row r="54" spans="8:8">
      <c r="H54" s="2">
        <v>0.56999999999999995</v>
      </c>
    </row>
    <row r="55" spans="8:8">
      <c r="H55" s="2">
        <v>0.56000000000000005</v>
      </c>
    </row>
    <row r="56" spans="8:8">
      <c r="H56" s="2">
        <v>0.55000000000000004</v>
      </c>
    </row>
    <row r="57" spans="8:8">
      <c r="H57" s="2">
        <v>0.54</v>
      </c>
    </row>
    <row r="58" spans="8:8">
      <c r="H58" s="2">
        <v>0.53</v>
      </c>
    </row>
    <row r="59" spans="8:8">
      <c r="H59" s="2">
        <v>0.52</v>
      </c>
    </row>
    <row r="60" spans="8:8">
      <c r="H60" s="2">
        <v>0.51</v>
      </c>
    </row>
    <row r="61" spans="8:8">
      <c r="H61" s="2">
        <v>0.5</v>
      </c>
    </row>
    <row r="62" spans="8:8">
      <c r="H62" s="2">
        <v>0.49</v>
      </c>
    </row>
    <row r="63" spans="8:8">
      <c r="H63" s="2">
        <v>0.48</v>
      </c>
    </row>
    <row r="64" spans="8:8">
      <c r="H64" s="2">
        <v>0.47</v>
      </c>
    </row>
    <row r="65" spans="8:8">
      <c r="H65" s="2">
        <v>0.46</v>
      </c>
    </row>
    <row r="66" spans="8:8">
      <c r="H66" s="2">
        <v>0.45</v>
      </c>
    </row>
    <row r="67" spans="8:8">
      <c r="H67" s="2">
        <v>0.44</v>
      </c>
    </row>
    <row r="68" spans="8:8">
      <c r="H68" s="2">
        <v>0.42999999999999899</v>
      </c>
    </row>
    <row r="69" spans="8:8">
      <c r="H69" s="2">
        <v>0.41999999999999899</v>
      </c>
    </row>
    <row r="70" spans="8:8">
      <c r="H70" s="2">
        <v>0.40999999999999898</v>
      </c>
    </row>
    <row r="71" spans="8:8">
      <c r="H71" s="2">
        <v>0.39999999999999902</v>
      </c>
    </row>
    <row r="72" spans="8:8">
      <c r="H72" s="2">
        <v>0.38999999999999901</v>
      </c>
    </row>
    <row r="73" spans="8:8">
      <c r="H73" s="2">
        <v>0.37999999999999901</v>
      </c>
    </row>
    <row r="74" spans="8:8">
      <c r="H74" s="2">
        <v>0.369999999999999</v>
      </c>
    </row>
    <row r="75" spans="8:8">
      <c r="H75" s="2">
        <v>0.35999999999999899</v>
      </c>
    </row>
    <row r="76" spans="8:8">
      <c r="H76" s="2">
        <v>0.34999999999999898</v>
      </c>
    </row>
    <row r="77" spans="8:8">
      <c r="H77" s="2">
        <v>0.33999999999999903</v>
      </c>
    </row>
    <row r="78" spans="8:8">
      <c r="H78" s="2">
        <v>0.32999999999999902</v>
      </c>
    </row>
    <row r="79" spans="8:8">
      <c r="H79" s="2">
        <v>0.31999999999999901</v>
      </c>
    </row>
    <row r="80" spans="8:8">
      <c r="H80" s="2">
        <v>0.309999999999999</v>
      </c>
    </row>
    <row r="81" spans="8:8">
      <c r="H81" s="2">
        <v>0.29999999999999899</v>
      </c>
    </row>
    <row r="82" spans="8:8">
      <c r="H82" s="2">
        <v>0.28999999999999898</v>
      </c>
    </row>
    <row r="83" spans="8:8">
      <c r="H83" s="2">
        <v>0.27999999999999903</v>
      </c>
    </row>
    <row r="84" spans="8:8">
      <c r="H84" s="2">
        <v>0.26999999999999902</v>
      </c>
    </row>
    <row r="85" spans="8:8">
      <c r="H85" s="2">
        <v>0.25999999999999901</v>
      </c>
    </row>
    <row r="86" spans="8:8">
      <c r="H86" s="2">
        <v>0.249999999999999</v>
      </c>
    </row>
    <row r="87" spans="8:8">
      <c r="H87" s="2">
        <v>0.23999999999999899</v>
      </c>
    </row>
    <row r="88" spans="8:8">
      <c r="H88" s="2">
        <v>0.22999999999999901</v>
      </c>
    </row>
    <row r="89" spans="8:8">
      <c r="H89" s="2">
        <v>0.219999999999999</v>
      </c>
    </row>
    <row r="90" spans="8:8">
      <c r="H90" s="2">
        <v>0.20999999999999899</v>
      </c>
    </row>
    <row r="91" spans="8:8">
      <c r="H91" s="2">
        <v>0.19999999999999901</v>
      </c>
    </row>
    <row r="92" spans="8:8">
      <c r="H92" s="2">
        <v>0.189999999999999</v>
      </c>
    </row>
    <row r="93" spans="8:8">
      <c r="H93" s="2">
        <v>0.17999999999999899</v>
      </c>
    </row>
    <row r="94" spans="8:8">
      <c r="H94" s="2">
        <v>0.16999999999999901</v>
      </c>
    </row>
    <row r="95" spans="8:8">
      <c r="H95" s="2">
        <v>0.159999999999999</v>
      </c>
    </row>
    <row r="96" spans="8:8">
      <c r="H96" s="2">
        <v>0.149999999999999</v>
      </c>
    </row>
    <row r="97" spans="7:8">
      <c r="H97" s="2">
        <v>0.13999999999999899</v>
      </c>
    </row>
    <row r="98" spans="7:8">
      <c r="G98" s="2">
        <v>0.13</v>
      </c>
      <c r="H98" s="2">
        <v>0.12999999999999901</v>
      </c>
    </row>
    <row r="99" spans="7:8">
      <c r="H99" s="2">
        <v>0.119999999999999</v>
      </c>
    </row>
    <row r="100" spans="7:8">
      <c r="H100" s="2">
        <v>0.109999999999999</v>
      </c>
    </row>
    <row r="101" spans="7:8">
      <c r="H101" s="2">
        <v>9.9999999999999006E-2</v>
      </c>
    </row>
    <row r="102" spans="7:8">
      <c r="H102" s="2">
        <v>8.9999999999998997E-2</v>
      </c>
    </row>
    <row r="103" spans="7:8">
      <c r="H103" s="2">
        <v>7.9999999999999002E-2</v>
      </c>
    </row>
    <row r="104" spans="7:8">
      <c r="H104" s="2">
        <v>6.9999999999998994E-2</v>
      </c>
    </row>
    <row r="105" spans="7:8">
      <c r="G105" s="2">
        <v>0.06</v>
      </c>
      <c r="H105" s="2">
        <v>5.9999999999999103E-2</v>
      </c>
    </row>
    <row r="106" spans="7:8">
      <c r="H106" s="2">
        <v>4.9999999999998997E-2</v>
      </c>
    </row>
    <row r="107" spans="7:8">
      <c r="H107" s="2">
        <v>3.9999999999999002E-2</v>
      </c>
    </row>
    <row r="108" spans="7:8">
      <c r="H108" s="2">
        <v>2.9999999999999E-2</v>
      </c>
    </row>
    <row r="109" spans="7:8">
      <c r="H109" s="2">
        <v>1.9999999999999001E-2</v>
      </c>
    </row>
    <row r="110" spans="7:8" s="9" customFormat="1">
      <c r="H110" s="2">
        <v>9.9999999999990097E-3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4E127-683D-4346-8FBA-4C780B517E86}">
  <dimension ref="A1:A8"/>
  <sheetViews>
    <sheetView workbookViewId="0">
      <selection activeCell="A9" sqref="A9"/>
    </sheetView>
  </sheetViews>
  <sheetFormatPr defaultRowHeight="15.75"/>
  <sheetData>
    <row r="1" spans="1:1">
      <c r="A1" t="s">
        <v>21</v>
      </c>
    </row>
    <row r="2" spans="1:1">
      <c r="A2" t="s">
        <v>22</v>
      </c>
    </row>
    <row r="4" spans="1:1">
      <c r="A4" t="s">
        <v>23</v>
      </c>
    </row>
    <row r="6" spans="1:1">
      <c r="A6" t="s">
        <v>24</v>
      </c>
    </row>
    <row r="8" spans="1:1">
      <c r="A8" t="s">
        <v>25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F15C-3BC8-3F41-BC6E-1717474FC099}">
  <dimension ref="B2:D110"/>
  <sheetViews>
    <sheetView topLeftCell="A145" zoomScaleNormal="100" workbookViewId="0">
      <selection activeCell="A20" sqref="A20:XFD20"/>
    </sheetView>
  </sheetViews>
  <sheetFormatPr defaultColWidth="11" defaultRowHeight="15.95"/>
  <sheetData>
    <row r="2" spans="3:4">
      <c r="D2" s="13"/>
    </row>
    <row r="10" spans="3:4" s="14" customFormat="1">
      <c r="C10" s="15">
        <v>1</v>
      </c>
    </row>
    <row r="11" spans="3:4">
      <c r="C11" s="2">
        <v>0.99</v>
      </c>
    </row>
    <row r="12" spans="3:4">
      <c r="C12" s="2">
        <v>0.98</v>
      </c>
    </row>
    <row r="13" spans="3:4">
      <c r="C13" s="2">
        <v>0.97</v>
      </c>
    </row>
    <row r="14" spans="3:4">
      <c r="C14" s="2">
        <v>0.96</v>
      </c>
    </row>
    <row r="15" spans="3:4">
      <c r="C15" s="2">
        <v>0.95</v>
      </c>
    </row>
    <row r="16" spans="3:4">
      <c r="C16" s="2">
        <v>0.94</v>
      </c>
    </row>
    <row r="17" spans="2:3">
      <c r="C17" s="2">
        <v>0.93</v>
      </c>
    </row>
    <row r="18" spans="2:3">
      <c r="C18" s="2">
        <v>0.92</v>
      </c>
    </row>
    <row r="19" spans="2:3">
      <c r="B19" s="2"/>
      <c r="C19" s="2">
        <v>0.91</v>
      </c>
    </row>
    <row r="20" spans="2:3" s="14" customFormat="1">
      <c r="B20" s="15">
        <v>0.9</v>
      </c>
      <c r="C20" s="15">
        <v>0.9</v>
      </c>
    </row>
    <row r="21" spans="2:3">
      <c r="C21" s="2">
        <v>0.89</v>
      </c>
    </row>
    <row r="22" spans="2:3">
      <c r="C22" s="2">
        <v>0.88</v>
      </c>
    </row>
    <row r="23" spans="2:3">
      <c r="C23" s="2">
        <v>0.87</v>
      </c>
    </row>
    <row r="24" spans="2:3">
      <c r="C24" s="2">
        <v>0.86</v>
      </c>
    </row>
    <row r="25" spans="2:3">
      <c r="C25" s="2">
        <v>0.85</v>
      </c>
    </row>
    <row r="26" spans="2:3">
      <c r="C26" s="2">
        <v>0.84</v>
      </c>
    </row>
    <row r="27" spans="2:3">
      <c r="C27" s="2">
        <v>0.83</v>
      </c>
    </row>
    <row r="28" spans="2:3">
      <c r="C28" s="2">
        <v>0.82</v>
      </c>
    </row>
    <row r="29" spans="2:3">
      <c r="C29" s="2">
        <v>0.81</v>
      </c>
    </row>
    <row r="30" spans="2:3">
      <c r="C30" s="2">
        <v>0.8</v>
      </c>
    </row>
    <row r="31" spans="2:3">
      <c r="C31" s="2">
        <v>0.79</v>
      </c>
    </row>
    <row r="32" spans="2:3">
      <c r="C32" s="2">
        <v>0.78</v>
      </c>
    </row>
    <row r="33" spans="2:3">
      <c r="C33" s="2">
        <v>0.77</v>
      </c>
    </row>
    <row r="34" spans="2:3">
      <c r="C34" s="2">
        <v>0.76</v>
      </c>
    </row>
    <row r="35" spans="2:3">
      <c r="C35" s="2">
        <v>0.75</v>
      </c>
    </row>
    <row r="36" spans="2:3">
      <c r="C36" s="2">
        <v>0.74</v>
      </c>
    </row>
    <row r="37" spans="2:3" s="14" customFormat="1">
      <c r="B37" s="15">
        <v>0.73</v>
      </c>
      <c r="C37" s="15">
        <v>0.73</v>
      </c>
    </row>
    <row r="38" spans="2:3">
      <c r="C38" s="2">
        <v>0.72</v>
      </c>
    </row>
    <row r="39" spans="2:3">
      <c r="C39" s="2">
        <v>0.71</v>
      </c>
    </row>
    <row r="40" spans="2:3">
      <c r="C40" s="2">
        <v>0.7</v>
      </c>
    </row>
    <row r="41" spans="2:3">
      <c r="C41" s="2">
        <v>0.69</v>
      </c>
    </row>
    <row r="42" spans="2:3">
      <c r="C42" s="2">
        <v>0.68</v>
      </c>
    </row>
    <row r="43" spans="2:3">
      <c r="C43" s="2">
        <v>0.67</v>
      </c>
    </row>
    <row r="44" spans="2:3">
      <c r="C44" s="2">
        <v>0.66</v>
      </c>
    </row>
    <row r="45" spans="2:3">
      <c r="C45" s="2">
        <v>0.65</v>
      </c>
    </row>
    <row r="46" spans="2:3">
      <c r="C46" s="2">
        <v>0.64</v>
      </c>
    </row>
    <row r="47" spans="2:3">
      <c r="C47" s="2">
        <v>0.63</v>
      </c>
    </row>
    <row r="48" spans="2:3">
      <c r="C48" s="2">
        <v>0.62</v>
      </c>
    </row>
    <row r="49" spans="3:3">
      <c r="C49" s="2">
        <v>0.61</v>
      </c>
    </row>
    <row r="50" spans="3:3">
      <c r="C50" s="2">
        <v>0.6</v>
      </c>
    </row>
    <row r="51" spans="3:3">
      <c r="C51" s="2">
        <v>0.59</v>
      </c>
    </row>
    <row r="52" spans="3:3">
      <c r="C52" s="2">
        <v>0.57999999999999996</v>
      </c>
    </row>
    <row r="53" spans="3:3">
      <c r="C53" s="2">
        <v>0.56999999999999995</v>
      </c>
    </row>
    <row r="54" spans="3:3">
      <c r="C54" s="2">
        <v>0.56000000000000005</v>
      </c>
    </row>
    <row r="55" spans="3:3">
      <c r="C55" s="2">
        <v>0.55000000000000004</v>
      </c>
    </row>
    <row r="56" spans="3:3">
      <c r="C56" s="2">
        <v>0.54</v>
      </c>
    </row>
    <row r="57" spans="3:3">
      <c r="C57" s="2">
        <v>0.53</v>
      </c>
    </row>
    <row r="58" spans="3:3">
      <c r="C58" s="2">
        <v>0.52</v>
      </c>
    </row>
    <row r="59" spans="3:3">
      <c r="C59" s="2">
        <v>0.51</v>
      </c>
    </row>
    <row r="60" spans="3:3">
      <c r="C60" s="2">
        <v>0.5</v>
      </c>
    </row>
    <row r="61" spans="3:3">
      <c r="C61" s="2">
        <v>0.49</v>
      </c>
    </row>
    <row r="62" spans="3:3">
      <c r="C62" s="2">
        <v>0.48</v>
      </c>
    </row>
    <row r="63" spans="3:3">
      <c r="C63" s="2">
        <v>0.47</v>
      </c>
    </row>
    <row r="64" spans="3:3">
      <c r="C64" s="2">
        <v>0.46</v>
      </c>
    </row>
    <row r="65" spans="3:3">
      <c r="C65" s="2">
        <v>0.45</v>
      </c>
    </row>
    <row r="66" spans="3:3">
      <c r="C66" s="2">
        <v>0.44</v>
      </c>
    </row>
    <row r="67" spans="3:3">
      <c r="C67" s="2">
        <v>0.42999999999999899</v>
      </c>
    </row>
    <row r="68" spans="3:3">
      <c r="C68" s="2">
        <v>0.41999999999999899</v>
      </c>
    </row>
    <row r="69" spans="3:3">
      <c r="C69" s="2">
        <v>0.40999999999999898</v>
      </c>
    </row>
    <row r="70" spans="3:3">
      <c r="C70" s="2">
        <v>0.39999999999999902</v>
      </c>
    </row>
    <row r="71" spans="3:3">
      <c r="C71" s="2">
        <v>0.38999999999999901</v>
      </c>
    </row>
    <row r="72" spans="3:3">
      <c r="C72" s="2">
        <v>0.37999999999999901</v>
      </c>
    </row>
    <row r="73" spans="3:3">
      <c r="C73" s="2">
        <v>0.369999999999999</v>
      </c>
    </row>
    <row r="74" spans="3:3">
      <c r="C74" s="2">
        <v>0.35999999999999899</v>
      </c>
    </row>
    <row r="75" spans="3:3">
      <c r="C75" s="2">
        <v>0.34999999999999898</v>
      </c>
    </row>
    <row r="76" spans="3:3">
      <c r="C76" s="2">
        <v>0.33999999999999903</v>
      </c>
    </row>
    <row r="77" spans="3:3">
      <c r="C77" s="2">
        <v>0.32999999999999902</v>
      </c>
    </row>
    <row r="78" spans="3:3">
      <c r="C78" s="2">
        <v>0.31999999999999901</v>
      </c>
    </row>
    <row r="79" spans="3:3">
      <c r="C79" s="2">
        <v>0.309999999999999</v>
      </c>
    </row>
    <row r="80" spans="3:3">
      <c r="C80" s="2">
        <v>0.29999999999999899</v>
      </c>
    </row>
    <row r="81" spans="3:3">
      <c r="C81" s="2">
        <v>0.28999999999999898</v>
      </c>
    </row>
    <row r="82" spans="3:3">
      <c r="C82" s="2">
        <v>0.27999999999999903</v>
      </c>
    </row>
    <row r="83" spans="3:3">
      <c r="C83" s="2">
        <v>0.26999999999999902</v>
      </c>
    </row>
    <row r="84" spans="3:3">
      <c r="C84" s="2">
        <v>0.25999999999999901</v>
      </c>
    </row>
    <row r="85" spans="3:3">
      <c r="C85" s="2">
        <v>0.249999999999999</v>
      </c>
    </row>
    <row r="86" spans="3:3">
      <c r="C86" s="2">
        <v>0.23999999999999899</v>
      </c>
    </row>
    <row r="87" spans="3:3">
      <c r="C87" s="2">
        <v>0.22999999999999901</v>
      </c>
    </row>
    <row r="88" spans="3:3">
      <c r="C88" s="2">
        <v>0.219999999999999</v>
      </c>
    </row>
    <row r="89" spans="3:3">
      <c r="C89" s="2">
        <v>0.20999999999999899</v>
      </c>
    </row>
    <row r="90" spans="3:3">
      <c r="C90" s="2">
        <v>0.19999999999999901</v>
      </c>
    </row>
    <row r="91" spans="3:3">
      <c r="C91" s="2">
        <v>0.189999999999999</v>
      </c>
    </row>
    <row r="92" spans="3:3">
      <c r="C92" s="2">
        <v>0.17999999999999899</v>
      </c>
    </row>
    <row r="93" spans="3:3">
      <c r="C93" s="2">
        <v>0.16999999999999901</v>
      </c>
    </row>
    <row r="94" spans="3:3">
      <c r="C94" s="2">
        <v>0.159999999999999</v>
      </c>
    </row>
    <row r="95" spans="3:3">
      <c r="C95" s="2">
        <v>0.149999999999999</v>
      </c>
    </row>
    <row r="96" spans="3:3">
      <c r="C96" s="2">
        <v>0.13999999999999899</v>
      </c>
    </row>
    <row r="97" spans="3:3">
      <c r="C97" s="2">
        <v>0.12999999999999901</v>
      </c>
    </row>
    <row r="98" spans="3:3">
      <c r="C98" s="2">
        <v>0.119999999999999</v>
      </c>
    </row>
    <row r="99" spans="3:3">
      <c r="C99" s="2">
        <v>0.109999999999999</v>
      </c>
    </row>
    <row r="100" spans="3:3">
      <c r="C100" s="2">
        <v>9.9999999999999006E-2</v>
      </c>
    </row>
    <row r="101" spans="3:3">
      <c r="C101" s="2">
        <v>8.9999999999998997E-2</v>
      </c>
    </row>
    <row r="102" spans="3:3">
      <c r="C102" s="2">
        <v>7.9999999999999002E-2</v>
      </c>
    </row>
    <row r="103" spans="3:3">
      <c r="C103" s="2">
        <v>6.9999999999998994E-2</v>
      </c>
    </row>
    <row r="104" spans="3:3">
      <c r="C104" s="2">
        <v>5.9999999999999103E-2</v>
      </c>
    </row>
    <row r="105" spans="3:3">
      <c r="C105" s="2">
        <v>4.9999999999998997E-2</v>
      </c>
    </row>
    <row r="106" spans="3:3">
      <c r="C106" s="2">
        <v>3.9999999999999002E-2</v>
      </c>
    </row>
    <row r="107" spans="3:3">
      <c r="C107" s="2">
        <v>2.9999999999999E-2</v>
      </c>
    </row>
    <row r="108" spans="3:3">
      <c r="C108" s="2">
        <v>1.9999999999999001E-2</v>
      </c>
    </row>
    <row r="109" spans="3:3">
      <c r="C109" s="2">
        <v>9.9999999999990097E-3</v>
      </c>
    </row>
    <row r="110" spans="3:3" s="14" customFormat="1">
      <c r="C110" s="15">
        <v>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3133A-529C-3F46-9F40-D6E9C407D19B}">
  <dimension ref="B10:C110"/>
  <sheetViews>
    <sheetView topLeftCell="A23" zoomScaleNormal="100" workbookViewId="0">
      <selection activeCell="B40" sqref="B40"/>
    </sheetView>
  </sheetViews>
  <sheetFormatPr defaultColWidth="11" defaultRowHeight="15.95"/>
  <sheetData>
    <row r="10" spans="3:3" s="14" customFormat="1">
      <c r="C10" s="15">
        <v>1</v>
      </c>
    </row>
    <row r="11" spans="3:3">
      <c r="C11" s="2">
        <v>0.99</v>
      </c>
    </row>
    <row r="12" spans="3:3">
      <c r="C12" s="2">
        <v>0.98</v>
      </c>
    </row>
    <row r="13" spans="3:3">
      <c r="C13" s="2">
        <v>0.97</v>
      </c>
    </row>
    <row r="14" spans="3:3">
      <c r="C14" s="2">
        <v>0.96</v>
      </c>
    </row>
    <row r="15" spans="3:3">
      <c r="C15" s="2">
        <v>0.95</v>
      </c>
    </row>
    <row r="16" spans="3:3">
      <c r="C16" s="2">
        <v>0.94</v>
      </c>
    </row>
    <row r="17" spans="2:3">
      <c r="C17" s="2">
        <v>0.93</v>
      </c>
    </row>
    <row r="18" spans="2:3">
      <c r="C18" s="2">
        <v>0.92</v>
      </c>
    </row>
    <row r="19" spans="2:3">
      <c r="C19" s="2">
        <v>0.91</v>
      </c>
    </row>
    <row r="20" spans="2:3">
      <c r="C20" s="2">
        <v>0.9</v>
      </c>
    </row>
    <row r="21" spans="2:3">
      <c r="C21" s="2">
        <v>0.89</v>
      </c>
    </row>
    <row r="22" spans="2:3">
      <c r="C22" s="2">
        <v>0.88</v>
      </c>
    </row>
    <row r="23" spans="2:3">
      <c r="C23" s="2">
        <v>0.87</v>
      </c>
    </row>
    <row r="24" spans="2:3">
      <c r="C24" s="2">
        <v>0.86</v>
      </c>
    </row>
    <row r="25" spans="2:3">
      <c r="C25" s="2">
        <v>0.85</v>
      </c>
    </row>
    <row r="26" spans="2:3">
      <c r="C26" s="2">
        <v>0.84</v>
      </c>
    </row>
    <row r="27" spans="2:3">
      <c r="C27" s="2">
        <v>0.83</v>
      </c>
    </row>
    <row r="28" spans="2:3">
      <c r="C28" s="2">
        <v>0.82</v>
      </c>
    </row>
    <row r="29" spans="2:3">
      <c r="B29" s="2">
        <v>0.81</v>
      </c>
      <c r="C29" s="2">
        <v>0.81</v>
      </c>
    </row>
    <row r="30" spans="2:3">
      <c r="C30" s="2">
        <v>0.8</v>
      </c>
    </row>
    <row r="31" spans="2:3">
      <c r="C31" s="2">
        <v>0.79</v>
      </c>
    </row>
    <row r="32" spans="2:3">
      <c r="C32" s="2">
        <v>0.78</v>
      </c>
    </row>
    <row r="33" spans="2:3">
      <c r="C33" s="2">
        <v>0.77</v>
      </c>
    </row>
    <row r="34" spans="2:3">
      <c r="C34" s="2">
        <v>0.76</v>
      </c>
    </row>
    <row r="35" spans="2:3">
      <c r="C35" s="2">
        <v>0.75</v>
      </c>
    </row>
    <row r="36" spans="2:3">
      <c r="C36" s="2">
        <v>0.74</v>
      </c>
    </row>
    <row r="37" spans="2:3">
      <c r="C37" s="2">
        <v>0.73</v>
      </c>
    </row>
    <row r="38" spans="2:3">
      <c r="C38" s="2">
        <v>0.72</v>
      </c>
    </row>
    <row r="39" spans="2:3">
      <c r="C39" s="2">
        <v>0.71</v>
      </c>
    </row>
    <row r="40" spans="2:3">
      <c r="C40" s="2">
        <v>0.7</v>
      </c>
    </row>
    <row r="41" spans="2:3">
      <c r="C41" s="2">
        <v>0.69</v>
      </c>
    </row>
    <row r="42" spans="2:3">
      <c r="C42" s="2">
        <v>0.68</v>
      </c>
    </row>
    <row r="43" spans="2:3">
      <c r="C43" s="2">
        <v>0.67</v>
      </c>
    </row>
    <row r="44" spans="2:3">
      <c r="C44" s="2">
        <v>0.66</v>
      </c>
    </row>
    <row r="45" spans="2:3">
      <c r="C45" s="2">
        <v>0.65</v>
      </c>
    </row>
    <row r="46" spans="2:3">
      <c r="C46" s="2">
        <v>0.64</v>
      </c>
    </row>
    <row r="47" spans="2:3">
      <c r="B47" s="2">
        <v>0.63</v>
      </c>
      <c r="C47" s="2">
        <v>0.63</v>
      </c>
    </row>
    <row r="48" spans="2:3">
      <c r="C48" s="2">
        <v>0.62</v>
      </c>
    </row>
    <row r="49" spans="3:3">
      <c r="C49" s="2">
        <v>0.61</v>
      </c>
    </row>
    <row r="50" spans="3:3">
      <c r="C50" s="2">
        <v>0.6</v>
      </c>
    </row>
    <row r="51" spans="3:3">
      <c r="C51" s="2">
        <v>0.59</v>
      </c>
    </row>
    <row r="52" spans="3:3">
      <c r="C52" s="2">
        <v>0.57999999999999996</v>
      </c>
    </row>
    <row r="53" spans="3:3">
      <c r="C53" s="2">
        <v>0.56999999999999995</v>
      </c>
    </row>
    <row r="54" spans="3:3">
      <c r="C54" s="2">
        <v>0.56000000000000005</v>
      </c>
    </row>
    <row r="55" spans="3:3">
      <c r="C55" s="2">
        <v>0.55000000000000004</v>
      </c>
    </row>
    <row r="56" spans="3:3">
      <c r="C56" s="2">
        <v>0.54</v>
      </c>
    </row>
    <row r="57" spans="3:3">
      <c r="C57" s="2">
        <v>0.53</v>
      </c>
    </row>
    <row r="58" spans="3:3">
      <c r="C58" s="2">
        <v>0.52</v>
      </c>
    </row>
    <row r="59" spans="3:3">
      <c r="C59" s="2">
        <v>0.51</v>
      </c>
    </row>
    <row r="60" spans="3:3">
      <c r="C60" s="2">
        <v>0.5</v>
      </c>
    </row>
    <row r="61" spans="3:3">
      <c r="C61" s="2">
        <v>0.49</v>
      </c>
    </row>
    <row r="62" spans="3:3">
      <c r="C62" s="2">
        <v>0.48</v>
      </c>
    </row>
    <row r="63" spans="3:3">
      <c r="C63" s="2">
        <v>0.47</v>
      </c>
    </row>
    <row r="64" spans="3:3">
      <c r="C64" s="2">
        <v>0.46</v>
      </c>
    </row>
    <row r="65" spans="3:3">
      <c r="C65" s="2">
        <v>0.45</v>
      </c>
    </row>
    <row r="66" spans="3:3">
      <c r="C66" s="2">
        <v>0.44</v>
      </c>
    </row>
    <row r="67" spans="3:3">
      <c r="C67" s="2">
        <v>0.42999999999999899</v>
      </c>
    </row>
    <row r="68" spans="3:3">
      <c r="C68" s="2">
        <v>0.41999999999999899</v>
      </c>
    </row>
    <row r="69" spans="3:3">
      <c r="C69" s="2">
        <v>0.40999999999999898</v>
      </c>
    </row>
    <row r="70" spans="3:3">
      <c r="C70" s="2">
        <v>0.39999999999999902</v>
      </c>
    </row>
    <row r="71" spans="3:3">
      <c r="C71" s="2">
        <v>0.38999999999999901</v>
      </c>
    </row>
    <row r="72" spans="3:3">
      <c r="C72" s="2">
        <v>0.37999999999999901</v>
      </c>
    </row>
    <row r="73" spans="3:3">
      <c r="C73" s="2">
        <v>0.369999999999999</v>
      </c>
    </row>
    <row r="74" spans="3:3">
      <c r="C74" s="2">
        <v>0.35999999999999899</v>
      </c>
    </row>
    <row r="75" spans="3:3">
      <c r="C75" s="2">
        <v>0.34999999999999898</v>
      </c>
    </row>
    <row r="76" spans="3:3">
      <c r="C76" s="2">
        <v>0.33999999999999903</v>
      </c>
    </row>
    <row r="77" spans="3:3">
      <c r="C77" s="2">
        <v>0.32999999999999902</v>
      </c>
    </row>
    <row r="78" spans="3:3">
      <c r="C78" s="2">
        <v>0.31999999999999901</v>
      </c>
    </row>
    <row r="79" spans="3:3">
      <c r="C79" s="2">
        <v>0.309999999999999</v>
      </c>
    </row>
    <row r="80" spans="3:3">
      <c r="C80" s="2">
        <v>0.29999999999999899</v>
      </c>
    </row>
    <row r="81" spans="3:3">
      <c r="C81" s="2">
        <v>0.28999999999999898</v>
      </c>
    </row>
    <row r="82" spans="3:3">
      <c r="C82" s="2">
        <v>0.27999999999999903</v>
      </c>
    </row>
    <row r="83" spans="3:3">
      <c r="C83" s="2">
        <v>0.26999999999999902</v>
      </c>
    </row>
    <row r="84" spans="3:3">
      <c r="C84" s="2">
        <v>0.25999999999999901</v>
      </c>
    </row>
    <row r="85" spans="3:3">
      <c r="C85" s="2">
        <v>0.249999999999999</v>
      </c>
    </row>
    <row r="86" spans="3:3">
      <c r="C86" s="2">
        <v>0.23999999999999899</v>
      </c>
    </row>
    <row r="87" spans="3:3">
      <c r="C87" s="2">
        <v>0.22999999999999901</v>
      </c>
    </row>
    <row r="88" spans="3:3">
      <c r="C88" s="2">
        <v>0.219999999999999</v>
      </c>
    </row>
    <row r="89" spans="3:3">
      <c r="C89" s="2">
        <v>0.20999999999999899</v>
      </c>
    </row>
    <row r="90" spans="3:3">
      <c r="C90" s="2">
        <v>0.19999999999999901</v>
      </c>
    </row>
    <row r="91" spans="3:3">
      <c r="C91" s="2">
        <v>0.189999999999999</v>
      </c>
    </row>
    <row r="92" spans="3:3">
      <c r="C92" s="2">
        <v>0.17999999999999899</v>
      </c>
    </row>
    <row r="93" spans="3:3">
      <c r="C93" s="2">
        <v>0.16999999999999901</v>
      </c>
    </row>
    <row r="94" spans="3:3">
      <c r="C94" s="2">
        <v>0.159999999999999</v>
      </c>
    </row>
    <row r="95" spans="3:3">
      <c r="C95" s="2">
        <v>0.149999999999999</v>
      </c>
    </row>
    <row r="96" spans="3:3">
      <c r="C96" s="2">
        <v>0.13999999999999899</v>
      </c>
    </row>
    <row r="97" spans="3:3">
      <c r="C97" s="2">
        <v>0.12999999999999901</v>
      </c>
    </row>
    <row r="98" spans="3:3">
      <c r="C98" s="2">
        <v>0.119999999999999</v>
      </c>
    </row>
    <row r="99" spans="3:3">
      <c r="C99" s="2">
        <v>0.109999999999999</v>
      </c>
    </row>
    <row r="100" spans="3:3">
      <c r="C100" s="2">
        <v>9.9999999999999006E-2</v>
      </c>
    </row>
    <row r="101" spans="3:3">
      <c r="C101" s="2">
        <v>8.9999999999998997E-2</v>
      </c>
    </row>
    <row r="102" spans="3:3">
      <c r="C102" s="2">
        <v>7.9999999999999002E-2</v>
      </c>
    </row>
    <row r="103" spans="3:3">
      <c r="C103" s="2">
        <v>6.9999999999998994E-2</v>
      </c>
    </row>
    <row r="104" spans="3:3">
      <c r="C104" s="2">
        <v>5.9999999999999103E-2</v>
      </c>
    </row>
    <row r="105" spans="3:3">
      <c r="C105" s="2">
        <v>4.9999999999998997E-2</v>
      </c>
    </row>
    <row r="106" spans="3:3">
      <c r="C106" s="2">
        <v>3.9999999999999002E-2</v>
      </c>
    </row>
    <row r="107" spans="3:3">
      <c r="C107" s="2">
        <v>2.9999999999999E-2</v>
      </c>
    </row>
    <row r="108" spans="3:3">
      <c r="C108" s="2">
        <v>1.9999999999999001E-2</v>
      </c>
    </row>
    <row r="109" spans="3:3">
      <c r="C109" s="2">
        <v>9.9999999999990097E-3</v>
      </c>
    </row>
    <row r="110" spans="3:3" s="14" customFormat="1">
      <c r="C110" s="15">
        <v>0</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8A16-CC18-4650-815E-7C8FC84009C7}">
  <dimension ref="A1:B14"/>
  <sheetViews>
    <sheetView workbookViewId="0">
      <selection activeCell="A15" sqref="A15"/>
    </sheetView>
  </sheetViews>
  <sheetFormatPr defaultColWidth="8.875" defaultRowHeight="15.95"/>
  <sheetData>
    <row r="1" spans="1:2">
      <c r="A1" t="s">
        <v>284</v>
      </c>
    </row>
    <row r="2" spans="1:2">
      <c r="A2" t="s">
        <v>285</v>
      </c>
    </row>
    <row r="3" spans="1:2">
      <c r="A3" t="s">
        <v>286</v>
      </c>
    </row>
    <row r="4" spans="1:2">
      <c r="A4" t="s">
        <v>88</v>
      </c>
    </row>
    <row r="5" spans="1:2">
      <c r="A5" t="s">
        <v>251</v>
      </c>
      <c r="B5" t="s">
        <v>10</v>
      </c>
    </row>
    <row r="6" spans="1:2">
      <c r="A6" s="2">
        <v>0.75</v>
      </c>
      <c r="B6">
        <v>34.1</v>
      </c>
    </row>
    <row r="7" spans="1:2">
      <c r="A7" t="s">
        <v>287</v>
      </c>
      <c r="B7" t="s">
        <v>288</v>
      </c>
    </row>
    <row r="8" spans="1:2">
      <c r="A8" t="s">
        <v>289</v>
      </c>
      <c r="B8" t="s">
        <v>290</v>
      </c>
    </row>
    <row r="11" spans="1:2">
      <c r="A11" t="s">
        <v>291</v>
      </c>
    </row>
    <row r="12" spans="1:2">
      <c r="A12" t="s">
        <v>292</v>
      </c>
    </row>
    <row r="13" spans="1:2">
      <c r="A13" t="s">
        <v>121</v>
      </c>
    </row>
    <row r="14" spans="1:2">
      <c r="A14" t="s">
        <v>293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AB45D-7578-40F9-865C-D5FCD05F6957}">
  <dimension ref="A1:A8"/>
  <sheetViews>
    <sheetView workbookViewId="0">
      <selection activeCell="A9" sqref="A9"/>
    </sheetView>
  </sheetViews>
  <sheetFormatPr defaultRowHeight="15.75"/>
  <sheetData>
    <row r="1" spans="1:1">
      <c r="A1" t="s">
        <v>294</v>
      </c>
    </row>
    <row r="2" spans="1:1">
      <c r="A2" t="s">
        <v>115</v>
      </c>
    </row>
    <row r="3" spans="1:1">
      <c r="A3" t="s">
        <v>123</v>
      </c>
    </row>
    <row r="5" spans="1:1">
      <c r="A5" t="s">
        <v>295</v>
      </c>
    </row>
    <row r="6" spans="1:1">
      <c r="A6" t="s">
        <v>296</v>
      </c>
    </row>
    <row r="8" spans="1:1">
      <c r="A8" t="s">
        <v>297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A79D-FFD6-4EFF-B7EA-18B4A7337953}">
  <dimension ref="A1:B31"/>
  <sheetViews>
    <sheetView topLeftCell="A17" workbookViewId="0">
      <selection activeCell="C30" sqref="C30"/>
    </sheetView>
  </sheetViews>
  <sheetFormatPr defaultColWidth="8.875" defaultRowHeight="15.95"/>
  <sheetData>
    <row r="1" spans="1:2">
      <c r="A1" t="s">
        <v>218</v>
      </c>
    </row>
    <row r="2" spans="1:2">
      <c r="A2" t="s">
        <v>298</v>
      </c>
      <c r="B2" t="s">
        <v>38</v>
      </c>
    </row>
    <row r="3" spans="1:2">
      <c r="A3" t="s">
        <v>299</v>
      </c>
      <c r="B3" t="s">
        <v>300</v>
      </c>
    </row>
    <row r="4" spans="1:2">
      <c r="A4" t="s">
        <v>301</v>
      </c>
      <c r="B4" t="s">
        <v>302</v>
      </c>
    </row>
    <row r="5" spans="1:2">
      <c r="A5" t="s">
        <v>19</v>
      </c>
      <c r="B5" t="s">
        <v>19</v>
      </c>
    </row>
    <row r="6" spans="1:2">
      <c r="A6">
        <f>12.3*SQRT(77)</f>
        <v>107.93206196492311</v>
      </c>
      <c r="B6">
        <f>12.5*SQRT(75)</f>
        <v>108.25317547305484</v>
      </c>
    </row>
    <row r="8" spans="1:2">
      <c r="A8" t="s">
        <v>303</v>
      </c>
      <c r="B8" t="s">
        <v>304</v>
      </c>
    </row>
    <row r="9" spans="1:2">
      <c r="A9" t="s">
        <v>73</v>
      </c>
    </row>
    <row r="10" spans="1:2">
      <c r="A10" t="s">
        <v>298</v>
      </c>
      <c r="B10" t="s">
        <v>38</v>
      </c>
    </row>
    <row r="11" spans="1:2">
      <c r="A11" t="s">
        <v>299</v>
      </c>
      <c r="B11" t="s">
        <v>300</v>
      </c>
    </row>
    <row r="12" spans="1:2">
      <c r="A12" t="s">
        <v>305</v>
      </c>
      <c r="B12" t="s">
        <v>305</v>
      </c>
    </row>
    <row r="13" spans="1:2">
      <c r="A13">
        <f>1.9*SQRT(77)</f>
        <v>16.672432336045031</v>
      </c>
      <c r="B13">
        <f>1.9*SQRT(75)</f>
        <v>16.454482671904334</v>
      </c>
    </row>
    <row r="15" spans="1:2">
      <c r="A15" t="s">
        <v>303</v>
      </c>
      <c r="B15" t="s">
        <v>304</v>
      </c>
    </row>
    <row r="16" spans="1:2">
      <c r="A16" t="s">
        <v>306</v>
      </c>
    </row>
    <row r="17" spans="1:2">
      <c r="A17" t="s">
        <v>298</v>
      </c>
      <c r="B17" t="s">
        <v>38</v>
      </c>
    </row>
    <row r="18" spans="1:2">
      <c r="A18" t="s">
        <v>12</v>
      </c>
      <c r="B18" t="s">
        <v>12</v>
      </c>
    </row>
    <row r="19" spans="1:2">
      <c r="A19">
        <v>77</v>
      </c>
      <c r="B19">
        <v>75</v>
      </c>
    </row>
    <row r="20" spans="1:2">
      <c r="A20" t="s">
        <v>58</v>
      </c>
      <c r="B20" t="s">
        <v>58</v>
      </c>
    </row>
    <row r="21" spans="1:2">
      <c r="A21">
        <v>2</v>
      </c>
      <c r="B21">
        <v>2.2000000000000002</v>
      </c>
    </row>
    <row r="22" spans="1:2">
      <c r="A22">
        <f>A21*SQRT(A19)</f>
        <v>17.549928774784245</v>
      </c>
      <c r="B22">
        <f>B21*SQRT(B19)</f>
        <v>19.052558883257653</v>
      </c>
    </row>
    <row r="24" spans="1:2">
      <c r="A24" t="s">
        <v>307</v>
      </c>
    </row>
    <row r="25" spans="1:2">
      <c r="A25" t="s">
        <v>308</v>
      </c>
    </row>
    <row r="26" spans="1:2">
      <c r="A26" t="s">
        <v>298</v>
      </c>
      <c r="B26" t="s">
        <v>38</v>
      </c>
    </row>
    <row r="27" spans="1:2">
      <c r="A27" t="s">
        <v>12</v>
      </c>
      <c r="B27" t="s">
        <v>12</v>
      </c>
    </row>
    <row r="28" spans="1:2">
      <c r="A28">
        <v>77</v>
      </c>
      <c r="B28">
        <v>75</v>
      </c>
    </row>
    <row r="29" spans="1:2">
      <c r="A29" t="s">
        <v>58</v>
      </c>
      <c r="B29" t="s">
        <v>58</v>
      </c>
    </row>
    <row r="30" spans="1:2">
      <c r="A30">
        <v>8.6999999999999993</v>
      </c>
      <c r="B30">
        <v>8.9</v>
      </c>
    </row>
    <row r="31" spans="1:2">
      <c r="A31">
        <f>A30*SQRT(A28)</f>
        <v>76.342190170311454</v>
      </c>
      <c r="B31">
        <f>B30*SQRT(B28)</f>
        <v>77.076260936815046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E9314-64B0-42DB-803B-19B071C08CD3}">
  <dimension ref="A1:E18"/>
  <sheetViews>
    <sheetView workbookViewId="0">
      <selection activeCell="A11" sqref="A11"/>
    </sheetView>
  </sheetViews>
  <sheetFormatPr defaultRowHeight="15.75"/>
  <sheetData>
    <row r="1" spans="1:5">
      <c r="A1" t="s">
        <v>309</v>
      </c>
    </row>
    <row r="2" spans="1:5">
      <c r="A2" t="s">
        <v>310</v>
      </c>
    </row>
    <row r="4" spans="1:5">
      <c r="A4" t="s">
        <v>311</v>
      </c>
      <c r="D4" t="s">
        <v>74</v>
      </c>
    </row>
    <row r="5" spans="1:5">
      <c r="A5" t="s">
        <v>9</v>
      </c>
      <c r="C5" t="s">
        <v>10</v>
      </c>
    </row>
    <row r="6" spans="1:5">
      <c r="A6" t="s">
        <v>101</v>
      </c>
      <c r="C6" t="s">
        <v>101</v>
      </c>
    </row>
    <row r="7" spans="1:5">
      <c r="A7">
        <f>A9*0.73</f>
        <v>100.74</v>
      </c>
      <c r="C7">
        <f>C9*0.52</f>
        <v>99.84</v>
      </c>
    </row>
    <row r="8" spans="1:5">
      <c r="A8" t="s">
        <v>12</v>
      </c>
      <c r="C8" t="s">
        <v>12</v>
      </c>
    </row>
    <row r="9" spans="1:5">
      <c r="A9">
        <v>138</v>
      </c>
      <c r="C9">
        <v>192</v>
      </c>
    </row>
    <row r="10" spans="1:5">
      <c r="A10" s="12"/>
    </row>
    <row r="11" spans="1:5">
      <c r="A11" t="s">
        <v>312</v>
      </c>
      <c r="E11" t="s">
        <v>79</v>
      </c>
    </row>
    <row r="12" spans="1:5">
      <c r="A12" t="s">
        <v>9</v>
      </c>
      <c r="B12" s="2" t="s">
        <v>10</v>
      </c>
    </row>
    <row r="13" spans="1:5">
      <c r="A13" t="s">
        <v>18</v>
      </c>
      <c r="B13" t="s">
        <v>18</v>
      </c>
    </row>
    <row r="14" spans="1:5">
      <c r="A14">
        <v>376</v>
      </c>
      <c r="B14">
        <v>449</v>
      </c>
    </row>
    <row r="15" spans="1:5">
      <c r="A15" s="12" t="s">
        <v>19</v>
      </c>
      <c r="B15" t="s">
        <v>19</v>
      </c>
    </row>
    <row r="16" spans="1:5">
      <c r="A16">
        <v>285.154</v>
      </c>
      <c r="B16">
        <v>288.02210000000002</v>
      </c>
      <c r="D16" t="s">
        <v>313</v>
      </c>
    </row>
    <row r="17" spans="1:2">
      <c r="A17" t="s">
        <v>12</v>
      </c>
      <c r="B17" t="s">
        <v>12</v>
      </c>
    </row>
    <row r="18" spans="1:2">
      <c r="A18">
        <v>138</v>
      </c>
      <c r="B18">
        <v>192</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B257-5160-44CE-ADBA-9845CD9E0B82}">
  <dimension ref="A1:D53"/>
  <sheetViews>
    <sheetView topLeftCell="A25" workbookViewId="0">
      <selection activeCell="A38" sqref="A38"/>
    </sheetView>
  </sheetViews>
  <sheetFormatPr defaultRowHeight="15.75"/>
  <sheetData>
    <row r="1" spans="1:4">
      <c r="A1" t="s">
        <v>314</v>
      </c>
      <c r="B1" t="s">
        <v>89</v>
      </c>
    </row>
    <row r="2" spans="1:4">
      <c r="A2" t="s">
        <v>315</v>
      </c>
    </row>
    <row r="3" spans="1:4">
      <c r="A3" t="s">
        <v>316</v>
      </c>
    </row>
    <row r="5" spans="1:4">
      <c r="A5" t="s">
        <v>9</v>
      </c>
      <c r="B5" t="s">
        <v>10</v>
      </c>
      <c r="D5" t="s">
        <v>74</v>
      </c>
    </row>
    <row r="6" spans="1:4">
      <c r="A6" t="s">
        <v>18</v>
      </c>
      <c r="B6" t="s">
        <v>18</v>
      </c>
    </row>
    <row r="7" spans="1:4">
      <c r="A7">
        <v>70.2</v>
      </c>
      <c r="B7">
        <v>74</v>
      </c>
    </row>
    <row r="8" spans="1:4">
      <c r="A8" t="s">
        <v>19</v>
      </c>
      <c r="B8" t="s">
        <v>19</v>
      </c>
    </row>
    <row r="9" spans="1:4">
      <c r="A9">
        <v>50.8979</v>
      </c>
      <c r="B9">
        <v>53.235700000000001</v>
      </c>
    </row>
    <row r="10" spans="1:4">
      <c r="A10" t="s">
        <v>12</v>
      </c>
      <c r="B10" t="s">
        <v>12</v>
      </c>
    </row>
    <row r="11" spans="1:4">
      <c r="A11">
        <v>91</v>
      </c>
      <c r="B11">
        <v>90</v>
      </c>
      <c r="C11" t="s">
        <v>317</v>
      </c>
    </row>
    <row r="15" spans="1:4">
      <c r="A15" t="s">
        <v>318</v>
      </c>
    </row>
    <row r="17" spans="1:4">
      <c r="A17" t="s">
        <v>97</v>
      </c>
    </row>
    <row r="18" spans="1:4">
      <c r="A18" t="s">
        <v>319</v>
      </c>
      <c r="D18" t="s">
        <v>74</v>
      </c>
    </row>
    <row r="19" spans="1:4">
      <c r="A19" t="s">
        <v>18</v>
      </c>
      <c r="B19" t="s">
        <v>18</v>
      </c>
      <c r="D19" t="s">
        <v>320</v>
      </c>
    </row>
    <row r="20" spans="1:4">
      <c r="A20">
        <v>41.1</v>
      </c>
      <c r="B20">
        <v>39</v>
      </c>
    </row>
    <row r="21" spans="1:4">
      <c r="A21" t="s">
        <v>19</v>
      </c>
      <c r="B21" t="s">
        <v>19</v>
      </c>
    </row>
    <row r="22" spans="1:4">
      <c r="A22">
        <v>9.8435000000000006</v>
      </c>
      <c r="B22">
        <v>10.2652</v>
      </c>
    </row>
    <row r="23" spans="1:4">
      <c r="A23" t="s">
        <v>12</v>
      </c>
      <c r="B23" t="s">
        <v>12</v>
      </c>
    </row>
    <row r="24" spans="1:4">
      <c r="A24">
        <v>91</v>
      </c>
      <c r="B24">
        <v>90</v>
      </c>
    </row>
    <row r="27" spans="1:4">
      <c r="A27" t="s">
        <v>97</v>
      </c>
    </row>
    <row r="28" spans="1:4">
      <c r="A28" t="s">
        <v>321</v>
      </c>
      <c r="D28" t="s">
        <v>79</v>
      </c>
    </row>
    <row r="29" spans="1:4">
      <c r="A29" t="s">
        <v>18</v>
      </c>
      <c r="B29" t="s">
        <v>18</v>
      </c>
      <c r="D29" t="s">
        <v>320</v>
      </c>
    </row>
    <row r="30" spans="1:4">
      <c r="A30">
        <v>0.13</v>
      </c>
      <c r="B30">
        <v>0.09</v>
      </c>
    </row>
    <row r="31" spans="1:4">
      <c r="A31" t="s">
        <v>19</v>
      </c>
      <c r="B31" t="s">
        <v>19</v>
      </c>
    </row>
    <row r="32" spans="1:4">
      <c r="A32">
        <v>0.28810000000000002</v>
      </c>
      <c r="B32">
        <v>0.21490000000000001</v>
      </c>
    </row>
    <row r="33" spans="1:4">
      <c r="A33" t="s">
        <v>12</v>
      </c>
      <c r="B33" t="s">
        <v>12</v>
      </c>
    </row>
    <row r="34" spans="1:4">
      <c r="A34">
        <v>91</v>
      </c>
      <c r="B34">
        <v>90</v>
      </c>
    </row>
    <row r="37" spans="1:4">
      <c r="A37" t="s">
        <v>322</v>
      </c>
    </row>
    <row r="45" spans="1:4">
      <c r="A45" t="s">
        <v>97</v>
      </c>
    </row>
    <row r="46" spans="1:4">
      <c r="A46" t="s">
        <v>82</v>
      </c>
      <c r="D46" t="s">
        <v>74</v>
      </c>
    </row>
    <row r="47" spans="1:4">
      <c r="A47" t="s">
        <v>323</v>
      </c>
      <c r="D47" t="s">
        <v>320</v>
      </c>
    </row>
    <row r="48" spans="1:4">
      <c r="A48" t="s">
        <v>18</v>
      </c>
      <c r="B48" t="s">
        <v>18</v>
      </c>
    </row>
    <row r="49" spans="1:2">
      <c r="A49">
        <v>35.700000000000003</v>
      </c>
      <c r="B49">
        <v>38</v>
      </c>
    </row>
    <row r="50" spans="1:2">
      <c r="A50" t="s">
        <v>19</v>
      </c>
      <c r="B50" t="s">
        <v>19</v>
      </c>
    </row>
    <row r="51" spans="1:2">
      <c r="A51">
        <v>11.764099999999999</v>
      </c>
      <c r="B51">
        <v>11.2201</v>
      </c>
    </row>
    <row r="52" spans="1:2">
      <c r="A52" t="s">
        <v>12</v>
      </c>
      <c r="B52" t="s">
        <v>12</v>
      </c>
    </row>
    <row r="53" spans="1:2">
      <c r="A53">
        <v>91</v>
      </c>
      <c r="B53">
        <v>90</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3FAA1-179F-430C-9504-3F69DF246AFB}">
  <dimension ref="A1:D96"/>
  <sheetViews>
    <sheetView workbookViewId="0">
      <selection activeCell="E8" sqref="E8"/>
    </sheetView>
  </sheetViews>
  <sheetFormatPr defaultRowHeight="15.75"/>
  <sheetData>
    <row r="1" spans="1:4">
      <c r="A1" t="s">
        <v>113</v>
      </c>
    </row>
    <row r="2" spans="1:4">
      <c r="A2" t="s">
        <v>324</v>
      </c>
    </row>
    <row r="3" spans="1:4">
      <c r="A3" t="s">
        <v>154</v>
      </c>
    </row>
    <row r="4" spans="1:4">
      <c r="A4" t="s">
        <v>9</v>
      </c>
      <c r="B4" t="s">
        <v>10</v>
      </c>
      <c r="D4" t="s">
        <v>74</v>
      </c>
    </row>
    <row r="5" spans="1:4">
      <c r="A5" t="s">
        <v>18</v>
      </c>
      <c r="B5" t="s">
        <v>18</v>
      </c>
    </row>
    <row r="6" spans="1:4">
      <c r="A6">
        <v>68.599999999999994</v>
      </c>
      <c r="B6">
        <v>45.2</v>
      </c>
    </row>
    <row r="7" spans="1:4">
      <c r="A7" t="s">
        <v>19</v>
      </c>
      <c r="B7" t="s">
        <v>19</v>
      </c>
    </row>
    <row r="8" spans="1:4">
      <c r="A8">
        <f>A12*SQRT(A10)</f>
        <v>14.587066188922295</v>
      </c>
      <c r="B8">
        <f>B12*SQRT(B10)</f>
        <v>14.118190393956302</v>
      </c>
    </row>
    <row r="9" spans="1:4">
      <c r="A9" t="s">
        <v>12</v>
      </c>
      <c r="B9" t="s">
        <v>12</v>
      </c>
    </row>
    <row r="10" spans="1:4">
      <c r="A10">
        <v>193</v>
      </c>
      <c r="B10">
        <v>57</v>
      </c>
      <c r="D10" t="s">
        <v>325</v>
      </c>
    </row>
    <row r="11" spans="1:4">
      <c r="A11" t="s">
        <v>58</v>
      </c>
      <c r="B11" t="s">
        <v>58</v>
      </c>
    </row>
    <row r="12" spans="1:4">
      <c r="A12">
        <v>1.05</v>
      </c>
      <c r="B12">
        <v>1.87</v>
      </c>
    </row>
    <row r="14" spans="1:4">
      <c r="A14" t="s">
        <v>14</v>
      </c>
    </row>
    <row r="15" spans="1:4">
      <c r="A15" t="s">
        <v>88</v>
      </c>
    </row>
    <row r="16" spans="1:4">
      <c r="A16" t="s">
        <v>9</v>
      </c>
      <c r="B16" t="s">
        <v>10</v>
      </c>
      <c r="D16" t="s">
        <v>74</v>
      </c>
    </row>
    <row r="17" spans="1:4">
      <c r="A17" t="s">
        <v>11</v>
      </c>
      <c r="B17" t="s">
        <v>11</v>
      </c>
    </row>
    <row r="18" spans="1:4">
      <c r="A18">
        <f>A20*A22</f>
        <v>36.67</v>
      </c>
      <c r="B18">
        <f>B20*B22</f>
        <v>10.83</v>
      </c>
    </row>
    <row r="19" spans="1:4">
      <c r="A19" t="s">
        <v>12</v>
      </c>
      <c r="B19" t="s">
        <v>12</v>
      </c>
    </row>
    <row r="20" spans="1:4">
      <c r="A20">
        <v>193</v>
      </c>
      <c r="B20">
        <v>57</v>
      </c>
    </row>
    <row r="21" spans="1:4">
      <c r="A21" t="s">
        <v>326</v>
      </c>
      <c r="B21" t="s">
        <v>326</v>
      </c>
    </row>
    <row r="22" spans="1:4">
      <c r="A22">
        <v>0.19</v>
      </c>
      <c r="B22">
        <v>0.19</v>
      </c>
    </row>
    <row r="24" spans="1:4">
      <c r="A24" t="s">
        <v>327</v>
      </c>
    </row>
    <row r="25" spans="1:4">
      <c r="A25" t="s">
        <v>121</v>
      </c>
    </row>
    <row r="26" spans="1:4">
      <c r="A26" t="s">
        <v>9</v>
      </c>
      <c r="B26" t="s">
        <v>10</v>
      </c>
      <c r="D26" t="s">
        <v>74</v>
      </c>
    </row>
    <row r="27" spans="1:4">
      <c r="A27" t="s">
        <v>18</v>
      </c>
      <c r="B27" t="s">
        <v>18</v>
      </c>
    </row>
    <row r="28" spans="1:4">
      <c r="A28">
        <v>81</v>
      </c>
      <c r="B28">
        <v>103</v>
      </c>
    </row>
    <row r="29" spans="1:4">
      <c r="A29" t="s">
        <v>19</v>
      </c>
      <c r="B29" t="s">
        <v>19</v>
      </c>
    </row>
    <row r="30" spans="1:4">
      <c r="A30">
        <f>A34*SQRT(A32)</f>
        <v>152.81688388394784</v>
      </c>
      <c r="B30">
        <f>B34*SQRT(B32)</f>
        <v>150.99668870541501</v>
      </c>
    </row>
    <row r="31" spans="1:4">
      <c r="A31" t="s">
        <v>12</v>
      </c>
      <c r="B31" t="s">
        <v>12</v>
      </c>
    </row>
    <row r="32" spans="1:4">
      <c r="A32">
        <v>193</v>
      </c>
      <c r="B32">
        <v>57</v>
      </c>
    </row>
    <row r="33" spans="1:4">
      <c r="A33" t="s">
        <v>58</v>
      </c>
      <c r="B33" t="s">
        <v>58</v>
      </c>
    </row>
    <row r="34" spans="1:4">
      <c r="A34">
        <v>11</v>
      </c>
      <c r="B34">
        <v>20</v>
      </c>
    </row>
    <row r="36" spans="1:4">
      <c r="A36" t="s">
        <v>328</v>
      </c>
    </row>
    <row r="37" spans="1:4">
      <c r="A37" t="s">
        <v>121</v>
      </c>
    </row>
    <row r="38" spans="1:4">
      <c r="A38" t="s">
        <v>9</v>
      </c>
      <c r="B38" t="s">
        <v>10</v>
      </c>
      <c r="D38" t="s">
        <v>74</v>
      </c>
    </row>
    <row r="39" spans="1:4">
      <c r="A39" t="s">
        <v>18</v>
      </c>
      <c r="B39" t="s">
        <v>18</v>
      </c>
    </row>
    <row r="40" spans="1:4">
      <c r="A40">
        <v>43.3</v>
      </c>
      <c r="B40">
        <v>43.4</v>
      </c>
    </row>
    <row r="41" spans="1:4">
      <c r="A41" t="s">
        <v>19</v>
      </c>
      <c r="B41" t="s">
        <v>19</v>
      </c>
    </row>
    <row r="42" spans="1:4">
      <c r="A42">
        <f>A46*SQRT(A44)</f>
        <v>3.334186557467953</v>
      </c>
      <c r="B42">
        <f>B46*SQRT(B44)</f>
        <v>3.3219271515191298</v>
      </c>
    </row>
    <row r="43" spans="1:4">
      <c r="A43" t="s">
        <v>12</v>
      </c>
      <c r="B43" t="s">
        <v>12</v>
      </c>
    </row>
    <row r="44" spans="1:4">
      <c r="A44">
        <v>193</v>
      </c>
      <c r="B44">
        <v>57</v>
      </c>
    </row>
    <row r="45" spans="1:4">
      <c r="A45" t="s">
        <v>58</v>
      </c>
      <c r="B45" t="s">
        <v>58</v>
      </c>
    </row>
    <row r="46" spans="1:4">
      <c r="A46">
        <v>0.24</v>
      </c>
      <c r="B46">
        <v>0.44</v>
      </c>
    </row>
    <row r="48" spans="1:4">
      <c r="A48" t="s">
        <v>329</v>
      </c>
    </row>
    <row r="49" spans="1:4">
      <c r="A49" t="s">
        <v>121</v>
      </c>
    </row>
    <row r="50" spans="1:4">
      <c r="A50" t="s">
        <v>9</v>
      </c>
      <c r="B50" t="s">
        <v>10</v>
      </c>
      <c r="D50" t="s">
        <v>74</v>
      </c>
    </row>
    <row r="51" spans="1:4">
      <c r="A51" t="s">
        <v>18</v>
      </c>
      <c r="B51" t="s">
        <v>18</v>
      </c>
    </row>
    <row r="52" spans="1:4">
      <c r="A52">
        <v>40.4</v>
      </c>
      <c r="B52">
        <v>41</v>
      </c>
    </row>
    <row r="53" spans="1:4">
      <c r="A53" t="s">
        <v>19</v>
      </c>
      <c r="B53" t="s">
        <v>19</v>
      </c>
    </row>
    <row r="54" spans="1:4">
      <c r="A54">
        <f>A58*SQRT(A56)</f>
        <v>3.195262117573455</v>
      </c>
      <c r="B54">
        <f>B58*SQRT(B56)</f>
        <v>3.1709304628137147</v>
      </c>
    </row>
    <row r="55" spans="1:4">
      <c r="A55" t="s">
        <v>12</v>
      </c>
      <c r="B55" t="s">
        <v>12</v>
      </c>
    </row>
    <row r="56" spans="1:4">
      <c r="A56">
        <v>193</v>
      </c>
      <c r="B56">
        <v>57</v>
      </c>
    </row>
    <row r="57" spans="1:4">
      <c r="A57" t="s">
        <v>58</v>
      </c>
      <c r="B57" t="s">
        <v>58</v>
      </c>
    </row>
    <row r="58" spans="1:4">
      <c r="A58">
        <v>0.23</v>
      </c>
      <c r="B58">
        <v>0.42</v>
      </c>
    </row>
    <row r="60" spans="1:4">
      <c r="A60" t="s">
        <v>330</v>
      </c>
    </row>
    <row r="61" spans="1:4">
      <c r="A61" t="s">
        <v>121</v>
      </c>
    </row>
    <row r="62" spans="1:4">
      <c r="A62" t="s">
        <v>9</v>
      </c>
      <c r="B62" t="s">
        <v>10</v>
      </c>
      <c r="D62" t="s">
        <v>79</v>
      </c>
    </row>
    <row r="63" spans="1:4">
      <c r="A63" t="s">
        <v>18</v>
      </c>
      <c r="B63" t="s">
        <v>18</v>
      </c>
    </row>
    <row r="64" spans="1:4">
      <c r="A64">
        <v>1.7</v>
      </c>
      <c r="B64">
        <v>1.6</v>
      </c>
    </row>
    <row r="65" spans="1:4">
      <c r="A65" t="s">
        <v>19</v>
      </c>
      <c r="B65" t="s">
        <v>19</v>
      </c>
    </row>
    <row r="66" spans="1:4">
      <c r="A66">
        <f>A70*SQRT(A68)</f>
        <v>1.6670932787339765</v>
      </c>
      <c r="B66">
        <f>B70*SQRT(B68)</f>
        <v>1.7364619201122726</v>
      </c>
    </row>
    <row r="67" spans="1:4">
      <c r="A67" t="s">
        <v>12</v>
      </c>
      <c r="B67" t="s">
        <v>12</v>
      </c>
    </row>
    <row r="68" spans="1:4">
      <c r="A68">
        <v>193</v>
      </c>
      <c r="B68">
        <v>57</v>
      </c>
    </row>
    <row r="69" spans="1:4">
      <c r="A69" t="s">
        <v>58</v>
      </c>
      <c r="B69" t="s">
        <v>58</v>
      </c>
    </row>
    <row r="70" spans="1:4">
      <c r="A70">
        <v>0.12</v>
      </c>
      <c r="B70">
        <v>0.23</v>
      </c>
    </row>
    <row r="72" spans="1:4">
      <c r="A72" t="s">
        <v>331</v>
      </c>
    </row>
    <row r="73" spans="1:4">
      <c r="A73" t="s">
        <v>88</v>
      </c>
    </row>
    <row r="74" spans="1:4">
      <c r="A74" t="s">
        <v>9</v>
      </c>
      <c r="B74" t="s">
        <v>10</v>
      </c>
      <c r="D74" t="s">
        <v>79</v>
      </c>
    </row>
    <row r="75" spans="1:4">
      <c r="A75" t="s">
        <v>11</v>
      </c>
      <c r="B75" t="s">
        <v>11</v>
      </c>
    </row>
    <row r="76" spans="1:4">
      <c r="A76">
        <f>A78*A80</f>
        <v>67.55</v>
      </c>
      <c r="B76">
        <f>B78*B80</f>
        <v>19.95</v>
      </c>
    </row>
    <row r="77" spans="1:4">
      <c r="A77" t="s">
        <v>12</v>
      </c>
      <c r="B77" t="s">
        <v>12</v>
      </c>
    </row>
    <row r="78" spans="1:4">
      <c r="A78">
        <v>193</v>
      </c>
      <c r="B78">
        <v>57</v>
      </c>
    </row>
    <row r="79" spans="1:4">
      <c r="A79" t="s">
        <v>326</v>
      </c>
      <c r="B79" t="s">
        <v>326</v>
      </c>
    </row>
    <row r="80" spans="1:4">
      <c r="A80">
        <v>0.35</v>
      </c>
      <c r="B80">
        <v>0.35</v>
      </c>
    </row>
    <row r="82" spans="1:4">
      <c r="A82" t="s">
        <v>332</v>
      </c>
    </row>
    <row r="83" spans="1:4">
      <c r="A83" t="s">
        <v>121</v>
      </c>
    </row>
    <row r="84" spans="1:4">
      <c r="A84" t="s">
        <v>9</v>
      </c>
      <c r="B84" t="s">
        <v>10</v>
      </c>
      <c r="D84" t="s">
        <v>74</v>
      </c>
    </row>
    <row r="85" spans="1:4">
      <c r="A85" t="s">
        <v>18</v>
      </c>
      <c r="B85" t="s">
        <v>18</v>
      </c>
    </row>
    <row r="86" spans="1:4">
      <c r="A86">
        <v>7.2</v>
      </c>
      <c r="B86">
        <v>7.1</v>
      </c>
    </row>
    <row r="87" spans="1:4">
      <c r="A87" t="s">
        <v>19</v>
      </c>
      <c r="B87" t="s">
        <v>19</v>
      </c>
    </row>
    <row r="88" spans="1:4">
      <c r="A88">
        <f>A92*SQRT(A90)</f>
        <v>1.1113955191559843</v>
      </c>
      <c r="B88">
        <f>B92*SQRT(B90)</f>
        <v>1.1324751652906124</v>
      </c>
    </row>
    <row r="89" spans="1:4">
      <c r="A89" t="s">
        <v>12</v>
      </c>
      <c r="B89" t="s">
        <v>12</v>
      </c>
    </row>
    <row r="90" spans="1:4">
      <c r="A90">
        <v>193</v>
      </c>
      <c r="B90">
        <v>57</v>
      </c>
    </row>
    <row r="91" spans="1:4">
      <c r="A91" t="s">
        <v>58</v>
      </c>
      <c r="B91" t="s">
        <v>58</v>
      </c>
    </row>
    <row r="92" spans="1:4">
      <c r="A92">
        <v>0.08</v>
      </c>
      <c r="B92">
        <v>0.15</v>
      </c>
    </row>
    <row r="96" spans="1:4">
      <c r="A96" t="s">
        <v>333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2022-3C6B-4EAA-9908-3F4262CF412D}">
  <dimension ref="A1:C33"/>
  <sheetViews>
    <sheetView topLeftCell="A17" workbookViewId="0">
      <selection activeCell="C33" sqref="C33"/>
    </sheetView>
  </sheetViews>
  <sheetFormatPr defaultRowHeight="15.75"/>
  <sheetData>
    <row r="1" spans="1:3">
      <c r="A1" t="s">
        <v>334</v>
      </c>
    </row>
    <row r="2" spans="1:3">
      <c r="A2" t="s">
        <v>335</v>
      </c>
    </row>
    <row r="3" spans="1:3">
      <c r="A3" t="s">
        <v>9</v>
      </c>
      <c r="B3" t="s">
        <v>10</v>
      </c>
    </row>
    <row r="4" spans="1:3">
      <c r="A4" t="s">
        <v>18</v>
      </c>
      <c r="B4" t="s">
        <v>18</v>
      </c>
      <c r="C4" t="s">
        <v>74</v>
      </c>
    </row>
    <row r="5" spans="1:3">
      <c r="A5">
        <v>44.3</v>
      </c>
      <c r="B5">
        <v>32.299999999999997</v>
      </c>
    </row>
    <row r="6" spans="1:3">
      <c r="A6" t="s">
        <v>19</v>
      </c>
      <c r="B6" t="s">
        <v>19</v>
      </c>
    </row>
    <row r="7" spans="1:3">
      <c r="A7">
        <v>36</v>
      </c>
      <c r="B7">
        <v>36</v>
      </c>
    </row>
    <row r="8" spans="1:3">
      <c r="A8" t="s">
        <v>12</v>
      </c>
      <c r="B8" t="s">
        <v>12</v>
      </c>
    </row>
    <row r="9" spans="1:3">
      <c r="A9">
        <v>34</v>
      </c>
      <c r="B9">
        <v>35</v>
      </c>
    </row>
    <row r="20" spans="1:3">
      <c r="A20" t="s">
        <v>336</v>
      </c>
    </row>
    <row r="21" spans="1:3">
      <c r="A21" t="s">
        <v>337</v>
      </c>
    </row>
    <row r="22" spans="1:3">
      <c r="A22" t="s">
        <v>268</v>
      </c>
    </row>
    <row r="23" spans="1:3">
      <c r="A23" t="s">
        <v>191</v>
      </c>
    </row>
    <row r="24" spans="1:3">
      <c r="A24">
        <v>0.75</v>
      </c>
      <c r="C24" t="s">
        <v>74</v>
      </c>
    </row>
    <row r="25" spans="1:3">
      <c r="A25" t="s">
        <v>196</v>
      </c>
    </row>
    <row r="26" spans="1:3">
      <c r="A26">
        <v>0.89290000000000003</v>
      </c>
    </row>
    <row r="28" spans="1:3">
      <c r="A28" t="s">
        <v>338</v>
      </c>
    </row>
    <row r="29" spans="1:3">
      <c r="A29" t="s">
        <v>268</v>
      </c>
    </row>
    <row r="30" spans="1:3">
      <c r="A30" t="s">
        <v>191</v>
      </c>
    </row>
    <row r="31" spans="1:3">
      <c r="A31">
        <v>0</v>
      </c>
    </row>
    <row r="32" spans="1:3">
      <c r="A32" t="s">
        <v>196</v>
      </c>
      <c r="C32" t="s">
        <v>74</v>
      </c>
    </row>
    <row r="33" spans="1:1">
      <c r="A33">
        <v>0.21429999999999999</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D04C-E48B-4D90-913B-66192B97DDC7}">
  <dimension ref="A1:A8"/>
  <sheetViews>
    <sheetView workbookViewId="0">
      <selection activeCell="E11" sqref="E11"/>
    </sheetView>
  </sheetViews>
  <sheetFormatPr defaultColWidth="8.875" defaultRowHeight="15.95"/>
  <sheetData>
    <row r="1" spans="1:1">
      <c r="A1" t="s">
        <v>339</v>
      </c>
    </row>
    <row r="2" spans="1:1">
      <c r="A2" t="s">
        <v>340</v>
      </c>
    </row>
    <row r="3" spans="1:1">
      <c r="A3" t="s">
        <v>341</v>
      </c>
    </row>
    <row r="4" spans="1:1">
      <c r="A4" t="s">
        <v>342</v>
      </c>
    </row>
    <row r="5" spans="1:1">
      <c r="A5" t="s">
        <v>343</v>
      </c>
    </row>
    <row r="6" spans="1:1">
      <c r="A6" t="s">
        <v>344</v>
      </c>
    </row>
    <row r="8" spans="1:1">
      <c r="A8" t="s">
        <v>345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3121-C075-43A7-B719-5365F21C88BB}">
  <dimension ref="A1:G17"/>
  <sheetViews>
    <sheetView workbookViewId="0">
      <selection activeCell="G15" sqref="G15"/>
    </sheetView>
  </sheetViews>
  <sheetFormatPr defaultRowHeight="15.75"/>
  <sheetData>
    <row r="1" spans="1:7">
      <c r="A1" t="s">
        <v>26</v>
      </c>
    </row>
    <row r="4" spans="1:7">
      <c r="A4" t="s">
        <v>27</v>
      </c>
    </row>
    <row r="5" spans="1:7">
      <c r="A5" t="s">
        <v>28</v>
      </c>
    </row>
    <row r="6" spans="1:7">
      <c r="A6" s="8" t="s">
        <v>29</v>
      </c>
    </row>
    <row r="7" spans="1:7">
      <c r="A7" s="8"/>
    </row>
    <row r="9" spans="1:7">
      <c r="A9" t="s">
        <v>30</v>
      </c>
      <c r="B9" t="s">
        <v>31</v>
      </c>
    </row>
    <row r="10" spans="1:7">
      <c r="A10" t="s">
        <v>32</v>
      </c>
      <c r="B10" t="s">
        <v>33</v>
      </c>
      <c r="C10" t="s">
        <v>34</v>
      </c>
      <c r="D10" t="s">
        <v>19</v>
      </c>
      <c r="E10" t="s">
        <v>35</v>
      </c>
      <c r="F10" t="s">
        <v>19</v>
      </c>
      <c r="G10" t="s">
        <v>36</v>
      </c>
    </row>
    <row r="11" spans="1:7">
      <c r="A11" t="s">
        <v>37</v>
      </c>
      <c r="C11" s="17">
        <v>182.29</v>
      </c>
      <c r="D11" s="17">
        <v>164.29</v>
      </c>
      <c r="E11" s="17">
        <v>21.81</v>
      </c>
      <c r="F11" s="17">
        <v>59.89</v>
      </c>
      <c r="G11">
        <v>91</v>
      </c>
    </row>
    <row r="12" spans="1:7">
      <c r="A12" t="s">
        <v>38</v>
      </c>
      <c r="C12" s="17">
        <v>220.44</v>
      </c>
      <c r="D12" s="17">
        <v>133.35</v>
      </c>
      <c r="E12" s="17">
        <v>275.92</v>
      </c>
      <c r="F12" s="17">
        <v>112.97</v>
      </c>
      <c r="G12">
        <v>91</v>
      </c>
    </row>
    <row r="14" spans="1:7">
      <c r="A14" t="s">
        <v>30</v>
      </c>
      <c r="B14" t="s">
        <v>39</v>
      </c>
    </row>
    <row r="15" spans="1:7">
      <c r="A15" t="s">
        <v>32</v>
      </c>
      <c r="B15" t="s">
        <v>33</v>
      </c>
      <c r="C15" t="s">
        <v>34</v>
      </c>
      <c r="D15" t="s">
        <v>19</v>
      </c>
      <c r="E15" t="s">
        <v>35</v>
      </c>
      <c r="F15" t="s">
        <v>19</v>
      </c>
      <c r="G15" t="s">
        <v>36</v>
      </c>
    </row>
    <row r="16" spans="1:7">
      <c r="A16" t="s">
        <v>37</v>
      </c>
      <c r="C16" s="17">
        <v>11.93</v>
      </c>
      <c r="D16" s="17">
        <v>24.97</v>
      </c>
      <c r="E16" s="17">
        <v>6.73</v>
      </c>
      <c r="F16" s="17">
        <v>15.76</v>
      </c>
      <c r="G16">
        <v>91</v>
      </c>
    </row>
    <row r="17" spans="1:7">
      <c r="A17" t="s">
        <v>38</v>
      </c>
      <c r="C17" s="17">
        <v>7.18</v>
      </c>
      <c r="D17" s="17">
        <v>20.059999999999999</v>
      </c>
      <c r="E17" s="17">
        <v>12.16</v>
      </c>
      <c r="F17" s="17">
        <v>26.57</v>
      </c>
      <c r="G17">
        <v>91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A949C-E5C8-4013-A886-571780CB10B8}">
  <dimension ref="A1:C17"/>
  <sheetViews>
    <sheetView workbookViewId="0">
      <selection activeCell="C17" sqref="C17"/>
    </sheetView>
  </sheetViews>
  <sheetFormatPr defaultRowHeight="15.75"/>
  <sheetData>
    <row r="1" spans="1:3">
      <c r="A1" t="s">
        <v>346</v>
      </c>
    </row>
    <row r="2" spans="1:3">
      <c r="A2" t="s">
        <v>347</v>
      </c>
    </row>
    <row r="3" spans="1:3">
      <c r="A3" t="s">
        <v>348</v>
      </c>
    </row>
    <row r="5" spans="1:3">
      <c r="A5" t="s">
        <v>349</v>
      </c>
    </row>
    <row r="6" spans="1:3">
      <c r="A6" t="s">
        <v>9</v>
      </c>
      <c r="B6" t="s">
        <v>10</v>
      </c>
      <c r="C6" t="s">
        <v>74</v>
      </c>
    </row>
    <row r="7" spans="1:3">
      <c r="A7" t="s">
        <v>11</v>
      </c>
      <c r="B7" t="s">
        <v>11</v>
      </c>
    </row>
    <row r="8" spans="1:3">
      <c r="A8">
        <f>A10*0.98</f>
        <v>97.02</v>
      </c>
      <c r="B8">
        <f>B10*0.86</f>
        <v>50.74</v>
      </c>
    </row>
    <row r="9" spans="1:3">
      <c r="A9" t="s">
        <v>12</v>
      </c>
      <c r="B9" t="s">
        <v>12</v>
      </c>
    </row>
    <row r="10" spans="1:3">
      <c r="A10">
        <v>99</v>
      </c>
      <c r="B10">
        <v>59</v>
      </c>
    </row>
    <row r="13" spans="1:3">
      <c r="A13" t="s">
        <v>350</v>
      </c>
      <c r="B13" t="s">
        <v>351</v>
      </c>
    </row>
    <row r="14" spans="1:3">
      <c r="A14" t="s">
        <v>191</v>
      </c>
      <c r="C14" t="s">
        <v>74</v>
      </c>
    </row>
    <row r="15" spans="1:3">
      <c r="A15">
        <v>2.12</v>
      </c>
    </row>
    <row r="16" spans="1:3">
      <c r="A16" t="s">
        <v>196</v>
      </c>
    </row>
    <row r="17" spans="1:1">
      <c r="A17">
        <v>0.93500000000000005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2635-52C7-4060-B9E7-12D3568769BA}">
  <dimension ref="A1:D37"/>
  <sheetViews>
    <sheetView workbookViewId="0">
      <selection activeCell="C5" sqref="C5"/>
    </sheetView>
  </sheetViews>
  <sheetFormatPr defaultRowHeight="15.75"/>
  <sheetData>
    <row r="1" spans="1:4">
      <c r="A1" t="s">
        <v>33</v>
      </c>
      <c r="B1" t="s">
        <v>352</v>
      </c>
    </row>
    <row r="2" spans="1:4">
      <c r="A2" t="s">
        <v>308</v>
      </c>
      <c r="C2" t="s">
        <v>353</v>
      </c>
    </row>
    <row r="3" spans="1:4">
      <c r="A3" t="s">
        <v>354</v>
      </c>
    </row>
    <row r="4" spans="1:4">
      <c r="A4" t="s">
        <v>9</v>
      </c>
      <c r="B4" t="s">
        <v>10</v>
      </c>
      <c r="C4" t="s">
        <v>79</v>
      </c>
    </row>
    <row r="5" spans="1:4">
      <c r="A5" t="s">
        <v>18</v>
      </c>
      <c r="B5" t="s">
        <v>18</v>
      </c>
    </row>
    <row r="6" spans="1:4">
      <c r="A6">
        <v>2.89</v>
      </c>
      <c r="B6">
        <v>5.77</v>
      </c>
    </row>
    <row r="7" spans="1:4">
      <c r="A7" t="s">
        <v>19</v>
      </c>
      <c r="B7" t="s">
        <v>19</v>
      </c>
    </row>
    <row r="8" spans="1:4">
      <c r="A8">
        <v>8.56</v>
      </c>
      <c r="B8">
        <v>11</v>
      </c>
    </row>
    <row r="9" spans="1:4">
      <c r="A9" t="s">
        <v>12</v>
      </c>
      <c r="B9" t="s">
        <v>12</v>
      </c>
    </row>
    <row r="10" spans="1:4">
      <c r="A10">
        <v>52</v>
      </c>
      <c r="B10">
        <v>64</v>
      </c>
      <c r="D10" t="s">
        <v>355</v>
      </c>
    </row>
    <row r="12" spans="1:4">
      <c r="A12" t="s">
        <v>356</v>
      </c>
    </row>
    <row r="13" spans="1:4">
      <c r="A13" t="s">
        <v>9</v>
      </c>
      <c r="B13" t="s">
        <v>10</v>
      </c>
      <c r="D13" t="s">
        <v>74</v>
      </c>
    </row>
    <row r="14" spans="1:4">
      <c r="A14" t="s">
        <v>18</v>
      </c>
      <c r="B14" t="s">
        <v>18</v>
      </c>
    </row>
    <row r="15" spans="1:4">
      <c r="A15">
        <v>498</v>
      </c>
      <c r="B15">
        <v>430</v>
      </c>
    </row>
    <row r="16" spans="1:4">
      <c r="A16" t="s">
        <v>19</v>
      </c>
      <c r="B16" t="s">
        <v>19</v>
      </c>
    </row>
    <row r="17" spans="1:4">
      <c r="A17">
        <v>897</v>
      </c>
      <c r="B17">
        <v>938</v>
      </c>
    </row>
    <row r="18" spans="1:4">
      <c r="A18" t="s">
        <v>12</v>
      </c>
      <c r="B18" t="s">
        <v>12</v>
      </c>
    </row>
    <row r="19" spans="1:4">
      <c r="A19">
        <v>52</v>
      </c>
      <c r="B19">
        <v>64</v>
      </c>
    </row>
    <row r="21" spans="1:4">
      <c r="A21" t="s">
        <v>357</v>
      </c>
    </row>
    <row r="22" spans="1:4">
      <c r="A22" t="s">
        <v>9</v>
      </c>
      <c r="B22" t="s">
        <v>10</v>
      </c>
      <c r="D22" t="s">
        <v>79</v>
      </c>
    </row>
    <row r="23" spans="1:4">
      <c r="A23" t="s">
        <v>18</v>
      </c>
      <c r="B23" t="s">
        <v>18</v>
      </c>
    </row>
    <row r="24" spans="1:4">
      <c r="A24">
        <v>0.95</v>
      </c>
      <c r="B24">
        <v>0.89</v>
      </c>
    </row>
    <row r="25" spans="1:4">
      <c r="A25" t="s">
        <v>19</v>
      </c>
      <c r="B25" t="s">
        <v>19</v>
      </c>
    </row>
    <row r="26" spans="1:4">
      <c r="A26">
        <v>0.76</v>
      </c>
      <c r="B26">
        <v>0.65</v>
      </c>
    </row>
    <row r="27" spans="1:4">
      <c r="A27" t="s">
        <v>12</v>
      </c>
      <c r="B27" t="s">
        <v>12</v>
      </c>
    </row>
    <row r="28" spans="1:4">
      <c r="A28">
        <v>52</v>
      </c>
      <c r="B28">
        <v>64</v>
      </c>
    </row>
    <row r="30" spans="1:4">
      <c r="A30" t="s">
        <v>358</v>
      </c>
    </row>
    <row r="31" spans="1:4">
      <c r="A31" t="s">
        <v>9</v>
      </c>
      <c r="B31" t="s">
        <v>10</v>
      </c>
      <c r="D31" t="s">
        <v>79</v>
      </c>
    </row>
    <row r="32" spans="1:4">
      <c r="A32" t="s">
        <v>18</v>
      </c>
      <c r="B32" t="s">
        <v>18</v>
      </c>
    </row>
    <row r="33" spans="1:2">
      <c r="A33">
        <v>2.83</v>
      </c>
      <c r="B33">
        <v>0.95</v>
      </c>
    </row>
    <row r="34" spans="1:2">
      <c r="A34" t="s">
        <v>19</v>
      </c>
      <c r="B34" t="s">
        <v>19</v>
      </c>
    </row>
    <row r="35" spans="1:2">
      <c r="A35">
        <v>9.11</v>
      </c>
      <c r="B35">
        <v>1.98</v>
      </c>
    </row>
    <row r="36" spans="1:2">
      <c r="A36" t="s">
        <v>12</v>
      </c>
      <c r="B36" t="s">
        <v>12</v>
      </c>
    </row>
    <row r="37" spans="1:2">
      <c r="A37">
        <v>52</v>
      </c>
      <c r="B37">
        <v>64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F7E16-82B4-4C34-8FB2-3EB9D6F4493F}">
  <dimension ref="A1:I31"/>
  <sheetViews>
    <sheetView topLeftCell="E15" workbookViewId="0">
      <selection activeCell="M30" sqref="M30"/>
    </sheetView>
  </sheetViews>
  <sheetFormatPr defaultColWidth="8.875" defaultRowHeight="15.95"/>
  <sheetData>
    <row r="1" spans="1:8">
      <c r="A1" t="s">
        <v>359</v>
      </c>
    </row>
    <row r="3" spans="1:8">
      <c r="A3" t="s">
        <v>121</v>
      </c>
    </row>
    <row r="4" spans="1:8">
      <c r="A4" t="s">
        <v>360</v>
      </c>
    </row>
    <row r="5" spans="1:8">
      <c r="A5" t="s">
        <v>6</v>
      </c>
    </row>
    <row r="6" spans="1:8">
      <c r="A6" t="s">
        <v>361</v>
      </c>
    </row>
    <row r="7" spans="1:8">
      <c r="A7" t="s">
        <v>362</v>
      </c>
      <c r="B7" t="s">
        <v>10</v>
      </c>
      <c r="D7" t="s">
        <v>130</v>
      </c>
      <c r="E7" t="s">
        <v>10</v>
      </c>
    </row>
    <row r="8" spans="1:8">
      <c r="A8">
        <v>18.98</v>
      </c>
      <c r="B8">
        <v>16.02</v>
      </c>
      <c r="D8">
        <v>23.7</v>
      </c>
      <c r="E8">
        <v>16.02</v>
      </c>
    </row>
    <row r="9" spans="1:8">
      <c r="A9" t="s">
        <v>363</v>
      </c>
      <c r="B9" t="s">
        <v>364</v>
      </c>
      <c r="D9" t="s">
        <v>365</v>
      </c>
      <c r="E9" t="s">
        <v>364</v>
      </c>
    </row>
    <row r="10" spans="1:8">
      <c r="A10" t="s">
        <v>366</v>
      </c>
    </row>
    <row r="11" spans="1:8">
      <c r="A11" t="s">
        <v>367</v>
      </c>
      <c r="B11" t="s">
        <v>368</v>
      </c>
      <c r="D11" t="s">
        <v>367</v>
      </c>
      <c r="E11" t="s">
        <v>368</v>
      </c>
    </row>
    <row r="12" spans="1:8">
      <c r="A12" t="s">
        <v>369</v>
      </c>
      <c r="D12" t="s">
        <v>370</v>
      </c>
    </row>
    <row r="14" spans="1:8">
      <c r="A14" t="s">
        <v>371</v>
      </c>
    </row>
    <row r="16" spans="1:8">
      <c r="A16" t="s">
        <v>362</v>
      </c>
      <c r="C16" t="s">
        <v>10</v>
      </c>
      <c r="F16" t="s">
        <v>130</v>
      </c>
      <c r="H16" t="s">
        <v>10</v>
      </c>
    </row>
    <row r="17" spans="1:9">
      <c r="A17" t="s">
        <v>18</v>
      </c>
      <c r="B17">
        <v>9.85</v>
      </c>
      <c r="C17" t="s">
        <v>18</v>
      </c>
      <c r="D17">
        <v>11.39</v>
      </c>
      <c r="F17" t="s">
        <v>18</v>
      </c>
      <c r="G17">
        <v>11.49</v>
      </c>
      <c r="H17" t="s">
        <v>18</v>
      </c>
      <c r="I17">
        <v>11.39</v>
      </c>
    </row>
    <row r="18" spans="1:9">
      <c r="A18" t="s">
        <v>19</v>
      </c>
      <c r="B18">
        <v>4.75</v>
      </c>
      <c r="C18" t="s">
        <v>19</v>
      </c>
      <c r="D18">
        <v>5.21</v>
      </c>
      <c r="F18" t="s">
        <v>19</v>
      </c>
      <c r="G18">
        <v>5.73</v>
      </c>
      <c r="H18" t="s">
        <v>19</v>
      </c>
      <c r="I18">
        <v>5.21</v>
      </c>
    </row>
    <row r="19" spans="1:9">
      <c r="A19" t="s">
        <v>366</v>
      </c>
    </row>
    <row r="20" spans="1:9">
      <c r="A20" t="s">
        <v>12</v>
      </c>
      <c r="B20">
        <v>45</v>
      </c>
      <c r="C20" t="s">
        <v>12</v>
      </c>
      <c r="D20">
        <v>22</v>
      </c>
      <c r="F20" t="s">
        <v>12</v>
      </c>
      <c r="G20">
        <v>45</v>
      </c>
      <c r="H20" t="s">
        <v>12</v>
      </c>
      <c r="I20">
        <v>22</v>
      </c>
    </row>
    <row r="21" spans="1:9">
      <c r="A21" t="s">
        <v>369</v>
      </c>
      <c r="F21" t="s">
        <v>370</v>
      </c>
    </row>
    <row r="24" spans="1:9">
      <c r="A24" t="s">
        <v>372</v>
      </c>
    </row>
    <row r="25" spans="1:9">
      <c r="A25" t="s">
        <v>373</v>
      </c>
    </row>
    <row r="26" spans="1:9">
      <c r="A26" t="s">
        <v>362</v>
      </c>
      <c r="C26" t="s">
        <v>10</v>
      </c>
      <c r="F26" t="s">
        <v>130</v>
      </c>
      <c r="H26" t="s">
        <v>10</v>
      </c>
    </row>
    <row r="27" spans="1:9">
      <c r="A27" t="s">
        <v>18</v>
      </c>
      <c r="B27">
        <v>1.28</v>
      </c>
      <c r="C27" t="s">
        <v>18</v>
      </c>
      <c r="D27">
        <v>2.42</v>
      </c>
      <c r="F27" t="s">
        <v>18</v>
      </c>
      <c r="G27">
        <v>1.2</v>
      </c>
      <c r="H27" t="s">
        <v>18</v>
      </c>
      <c r="I27">
        <v>2.42</v>
      </c>
    </row>
    <row r="28" spans="1:9">
      <c r="A28" t="s">
        <v>19</v>
      </c>
      <c r="B28">
        <v>1.24</v>
      </c>
      <c r="C28" t="s">
        <v>19</v>
      </c>
      <c r="D28">
        <v>2.82</v>
      </c>
      <c r="F28" t="s">
        <v>19</v>
      </c>
      <c r="G28">
        <v>1.9</v>
      </c>
      <c r="H28" t="s">
        <v>19</v>
      </c>
      <c r="I28">
        <v>2.82</v>
      </c>
    </row>
    <row r="29" spans="1:9">
      <c r="A29" t="s">
        <v>366</v>
      </c>
    </row>
    <row r="30" spans="1:9">
      <c r="A30" t="s">
        <v>12</v>
      </c>
      <c r="B30">
        <v>45</v>
      </c>
      <c r="C30" t="s">
        <v>12</v>
      </c>
      <c r="D30">
        <v>22</v>
      </c>
      <c r="F30" t="s">
        <v>12</v>
      </c>
      <c r="G30">
        <v>45</v>
      </c>
      <c r="H30" t="s">
        <v>12</v>
      </c>
      <c r="I30">
        <v>22</v>
      </c>
    </row>
    <row r="31" spans="1:9">
      <c r="A31" t="s">
        <v>369</v>
      </c>
      <c r="F31" t="s">
        <v>370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BCA1-3342-49E7-A2F0-478738BB0C38}">
  <dimension ref="A1:G62"/>
  <sheetViews>
    <sheetView topLeftCell="A48" workbookViewId="0">
      <selection activeCell="D63" sqref="D63"/>
    </sheetView>
  </sheetViews>
  <sheetFormatPr defaultColWidth="8.875" defaultRowHeight="15.95"/>
  <sheetData>
    <row r="1" spans="1:7">
      <c r="A1" t="s">
        <v>6</v>
      </c>
    </row>
    <row r="2" spans="1:7">
      <c r="A2" t="s">
        <v>374</v>
      </c>
    </row>
    <row r="3" spans="1:7">
      <c r="A3" t="s">
        <v>375</v>
      </c>
    </row>
    <row r="4" spans="1:7">
      <c r="A4" t="s">
        <v>73</v>
      </c>
    </row>
    <row r="5" spans="1:7">
      <c r="A5" t="s">
        <v>376</v>
      </c>
      <c r="D5" t="s">
        <v>377</v>
      </c>
    </row>
    <row r="6" spans="1:7">
      <c r="A6" t="s">
        <v>378</v>
      </c>
      <c r="B6" t="s">
        <v>10</v>
      </c>
      <c r="D6" t="s">
        <v>379</v>
      </c>
      <c r="E6" t="s">
        <v>10</v>
      </c>
    </row>
    <row r="7" spans="1:7">
      <c r="A7" t="s">
        <v>18</v>
      </c>
      <c r="B7" t="s">
        <v>18</v>
      </c>
      <c r="D7" t="s">
        <v>18</v>
      </c>
      <c r="E7" t="s">
        <v>18</v>
      </c>
    </row>
    <row r="8" spans="1:7">
      <c r="A8">
        <v>8.19</v>
      </c>
      <c r="B8">
        <v>5.0199999999999996</v>
      </c>
      <c r="D8">
        <v>5.77</v>
      </c>
      <c r="E8">
        <v>5.0199999999999996</v>
      </c>
    </row>
    <row r="9" spans="1:7">
      <c r="A9" t="s">
        <v>19</v>
      </c>
      <c r="B9" t="s">
        <v>19</v>
      </c>
      <c r="D9" t="s">
        <v>19</v>
      </c>
      <c r="E9" t="s">
        <v>19</v>
      </c>
    </row>
    <row r="10" spans="1:7">
      <c r="A10">
        <v>9.68</v>
      </c>
      <c r="B10">
        <v>8.6199999999999992</v>
      </c>
      <c r="D10">
        <v>7.42</v>
      </c>
      <c r="E10">
        <v>8.6199999999999992</v>
      </c>
    </row>
    <row r="11" spans="1:7">
      <c r="A11" t="s">
        <v>12</v>
      </c>
      <c r="B11" t="s">
        <v>12</v>
      </c>
      <c r="D11" t="s">
        <v>12</v>
      </c>
      <c r="E11" t="s">
        <v>12</v>
      </c>
    </row>
    <row r="12" spans="1:7">
      <c r="A12">
        <v>46</v>
      </c>
      <c r="B12">
        <v>24</v>
      </c>
      <c r="D12">
        <v>54</v>
      </c>
      <c r="E12">
        <v>24</v>
      </c>
    </row>
    <row r="13" spans="1:7">
      <c r="A13" t="s">
        <v>380</v>
      </c>
    </row>
    <row r="14" spans="1:7">
      <c r="A14" t="s">
        <v>76</v>
      </c>
    </row>
    <row r="15" spans="1:7">
      <c r="A15" t="s">
        <v>376</v>
      </c>
      <c r="D15" t="s">
        <v>377</v>
      </c>
    </row>
    <row r="16" spans="1:7">
      <c r="A16" t="s">
        <v>378</v>
      </c>
      <c r="B16" t="s">
        <v>10</v>
      </c>
      <c r="D16" t="s">
        <v>379</v>
      </c>
      <c r="E16" t="s">
        <v>10</v>
      </c>
      <c r="G16" t="s">
        <v>74</v>
      </c>
    </row>
    <row r="17" spans="1:7">
      <c r="A17" t="s">
        <v>18</v>
      </c>
      <c r="B17" t="s">
        <v>18</v>
      </c>
      <c r="D17" t="s">
        <v>18</v>
      </c>
      <c r="E17" t="s">
        <v>18</v>
      </c>
    </row>
    <row r="18" spans="1:7">
      <c r="A18">
        <v>18.29</v>
      </c>
      <c r="B18">
        <v>12.59</v>
      </c>
      <c r="D18">
        <v>17.78</v>
      </c>
      <c r="E18">
        <v>12.59</v>
      </c>
    </row>
    <row r="19" spans="1:7">
      <c r="A19" t="s">
        <v>19</v>
      </c>
      <c r="B19" t="s">
        <v>19</v>
      </c>
      <c r="D19" t="s">
        <v>19</v>
      </c>
      <c r="E19" t="s">
        <v>19</v>
      </c>
    </row>
    <row r="20" spans="1:7">
      <c r="A20">
        <v>12.12</v>
      </c>
      <c r="B20">
        <v>13.27</v>
      </c>
      <c r="D20">
        <v>12.68</v>
      </c>
      <c r="E20">
        <v>13.27</v>
      </c>
    </row>
    <row r="21" spans="1:7">
      <c r="A21" t="s">
        <v>12</v>
      </c>
      <c r="B21" t="s">
        <v>12</v>
      </c>
      <c r="D21" t="s">
        <v>12</v>
      </c>
      <c r="E21" t="s">
        <v>12</v>
      </c>
    </row>
    <row r="22" spans="1:7">
      <c r="A22">
        <v>46</v>
      </c>
      <c r="B22">
        <v>24</v>
      </c>
      <c r="E22">
        <v>24</v>
      </c>
    </row>
    <row r="23" spans="1:7">
      <c r="A23" t="s">
        <v>381</v>
      </c>
    </row>
    <row r="24" spans="1:7">
      <c r="A24" t="s">
        <v>73</v>
      </c>
    </row>
    <row r="25" spans="1:7">
      <c r="A25" t="s">
        <v>376</v>
      </c>
      <c r="D25" t="s">
        <v>377</v>
      </c>
    </row>
    <row r="26" spans="1:7">
      <c r="A26" t="s">
        <v>378</v>
      </c>
      <c r="B26" t="s">
        <v>10</v>
      </c>
      <c r="D26" t="s">
        <v>379</v>
      </c>
      <c r="E26" t="s">
        <v>10</v>
      </c>
      <c r="G26" t="s">
        <v>79</v>
      </c>
    </row>
    <row r="27" spans="1:7">
      <c r="A27" t="s">
        <v>18</v>
      </c>
      <c r="B27" t="s">
        <v>18</v>
      </c>
      <c r="D27" t="s">
        <v>18</v>
      </c>
      <c r="E27" t="s">
        <v>18</v>
      </c>
    </row>
    <row r="28" spans="1:7">
      <c r="A28">
        <v>1.94</v>
      </c>
      <c r="B28">
        <v>1.98</v>
      </c>
      <c r="D28">
        <v>2.0099999999999998</v>
      </c>
      <c r="E28">
        <v>1.98</v>
      </c>
    </row>
    <row r="29" spans="1:7">
      <c r="A29" t="s">
        <v>19</v>
      </c>
      <c r="B29" t="s">
        <v>19</v>
      </c>
      <c r="D29" t="s">
        <v>19</v>
      </c>
      <c r="E29" t="s">
        <v>19</v>
      </c>
    </row>
    <row r="30" spans="1:7">
      <c r="A30">
        <v>0.42</v>
      </c>
      <c r="B30">
        <v>0.57999999999999996</v>
      </c>
      <c r="D30">
        <v>0.44</v>
      </c>
      <c r="E30">
        <v>0.57999999999999996</v>
      </c>
    </row>
    <row r="31" spans="1:7">
      <c r="A31" t="s">
        <v>12</v>
      </c>
      <c r="B31" t="s">
        <v>12</v>
      </c>
      <c r="D31" t="s">
        <v>12</v>
      </c>
      <c r="E31" t="s">
        <v>12</v>
      </c>
    </row>
    <row r="32" spans="1:7">
      <c r="A32">
        <v>46</v>
      </c>
      <c r="B32">
        <v>24</v>
      </c>
      <c r="D32">
        <v>54</v>
      </c>
      <c r="E32">
        <v>24</v>
      </c>
    </row>
    <row r="33" spans="1:7">
      <c r="A33" t="s">
        <v>381</v>
      </c>
    </row>
    <row r="34" spans="1:7">
      <c r="A34" t="s">
        <v>76</v>
      </c>
    </row>
    <row r="35" spans="1:7">
      <c r="A35" t="s">
        <v>376</v>
      </c>
      <c r="D35" t="s">
        <v>377</v>
      </c>
    </row>
    <row r="36" spans="1:7">
      <c r="A36" t="s">
        <v>378</v>
      </c>
      <c r="B36" t="s">
        <v>10</v>
      </c>
      <c r="D36" t="s">
        <v>379</v>
      </c>
      <c r="E36" t="s">
        <v>10</v>
      </c>
    </row>
    <row r="37" spans="1:7">
      <c r="A37" t="s">
        <v>18</v>
      </c>
      <c r="B37" t="s">
        <v>18</v>
      </c>
      <c r="D37" t="s">
        <v>18</v>
      </c>
      <c r="E37" t="s">
        <v>18</v>
      </c>
    </row>
    <row r="38" spans="1:7">
      <c r="A38">
        <v>1.66</v>
      </c>
      <c r="B38">
        <v>1.86</v>
      </c>
      <c r="D38">
        <v>1.88</v>
      </c>
      <c r="E38">
        <v>1.86</v>
      </c>
    </row>
    <row r="39" spans="1:7">
      <c r="A39" t="s">
        <v>19</v>
      </c>
      <c r="B39" t="s">
        <v>19</v>
      </c>
      <c r="D39" t="s">
        <v>19</v>
      </c>
      <c r="E39" t="s">
        <v>19</v>
      </c>
    </row>
    <row r="40" spans="1:7">
      <c r="A40">
        <v>0.46</v>
      </c>
      <c r="B40">
        <v>0.6</v>
      </c>
      <c r="D40">
        <v>0.54</v>
      </c>
      <c r="E40">
        <v>0.6</v>
      </c>
    </row>
    <row r="41" spans="1:7">
      <c r="A41" t="s">
        <v>12</v>
      </c>
      <c r="B41" t="s">
        <v>12</v>
      </c>
      <c r="D41" t="s">
        <v>12</v>
      </c>
      <c r="E41" t="s">
        <v>12</v>
      </c>
    </row>
    <row r="42" spans="1:7">
      <c r="A42">
        <v>46</v>
      </c>
      <c r="B42">
        <v>24</v>
      </c>
      <c r="D42">
        <v>54</v>
      </c>
      <c r="E42">
        <v>24</v>
      </c>
    </row>
    <row r="43" spans="1:7">
      <c r="A43" t="s">
        <v>382</v>
      </c>
    </row>
    <row r="44" spans="1:7">
      <c r="A44" t="s">
        <v>73</v>
      </c>
      <c r="G44" t="s">
        <v>79</v>
      </c>
    </row>
    <row r="45" spans="1:7">
      <c r="A45" t="s">
        <v>376</v>
      </c>
      <c r="D45" t="s">
        <v>377</v>
      </c>
    </row>
    <row r="46" spans="1:7">
      <c r="A46" t="s">
        <v>378</v>
      </c>
      <c r="B46" t="s">
        <v>10</v>
      </c>
      <c r="D46" t="s">
        <v>379</v>
      </c>
      <c r="E46" t="s">
        <v>10</v>
      </c>
    </row>
    <row r="47" spans="1:7">
      <c r="A47" t="s">
        <v>18</v>
      </c>
      <c r="B47" t="s">
        <v>18</v>
      </c>
      <c r="D47" t="s">
        <v>18</v>
      </c>
      <c r="E47" t="s">
        <v>18</v>
      </c>
    </row>
    <row r="48" spans="1:7">
      <c r="A48">
        <v>3.15</v>
      </c>
      <c r="B48">
        <v>2.93</v>
      </c>
      <c r="D48">
        <v>2.98</v>
      </c>
      <c r="E48">
        <v>2.93</v>
      </c>
    </row>
    <row r="49" spans="1:5">
      <c r="A49" t="s">
        <v>19</v>
      </c>
      <c r="B49" t="s">
        <v>19</v>
      </c>
      <c r="D49" t="s">
        <v>19</v>
      </c>
      <c r="E49" t="s">
        <v>19</v>
      </c>
    </row>
    <row r="50" spans="1:5">
      <c r="A50">
        <v>1.0900000000000001</v>
      </c>
      <c r="B50">
        <v>1.19</v>
      </c>
      <c r="D50">
        <v>1.31</v>
      </c>
      <c r="E50">
        <v>1.19</v>
      </c>
    </row>
    <row r="51" spans="1:5">
      <c r="A51" t="s">
        <v>12</v>
      </c>
      <c r="B51" t="s">
        <v>12</v>
      </c>
      <c r="D51" t="s">
        <v>12</v>
      </c>
      <c r="E51" t="s">
        <v>12</v>
      </c>
    </row>
    <row r="52" spans="1:5">
      <c r="A52">
        <v>46</v>
      </c>
      <c r="B52">
        <v>24</v>
      </c>
      <c r="D52">
        <v>54</v>
      </c>
      <c r="E52">
        <v>24</v>
      </c>
    </row>
    <row r="53" spans="1:5">
      <c r="A53" t="s">
        <v>382</v>
      </c>
    </row>
    <row r="54" spans="1:5">
      <c r="A54" t="s">
        <v>76</v>
      </c>
    </row>
    <row r="55" spans="1:5">
      <c r="A55" t="s">
        <v>376</v>
      </c>
      <c r="D55" t="s">
        <v>377</v>
      </c>
    </row>
    <row r="56" spans="1:5">
      <c r="A56" t="s">
        <v>378</v>
      </c>
      <c r="B56" t="s">
        <v>10</v>
      </c>
      <c r="D56" t="s">
        <v>379</v>
      </c>
      <c r="E56" t="s">
        <v>10</v>
      </c>
    </row>
    <row r="57" spans="1:5">
      <c r="A57" t="s">
        <v>18</v>
      </c>
      <c r="B57" t="s">
        <v>18</v>
      </c>
      <c r="D57" t="s">
        <v>18</v>
      </c>
      <c r="E57" t="s">
        <v>18</v>
      </c>
    </row>
    <row r="58" spans="1:5">
      <c r="A58">
        <v>2.76</v>
      </c>
      <c r="B58">
        <v>2.62</v>
      </c>
      <c r="D58">
        <v>2.7</v>
      </c>
      <c r="E58">
        <v>2.62</v>
      </c>
    </row>
    <row r="59" spans="1:5">
      <c r="A59" t="s">
        <v>19</v>
      </c>
      <c r="B59" t="s">
        <v>19</v>
      </c>
      <c r="D59" t="s">
        <v>19</v>
      </c>
      <c r="E59" t="s">
        <v>19</v>
      </c>
    </row>
    <row r="60" spans="1:5">
      <c r="A60">
        <v>1.1100000000000001</v>
      </c>
      <c r="B60">
        <v>1.1499999999999999</v>
      </c>
      <c r="D60">
        <v>1.28</v>
      </c>
      <c r="E60">
        <v>1.1499999999999999</v>
      </c>
    </row>
    <row r="61" spans="1:5">
      <c r="A61" t="s">
        <v>12</v>
      </c>
      <c r="B61" t="s">
        <v>12</v>
      </c>
      <c r="D61" t="s">
        <v>12</v>
      </c>
      <c r="E61" t="s">
        <v>12</v>
      </c>
    </row>
    <row r="62" spans="1:5">
      <c r="A62">
        <v>46</v>
      </c>
      <c r="B62">
        <v>24</v>
      </c>
      <c r="D62">
        <v>54</v>
      </c>
      <c r="E62">
        <v>24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4B54B-8A26-4A41-8824-6583056AC9E5}">
  <dimension ref="A1:I36"/>
  <sheetViews>
    <sheetView workbookViewId="0">
      <selection activeCell="H2" sqref="H2"/>
    </sheetView>
  </sheetViews>
  <sheetFormatPr defaultRowHeight="15.75"/>
  <sheetData>
    <row r="1" spans="1:9">
      <c r="A1" t="s">
        <v>109</v>
      </c>
      <c r="B1" t="s">
        <v>383</v>
      </c>
      <c r="E1" t="s">
        <v>235</v>
      </c>
      <c r="H1" t="s">
        <v>384</v>
      </c>
    </row>
    <row r="2" spans="1:9">
      <c r="A2" t="s">
        <v>6</v>
      </c>
      <c r="H2" t="s">
        <v>385</v>
      </c>
    </row>
    <row r="3" spans="1:9">
      <c r="A3" t="s">
        <v>386</v>
      </c>
    </row>
    <row r="5" spans="1:9">
      <c r="A5" t="s">
        <v>387</v>
      </c>
      <c r="B5" t="s">
        <v>388</v>
      </c>
      <c r="D5" t="s">
        <v>389</v>
      </c>
    </row>
    <row r="6" spans="1:9">
      <c r="A6" t="s">
        <v>390</v>
      </c>
      <c r="B6" t="s">
        <v>10</v>
      </c>
      <c r="D6" t="s">
        <v>391</v>
      </c>
      <c r="E6" t="s">
        <v>10</v>
      </c>
      <c r="I6" t="s">
        <v>79</v>
      </c>
    </row>
    <row r="7" spans="1:9">
      <c r="A7" t="s">
        <v>11</v>
      </c>
      <c r="B7" t="s">
        <v>11</v>
      </c>
      <c r="D7" t="s">
        <v>11</v>
      </c>
      <c r="E7" t="s">
        <v>11</v>
      </c>
    </row>
    <row r="8" spans="1:9">
      <c r="A8">
        <v>56</v>
      </c>
      <c r="B8">
        <f>58/2</f>
        <v>29</v>
      </c>
      <c r="D8">
        <v>21</v>
      </c>
      <c r="E8">
        <f>58/2</f>
        <v>29</v>
      </c>
      <c r="G8">
        <v>58</v>
      </c>
    </row>
    <row r="9" spans="1:9">
      <c r="A9" t="s">
        <v>12</v>
      </c>
      <c r="B9" t="s">
        <v>12</v>
      </c>
      <c r="D9" t="s">
        <v>12</v>
      </c>
      <c r="E9" t="s">
        <v>12</v>
      </c>
    </row>
    <row r="10" spans="1:9">
      <c r="A10">
        <v>113</v>
      </c>
      <c r="B10">
        <f>110/2</f>
        <v>55</v>
      </c>
      <c r="D10">
        <v>99</v>
      </c>
      <c r="E10">
        <f>110/2</f>
        <v>55</v>
      </c>
      <c r="G10">
        <v>110</v>
      </c>
    </row>
    <row r="11" spans="1:9">
      <c r="A11" t="s">
        <v>326</v>
      </c>
      <c r="D11" t="s">
        <v>326</v>
      </c>
      <c r="G11" t="s">
        <v>326</v>
      </c>
    </row>
    <row r="12" spans="1:9">
      <c r="A12">
        <f>A8/A10</f>
        <v>0.49557522123893805</v>
      </c>
      <c r="D12">
        <f>D8/D10</f>
        <v>0.21212121212121213</v>
      </c>
      <c r="G12">
        <f>G8/G10</f>
        <v>0.52727272727272723</v>
      </c>
    </row>
    <row r="14" spans="1:9">
      <c r="A14" t="s">
        <v>350</v>
      </c>
      <c r="B14" t="s">
        <v>97</v>
      </c>
    </row>
    <row r="15" spans="1:9">
      <c r="A15" t="s">
        <v>390</v>
      </c>
      <c r="B15" t="s">
        <v>388</v>
      </c>
      <c r="E15" s="8" t="s">
        <v>389</v>
      </c>
      <c r="F15" s="8"/>
      <c r="G15" s="8"/>
      <c r="H15" s="8"/>
    </row>
    <row r="16" spans="1:9">
      <c r="A16" t="s">
        <v>392</v>
      </c>
      <c r="E16" s="8"/>
      <c r="F16" s="8"/>
      <c r="G16" s="8"/>
      <c r="H16" s="8"/>
      <c r="I16" t="s">
        <v>393</v>
      </c>
    </row>
    <row r="17" spans="1:8">
      <c r="A17" t="s">
        <v>191</v>
      </c>
      <c r="E17" s="8" t="s">
        <v>191</v>
      </c>
      <c r="F17" s="8"/>
      <c r="G17" s="8" t="s">
        <v>74</v>
      </c>
      <c r="H17" s="8"/>
    </row>
    <row r="18" spans="1:8">
      <c r="A18">
        <v>-3.34</v>
      </c>
      <c r="E18" s="8">
        <v>-5.17</v>
      </c>
      <c r="F18" s="8"/>
      <c r="G18" s="8"/>
      <c r="H18" s="8"/>
    </row>
    <row r="19" spans="1:8">
      <c r="A19" t="s">
        <v>196</v>
      </c>
      <c r="E19" s="8" t="s">
        <v>196</v>
      </c>
      <c r="F19" s="8"/>
      <c r="G19" s="8"/>
      <c r="H19" s="8"/>
    </row>
    <row r="20" spans="1:8">
      <c r="A20">
        <v>2.1</v>
      </c>
      <c r="E20" s="8">
        <v>2.2000000000000002</v>
      </c>
      <c r="F20" s="8"/>
      <c r="G20" s="8"/>
      <c r="H20" s="8"/>
    </row>
    <row r="21" spans="1:8">
      <c r="E21" s="8"/>
      <c r="F21" s="8"/>
      <c r="G21" s="8"/>
      <c r="H21" s="8"/>
    </row>
    <row r="22" spans="1:8">
      <c r="E22" s="8"/>
      <c r="F22" s="8"/>
      <c r="G22" s="8"/>
      <c r="H22" s="8"/>
    </row>
    <row r="23" spans="1:8">
      <c r="A23" t="s">
        <v>390</v>
      </c>
      <c r="B23" t="s">
        <v>388</v>
      </c>
      <c r="E23" s="8" t="s">
        <v>389</v>
      </c>
      <c r="F23" s="8"/>
      <c r="G23" s="8"/>
      <c r="H23" s="8"/>
    </row>
    <row r="24" spans="1:8">
      <c r="A24" t="s">
        <v>394</v>
      </c>
      <c r="E24" s="8"/>
      <c r="F24" s="8"/>
      <c r="G24" s="8" t="s">
        <v>79</v>
      </c>
      <c r="H24" s="8"/>
    </row>
    <row r="25" spans="1:8">
      <c r="A25" t="s">
        <v>191</v>
      </c>
      <c r="E25" s="8" t="s">
        <v>191</v>
      </c>
      <c r="F25" s="8"/>
      <c r="G25" s="8"/>
      <c r="H25" s="8"/>
    </row>
    <row r="26" spans="1:8">
      <c r="A26">
        <v>0.56000000000000005</v>
      </c>
      <c r="E26" s="8">
        <v>0.68</v>
      </c>
      <c r="F26" s="8"/>
      <c r="G26" s="8"/>
      <c r="H26" s="8"/>
    </row>
    <row r="27" spans="1:8">
      <c r="A27" t="s">
        <v>196</v>
      </c>
      <c r="E27" s="8" t="s">
        <v>196</v>
      </c>
      <c r="F27" s="8"/>
      <c r="G27" s="8"/>
      <c r="H27" s="8"/>
    </row>
    <row r="28" spans="1:8">
      <c r="A28">
        <v>0.3</v>
      </c>
      <c r="E28" s="8">
        <v>0.3</v>
      </c>
      <c r="F28" s="8"/>
      <c r="G28" s="8"/>
      <c r="H28" s="8"/>
    </row>
    <row r="29" spans="1:8">
      <c r="E29" s="8"/>
      <c r="F29" s="8"/>
      <c r="G29" s="8"/>
      <c r="H29" s="8"/>
    </row>
    <row r="30" spans="1:8">
      <c r="E30" s="8"/>
      <c r="F30" s="8"/>
      <c r="G30" s="8"/>
      <c r="H30" s="8"/>
    </row>
    <row r="31" spans="1:8">
      <c r="A31" t="s">
        <v>390</v>
      </c>
      <c r="B31" t="s">
        <v>388</v>
      </c>
      <c r="E31" s="8" t="s">
        <v>389</v>
      </c>
      <c r="F31" s="8"/>
      <c r="G31" s="8"/>
      <c r="H31" s="8"/>
    </row>
    <row r="32" spans="1:8">
      <c r="A32" t="s">
        <v>395</v>
      </c>
      <c r="E32" s="8"/>
      <c r="F32" s="8"/>
      <c r="G32" s="8" t="s">
        <v>79</v>
      </c>
      <c r="H32" s="8"/>
    </row>
    <row r="33" spans="1:8">
      <c r="A33" t="s">
        <v>191</v>
      </c>
      <c r="E33" s="8" t="s">
        <v>191</v>
      </c>
      <c r="F33" s="8"/>
      <c r="G33" s="8"/>
      <c r="H33" s="8"/>
    </row>
    <row r="34" spans="1:8">
      <c r="A34">
        <v>0.3</v>
      </c>
      <c r="E34" s="8">
        <v>-0.3</v>
      </c>
      <c r="F34" s="8"/>
      <c r="G34" s="8"/>
      <c r="H34" s="8"/>
    </row>
    <row r="35" spans="1:8">
      <c r="A35" t="s">
        <v>196</v>
      </c>
      <c r="E35" s="8" t="s">
        <v>196</v>
      </c>
      <c r="F35" s="8"/>
      <c r="G35" s="8"/>
      <c r="H35" s="8"/>
    </row>
    <row r="36" spans="1:8">
      <c r="A36">
        <v>0.3</v>
      </c>
      <c r="E36" s="8">
        <v>0.3</v>
      </c>
      <c r="F36" s="8"/>
      <c r="G36" s="8"/>
      <c r="H36" s="8"/>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899BB-EB5A-4292-AF96-0498F9C4CC12}">
  <dimension ref="A1:D9"/>
  <sheetViews>
    <sheetView workbookViewId="0">
      <selection activeCell="A10" sqref="A10"/>
    </sheetView>
  </sheetViews>
  <sheetFormatPr defaultRowHeight="15.75"/>
  <sheetData>
    <row r="1" spans="1:4">
      <c r="A1" t="s">
        <v>396</v>
      </c>
    </row>
    <row r="2" spans="1:4">
      <c r="A2" t="s">
        <v>397</v>
      </c>
    </row>
    <row r="3" spans="1:4">
      <c r="A3">
        <v>279</v>
      </c>
      <c r="B3">
        <v>241</v>
      </c>
      <c r="C3">
        <f>A3+B3</f>
        <v>520</v>
      </c>
      <c r="D3" t="s">
        <v>398</v>
      </c>
    </row>
    <row r="4" spans="1:4">
      <c r="D4">
        <f>C3/12</f>
        <v>43.333333333333336</v>
      </c>
    </row>
    <row r="6" spans="1:4">
      <c r="A6" t="s">
        <v>268</v>
      </c>
    </row>
    <row r="7" spans="1:4">
      <c r="A7" t="s">
        <v>399</v>
      </c>
    </row>
    <row r="9" spans="1:4">
      <c r="A9" t="s">
        <v>400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A1853-F884-42AE-B9D8-EACD4484154D}">
  <dimension ref="A1:B7"/>
  <sheetViews>
    <sheetView workbookViewId="0">
      <selection activeCell="A7" sqref="A7"/>
    </sheetView>
  </sheetViews>
  <sheetFormatPr defaultRowHeight="15.75"/>
  <sheetData>
    <row r="1" spans="1:2">
      <c r="A1" t="s">
        <v>401</v>
      </c>
    </row>
    <row r="2" spans="1:2">
      <c r="A2" t="s">
        <v>402</v>
      </c>
    </row>
    <row r="3" spans="1:2">
      <c r="A3" t="s">
        <v>403</v>
      </c>
    </row>
    <row r="4" spans="1:2">
      <c r="A4" t="s">
        <v>404</v>
      </c>
      <c r="B4" t="s">
        <v>405</v>
      </c>
    </row>
    <row r="5" spans="1:2">
      <c r="A5" t="s">
        <v>406</v>
      </c>
    </row>
    <row r="7" spans="1:2">
      <c r="A7" t="s">
        <v>407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ACA55-B520-49E0-A4F9-68F778086623}">
  <dimension ref="A1:D40"/>
  <sheetViews>
    <sheetView topLeftCell="A29" workbookViewId="0">
      <selection activeCell="B42" sqref="B42"/>
    </sheetView>
  </sheetViews>
  <sheetFormatPr defaultRowHeight="15.75"/>
  <sheetData>
    <row r="1" spans="1:4">
      <c r="A1" t="s">
        <v>408</v>
      </c>
    </row>
    <row r="2" spans="1:4">
      <c r="A2" t="s">
        <v>409</v>
      </c>
    </row>
    <row r="3" spans="1:4">
      <c r="A3" t="s">
        <v>88</v>
      </c>
    </row>
    <row r="4" spans="1:4">
      <c r="A4" t="s">
        <v>308</v>
      </c>
    </row>
    <row r="5" spans="1:4">
      <c r="A5" t="s">
        <v>218</v>
      </c>
      <c r="B5" t="s">
        <v>410</v>
      </c>
    </row>
    <row r="6" spans="1:4">
      <c r="A6" t="s">
        <v>11</v>
      </c>
      <c r="B6" t="s">
        <v>11</v>
      </c>
      <c r="D6" t="s">
        <v>79</v>
      </c>
    </row>
    <row r="7" spans="1:4">
      <c r="A7">
        <v>17</v>
      </c>
      <c r="B7">
        <v>19</v>
      </c>
    </row>
    <row r="8" spans="1:4">
      <c r="A8" t="s">
        <v>12</v>
      </c>
      <c r="B8" t="s">
        <v>12</v>
      </c>
    </row>
    <row r="9" spans="1:4">
      <c r="A9">
        <v>166</v>
      </c>
      <c r="B9">
        <v>186</v>
      </c>
    </row>
    <row r="11" spans="1:4">
      <c r="A11" t="s">
        <v>411</v>
      </c>
      <c r="D11" t="s">
        <v>74</v>
      </c>
    </row>
    <row r="12" spans="1:4">
      <c r="A12" t="s">
        <v>9</v>
      </c>
      <c r="B12" t="s">
        <v>10</v>
      </c>
      <c r="C12" t="s">
        <v>308</v>
      </c>
    </row>
    <row r="13" spans="1:4">
      <c r="A13" t="s">
        <v>11</v>
      </c>
      <c r="B13" t="s">
        <v>11</v>
      </c>
    </row>
    <row r="14" spans="1:4">
      <c r="A14">
        <v>131</v>
      </c>
      <c r="B14">
        <v>133</v>
      </c>
    </row>
    <row r="15" spans="1:4">
      <c r="A15" t="s">
        <v>12</v>
      </c>
      <c r="B15" t="s">
        <v>12</v>
      </c>
    </row>
    <row r="16" spans="1:4">
      <c r="A16">
        <v>166</v>
      </c>
      <c r="B16">
        <v>186</v>
      </c>
    </row>
    <row r="18" spans="1:4">
      <c r="A18" t="s">
        <v>412</v>
      </c>
      <c r="D18" t="s">
        <v>79</v>
      </c>
    </row>
    <row r="19" spans="1:4">
      <c r="A19" t="s">
        <v>9</v>
      </c>
      <c r="B19" t="s">
        <v>10</v>
      </c>
      <c r="C19" t="s">
        <v>308</v>
      </c>
    </row>
    <row r="20" spans="1:4">
      <c r="A20" t="s">
        <v>11</v>
      </c>
      <c r="B20" t="s">
        <v>11</v>
      </c>
    </row>
    <row r="21" spans="1:4">
      <c r="A21">
        <v>94</v>
      </c>
      <c r="B21">
        <v>101</v>
      </c>
    </row>
    <row r="22" spans="1:4">
      <c r="A22" t="s">
        <v>12</v>
      </c>
      <c r="B22" t="s">
        <v>12</v>
      </c>
    </row>
    <row r="23" spans="1:4">
      <c r="A23">
        <v>166</v>
      </c>
      <c r="B23">
        <v>186</v>
      </c>
    </row>
    <row r="25" spans="1:4">
      <c r="A25" t="s">
        <v>413</v>
      </c>
      <c r="D25" t="s">
        <v>79</v>
      </c>
    </row>
    <row r="26" spans="1:4">
      <c r="A26" t="s">
        <v>9</v>
      </c>
      <c r="B26" t="s">
        <v>10</v>
      </c>
      <c r="C26" t="s">
        <v>308</v>
      </c>
    </row>
    <row r="27" spans="1:4">
      <c r="A27" t="s">
        <v>11</v>
      </c>
      <c r="B27" t="s">
        <v>11</v>
      </c>
    </row>
    <row r="28" spans="1:4">
      <c r="A28">
        <v>82</v>
      </c>
      <c r="B28">
        <v>85</v>
      </c>
    </row>
    <row r="29" spans="1:4">
      <c r="A29" t="s">
        <v>12</v>
      </c>
      <c r="B29" t="s">
        <v>12</v>
      </c>
    </row>
    <row r="30" spans="1:4">
      <c r="A30">
        <v>166</v>
      </c>
      <c r="B30">
        <v>186</v>
      </c>
    </row>
    <row r="32" spans="1:4">
      <c r="A32" t="s">
        <v>414</v>
      </c>
      <c r="D32" t="s">
        <v>79</v>
      </c>
    </row>
    <row r="33" spans="1:3">
      <c r="A33" t="s">
        <v>9</v>
      </c>
      <c r="B33" t="s">
        <v>10</v>
      </c>
      <c r="C33" t="s">
        <v>308</v>
      </c>
    </row>
    <row r="34" spans="1:3">
      <c r="A34" t="s">
        <v>11</v>
      </c>
      <c r="B34" t="s">
        <v>11</v>
      </c>
    </row>
    <row r="35" spans="1:3">
      <c r="A35">
        <v>113</v>
      </c>
      <c r="B35">
        <v>125</v>
      </c>
    </row>
    <row r="36" spans="1:3">
      <c r="A36" t="s">
        <v>12</v>
      </c>
      <c r="B36" t="s">
        <v>12</v>
      </c>
    </row>
    <row r="37" spans="1:3">
      <c r="A37">
        <v>166</v>
      </c>
      <c r="B37">
        <v>186</v>
      </c>
    </row>
    <row r="40" spans="1:3">
      <c r="A40" t="s">
        <v>415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04D0-512D-4914-8FAA-87FCBD63FA89}">
  <dimension ref="A1:C8"/>
  <sheetViews>
    <sheetView workbookViewId="0">
      <selection activeCell="C3" sqref="C3"/>
    </sheetView>
  </sheetViews>
  <sheetFormatPr defaultRowHeight="15.75"/>
  <sheetData>
    <row r="1" spans="1:3">
      <c r="A1" t="s">
        <v>6</v>
      </c>
    </row>
    <row r="2" spans="1:3">
      <c r="A2" t="s">
        <v>416</v>
      </c>
      <c r="C2" t="s">
        <v>74</v>
      </c>
    </row>
    <row r="3" spans="1:3">
      <c r="A3" t="s">
        <v>109</v>
      </c>
    </row>
    <row r="4" spans="1:3">
      <c r="A4" t="s">
        <v>9</v>
      </c>
      <c r="B4" t="s">
        <v>10</v>
      </c>
    </row>
    <row r="5" spans="1:3">
      <c r="A5" t="s">
        <v>11</v>
      </c>
      <c r="B5" t="s">
        <v>11</v>
      </c>
    </row>
    <row r="6" spans="1:3">
      <c r="A6">
        <v>46</v>
      </c>
      <c r="B6">
        <v>34</v>
      </c>
    </row>
    <row r="7" spans="1:3">
      <c r="A7" t="s">
        <v>12</v>
      </c>
      <c r="B7" t="s">
        <v>12</v>
      </c>
    </row>
    <row r="8" spans="1:3">
      <c r="A8">
        <v>58</v>
      </c>
      <c r="B8">
        <v>58</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AD80-05DF-4393-8D0F-1EE3E339D490}">
  <sheetPr>
    <tabColor rgb="FFFFFF00"/>
  </sheetPr>
  <dimension ref="A1:F24"/>
  <sheetViews>
    <sheetView workbookViewId="0">
      <selection activeCell="C23" sqref="C23"/>
    </sheetView>
  </sheetViews>
  <sheetFormatPr defaultColWidth="8.875" defaultRowHeight="15.95"/>
  <sheetData>
    <row r="1" spans="1:6">
      <c r="A1" t="s">
        <v>27</v>
      </c>
    </row>
    <row r="2" spans="1:6">
      <c r="A2" t="s">
        <v>28</v>
      </c>
    </row>
    <row r="3" spans="1:6">
      <c r="A3" s="8" t="s">
        <v>417</v>
      </c>
    </row>
    <row r="5" spans="1:6">
      <c r="A5" t="s">
        <v>44</v>
      </c>
    </row>
    <row r="6" spans="1:6">
      <c r="A6" t="s">
        <v>88</v>
      </c>
      <c r="B6" t="s">
        <v>6</v>
      </c>
      <c r="C6" t="s">
        <v>418</v>
      </c>
      <c r="F6" t="s">
        <v>49</v>
      </c>
    </row>
    <row r="7" spans="1:6">
      <c r="A7" t="s">
        <v>37</v>
      </c>
      <c r="C7">
        <v>8</v>
      </c>
      <c r="D7" s="5"/>
      <c r="F7">
        <v>27</v>
      </c>
    </row>
    <row r="8" spans="1:6">
      <c r="A8" t="s">
        <v>38</v>
      </c>
      <c r="C8">
        <v>31</v>
      </c>
      <c r="D8" s="5"/>
      <c r="F8">
        <v>48</v>
      </c>
    </row>
    <row r="10" spans="1:6">
      <c r="A10" t="s">
        <v>44</v>
      </c>
    </row>
    <row r="11" spans="1:6">
      <c r="A11" t="s">
        <v>88</v>
      </c>
      <c r="B11" t="s">
        <v>6</v>
      </c>
      <c r="C11" t="s">
        <v>419</v>
      </c>
      <c r="F11" t="s">
        <v>49</v>
      </c>
    </row>
    <row r="12" spans="1:6">
      <c r="A12" t="s">
        <v>37</v>
      </c>
      <c r="C12">
        <v>7</v>
      </c>
      <c r="D12" s="5"/>
      <c r="F12">
        <v>27</v>
      </c>
    </row>
    <row r="13" spans="1:6">
      <c r="A13" t="s">
        <v>38</v>
      </c>
      <c r="C13">
        <v>22</v>
      </c>
      <c r="D13" s="5"/>
      <c r="F13">
        <v>48</v>
      </c>
    </row>
    <row r="16" spans="1:6">
      <c r="A16" t="s">
        <v>420</v>
      </c>
    </row>
    <row r="18" spans="1:3">
      <c r="A18" t="s">
        <v>268</v>
      </c>
    </row>
    <row r="19" spans="1:3">
      <c r="A19" t="s">
        <v>89</v>
      </c>
    </row>
    <row r="20" spans="1:3">
      <c r="A20" t="s">
        <v>222</v>
      </c>
    </row>
    <row r="21" spans="1:3">
      <c r="A21" t="s">
        <v>191</v>
      </c>
      <c r="B21" t="s">
        <v>308</v>
      </c>
      <c r="C21" t="s">
        <v>79</v>
      </c>
    </row>
    <row r="22" spans="1:3">
      <c r="A22">
        <v>1.2266999999999999</v>
      </c>
    </row>
    <row r="23" spans="1:3">
      <c r="A23" t="s">
        <v>196</v>
      </c>
    </row>
    <row r="24" spans="1:3">
      <c r="A24">
        <v>0.5665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F95F-51F3-478F-886A-E4BD1F8C0DD5}">
  <dimension ref="A1:A4"/>
  <sheetViews>
    <sheetView workbookViewId="0">
      <selection activeCell="A5" sqref="A5"/>
    </sheetView>
  </sheetViews>
  <sheetFormatPr defaultRowHeight="15.75"/>
  <sheetData>
    <row r="1" spans="1:1">
      <c r="A1" t="s">
        <v>40</v>
      </c>
    </row>
    <row r="3" spans="1:1">
      <c r="A3" t="s">
        <v>41</v>
      </c>
    </row>
    <row r="4" spans="1:1">
      <c r="A4" t="s">
        <v>42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969C-B91A-41A2-97C4-AA987E62C4EE}">
  <dimension ref="A1:F13"/>
  <sheetViews>
    <sheetView workbookViewId="0">
      <selection activeCell="H13" sqref="A1:H13"/>
    </sheetView>
  </sheetViews>
  <sheetFormatPr defaultRowHeight="15.75"/>
  <sheetData>
    <row r="1" spans="1:6">
      <c r="A1" t="s">
        <v>27</v>
      </c>
    </row>
    <row r="2" spans="1:6">
      <c r="A2" t="s">
        <v>28</v>
      </c>
    </row>
    <row r="3" spans="1:6">
      <c r="A3" s="8" t="s">
        <v>417</v>
      </c>
    </row>
    <row r="5" spans="1:6">
      <c r="A5" t="s">
        <v>44</v>
      </c>
    </row>
    <row r="6" spans="1:6">
      <c r="A6" t="s">
        <v>88</v>
      </c>
      <c r="B6" t="s">
        <v>6</v>
      </c>
      <c r="C6" t="s">
        <v>418</v>
      </c>
      <c r="F6" t="s">
        <v>49</v>
      </c>
    </row>
    <row r="7" spans="1:6">
      <c r="A7" t="s">
        <v>37</v>
      </c>
      <c r="C7">
        <v>8</v>
      </c>
      <c r="D7" s="5"/>
      <c r="F7">
        <v>27</v>
      </c>
    </row>
    <row r="8" spans="1:6">
      <c r="A8" t="s">
        <v>38</v>
      </c>
      <c r="C8">
        <v>31</v>
      </c>
      <c r="D8" s="5"/>
      <c r="F8">
        <v>48</v>
      </c>
    </row>
    <row r="10" spans="1:6">
      <c r="A10" t="s">
        <v>44</v>
      </c>
    </row>
    <row r="11" spans="1:6">
      <c r="A11" t="s">
        <v>88</v>
      </c>
      <c r="B11" t="s">
        <v>6</v>
      </c>
      <c r="C11" t="s">
        <v>419</v>
      </c>
      <c r="F11" t="s">
        <v>49</v>
      </c>
    </row>
    <row r="12" spans="1:6">
      <c r="A12" t="s">
        <v>37</v>
      </c>
      <c r="C12">
        <v>7</v>
      </c>
      <c r="D12" s="5"/>
      <c r="F12">
        <v>27</v>
      </c>
    </row>
    <row r="13" spans="1:6">
      <c r="A13" t="s">
        <v>38</v>
      </c>
      <c r="C13">
        <v>22</v>
      </c>
      <c r="D13" s="5"/>
      <c r="F13">
        <v>48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2D6F-3131-4444-AA4D-1717757D07EC}">
  <dimension ref="A1:C19"/>
  <sheetViews>
    <sheetView workbookViewId="0">
      <selection activeCell="D21" sqref="D21"/>
    </sheetView>
  </sheetViews>
  <sheetFormatPr defaultColWidth="8.875" defaultRowHeight="15.95"/>
  <sheetData>
    <row r="1" spans="1:3">
      <c r="A1" t="s">
        <v>421</v>
      </c>
    </row>
    <row r="2" spans="1:3">
      <c r="A2" t="s">
        <v>97</v>
      </c>
    </row>
    <row r="3" spans="1:3">
      <c r="A3" t="s">
        <v>422</v>
      </c>
    </row>
    <row r="4" spans="1:3">
      <c r="A4" t="s">
        <v>9</v>
      </c>
      <c r="C4" t="s">
        <v>10</v>
      </c>
    </row>
    <row r="5" spans="1:3">
      <c r="A5" t="s">
        <v>18</v>
      </c>
      <c r="C5" t="s">
        <v>18</v>
      </c>
    </row>
    <row r="6" spans="1:3">
      <c r="A6">
        <v>0.13</v>
      </c>
      <c r="C6">
        <v>0.11</v>
      </c>
    </row>
    <row r="7" spans="1:3">
      <c r="A7" t="s">
        <v>19</v>
      </c>
      <c r="C7" t="s">
        <v>19</v>
      </c>
    </row>
    <row r="8" spans="1:3">
      <c r="A8">
        <v>0.03</v>
      </c>
      <c r="C8">
        <v>0.04</v>
      </c>
    </row>
    <row r="9" spans="1:3">
      <c r="A9" t="s">
        <v>12</v>
      </c>
      <c r="C9" t="s">
        <v>12</v>
      </c>
    </row>
    <row r="10" spans="1:3">
      <c r="A10">
        <v>98</v>
      </c>
      <c r="C10">
        <v>95</v>
      </c>
    </row>
    <row r="12" spans="1:3">
      <c r="A12" t="s">
        <v>423</v>
      </c>
      <c r="B12" t="s">
        <v>424</v>
      </c>
    </row>
    <row r="13" spans="1:3">
      <c r="A13" t="s">
        <v>9</v>
      </c>
      <c r="C13" t="s">
        <v>10</v>
      </c>
    </row>
    <row r="14" spans="1:3">
      <c r="A14" t="s">
        <v>18</v>
      </c>
      <c r="C14" t="s">
        <v>18</v>
      </c>
    </row>
    <row r="15" spans="1:3">
      <c r="A15">
        <v>0.04</v>
      </c>
      <c r="C15">
        <v>0.52</v>
      </c>
    </row>
    <row r="16" spans="1:3">
      <c r="A16" t="s">
        <v>19</v>
      </c>
      <c r="C16" t="s">
        <v>19</v>
      </c>
    </row>
    <row r="17" spans="1:3">
      <c r="A17">
        <v>0.02</v>
      </c>
      <c r="C17">
        <v>0.1</v>
      </c>
    </row>
    <row r="18" spans="1:3">
      <c r="A18" t="s">
        <v>12</v>
      </c>
      <c r="C18" t="s">
        <v>12</v>
      </c>
    </row>
    <row r="19" spans="1:3">
      <c r="A19">
        <v>98</v>
      </c>
      <c r="C19">
        <v>95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92EC-375A-43DA-A9B9-E5298F5F59BA}">
  <dimension ref="A1:D10"/>
  <sheetViews>
    <sheetView workbookViewId="0">
      <selection activeCell="D8" sqref="D8"/>
    </sheetView>
  </sheetViews>
  <sheetFormatPr defaultRowHeight="15.75"/>
  <sheetData>
    <row r="1" spans="1:4">
      <c r="A1" t="s">
        <v>425</v>
      </c>
    </row>
    <row r="3" spans="1:4">
      <c r="A3" t="s">
        <v>426</v>
      </c>
    </row>
    <row r="4" spans="1:4">
      <c r="A4" t="s">
        <v>427</v>
      </c>
    </row>
    <row r="5" spans="1:4">
      <c r="A5" t="s">
        <v>88</v>
      </c>
    </row>
    <row r="6" spans="1:4">
      <c r="A6" t="s">
        <v>9</v>
      </c>
      <c r="B6" t="s">
        <v>10</v>
      </c>
    </row>
    <row r="7" spans="1:4">
      <c r="A7" t="s">
        <v>11</v>
      </c>
      <c r="B7" t="s">
        <v>11</v>
      </c>
      <c r="D7" t="s">
        <v>74</v>
      </c>
    </row>
    <row r="8" spans="1:4">
      <c r="A8">
        <f>A10*0.72</f>
        <v>46.08</v>
      </c>
      <c r="B8">
        <f>B10*0.5</f>
        <v>32</v>
      </c>
    </row>
    <row r="9" spans="1:4">
      <c r="A9" t="s">
        <v>12</v>
      </c>
      <c r="B9" t="s">
        <v>12</v>
      </c>
    </row>
    <row r="10" spans="1:4">
      <c r="A10">
        <v>64</v>
      </c>
      <c r="B10">
        <v>64</v>
      </c>
      <c r="C10" t="s">
        <v>428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0BD4-D4F3-4ACA-B7DA-C466055F3D72}">
  <dimension ref="A1:P95"/>
  <sheetViews>
    <sheetView topLeftCell="A61" workbookViewId="0">
      <selection activeCell="F82" sqref="F82"/>
    </sheetView>
  </sheetViews>
  <sheetFormatPr defaultRowHeight="15.75"/>
  <sheetData>
    <row r="1" spans="1:16">
      <c r="A1" t="s">
        <v>429</v>
      </c>
    </row>
    <row r="2" spans="1:16">
      <c r="A2" t="s">
        <v>430</v>
      </c>
    </row>
    <row r="3" spans="1:16">
      <c r="A3" t="s">
        <v>6</v>
      </c>
      <c r="D3" t="s">
        <v>431</v>
      </c>
    </row>
    <row r="4" spans="1:16">
      <c r="A4" t="s">
        <v>432</v>
      </c>
    </row>
    <row r="9" spans="1:16">
      <c r="P9" t="s">
        <v>433</v>
      </c>
    </row>
    <row r="10" spans="1:16">
      <c r="H10" t="s">
        <v>434</v>
      </c>
    </row>
    <row r="11" spans="1:16">
      <c r="A11" t="s">
        <v>435</v>
      </c>
      <c r="B11" t="s">
        <v>436</v>
      </c>
      <c r="C11" t="s">
        <v>74</v>
      </c>
    </row>
    <row r="12" spans="1:16">
      <c r="A12" t="s">
        <v>437</v>
      </c>
      <c r="B12" t="s">
        <v>10</v>
      </c>
      <c r="D12" t="s">
        <v>438</v>
      </c>
      <c r="E12" t="s">
        <v>10</v>
      </c>
    </row>
    <row r="13" spans="1:16">
      <c r="A13" t="s">
        <v>18</v>
      </c>
      <c r="B13" t="s">
        <v>18</v>
      </c>
      <c r="D13" t="s">
        <v>18</v>
      </c>
      <c r="E13" t="s">
        <v>18</v>
      </c>
    </row>
    <row r="14" spans="1:16">
      <c r="A14">
        <v>58.39</v>
      </c>
      <c r="B14">
        <v>47.6</v>
      </c>
      <c r="D14">
        <v>50.81</v>
      </c>
      <c r="E14">
        <v>47.6</v>
      </c>
    </row>
    <row r="15" spans="1:16">
      <c r="A15" t="s">
        <v>19</v>
      </c>
      <c r="B15" t="s">
        <v>19</v>
      </c>
      <c r="D15" t="s">
        <v>19</v>
      </c>
      <c r="E15" t="s">
        <v>19</v>
      </c>
    </row>
    <row r="16" spans="1:16">
      <c r="A16">
        <v>23.23</v>
      </c>
      <c r="B16">
        <v>23.23</v>
      </c>
      <c r="D16">
        <v>23.62</v>
      </c>
      <c r="E16">
        <v>23.62</v>
      </c>
    </row>
    <row r="17" spans="1:16">
      <c r="A17" t="s">
        <v>12</v>
      </c>
      <c r="B17" t="s">
        <v>12</v>
      </c>
      <c r="D17" t="s">
        <v>12</v>
      </c>
      <c r="E17" t="s">
        <v>12</v>
      </c>
    </row>
    <row r="18" spans="1:16">
      <c r="A18">
        <v>182</v>
      </c>
      <c r="B18">
        <v>94</v>
      </c>
      <c r="D18">
        <v>90</v>
      </c>
      <c r="E18">
        <v>94</v>
      </c>
    </row>
    <row r="22" spans="1:16">
      <c r="A22" t="s">
        <v>436</v>
      </c>
      <c r="D22" t="s">
        <v>439</v>
      </c>
    </row>
    <row r="23" spans="1:16">
      <c r="A23" t="s">
        <v>440</v>
      </c>
      <c r="D23" t="s">
        <v>79</v>
      </c>
      <c r="H23" t="s">
        <v>441</v>
      </c>
      <c r="P23" t="s">
        <v>442</v>
      </c>
    </row>
    <row r="24" spans="1:16">
      <c r="A24" t="s">
        <v>437</v>
      </c>
      <c r="B24" t="s">
        <v>10</v>
      </c>
      <c r="D24" t="s">
        <v>438</v>
      </c>
      <c r="E24" t="s">
        <v>10</v>
      </c>
    </row>
    <row r="25" spans="1:16">
      <c r="A25" t="s">
        <v>18</v>
      </c>
      <c r="B25" t="s">
        <v>18</v>
      </c>
      <c r="D25" t="s">
        <v>18</v>
      </c>
      <c r="E25" t="s">
        <v>18</v>
      </c>
    </row>
    <row r="26" spans="1:16">
      <c r="A26">
        <v>0.25</v>
      </c>
      <c r="B26">
        <v>0.24</v>
      </c>
      <c r="D26">
        <v>0.26</v>
      </c>
      <c r="E26">
        <v>0.24</v>
      </c>
    </row>
    <row r="27" spans="1:16">
      <c r="A27" t="s">
        <v>19</v>
      </c>
      <c r="B27" t="s">
        <v>19</v>
      </c>
      <c r="D27" t="s">
        <v>19</v>
      </c>
      <c r="E27" t="s">
        <v>19</v>
      </c>
    </row>
    <row r="28" spans="1:16">
      <c r="A28">
        <v>0.28000000000000003</v>
      </c>
      <c r="B28">
        <v>0.28000000000000003</v>
      </c>
      <c r="D28">
        <v>0.16500000000000001</v>
      </c>
      <c r="E28">
        <v>0.16500000000000001</v>
      </c>
    </row>
    <row r="29" spans="1:16">
      <c r="A29" t="s">
        <v>12</v>
      </c>
      <c r="B29" t="s">
        <v>12</v>
      </c>
      <c r="D29" t="s">
        <v>12</v>
      </c>
      <c r="E29" t="s">
        <v>12</v>
      </c>
    </row>
    <row r="30" spans="1:16">
      <c r="A30">
        <v>182</v>
      </c>
      <c r="B30">
        <v>94</v>
      </c>
      <c r="D30">
        <v>90</v>
      </c>
      <c r="E30">
        <v>94</v>
      </c>
    </row>
    <row r="33" spans="1:15">
      <c r="A33" t="s">
        <v>436</v>
      </c>
    </row>
    <row r="34" spans="1:15">
      <c r="A34" t="s">
        <v>443</v>
      </c>
      <c r="D34" t="s">
        <v>79</v>
      </c>
    </row>
    <row r="35" spans="1:15">
      <c r="A35" t="s">
        <v>437</v>
      </c>
      <c r="B35" t="s">
        <v>10</v>
      </c>
      <c r="D35" t="s">
        <v>438</v>
      </c>
      <c r="E35" t="s">
        <v>10</v>
      </c>
      <c r="F35" t="s">
        <v>444</v>
      </c>
      <c r="N35" t="s">
        <v>445</v>
      </c>
    </row>
    <row r="36" spans="1:15">
      <c r="A36" t="s">
        <v>18</v>
      </c>
      <c r="B36" t="s">
        <v>18</v>
      </c>
      <c r="D36" t="s">
        <v>18</v>
      </c>
      <c r="E36" t="s">
        <v>18</v>
      </c>
    </row>
    <row r="37" spans="1:15">
      <c r="A37">
        <v>0.26</v>
      </c>
      <c r="B37">
        <v>0.27</v>
      </c>
      <c r="D37">
        <v>0.28000000000000003</v>
      </c>
      <c r="E37">
        <v>0.27</v>
      </c>
    </row>
    <row r="38" spans="1:15">
      <c r="A38" t="s">
        <v>19</v>
      </c>
      <c r="B38" t="s">
        <v>19</v>
      </c>
      <c r="D38" t="s">
        <v>19</v>
      </c>
      <c r="E38" t="s">
        <v>19</v>
      </c>
    </row>
    <row r="39" spans="1:15">
      <c r="A39">
        <v>0.2465</v>
      </c>
      <c r="B39">
        <v>0.2465</v>
      </c>
      <c r="D39">
        <v>0.52</v>
      </c>
      <c r="E39">
        <v>0.52</v>
      </c>
    </row>
    <row r="40" spans="1:15">
      <c r="A40" t="s">
        <v>12</v>
      </c>
      <c r="B40" t="s">
        <v>12</v>
      </c>
      <c r="D40" t="s">
        <v>12</v>
      </c>
      <c r="E40" t="s">
        <v>12</v>
      </c>
    </row>
    <row r="41" spans="1:15">
      <c r="A41">
        <v>182</v>
      </c>
      <c r="B41">
        <v>94</v>
      </c>
      <c r="D41">
        <v>90</v>
      </c>
      <c r="E41">
        <v>94</v>
      </c>
    </row>
    <row r="44" spans="1:15">
      <c r="A44" t="s">
        <v>446</v>
      </c>
      <c r="C44" t="s">
        <v>436</v>
      </c>
      <c r="D44" t="s">
        <v>79</v>
      </c>
    </row>
    <row r="45" spans="1:15">
      <c r="A45" t="s">
        <v>437</v>
      </c>
      <c r="B45" t="s">
        <v>10</v>
      </c>
      <c r="D45" t="s">
        <v>438</v>
      </c>
      <c r="E45" t="s">
        <v>10</v>
      </c>
      <c r="F45" t="s">
        <v>444</v>
      </c>
      <c r="G45" t="s">
        <v>444</v>
      </c>
      <c r="O45" t="s">
        <v>445</v>
      </c>
    </row>
    <row r="46" spans="1:15">
      <c r="A46" t="s">
        <v>18</v>
      </c>
      <c r="B46" t="s">
        <v>18</v>
      </c>
      <c r="D46" t="s">
        <v>18</v>
      </c>
      <c r="E46" t="s">
        <v>18</v>
      </c>
    </row>
    <row r="47" spans="1:15">
      <c r="A47">
        <v>0.22500000000000001</v>
      </c>
      <c r="B47">
        <v>0.23</v>
      </c>
      <c r="D47">
        <v>0.2</v>
      </c>
      <c r="E47">
        <v>0.23</v>
      </c>
    </row>
    <row r="48" spans="1:15">
      <c r="A48" t="s">
        <v>19</v>
      </c>
      <c r="B48" t="s">
        <v>19</v>
      </c>
      <c r="D48" t="s">
        <v>19</v>
      </c>
      <c r="E48" t="s">
        <v>19</v>
      </c>
    </row>
    <row r="49" spans="1:16">
      <c r="A49">
        <v>0.48099999999999998</v>
      </c>
      <c r="B49">
        <v>0.48099999999999998</v>
      </c>
      <c r="D49">
        <v>0.28499999999999998</v>
      </c>
      <c r="E49">
        <v>0.28499999999999998</v>
      </c>
    </row>
    <row r="50" spans="1:16">
      <c r="A50" t="s">
        <v>12</v>
      </c>
      <c r="B50" t="s">
        <v>12</v>
      </c>
      <c r="D50" t="s">
        <v>12</v>
      </c>
      <c r="E50" t="s">
        <v>12</v>
      </c>
    </row>
    <row r="51" spans="1:16">
      <c r="A51">
        <v>182</v>
      </c>
      <c r="B51">
        <v>94</v>
      </c>
      <c r="D51">
        <v>90</v>
      </c>
      <c r="E51">
        <v>94</v>
      </c>
    </row>
    <row r="52" spans="1:16">
      <c r="A52" t="s">
        <v>447</v>
      </c>
    </row>
    <row r="54" spans="1:16">
      <c r="A54" t="s">
        <v>448</v>
      </c>
      <c r="D54" t="s">
        <v>79</v>
      </c>
      <c r="G54" t="s">
        <v>444</v>
      </c>
      <c r="P54" t="s">
        <v>445</v>
      </c>
    </row>
    <row r="55" spans="1:16">
      <c r="A55" t="s">
        <v>437</v>
      </c>
      <c r="B55" t="s">
        <v>10</v>
      </c>
      <c r="D55" t="s">
        <v>438</v>
      </c>
      <c r="E55" t="s">
        <v>10</v>
      </c>
    </row>
    <row r="56" spans="1:16">
      <c r="A56" t="s">
        <v>18</v>
      </c>
      <c r="B56" t="s">
        <v>18</v>
      </c>
      <c r="D56" t="s">
        <v>18</v>
      </c>
      <c r="E56" t="s">
        <v>18</v>
      </c>
    </row>
    <row r="57" spans="1:16">
      <c r="A57">
        <v>1.46</v>
      </c>
      <c r="B57">
        <v>1.71</v>
      </c>
      <c r="D57">
        <v>1.95</v>
      </c>
      <c r="E57">
        <v>1.71</v>
      </c>
    </row>
    <row r="58" spans="1:16">
      <c r="A58" t="s">
        <v>19</v>
      </c>
      <c r="B58" t="s">
        <v>19</v>
      </c>
      <c r="D58" t="s">
        <v>19</v>
      </c>
      <c r="E58" t="s">
        <v>19</v>
      </c>
    </row>
    <row r="59" spans="1:16">
      <c r="A59">
        <v>3.2850000000000001</v>
      </c>
      <c r="B59">
        <v>3.2850000000000001</v>
      </c>
      <c r="D59">
        <v>3.4</v>
      </c>
      <c r="E59">
        <v>3.4</v>
      </c>
    </row>
    <row r="60" spans="1:16">
      <c r="A60" t="s">
        <v>12</v>
      </c>
      <c r="B60" t="s">
        <v>12</v>
      </c>
      <c r="D60" t="s">
        <v>12</v>
      </c>
      <c r="E60" t="s">
        <v>12</v>
      </c>
    </row>
    <row r="61" spans="1:16">
      <c r="A61">
        <v>182</v>
      </c>
      <c r="B61">
        <v>94</v>
      </c>
      <c r="D61">
        <v>90</v>
      </c>
      <c r="E61">
        <v>94</v>
      </c>
    </row>
    <row r="65" spans="1:16">
      <c r="A65" t="s">
        <v>449</v>
      </c>
      <c r="D65" t="s">
        <v>74</v>
      </c>
      <c r="G65" t="s">
        <v>444</v>
      </c>
      <c r="P65" t="s">
        <v>445</v>
      </c>
    </row>
    <row r="66" spans="1:16">
      <c r="A66" t="s">
        <v>437</v>
      </c>
      <c r="B66" t="s">
        <v>10</v>
      </c>
      <c r="D66" t="s">
        <v>438</v>
      </c>
      <c r="E66" t="s">
        <v>10</v>
      </c>
    </row>
    <row r="67" spans="1:16">
      <c r="A67" t="s">
        <v>18</v>
      </c>
      <c r="B67" t="s">
        <v>18</v>
      </c>
      <c r="D67" t="s">
        <v>18</v>
      </c>
      <c r="E67" t="s">
        <v>18</v>
      </c>
    </row>
    <row r="68" spans="1:16">
      <c r="A68">
        <v>6.96</v>
      </c>
      <c r="B68">
        <v>6.71</v>
      </c>
      <c r="D68">
        <v>6.82</v>
      </c>
      <c r="E68">
        <v>6.71</v>
      </c>
    </row>
    <row r="69" spans="1:16">
      <c r="A69" t="s">
        <v>19</v>
      </c>
      <c r="B69" t="s">
        <v>19</v>
      </c>
      <c r="D69" t="s">
        <v>19</v>
      </c>
      <c r="E69" t="s">
        <v>19</v>
      </c>
    </row>
    <row r="70" spans="1:16">
      <c r="A70">
        <v>6.5865999999999998</v>
      </c>
      <c r="B70">
        <v>6.5865999999999998</v>
      </c>
      <c r="D70">
        <v>6.4</v>
      </c>
      <c r="E70">
        <v>6.4</v>
      </c>
    </row>
    <row r="71" spans="1:16">
      <c r="A71" t="s">
        <v>12</v>
      </c>
      <c r="B71" t="s">
        <v>12</v>
      </c>
      <c r="D71" t="s">
        <v>12</v>
      </c>
      <c r="E71" t="s">
        <v>12</v>
      </c>
    </row>
    <row r="72" spans="1:16">
      <c r="A72">
        <v>182</v>
      </c>
      <c r="B72">
        <v>94</v>
      </c>
      <c r="D72">
        <v>90</v>
      </c>
      <c r="E72">
        <v>94</v>
      </c>
    </row>
    <row r="76" spans="1:16">
      <c r="A76" t="s">
        <v>450</v>
      </c>
      <c r="C76" t="s">
        <v>74</v>
      </c>
    </row>
    <row r="77" spans="1:16">
      <c r="G77" t="s">
        <v>444</v>
      </c>
      <c r="P77" t="s">
        <v>445</v>
      </c>
    </row>
    <row r="78" spans="1:16">
      <c r="A78" t="s">
        <v>437</v>
      </c>
      <c r="B78" t="s">
        <v>10</v>
      </c>
      <c r="D78" t="s">
        <v>438</v>
      </c>
      <c r="E78" t="s">
        <v>10</v>
      </c>
    </row>
    <row r="79" spans="1:16">
      <c r="A79" t="s">
        <v>18</v>
      </c>
      <c r="B79" t="s">
        <v>18</v>
      </c>
      <c r="D79" t="s">
        <v>18</v>
      </c>
      <c r="E79" t="s">
        <v>18</v>
      </c>
    </row>
    <row r="80" spans="1:16">
      <c r="A80">
        <v>4.3099999999999996</v>
      </c>
      <c r="B80">
        <v>4.18</v>
      </c>
      <c r="D80">
        <v>3.92</v>
      </c>
      <c r="E80">
        <v>4.18</v>
      </c>
    </row>
    <row r="81" spans="1:5">
      <c r="A81" t="s">
        <v>19</v>
      </c>
      <c r="B81" t="s">
        <v>19</v>
      </c>
      <c r="D81" t="s">
        <v>19</v>
      </c>
      <c r="E81" t="s">
        <v>19</v>
      </c>
    </row>
    <row r="82" spans="1:5">
      <c r="A82">
        <v>1.1499999999999999</v>
      </c>
      <c r="B82">
        <v>1.1499999999999999</v>
      </c>
      <c r="D82">
        <v>1.17</v>
      </c>
      <c r="E82">
        <v>1.17</v>
      </c>
    </row>
    <row r="83" spans="1:5">
      <c r="A83" t="s">
        <v>12</v>
      </c>
      <c r="B83" t="s">
        <v>12</v>
      </c>
      <c r="D83" t="s">
        <v>12</v>
      </c>
      <c r="E83" t="s">
        <v>12</v>
      </c>
    </row>
    <row r="84" spans="1:5">
      <c r="A84">
        <v>182</v>
      </c>
      <c r="B84">
        <v>94</v>
      </c>
      <c r="D84">
        <v>90</v>
      </c>
      <c r="E84">
        <v>94</v>
      </c>
    </row>
    <row r="89" spans="1:5">
      <c r="A89" s="19" t="s">
        <v>141</v>
      </c>
      <c r="B89" s="19" t="s">
        <v>451</v>
      </c>
      <c r="C89" s="19" t="s">
        <v>452</v>
      </c>
      <c r="D89" s="19"/>
      <c r="E89" s="19"/>
    </row>
    <row r="90" spans="1:5">
      <c r="A90" s="19" t="s">
        <v>429</v>
      </c>
      <c r="B90" s="19">
        <v>3</v>
      </c>
      <c r="C90" s="19" t="s">
        <v>453</v>
      </c>
      <c r="D90" s="19" t="s">
        <v>454</v>
      </c>
      <c r="E90" s="19"/>
    </row>
    <row r="91" spans="1:5">
      <c r="A91" s="21" t="s">
        <v>455</v>
      </c>
      <c r="B91" s="21"/>
      <c r="C91" s="21">
        <v>460</v>
      </c>
      <c r="D91" s="21" t="s">
        <v>456</v>
      </c>
      <c r="E91" s="21"/>
    </row>
    <row r="92" spans="1:5">
      <c r="A92" s="21" t="s">
        <v>457</v>
      </c>
      <c r="B92" s="21"/>
      <c r="C92" s="21"/>
      <c r="D92" s="21" t="s">
        <v>458</v>
      </c>
      <c r="E92" s="21"/>
    </row>
    <row r="93" spans="1:5">
      <c r="A93" s="21" t="s">
        <v>459</v>
      </c>
      <c r="B93" s="21"/>
      <c r="C93" s="21"/>
      <c r="D93" s="21" t="s">
        <v>460</v>
      </c>
      <c r="E93" s="21"/>
    </row>
    <row r="94" spans="1:5">
      <c r="A94" s="21" t="s">
        <v>461</v>
      </c>
      <c r="B94" s="21"/>
      <c r="C94" s="21"/>
      <c r="D94" s="21" t="s">
        <v>462</v>
      </c>
      <c r="E94" s="21"/>
    </row>
    <row r="95" spans="1:5">
      <c r="A95" s="21" t="s">
        <v>463</v>
      </c>
      <c r="B95" s="21"/>
      <c r="C95" s="21"/>
      <c r="D95" s="21" t="s">
        <v>464</v>
      </c>
      <c r="E95" s="21"/>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674EC-EAAA-4CE4-89FE-A872C8A9198D}">
  <dimension ref="A1:C18"/>
  <sheetViews>
    <sheetView workbookViewId="0">
      <selection activeCell="A19" sqref="A19"/>
    </sheetView>
  </sheetViews>
  <sheetFormatPr defaultRowHeight="15.75"/>
  <sheetData>
    <row r="1" spans="1:3">
      <c r="A1" t="s">
        <v>465</v>
      </c>
    </row>
    <row r="2" spans="1:3">
      <c r="A2" t="s">
        <v>466</v>
      </c>
    </row>
    <row r="3" spans="1:3">
      <c r="A3" t="s">
        <v>88</v>
      </c>
      <c r="B3" t="s">
        <v>110</v>
      </c>
      <c r="C3" t="s">
        <v>74</v>
      </c>
    </row>
    <row r="4" spans="1:3">
      <c r="A4" t="s">
        <v>9</v>
      </c>
      <c r="B4" t="s">
        <v>10</v>
      </c>
    </row>
    <row r="5" spans="1:3">
      <c r="A5" t="s">
        <v>11</v>
      </c>
      <c r="B5" t="s">
        <v>11</v>
      </c>
    </row>
    <row r="6" spans="1:3">
      <c r="A6">
        <v>116</v>
      </c>
      <c r="B6">
        <v>19</v>
      </c>
    </row>
    <row r="7" spans="1:3">
      <c r="A7" t="s">
        <v>12</v>
      </c>
      <c r="B7" t="s">
        <v>12</v>
      </c>
    </row>
    <row r="8" spans="1:3">
      <c r="A8">
        <v>176</v>
      </c>
      <c r="B8">
        <v>181</v>
      </c>
    </row>
    <row r="10" spans="1:3">
      <c r="A10" t="s">
        <v>467</v>
      </c>
    </row>
    <row r="11" spans="1:3">
      <c r="A11" t="s">
        <v>88</v>
      </c>
      <c r="B11" t="s">
        <v>110</v>
      </c>
      <c r="C11" t="s">
        <v>79</v>
      </c>
    </row>
    <row r="12" spans="1:3">
      <c r="A12" t="s">
        <v>9</v>
      </c>
      <c r="B12" t="s">
        <v>10</v>
      </c>
    </row>
    <row r="13" spans="1:3">
      <c r="A13" t="s">
        <v>11</v>
      </c>
      <c r="B13" t="s">
        <v>11</v>
      </c>
    </row>
    <row r="14" spans="1:3">
      <c r="A14">
        <v>15</v>
      </c>
      <c r="B14">
        <v>16</v>
      </c>
    </row>
    <row r="15" spans="1:3">
      <c r="A15" t="s">
        <v>12</v>
      </c>
      <c r="B15" t="s">
        <v>12</v>
      </c>
    </row>
    <row r="16" spans="1:3">
      <c r="A16">
        <v>176</v>
      </c>
      <c r="B16">
        <v>181</v>
      </c>
    </row>
    <row r="18" spans="1:1">
      <c r="A18" t="s">
        <v>468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4F413-7FF3-411D-924F-11D54754AE71}">
  <dimension ref="A1:D29"/>
  <sheetViews>
    <sheetView topLeftCell="A10" workbookViewId="0">
      <selection activeCell="A29" sqref="A29"/>
    </sheetView>
  </sheetViews>
  <sheetFormatPr defaultRowHeight="15.75"/>
  <sheetData>
    <row r="1" spans="1:3">
      <c r="A1" t="s">
        <v>469</v>
      </c>
    </row>
    <row r="2" spans="1:3">
      <c r="A2" t="s">
        <v>470</v>
      </c>
    </row>
    <row r="3" spans="1:3">
      <c r="A3" t="s">
        <v>9</v>
      </c>
      <c r="B3" t="s">
        <v>10</v>
      </c>
    </row>
    <row r="4" spans="1:3">
      <c r="A4" s="16" t="s">
        <v>18</v>
      </c>
      <c r="B4" s="16" t="s">
        <v>18</v>
      </c>
      <c r="C4" t="s">
        <v>471</v>
      </c>
    </row>
    <row r="5" spans="1:3">
      <c r="A5" s="16">
        <v>91.25</v>
      </c>
      <c r="B5" s="16">
        <v>199.15</v>
      </c>
    </row>
    <row r="6" spans="1:3">
      <c r="A6" s="16" t="s">
        <v>19</v>
      </c>
      <c r="B6" s="16" t="s">
        <v>19</v>
      </c>
    </row>
    <row r="7" spans="1:3">
      <c r="A7" s="16">
        <v>82.3</v>
      </c>
      <c r="B7" s="16">
        <v>125.4</v>
      </c>
    </row>
    <row r="8" spans="1:3">
      <c r="A8" s="16" t="s">
        <v>12</v>
      </c>
      <c r="B8" s="16" t="s">
        <v>12</v>
      </c>
    </row>
    <row r="10" spans="1:3">
      <c r="A10" t="s">
        <v>6</v>
      </c>
    </row>
    <row r="11" spans="1:3">
      <c r="A11" t="s">
        <v>472</v>
      </c>
    </row>
    <row r="12" spans="1:3">
      <c r="A12" t="s">
        <v>88</v>
      </c>
    </row>
    <row r="13" spans="1:3">
      <c r="A13" t="s">
        <v>115</v>
      </c>
    </row>
    <row r="14" spans="1:3">
      <c r="A14" t="s">
        <v>9</v>
      </c>
      <c r="B14" t="s">
        <v>10</v>
      </c>
    </row>
    <row r="15" spans="1:3">
      <c r="A15" t="s">
        <v>11</v>
      </c>
      <c r="B15" t="s">
        <v>11</v>
      </c>
    </row>
    <row r="16" spans="1:3">
      <c r="A16">
        <v>2</v>
      </c>
      <c r="B16">
        <v>3</v>
      </c>
    </row>
    <row r="17" spans="1:4">
      <c r="A17" t="s">
        <v>12</v>
      </c>
      <c r="B17" t="s">
        <v>12</v>
      </c>
    </row>
    <row r="18" spans="1:4">
      <c r="A18">
        <f>74-23</f>
        <v>51</v>
      </c>
      <c r="B18">
        <f>79-34</f>
        <v>45</v>
      </c>
      <c r="D18" t="s">
        <v>473</v>
      </c>
    </row>
    <row r="20" spans="1:4">
      <c r="A20" t="s">
        <v>88</v>
      </c>
    </row>
    <row r="21" spans="1:4">
      <c r="A21" t="s">
        <v>474</v>
      </c>
    </row>
    <row r="22" spans="1:4">
      <c r="A22" t="s">
        <v>9</v>
      </c>
      <c r="B22" t="s">
        <v>10</v>
      </c>
    </row>
    <row r="23" spans="1:4">
      <c r="A23" t="s">
        <v>11</v>
      </c>
      <c r="B23" t="s">
        <v>11</v>
      </c>
    </row>
    <row r="24" spans="1:4">
      <c r="A24">
        <v>7</v>
      </c>
      <c r="B24">
        <v>3</v>
      </c>
    </row>
    <row r="25" spans="1:4">
      <c r="A25" t="s">
        <v>12</v>
      </c>
      <c r="B25" t="s">
        <v>12</v>
      </c>
    </row>
    <row r="26" spans="1:4">
      <c r="A26">
        <f>74-23</f>
        <v>51</v>
      </c>
      <c r="B26">
        <f>81-32</f>
        <v>49</v>
      </c>
    </row>
    <row r="29" spans="1:4">
      <c r="A29" t="s">
        <v>475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830E-37E0-48FD-9929-92E640CCB7B0}">
  <dimension ref="A2:B36"/>
  <sheetViews>
    <sheetView topLeftCell="A24" workbookViewId="0">
      <selection activeCell="B37" sqref="B37"/>
    </sheetView>
  </sheetViews>
  <sheetFormatPr defaultColWidth="8.875" defaultRowHeight="15.95"/>
  <sheetData>
    <row r="2" spans="1:2">
      <c r="A2" t="s">
        <v>291</v>
      </c>
    </row>
    <row r="3" spans="1:2">
      <c r="A3" t="s">
        <v>476</v>
      </c>
    </row>
    <row r="4" spans="1:2">
      <c r="A4" t="s">
        <v>477</v>
      </c>
    </row>
    <row r="5" spans="1:2">
      <c r="A5" t="s">
        <v>109</v>
      </c>
    </row>
    <row r="6" spans="1:2">
      <c r="A6" t="s">
        <v>9</v>
      </c>
      <c r="B6" t="s">
        <v>10</v>
      </c>
    </row>
    <row r="7" spans="1:2">
      <c r="A7" t="s">
        <v>11</v>
      </c>
      <c r="B7" t="s">
        <v>11</v>
      </c>
    </row>
    <row r="8" spans="1:2">
      <c r="A8">
        <v>28</v>
      </c>
      <c r="B8">
        <v>21</v>
      </c>
    </row>
    <row r="9" spans="1:2">
      <c r="A9" t="s">
        <v>12</v>
      </c>
      <c r="B9" t="s">
        <v>12</v>
      </c>
    </row>
    <row r="10" spans="1:2">
      <c r="A10">
        <v>47</v>
      </c>
      <c r="B10">
        <v>51</v>
      </c>
    </row>
    <row r="12" spans="1:2">
      <c r="A12" t="s">
        <v>478</v>
      </c>
    </row>
    <row r="13" spans="1:2">
      <c r="A13" t="s">
        <v>477</v>
      </c>
    </row>
    <row r="14" spans="1:2">
      <c r="A14" t="s">
        <v>109</v>
      </c>
    </row>
    <row r="15" spans="1:2">
      <c r="A15" t="s">
        <v>9</v>
      </c>
      <c r="B15" t="s">
        <v>10</v>
      </c>
    </row>
    <row r="16" spans="1:2">
      <c r="A16" t="s">
        <v>11</v>
      </c>
      <c r="B16" t="s">
        <v>11</v>
      </c>
    </row>
    <row r="17" spans="1:2">
      <c r="A17">
        <v>14</v>
      </c>
      <c r="B17">
        <v>11</v>
      </c>
    </row>
    <row r="18" spans="1:2">
      <c r="A18" t="s">
        <v>12</v>
      </c>
      <c r="B18" t="s">
        <v>12</v>
      </c>
    </row>
    <row r="19" spans="1:2">
      <c r="A19">
        <v>47</v>
      </c>
      <c r="B19">
        <v>51</v>
      </c>
    </row>
    <row r="21" spans="1:2">
      <c r="A21" t="s">
        <v>477</v>
      </c>
    </row>
    <row r="22" spans="1:2">
      <c r="A22" t="s">
        <v>308</v>
      </c>
    </row>
    <row r="23" spans="1:2">
      <c r="A23" t="s">
        <v>9</v>
      </c>
      <c r="B23" t="s">
        <v>10</v>
      </c>
    </row>
    <row r="24" spans="1:2">
      <c r="A24" t="s">
        <v>11</v>
      </c>
      <c r="B24" t="s">
        <v>11</v>
      </c>
    </row>
    <row r="25" spans="1:2">
      <c r="A25">
        <v>19</v>
      </c>
      <c r="B25">
        <v>20</v>
      </c>
    </row>
    <row r="26" spans="1:2">
      <c r="A26" t="s">
        <v>12</v>
      </c>
      <c r="B26" t="s">
        <v>12</v>
      </c>
    </row>
    <row r="27" spans="1:2">
      <c r="A27">
        <v>41</v>
      </c>
      <c r="B27">
        <v>44</v>
      </c>
    </row>
    <row r="29" spans="1:2">
      <c r="A29" t="s">
        <v>478</v>
      </c>
    </row>
    <row r="30" spans="1:2">
      <c r="A30" t="s">
        <v>477</v>
      </c>
    </row>
    <row r="31" spans="1:2">
      <c r="A31" t="s">
        <v>308</v>
      </c>
    </row>
    <row r="32" spans="1:2">
      <c r="A32" t="s">
        <v>9</v>
      </c>
      <c r="B32" t="s">
        <v>10</v>
      </c>
    </row>
    <row r="33" spans="1:2">
      <c r="A33" t="s">
        <v>11</v>
      </c>
      <c r="B33" t="s">
        <v>11</v>
      </c>
    </row>
    <row r="34" spans="1:2">
      <c r="A34">
        <v>8</v>
      </c>
      <c r="B34">
        <v>8</v>
      </c>
    </row>
    <row r="35" spans="1:2">
      <c r="A35" t="s">
        <v>12</v>
      </c>
      <c r="B35" t="s">
        <v>12</v>
      </c>
    </row>
    <row r="36" spans="1:2">
      <c r="A36">
        <v>41</v>
      </c>
      <c r="B36">
        <v>44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86D0-C72E-4357-80F4-67D5D44F6639}">
  <dimension ref="A1:D38"/>
  <sheetViews>
    <sheetView topLeftCell="A21" workbookViewId="0">
      <selection activeCell="C23" sqref="C23"/>
    </sheetView>
  </sheetViews>
  <sheetFormatPr defaultRowHeight="15.75"/>
  <sheetData>
    <row r="1" spans="1:4">
      <c r="A1" t="s">
        <v>33</v>
      </c>
    </row>
    <row r="2" spans="1:4">
      <c r="A2" t="s">
        <v>218</v>
      </c>
    </row>
    <row r="3" spans="1:4">
      <c r="A3" t="s">
        <v>479</v>
      </c>
    </row>
    <row r="4" spans="1:4">
      <c r="A4" t="s">
        <v>9</v>
      </c>
      <c r="B4" t="s">
        <v>10</v>
      </c>
      <c r="D4" t="s">
        <v>79</v>
      </c>
    </row>
    <row r="5" spans="1:4">
      <c r="A5">
        <v>-54.93</v>
      </c>
      <c r="B5">
        <v>-28.22</v>
      </c>
      <c r="D5" t="s">
        <v>480</v>
      </c>
    </row>
    <row r="6" spans="1:4">
      <c r="A6" t="s">
        <v>19</v>
      </c>
      <c r="B6" t="s">
        <v>19</v>
      </c>
    </row>
    <row r="7" spans="1:4">
      <c r="A7">
        <v>36.92</v>
      </c>
      <c r="B7">
        <v>44.49</v>
      </c>
    </row>
    <row r="8" spans="1:4">
      <c r="A8" t="s">
        <v>12</v>
      </c>
      <c r="B8" t="s">
        <v>12</v>
      </c>
    </row>
    <row r="9" spans="1:4">
      <c r="A9">
        <v>91</v>
      </c>
      <c r="B9">
        <v>77</v>
      </c>
    </row>
    <row r="11" spans="1:4">
      <c r="A11" t="s">
        <v>481</v>
      </c>
    </row>
    <row r="13" spans="1:4">
      <c r="A13" t="s">
        <v>338</v>
      </c>
    </row>
    <row r="14" spans="1:4">
      <c r="A14" t="s">
        <v>482</v>
      </c>
      <c r="B14" t="s">
        <v>480</v>
      </c>
      <c r="D14" t="s">
        <v>74</v>
      </c>
    </row>
    <row r="15" spans="1:4">
      <c r="A15" t="s">
        <v>9</v>
      </c>
      <c r="B15" t="s">
        <v>10</v>
      </c>
    </row>
    <row r="16" spans="1:4">
      <c r="A16">
        <v>1.19</v>
      </c>
      <c r="B16">
        <v>-0.02</v>
      </c>
    </row>
    <row r="17" spans="1:4">
      <c r="A17" t="s">
        <v>19</v>
      </c>
      <c r="B17" t="s">
        <v>19</v>
      </c>
    </row>
    <row r="18" spans="1:4">
      <c r="A18">
        <v>1.99</v>
      </c>
      <c r="B18">
        <v>1.65</v>
      </c>
    </row>
    <row r="19" spans="1:4">
      <c r="A19" t="s">
        <v>12</v>
      </c>
      <c r="B19" t="s">
        <v>12</v>
      </c>
    </row>
    <row r="20" spans="1:4">
      <c r="A20">
        <v>91</v>
      </c>
      <c r="B20">
        <v>77</v>
      </c>
    </row>
    <row r="22" spans="1:4">
      <c r="A22" t="s">
        <v>483</v>
      </c>
    </row>
    <row r="23" spans="1:4">
      <c r="A23" t="s">
        <v>9</v>
      </c>
      <c r="B23" t="s">
        <v>10</v>
      </c>
      <c r="C23" t="s">
        <v>480</v>
      </c>
      <c r="D23" t="s">
        <v>79</v>
      </c>
    </row>
    <row r="24" spans="1:4">
      <c r="A24">
        <v>-0.28000000000000003</v>
      </c>
      <c r="B24">
        <v>0.04</v>
      </c>
    </row>
    <row r="25" spans="1:4">
      <c r="A25" t="s">
        <v>19</v>
      </c>
      <c r="B25" t="s">
        <v>19</v>
      </c>
    </row>
    <row r="26" spans="1:4">
      <c r="A26">
        <v>0.69</v>
      </c>
      <c r="B26">
        <v>0.72</v>
      </c>
    </row>
    <row r="27" spans="1:4">
      <c r="A27" t="s">
        <v>12</v>
      </c>
      <c r="B27" t="s">
        <v>12</v>
      </c>
    </row>
    <row r="28" spans="1:4">
      <c r="A28">
        <v>91</v>
      </c>
      <c r="B28">
        <v>77</v>
      </c>
    </row>
    <row r="30" spans="1:4">
      <c r="A30" t="s">
        <v>6</v>
      </c>
    </row>
    <row r="31" spans="1:4">
      <c r="A31" t="s">
        <v>484</v>
      </c>
    </row>
    <row r="32" spans="1:4">
      <c r="A32" t="s">
        <v>485</v>
      </c>
      <c r="D32" t="s">
        <v>74</v>
      </c>
    </row>
    <row r="33" spans="1:4">
      <c r="A33" t="s">
        <v>9</v>
      </c>
      <c r="B33" t="s">
        <v>10</v>
      </c>
      <c r="D33" t="s">
        <v>486</v>
      </c>
    </row>
    <row r="34" spans="1:4">
      <c r="A34">
        <v>74.010000000000005</v>
      </c>
      <c r="B34">
        <v>72.069999999999993</v>
      </c>
    </row>
    <row r="35" spans="1:4">
      <c r="A35" t="s">
        <v>19</v>
      </c>
      <c r="B35" t="s">
        <v>19</v>
      </c>
    </row>
    <row r="36" spans="1:4">
      <c r="A36">
        <v>28.11</v>
      </c>
      <c r="B36">
        <v>33.520000000000003</v>
      </c>
    </row>
    <row r="37" spans="1:4">
      <c r="A37" t="s">
        <v>12</v>
      </c>
      <c r="B37" t="s">
        <v>12</v>
      </c>
    </row>
    <row r="38" spans="1:4">
      <c r="A38">
        <v>91</v>
      </c>
      <c r="B38">
        <v>77</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0E040-D3C0-43D7-9966-2E9F39D6C297}">
  <dimension ref="A1:D32"/>
  <sheetViews>
    <sheetView workbookViewId="0">
      <selection activeCell="C16" sqref="C16"/>
    </sheetView>
  </sheetViews>
  <sheetFormatPr defaultRowHeight="15.75"/>
  <sheetData>
    <row r="1" spans="1:4">
      <c r="A1" t="s">
        <v>6</v>
      </c>
    </row>
    <row r="2" spans="1:4">
      <c r="A2" t="s">
        <v>487</v>
      </c>
    </row>
    <row r="3" spans="1:4">
      <c r="A3" t="s">
        <v>9</v>
      </c>
      <c r="B3" t="s">
        <v>10</v>
      </c>
      <c r="D3" t="s">
        <v>74</v>
      </c>
    </row>
    <row r="4" spans="1:4">
      <c r="A4" t="s">
        <v>115</v>
      </c>
    </row>
    <row r="5" spans="1:4">
      <c r="A5" t="s">
        <v>18</v>
      </c>
      <c r="B5" t="s">
        <v>18</v>
      </c>
    </row>
    <row r="6" spans="1:4">
      <c r="A6">
        <v>65.33</v>
      </c>
      <c r="B6">
        <v>62</v>
      </c>
    </row>
    <row r="7" spans="1:4">
      <c r="A7" t="s">
        <v>19</v>
      </c>
      <c r="B7" t="s">
        <v>19</v>
      </c>
    </row>
    <row r="8" spans="1:4">
      <c r="A8">
        <v>34.68</v>
      </c>
      <c r="B8">
        <v>35.19</v>
      </c>
    </row>
    <row r="9" spans="1:4">
      <c r="A9" t="s">
        <v>12</v>
      </c>
      <c r="B9" t="s">
        <v>12</v>
      </c>
    </row>
    <row r="10" spans="1:4">
      <c r="A10">
        <v>30</v>
      </c>
      <c r="B10">
        <v>24</v>
      </c>
    </row>
    <row r="12" spans="1:4">
      <c r="A12" t="s">
        <v>488</v>
      </c>
    </row>
    <row r="13" spans="1:4">
      <c r="A13" t="s">
        <v>489</v>
      </c>
      <c r="B13" t="s">
        <v>88</v>
      </c>
      <c r="D13" t="s">
        <v>74</v>
      </c>
    </row>
    <row r="14" spans="1:4">
      <c r="A14" t="s">
        <v>9</v>
      </c>
      <c r="B14" t="s">
        <v>10</v>
      </c>
    </row>
    <row r="15" spans="1:4">
      <c r="A15" t="s">
        <v>11</v>
      </c>
      <c r="B15" t="s">
        <v>11</v>
      </c>
      <c r="C15" t="s">
        <v>115</v>
      </c>
    </row>
    <row r="16" spans="1:4">
      <c r="A16">
        <v>20</v>
      </c>
      <c r="B16">
        <v>20</v>
      </c>
    </row>
    <row r="17" spans="1:4">
      <c r="A17" t="s">
        <v>12</v>
      </c>
      <c r="B17" t="s">
        <v>12</v>
      </c>
    </row>
    <row r="18" spans="1:4">
      <c r="A18">
        <v>30</v>
      </c>
      <c r="B18">
        <v>30</v>
      </c>
    </row>
    <row r="20" spans="1:4">
      <c r="A20" t="s">
        <v>6</v>
      </c>
    </row>
    <row r="21" spans="1:4">
      <c r="A21" t="s">
        <v>490</v>
      </c>
    </row>
    <row r="22" spans="1:4">
      <c r="A22" t="s">
        <v>115</v>
      </c>
    </row>
    <row r="23" spans="1:4">
      <c r="A23" t="s">
        <v>9</v>
      </c>
      <c r="B23" t="s">
        <v>10</v>
      </c>
      <c r="D23" t="s">
        <v>79</v>
      </c>
    </row>
    <row r="24" spans="1:4">
      <c r="A24" t="s">
        <v>18</v>
      </c>
      <c r="B24" t="s">
        <v>18</v>
      </c>
    </row>
    <row r="25" spans="1:4">
      <c r="A25">
        <v>7.7</v>
      </c>
      <c r="B25">
        <v>5.3</v>
      </c>
    </row>
    <row r="26" spans="1:4">
      <c r="A26" t="s">
        <v>19</v>
      </c>
      <c r="B26" t="s">
        <v>19</v>
      </c>
    </row>
    <row r="27" spans="1:4">
      <c r="A27">
        <v>14.84</v>
      </c>
      <c r="B27">
        <v>11.9</v>
      </c>
    </row>
    <row r="28" spans="1:4">
      <c r="A28" t="s">
        <v>12</v>
      </c>
      <c r="B28" t="s">
        <v>12</v>
      </c>
    </row>
    <row r="29" spans="1:4">
      <c r="A29">
        <v>30</v>
      </c>
      <c r="B29">
        <v>25</v>
      </c>
    </row>
    <row r="32" spans="1:4">
      <c r="A32" t="s">
        <v>491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97B74-3875-406D-BD14-48F99AD6E871}">
  <dimension ref="A1:K27"/>
  <sheetViews>
    <sheetView topLeftCell="A6" workbookViewId="0">
      <selection activeCell="G16" sqref="G16"/>
    </sheetView>
  </sheetViews>
  <sheetFormatPr defaultColWidth="8.875" defaultRowHeight="15.95"/>
  <cols>
    <col min="1" max="1" width="11.125" customWidth="1"/>
  </cols>
  <sheetData>
    <row r="1" spans="1:10">
      <c r="A1" t="s">
        <v>492</v>
      </c>
    </row>
    <row r="2" spans="1:10">
      <c r="A2" t="s">
        <v>493</v>
      </c>
    </row>
    <row r="3" spans="1:10">
      <c r="A3" t="s">
        <v>494</v>
      </c>
      <c r="G3" t="s">
        <v>495</v>
      </c>
      <c r="I3" s="6">
        <v>0.79300000000000004</v>
      </c>
      <c r="J3">
        <v>394</v>
      </c>
    </row>
    <row r="4" spans="1:10">
      <c r="A4" t="s">
        <v>496</v>
      </c>
      <c r="D4" t="s">
        <v>452</v>
      </c>
      <c r="E4">
        <v>297</v>
      </c>
    </row>
    <row r="5" spans="1:10">
      <c r="A5" t="s">
        <v>130</v>
      </c>
      <c r="D5" s="5">
        <v>90</v>
      </c>
      <c r="G5">
        <v>74</v>
      </c>
    </row>
    <row r="6" spans="1:10">
      <c r="A6" t="s">
        <v>497</v>
      </c>
      <c r="D6" s="5">
        <v>107</v>
      </c>
      <c r="G6">
        <v>93</v>
      </c>
    </row>
    <row r="7" spans="1:10">
      <c r="A7" t="s">
        <v>38</v>
      </c>
      <c r="D7" s="5">
        <v>50</v>
      </c>
      <c r="G7">
        <v>35</v>
      </c>
      <c r="H7" t="s">
        <v>498</v>
      </c>
    </row>
    <row r="9" spans="1:10">
      <c r="A9" t="s">
        <v>499</v>
      </c>
      <c r="D9" t="s">
        <v>452</v>
      </c>
      <c r="E9">
        <v>200</v>
      </c>
    </row>
    <row r="10" spans="1:10">
      <c r="A10" t="s">
        <v>500</v>
      </c>
      <c r="D10" s="5">
        <v>100</v>
      </c>
      <c r="G10">
        <v>85</v>
      </c>
    </row>
    <row r="11" spans="1:10">
      <c r="A11" t="s">
        <v>38</v>
      </c>
      <c r="D11" s="5">
        <v>100</v>
      </c>
      <c r="G11">
        <v>72</v>
      </c>
    </row>
    <row r="13" spans="1:10">
      <c r="A13" t="s">
        <v>88</v>
      </c>
      <c r="B13" t="s">
        <v>6</v>
      </c>
      <c r="C13" t="s">
        <v>501</v>
      </c>
      <c r="G13" t="s">
        <v>502</v>
      </c>
    </row>
    <row r="14" spans="1:10">
      <c r="A14" t="s">
        <v>130</v>
      </c>
      <c r="D14" s="5">
        <v>14</v>
      </c>
      <c r="G14">
        <v>74</v>
      </c>
      <c r="J14" t="s">
        <v>503</v>
      </c>
    </row>
    <row r="15" spans="1:10">
      <c r="A15" t="s">
        <v>497</v>
      </c>
      <c r="D15" s="5">
        <v>28</v>
      </c>
      <c r="G15">
        <v>93</v>
      </c>
      <c r="J15" t="s">
        <v>504</v>
      </c>
    </row>
    <row r="16" spans="1:10">
      <c r="A16" t="s">
        <v>38</v>
      </c>
      <c r="D16" s="5">
        <v>10</v>
      </c>
      <c r="G16">
        <v>35</v>
      </c>
      <c r="H16" t="s">
        <v>498</v>
      </c>
    </row>
    <row r="18" spans="1:11">
      <c r="A18" t="s">
        <v>121</v>
      </c>
      <c r="B18" t="s">
        <v>113</v>
      </c>
      <c r="C18" t="s">
        <v>505</v>
      </c>
      <c r="K18" s="7" t="s">
        <v>502</v>
      </c>
    </row>
    <row r="19" spans="1:11">
      <c r="D19" t="s">
        <v>506</v>
      </c>
      <c r="E19" t="s">
        <v>507</v>
      </c>
      <c r="G19" t="s">
        <v>452</v>
      </c>
      <c r="K19" s="7"/>
    </row>
    <row r="20" spans="1:11">
      <c r="A20" t="s">
        <v>130</v>
      </c>
      <c r="D20">
        <v>74.5</v>
      </c>
      <c r="E20">
        <v>25</v>
      </c>
      <c r="G20">
        <v>74</v>
      </c>
      <c r="J20" t="s">
        <v>503</v>
      </c>
    </row>
    <row r="21" spans="1:11">
      <c r="A21" t="s">
        <v>497</v>
      </c>
      <c r="D21">
        <v>74.3</v>
      </c>
      <c r="E21">
        <v>26.2</v>
      </c>
      <c r="G21">
        <v>93</v>
      </c>
      <c r="J21" t="s">
        <v>504</v>
      </c>
    </row>
    <row r="22" spans="1:11">
      <c r="A22" t="s">
        <v>38</v>
      </c>
      <c r="D22">
        <v>27.9</v>
      </c>
      <c r="E22">
        <v>29.2</v>
      </c>
      <c r="G22">
        <v>70</v>
      </c>
    </row>
    <row r="27" spans="1:11">
      <c r="D27">
        <v>27.9</v>
      </c>
      <c r="E27">
        <v>29.2</v>
      </c>
      <c r="F27">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ABF-E337-4CC0-B4CA-6A7F7056CF74}">
  <dimension ref="A1:N13"/>
  <sheetViews>
    <sheetView tabSelected="1" workbookViewId="0">
      <selection activeCell="C28" sqref="C28"/>
    </sheetView>
  </sheetViews>
  <sheetFormatPr defaultRowHeight="15.75"/>
  <cols>
    <col min="3" max="3" width="27.875" bestFit="1" customWidth="1"/>
  </cols>
  <sheetData>
    <row r="1" spans="1:14">
      <c r="A1" t="s">
        <v>27</v>
      </c>
    </row>
    <row r="2" spans="1:14">
      <c r="A2" t="s">
        <v>43</v>
      </c>
    </row>
    <row r="3" spans="1:14">
      <c r="A3" s="8"/>
    </row>
    <row r="5" spans="1:14">
      <c r="A5" t="s">
        <v>44</v>
      </c>
    </row>
    <row r="6" spans="1:14">
      <c r="A6" t="s">
        <v>45</v>
      </c>
      <c r="B6" t="s">
        <v>6</v>
      </c>
      <c r="C6" t="s">
        <v>46</v>
      </c>
      <c r="D6" t="s">
        <v>47</v>
      </c>
      <c r="E6" t="s">
        <v>48</v>
      </c>
      <c r="F6" t="s">
        <v>49</v>
      </c>
      <c r="N6" t="s">
        <v>50</v>
      </c>
    </row>
    <row r="7" spans="1:14">
      <c r="A7" t="s">
        <v>9</v>
      </c>
      <c r="C7">
        <v>1.63</v>
      </c>
      <c r="D7" s="5">
        <v>1.01</v>
      </c>
      <c r="E7">
        <v>2.61</v>
      </c>
      <c r="F7">
        <v>26</v>
      </c>
    </row>
    <row r="8" spans="1:14">
      <c r="A8" t="s">
        <v>38</v>
      </c>
      <c r="D8" s="5"/>
      <c r="F8">
        <v>16</v>
      </c>
    </row>
    <row r="10" spans="1:14">
      <c r="A10" t="s">
        <v>44</v>
      </c>
    </row>
    <row r="11" spans="1:14">
      <c r="A11" t="s">
        <v>45</v>
      </c>
      <c r="B11" t="s">
        <v>6</v>
      </c>
      <c r="C11" t="s">
        <v>51</v>
      </c>
      <c r="D11" t="s">
        <v>47</v>
      </c>
      <c r="E11" t="s">
        <v>48</v>
      </c>
      <c r="F11" t="s">
        <v>49</v>
      </c>
    </row>
    <row r="12" spans="1:14">
      <c r="A12" t="s">
        <v>9</v>
      </c>
      <c r="C12">
        <v>1.93</v>
      </c>
      <c r="D12" s="5">
        <v>0.97</v>
      </c>
      <c r="E12">
        <v>3.84</v>
      </c>
      <c r="F12">
        <v>17</v>
      </c>
    </row>
    <row r="13" spans="1:14">
      <c r="A13" t="s">
        <v>38</v>
      </c>
      <c r="D13" s="5"/>
      <c r="F13">
        <v>9</v>
      </c>
    </row>
  </sheetData>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C57B4-4005-4578-831C-DCCAD61F11F7}">
  <dimension ref="A1:G38"/>
  <sheetViews>
    <sheetView workbookViewId="0">
      <selection activeCell="B1" sqref="B1"/>
    </sheetView>
  </sheetViews>
  <sheetFormatPr defaultColWidth="8.875" defaultRowHeight="15.95"/>
  <sheetData>
    <row r="1" spans="1:7">
      <c r="A1" t="s">
        <v>508</v>
      </c>
    </row>
    <row r="2" spans="1:7">
      <c r="A2" t="s">
        <v>509</v>
      </c>
      <c r="G2" t="s">
        <v>6</v>
      </c>
    </row>
    <row r="3" spans="1:7">
      <c r="A3" t="s">
        <v>510</v>
      </c>
      <c r="D3" t="s">
        <v>511</v>
      </c>
    </row>
    <row r="4" spans="1:7">
      <c r="A4" t="s">
        <v>512</v>
      </c>
    </row>
    <row r="5" spans="1:7">
      <c r="A5" t="s">
        <v>9</v>
      </c>
      <c r="C5" t="s">
        <v>10</v>
      </c>
    </row>
    <row r="6" spans="1:7">
      <c r="A6" t="s">
        <v>18</v>
      </c>
      <c r="C6" t="s">
        <v>18</v>
      </c>
    </row>
    <row r="7" spans="1:7">
      <c r="A7">
        <v>307.85000000000002</v>
      </c>
      <c r="C7">
        <v>217.17</v>
      </c>
    </row>
    <row r="8" spans="1:7">
      <c r="A8" t="s">
        <v>513</v>
      </c>
      <c r="B8" t="s">
        <v>514</v>
      </c>
      <c r="C8" t="s">
        <v>513</v>
      </c>
      <c r="D8" t="s">
        <v>514</v>
      </c>
    </row>
    <row r="9" spans="1:7">
      <c r="A9">
        <v>287.98</v>
      </c>
      <c r="B9">
        <v>329.09</v>
      </c>
      <c r="C9">
        <v>184.39</v>
      </c>
      <c r="D9">
        <v>255.77</v>
      </c>
    </row>
    <row r="10" spans="1:7">
      <c r="A10" t="s">
        <v>515</v>
      </c>
    </row>
    <row r="11" spans="1:7">
      <c r="A11">
        <f>A7-A9</f>
        <v>19.870000000000005</v>
      </c>
      <c r="B11">
        <f>B9-A7</f>
        <v>21.239999999999952</v>
      </c>
      <c r="C11">
        <f>C7-C9</f>
        <v>32.78</v>
      </c>
      <c r="D11">
        <f>D9-C7</f>
        <v>38.600000000000023</v>
      </c>
    </row>
    <row r="12" spans="1:7">
      <c r="A12" t="s">
        <v>12</v>
      </c>
      <c r="C12" t="s">
        <v>12</v>
      </c>
    </row>
    <row r="13" spans="1:7">
      <c r="A13">
        <v>79</v>
      </c>
      <c r="B13">
        <v>79</v>
      </c>
      <c r="C13">
        <v>62</v>
      </c>
      <c r="D13">
        <v>62</v>
      </c>
    </row>
    <row r="15" spans="1:7">
      <c r="A15" t="s">
        <v>19</v>
      </c>
      <c r="C15" t="s">
        <v>19</v>
      </c>
    </row>
    <row r="16" spans="1:7">
      <c r="A16">
        <f>(A11/1.959964)*SQRT(A13)</f>
        <v>90.107993346847579</v>
      </c>
      <c r="B16">
        <f>(B11/1.959964)*SQRT(B13)</f>
        <v>96.320773965125213</v>
      </c>
      <c r="C16">
        <f>(C11/1.959964)*SQRT(C13)</f>
        <v>131.69118315954128</v>
      </c>
      <c r="D16">
        <f>(D11/1.959964)*SQRT(D13)</f>
        <v>155.07259517871557</v>
      </c>
    </row>
    <row r="17" spans="1:7">
      <c r="A17" t="s">
        <v>516</v>
      </c>
      <c r="C17" t="s">
        <v>516</v>
      </c>
    </row>
    <row r="18" spans="1:7">
      <c r="A18">
        <f>AVERAGE(A16,B16)</f>
        <v>93.214383655986396</v>
      </c>
      <c r="C18">
        <f>AVERAGE(C16,D16)</f>
        <v>143.38188916912844</v>
      </c>
    </row>
    <row r="22" spans="1:7">
      <c r="A22" t="s">
        <v>517</v>
      </c>
      <c r="G22" t="s">
        <v>89</v>
      </c>
    </row>
    <row r="23" spans="1:7">
      <c r="A23" t="s">
        <v>9</v>
      </c>
      <c r="C23" t="s">
        <v>10</v>
      </c>
    </row>
    <row r="24" spans="1:7">
      <c r="A24" t="s">
        <v>18</v>
      </c>
      <c r="C24" t="s">
        <v>18</v>
      </c>
    </row>
    <row r="25" spans="1:7">
      <c r="A25">
        <v>317.39</v>
      </c>
      <c r="C25">
        <v>281.58</v>
      </c>
    </row>
    <row r="26" spans="1:7">
      <c r="A26" t="s">
        <v>513</v>
      </c>
      <c r="B26" t="s">
        <v>514</v>
      </c>
      <c r="C26" t="s">
        <v>513</v>
      </c>
      <c r="D26" t="s">
        <v>514</v>
      </c>
    </row>
    <row r="27" spans="1:7">
      <c r="A27">
        <v>301.51</v>
      </c>
      <c r="B27">
        <v>334.11</v>
      </c>
      <c r="C27">
        <v>255.48</v>
      </c>
      <c r="D27">
        <v>310.33999999999997</v>
      </c>
    </row>
    <row r="28" spans="1:7">
      <c r="A28" t="s">
        <v>515</v>
      </c>
    </row>
    <row r="29" spans="1:7">
      <c r="A29">
        <f>A25-A27</f>
        <v>15.879999999999995</v>
      </c>
      <c r="B29">
        <f>B27-A25</f>
        <v>16.720000000000027</v>
      </c>
      <c r="C29">
        <f>C25-C27</f>
        <v>26.099999999999994</v>
      </c>
      <c r="D29">
        <f>D27-C25</f>
        <v>28.759999999999991</v>
      </c>
    </row>
    <row r="30" spans="1:7">
      <c r="A30" t="s">
        <v>12</v>
      </c>
      <c r="C30" t="s">
        <v>12</v>
      </c>
    </row>
    <row r="31" spans="1:7">
      <c r="A31">
        <v>160</v>
      </c>
      <c r="B31">
        <v>160</v>
      </c>
      <c r="C31">
        <v>113</v>
      </c>
      <c r="D31">
        <v>113</v>
      </c>
    </row>
    <row r="33" spans="1:4">
      <c r="A33" t="s">
        <v>19</v>
      </c>
      <c r="C33" t="s">
        <v>19</v>
      </c>
    </row>
    <row r="34" spans="1:4">
      <c r="A34">
        <f>(A29/1.959964)*SQRT(A31)</f>
        <v>102.48549308757477</v>
      </c>
      <c r="B34">
        <f>(B29/1.959964)*SQRT(B31)</f>
        <v>107.90664007709405</v>
      </c>
      <c r="C34">
        <f>(C29/1.959964)*SQRT(C31)</f>
        <v>141.55709273862902</v>
      </c>
      <c r="D34">
        <f>(D29/1.959964)*SQRT(D31)</f>
        <v>155.98398418248928</v>
      </c>
    </row>
    <row r="35" spans="1:4">
      <c r="A35" t="s">
        <v>516</v>
      </c>
      <c r="C35" t="s">
        <v>516</v>
      </c>
    </row>
    <row r="36" spans="1:4">
      <c r="A36">
        <f>AVERAGE(A34,B34)</f>
        <v>105.19606658233441</v>
      </c>
      <c r="C36">
        <f>AVERAGE(C34,D34)</f>
        <v>148.77053846055915</v>
      </c>
    </row>
    <row r="38" spans="1:4">
      <c r="A38" t="s">
        <v>518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10E43-E17C-49C2-9A41-2308F118A39B}">
  <dimension ref="A1:D30"/>
  <sheetViews>
    <sheetView workbookViewId="0">
      <selection activeCell="G6" sqref="G6"/>
    </sheetView>
  </sheetViews>
  <sheetFormatPr defaultRowHeight="15.75"/>
  <sheetData>
    <row r="1" spans="1:4">
      <c r="A1" t="s">
        <v>519</v>
      </c>
    </row>
    <row r="2" spans="1:4">
      <c r="A2" t="s">
        <v>113</v>
      </c>
    </row>
    <row r="3" spans="1:4">
      <c r="A3" t="s">
        <v>88</v>
      </c>
    </row>
    <row r="4" spans="1:4">
      <c r="A4" t="s">
        <v>258</v>
      </c>
    </row>
    <row r="5" spans="1:4">
      <c r="A5" t="s">
        <v>520</v>
      </c>
      <c r="D5" t="s">
        <v>74</v>
      </c>
    </row>
    <row r="6" spans="1:4">
      <c r="A6" t="s">
        <v>9</v>
      </c>
      <c r="B6" t="s">
        <v>10</v>
      </c>
    </row>
    <row r="7" spans="1:4">
      <c r="A7" t="s">
        <v>11</v>
      </c>
      <c r="B7" t="s">
        <v>11</v>
      </c>
    </row>
    <row r="8" spans="1:4">
      <c r="A8">
        <v>31</v>
      </c>
      <c r="B8">
        <v>26</v>
      </c>
    </row>
    <row r="9" spans="1:4">
      <c r="A9" t="s">
        <v>12</v>
      </c>
      <c r="B9" t="s">
        <v>12</v>
      </c>
    </row>
    <row r="10" spans="1:4">
      <c r="A10">
        <v>48</v>
      </c>
      <c r="B10">
        <v>48</v>
      </c>
    </row>
    <row r="12" spans="1:4">
      <c r="A12" t="s">
        <v>521</v>
      </c>
    </row>
    <row r="13" spans="1:4">
      <c r="A13" t="s">
        <v>121</v>
      </c>
      <c r="D13" t="s">
        <v>79</v>
      </c>
    </row>
    <row r="14" spans="1:4">
      <c r="A14" t="s">
        <v>522</v>
      </c>
    </row>
    <row r="15" spans="1:4">
      <c r="A15" t="s">
        <v>18</v>
      </c>
      <c r="B15" t="s">
        <v>18</v>
      </c>
    </row>
    <row r="16" spans="1:4">
      <c r="A16">
        <v>29</v>
      </c>
      <c r="B16">
        <v>91</v>
      </c>
    </row>
    <row r="17" spans="1:4">
      <c r="A17" t="s">
        <v>19</v>
      </c>
      <c r="B17" t="s">
        <v>19</v>
      </c>
    </row>
    <row r="18" spans="1:4">
      <c r="A18">
        <v>58</v>
      </c>
      <c r="B18">
        <v>140</v>
      </c>
    </row>
    <row r="19" spans="1:4">
      <c r="A19" t="s">
        <v>12</v>
      </c>
      <c r="B19" t="s">
        <v>12</v>
      </c>
    </row>
    <row r="20" spans="1:4">
      <c r="A20">
        <v>48</v>
      </c>
      <c r="B20">
        <v>48</v>
      </c>
    </row>
    <row r="22" spans="1:4">
      <c r="A22" t="s">
        <v>521</v>
      </c>
    </row>
    <row r="23" spans="1:4">
      <c r="A23" t="s">
        <v>121</v>
      </c>
    </row>
    <row r="24" spans="1:4">
      <c r="A24" t="s">
        <v>523</v>
      </c>
      <c r="D24" t="s">
        <v>79</v>
      </c>
    </row>
    <row r="25" spans="1:4">
      <c r="A25" t="s">
        <v>18</v>
      </c>
      <c r="B25" t="s">
        <v>18</v>
      </c>
    </row>
    <row r="26" spans="1:4">
      <c r="A26">
        <v>37</v>
      </c>
      <c r="B26">
        <v>16</v>
      </c>
    </row>
    <row r="27" spans="1:4">
      <c r="A27" t="s">
        <v>19</v>
      </c>
      <c r="B27" t="s">
        <v>19</v>
      </c>
    </row>
    <row r="28" spans="1:4">
      <c r="A28">
        <v>110</v>
      </c>
      <c r="B28">
        <v>69</v>
      </c>
    </row>
    <row r="29" spans="1:4">
      <c r="A29" t="s">
        <v>12</v>
      </c>
      <c r="B29" t="s">
        <v>12</v>
      </c>
    </row>
    <row r="30" spans="1:4">
      <c r="A30">
        <v>48</v>
      </c>
      <c r="B30">
        <v>48</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4D13-1231-4F23-9EF7-E38B4A47D0B3}">
  <dimension ref="A1:C9"/>
  <sheetViews>
    <sheetView workbookViewId="0">
      <selection activeCell="H20" sqref="H20"/>
    </sheetView>
  </sheetViews>
  <sheetFormatPr defaultRowHeight="15.75"/>
  <sheetData>
    <row r="1" spans="1:3">
      <c r="A1" t="s">
        <v>524</v>
      </c>
    </row>
    <row r="2" spans="1:3">
      <c r="A2" t="s">
        <v>121</v>
      </c>
      <c r="C2" t="s">
        <v>525</v>
      </c>
    </row>
    <row r="3" spans="1:3">
      <c r="A3" t="s">
        <v>526</v>
      </c>
    </row>
    <row r="4" spans="1:3">
      <c r="A4" t="s">
        <v>527</v>
      </c>
    </row>
    <row r="5" spans="1:3">
      <c r="A5" t="s">
        <v>528</v>
      </c>
    </row>
    <row r="6" spans="1:3">
      <c r="A6" t="s">
        <v>123</v>
      </c>
    </row>
    <row r="8" spans="1:3">
      <c r="A8" t="s">
        <v>88</v>
      </c>
    </row>
    <row r="9" spans="1:3">
      <c r="A9" t="s">
        <v>78</v>
      </c>
      <c r="C9" t="s">
        <v>529</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32F16-3E52-4050-9EB0-618AB30D2627}">
  <dimension ref="A1:A5"/>
  <sheetViews>
    <sheetView workbookViewId="0">
      <selection activeCell="A2" sqref="A2"/>
    </sheetView>
  </sheetViews>
  <sheetFormatPr defaultRowHeight="15.75"/>
  <sheetData>
    <row r="1" spans="1:1">
      <c r="A1" t="s">
        <v>530</v>
      </c>
    </row>
    <row r="2" spans="1:1">
      <c r="A2" t="s">
        <v>531</v>
      </c>
    </row>
    <row r="3" spans="1:1">
      <c r="A3">
        <v>-2.2073</v>
      </c>
    </row>
    <row r="4" spans="1:1">
      <c r="A4" t="s">
        <v>532</v>
      </c>
    </row>
    <row r="5" spans="1:1">
      <c r="A5">
        <v>1.1053999999999999</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3934-5237-496C-BE77-54797A7F1F4C}">
  <dimension ref="A1:E31"/>
  <sheetViews>
    <sheetView topLeftCell="A12" workbookViewId="0">
      <selection activeCell="C25" sqref="C25"/>
    </sheetView>
  </sheetViews>
  <sheetFormatPr defaultRowHeight="15.75"/>
  <sheetData>
    <row r="1" spans="1:5">
      <c r="A1" t="s">
        <v>533</v>
      </c>
    </row>
    <row r="2" spans="1:5">
      <c r="A2" t="s">
        <v>33</v>
      </c>
    </row>
    <row r="3" spans="1:5">
      <c r="A3" t="s">
        <v>115</v>
      </c>
    </row>
    <row r="4" spans="1:5">
      <c r="A4" t="s">
        <v>534</v>
      </c>
    </row>
    <row r="5" spans="1:5">
      <c r="A5" t="s">
        <v>9</v>
      </c>
      <c r="C5" t="s">
        <v>10</v>
      </c>
    </row>
    <row r="6" spans="1:5">
      <c r="A6" t="s">
        <v>18</v>
      </c>
      <c r="C6" t="s">
        <v>18</v>
      </c>
      <c r="E6" t="s">
        <v>535</v>
      </c>
    </row>
    <row r="7" spans="1:5">
      <c r="A7">
        <v>12.6</v>
      </c>
      <c r="C7">
        <v>12.3</v>
      </c>
    </row>
    <row r="8" spans="1:5">
      <c r="A8" t="s">
        <v>19</v>
      </c>
      <c r="C8" t="s">
        <v>19</v>
      </c>
    </row>
    <row r="9" spans="1:5">
      <c r="A9">
        <f>(A15-B15)/1.35</f>
        <v>2.9629629629629628</v>
      </c>
      <c r="C9">
        <f>(C15-D15)/1.35</f>
        <v>2.9629629629629628</v>
      </c>
    </row>
    <row r="10" spans="1:5">
      <c r="A10" t="s">
        <v>12</v>
      </c>
      <c r="C10" t="s">
        <v>12</v>
      </c>
    </row>
    <row r="11" spans="1:5">
      <c r="A11">
        <v>67</v>
      </c>
      <c r="C11">
        <v>63</v>
      </c>
    </row>
    <row r="14" spans="1:5">
      <c r="A14" t="s">
        <v>536</v>
      </c>
      <c r="B14" t="s">
        <v>537</v>
      </c>
      <c r="C14" t="s">
        <v>536</v>
      </c>
      <c r="D14" t="s">
        <v>537</v>
      </c>
    </row>
    <row r="15" spans="1:5">
      <c r="A15">
        <v>15</v>
      </c>
      <c r="B15">
        <v>11</v>
      </c>
      <c r="C15">
        <v>14.5</v>
      </c>
      <c r="D15">
        <v>10.5</v>
      </c>
    </row>
    <row r="16" spans="1:5">
      <c r="A16" t="s">
        <v>538</v>
      </c>
    </row>
    <row r="17" spans="1:5">
      <c r="A17" s="18" t="s">
        <v>539</v>
      </c>
    </row>
    <row r="19" spans="1:5">
      <c r="A19" t="s">
        <v>110</v>
      </c>
    </row>
    <row r="21" spans="1:5">
      <c r="A21" t="s">
        <v>9</v>
      </c>
      <c r="C21" t="s">
        <v>10</v>
      </c>
      <c r="E21" t="s">
        <v>535</v>
      </c>
    </row>
    <row r="22" spans="1:5">
      <c r="A22" t="s">
        <v>18</v>
      </c>
      <c r="C22" t="s">
        <v>18</v>
      </c>
    </row>
    <row r="23" spans="1:5">
      <c r="A23">
        <v>12.8</v>
      </c>
      <c r="C23">
        <v>11.9</v>
      </c>
    </row>
    <row r="24" spans="1:5">
      <c r="A24" t="s">
        <v>19</v>
      </c>
      <c r="C24" t="s">
        <v>19</v>
      </c>
    </row>
    <row r="25" spans="1:5">
      <c r="A25">
        <f>(A31-B31)/1.35</f>
        <v>1.9777777777777776</v>
      </c>
      <c r="C25">
        <f>(C31-D31)/1.35</f>
        <v>2.8888888888888875</v>
      </c>
    </row>
    <row r="26" spans="1:5">
      <c r="A26" t="s">
        <v>12</v>
      </c>
      <c r="C26" t="s">
        <v>12</v>
      </c>
    </row>
    <row r="27" spans="1:5">
      <c r="A27">
        <v>57</v>
      </c>
      <c r="C27">
        <v>50</v>
      </c>
    </row>
    <row r="30" spans="1:5">
      <c r="A30" t="s">
        <v>536</v>
      </c>
      <c r="B30" t="s">
        <v>537</v>
      </c>
      <c r="C30" t="s">
        <v>536</v>
      </c>
      <c r="D30" t="s">
        <v>537</v>
      </c>
    </row>
    <row r="31" spans="1:5">
      <c r="A31">
        <v>14</v>
      </c>
      <c r="B31">
        <v>11.33</v>
      </c>
      <c r="C31">
        <v>14.2</v>
      </c>
      <c r="D31">
        <v>10.3</v>
      </c>
    </row>
  </sheetData>
  <hyperlinks>
    <hyperlink ref="A17" r:id="rId1" location=":~:text=Interquartile%20ranges%20describe%20where%20the,be%20approximately%201.35%20standard%20deviations" xr:uid="{EAA6D036-F955-4A1D-AB9F-44515944A9D5}"/>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009AC-66E4-4293-8592-E24CBE853951}">
  <dimension ref="A1:D142"/>
  <sheetViews>
    <sheetView topLeftCell="A121" workbookViewId="0">
      <selection activeCell="C143" sqref="C143"/>
    </sheetView>
  </sheetViews>
  <sheetFormatPr defaultRowHeight="15.75"/>
  <sheetData>
    <row r="1" spans="1:4">
      <c r="A1" t="s">
        <v>89</v>
      </c>
    </row>
    <row r="2" spans="1:4">
      <c r="A2" t="s">
        <v>540</v>
      </c>
    </row>
    <row r="3" spans="1:4">
      <c r="A3" t="s">
        <v>354</v>
      </c>
    </row>
    <row r="4" spans="1:4">
      <c r="A4" t="s">
        <v>109</v>
      </c>
    </row>
    <row r="5" spans="1:4">
      <c r="A5" t="s">
        <v>9</v>
      </c>
      <c r="B5" t="s">
        <v>10</v>
      </c>
      <c r="D5" t="s">
        <v>79</v>
      </c>
    </row>
    <row r="6" spans="1:4">
      <c r="A6" t="s">
        <v>18</v>
      </c>
      <c r="B6" t="s">
        <v>18</v>
      </c>
    </row>
    <row r="7" spans="1:4">
      <c r="A7">
        <v>54.9</v>
      </c>
      <c r="B7">
        <v>49.9</v>
      </c>
    </row>
    <row r="8" spans="1:4">
      <c r="A8" t="s">
        <v>19</v>
      </c>
      <c r="B8" t="s">
        <v>19</v>
      </c>
    </row>
    <row r="9" spans="1:4">
      <c r="A9">
        <v>68.900000000000006</v>
      </c>
      <c r="B9">
        <v>71.5</v>
      </c>
    </row>
    <row r="10" spans="1:4">
      <c r="A10" t="s">
        <v>12</v>
      </c>
      <c r="B10" t="s">
        <v>12</v>
      </c>
    </row>
    <row r="11" spans="1:4">
      <c r="A11">
        <v>54</v>
      </c>
      <c r="B11">
        <v>51</v>
      </c>
    </row>
    <row r="13" spans="1:4">
      <c r="A13" t="s">
        <v>354</v>
      </c>
    </row>
    <row r="14" spans="1:4">
      <c r="A14" t="s">
        <v>110</v>
      </c>
    </row>
    <row r="15" spans="1:4">
      <c r="A15" t="s">
        <v>9</v>
      </c>
      <c r="B15" t="s">
        <v>10</v>
      </c>
      <c r="D15" t="s">
        <v>79</v>
      </c>
    </row>
    <row r="16" spans="1:4">
      <c r="A16" t="s">
        <v>18</v>
      </c>
      <c r="B16" t="s">
        <v>18</v>
      </c>
    </row>
    <row r="17" spans="1:4">
      <c r="A17">
        <v>3.4</v>
      </c>
      <c r="B17">
        <v>10</v>
      </c>
    </row>
    <row r="18" spans="1:4">
      <c r="A18" t="s">
        <v>19</v>
      </c>
      <c r="B18" t="s">
        <v>19</v>
      </c>
    </row>
    <row r="19" spans="1:4">
      <c r="A19">
        <v>15.1</v>
      </c>
      <c r="B19">
        <v>37.9</v>
      </c>
    </row>
    <row r="20" spans="1:4">
      <c r="A20" t="s">
        <v>12</v>
      </c>
      <c r="B20" t="s">
        <v>12</v>
      </c>
    </row>
    <row r="21" spans="1:4">
      <c r="A21">
        <v>54</v>
      </c>
      <c r="B21">
        <v>51</v>
      </c>
    </row>
    <row r="23" spans="1:4">
      <c r="A23" t="s">
        <v>541</v>
      </c>
    </row>
    <row r="24" spans="1:4">
      <c r="A24" t="s">
        <v>109</v>
      </c>
    </row>
    <row r="25" spans="1:4">
      <c r="A25" t="s">
        <v>9</v>
      </c>
      <c r="B25" t="s">
        <v>10</v>
      </c>
      <c r="D25" t="s">
        <v>74</v>
      </c>
    </row>
    <row r="26" spans="1:4">
      <c r="A26" t="s">
        <v>18</v>
      </c>
      <c r="B26" t="s">
        <v>18</v>
      </c>
    </row>
    <row r="27" spans="1:4">
      <c r="A27">
        <v>484</v>
      </c>
      <c r="B27">
        <v>819</v>
      </c>
    </row>
    <row r="28" spans="1:4">
      <c r="A28" t="s">
        <v>19</v>
      </c>
      <c r="B28" t="s">
        <v>19</v>
      </c>
    </row>
    <row r="29" spans="1:4">
      <c r="A29">
        <v>881</v>
      </c>
      <c r="B29">
        <v>1467</v>
      </c>
    </row>
    <row r="30" spans="1:4">
      <c r="A30" t="s">
        <v>12</v>
      </c>
      <c r="B30" t="s">
        <v>12</v>
      </c>
    </row>
    <row r="31" spans="1:4">
      <c r="A31">
        <v>54</v>
      </c>
      <c r="B31">
        <v>51</v>
      </c>
    </row>
    <row r="33" spans="1:4">
      <c r="A33" t="s">
        <v>541</v>
      </c>
    </row>
    <row r="34" spans="1:4">
      <c r="A34" t="s">
        <v>110</v>
      </c>
    </row>
    <row r="35" spans="1:4">
      <c r="A35" t="s">
        <v>9</v>
      </c>
      <c r="B35" t="s">
        <v>10</v>
      </c>
      <c r="D35" t="s">
        <v>74</v>
      </c>
    </row>
    <row r="36" spans="1:4">
      <c r="A36" t="s">
        <v>18</v>
      </c>
      <c r="B36" t="s">
        <v>18</v>
      </c>
    </row>
    <row r="37" spans="1:4">
      <c r="A37">
        <v>485</v>
      </c>
      <c r="B37">
        <v>920</v>
      </c>
    </row>
    <row r="38" spans="1:4">
      <c r="A38" t="s">
        <v>19</v>
      </c>
      <c r="B38" t="s">
        <v>19</v>
      </c>
    </row>
    <row r="39" spans="1:4">
      <c r="A39">
        <v>1905</v>
      </c>
      <c r="B39">
        <v>2438</v>
      </c>
    </row>
    <row r="40" spans="1:4">
      <c r="A40" t="s">
        <v>12</v>
      </c>
      <c r="B40" t="s">
        <v>12</v>
      </c>
    </row>
    <row r="41" spans="1:4">
      <c r="A41">
        <v>54</v>
      </c>
      <c r="B41">
        <v>51</v>
      </c>
    </row>
    <row r="44" spans="1:4">
      <c r="A44" t="s">
        <v>542</v>
      </c>
    </row>
    <row r="45" spans="1:4">
      <c r="A45" t="s">
        <v>109</v>
      </c>
    </row>
    <row r="46" spans="1:4">
      <c r="A46" t="s">
        <v>9</v>
      </c>
      <c r="B46" t="s">
        <v>10</v>
      </c>
      <c r="D46" t="s">
        <v>74</v>
      </c>
    </row>
    <row r="47" spans="1:4">
      <c r="A47" t="s">
        <v>18</v>
      </c>
      <c r="B47" t="s">
        <v>18</v>
      </c>
    </row>
    <row r="48" spans="1:4">
      <c r="A48">
        <v>1590</v>
      </c>
      <c r="B48">
        <v>1327</v>
      </c>
    </row>
    <row r="49" spans="1:4">
      <c r="A49" t="s">
        <v>19</v>
      </c>
      <c r="B49" t="s">
        <v>19</v>
      </c>
    </row>
    <row r="50" spans="1:4">
      <c r="A50">
        <v>1638</v>
      </c>
      <c r="B50">
        <v>1674</v>
      </c>
    </row>
    <row r="51" spans="1:4">
      <c r="A51" t="s">
        <v>12</v>
      </c>
      <c r="B51" t="s">
        <v>12</v>
      </c>
    </row>
    <row r="52" spans="1:4">
      <c r="A52">
        <v>54</v>
      </c>
      <c r="B52">
        <v>51</v>
      </c>
    </row>
    <row r="54" spans="1:4">
      <c r="A54" t="s">
        <v>542</v>
      </c>
    </row>
    <row r="55" spans="1:4">
      <c r="A55" t="s">
        <v>110</v>
      </c>
    </row>
    <row r="56" spans="1:4">
      <c r="A56" t="s">
        <v>9</v>
      </c>
      <c r="B56" t="s">
        <v>10</v>
      </c>
      <c r="D56" t="s">
        <v>74</v>
      </c>
    </row>
    <row r="57" spans="1:4">
      <c r="A57" t="s">
        <v>18</v>
      </c>
      <c r="B57" t="s">
        <v>18</v>
      </c>
    </row>
    <row r="58" spans="1:4">
      <c r="A58">
        <v>1623</v>
      </c>
      <c r="B58">
        <v>1254</v>
      </c>
    </row>
    <row r="59" spans="1:4">
      <c r="A59" t="s">
        <v>19</v>
      </c>
      <c r="B59" t="s">
        <v>19</v>
      </c>
    </row>
    <row r="60" spans="1:4">
      <c r="A60">
        <v>2139</v>
      </c>
      <c r="B60">
        <v>1475</v>
      </c>
    </row>
    <row r="61" spans="1:4">
      <c r="A61" t="s">
        <v>12</v>
      </c>
      <c r="B61" t="s">
        <v>12</v>
      </c>
    </row>
    <row r="62" spans="1:4">
      <c r="A62">
        <v>54</v>
      </c>
      <c r="B62">
        <v>51</v>
      </c>
    </row>
    <row r="64" spans="1:4">
      <c r="A64" t="s">
        <v>80</v>
      </c>
    </row>
    <row r="65" spans="1:4">
      <c r="A65" t="s">
        <v>109</v>
      </c>
    </row>
    <row r="66" spans="1:4">
      <c r="A66" t="s">
        <v>9</v>
      </c>
      <c r="B66" t="s">
        <v>10</v>
      </c>
      <c r="D66" t="s">
        <v>79</v>
      </c>
    </row>
    <row r="67" spans="1:4">
      <c r="A67" t="s">
        <v>18</v>
      </c>
      <c r="B67" t="s">
        <v>18</v>
      </c>
    </row>
    <row r="68" spans="1:4">
      <c r="A68">
        <v>4.16</v>
      </c>
      <c r="B68">
        <v>4.53</v>
      </c>
    </row>
    <row r="69" spans="1:4">
      <c r="A69" t="s">
        <v>19</v>
      </c>
      <c r="B69" t="s">
        <v>19</v>
      </c>
    </row>
    <row r="70" spans="1:4">
      <c r="A70">
        <v>5.54</v>
      </c>
      <c r="B70">
        <v>3.91</v>
      </c>
    </row>
    <row r="71" spans="1:4">
      <c r="A71" t="s">
        <v>12</v>
      </c>
      <c r="B71" t="s">
        <v>12</v>
      </c>
    </row>
    <row r="72" spans="1:4">
      <c r="A72">
        <v>54</v>
      </c>
      <c r="B72">
        <v>51</v>
      </c>
    </row>
    <row r="74" spans="1:4">
      <c r="A74" t="s">
        <v>80</v>
      </c>
    </row>
    <row r="75" spans="1:4">
      <c r="A75" t="s">
        <v>110</v>
      </c>
    </row>
    <row r="76" spans="1:4">
      <c r="A76" t="s">
        <v>9</v>
      </c>
      <c r="B76" t="s">
        <v>10</v>
      </c>
      <c r="D76" t="s">
        <v>79</v>
      </c>
    </row>
    <row r="77" spans="1:4">
      <c r="A77" t="s">
        <v>18</v>
      </c>
      <c r="B77" t="s">
        <v>18</v>
      </c>
    </row>
    <row r="78" spans="1:4">
      <c r="A78">
        <v>2.31</v>
      </c>
      <c r="B78">
        <v>2.78</v>
      </c>
    </row>
    <row r="79" spans="1:4">
      <c r="A79" t="s">
        <v>19</v>
      </c>
      <c r="B79" t="s">
        <v>19</v>
      </c>
    </row>
    <row r="80" spans="1:4">
      <c r="A80">
        <v>2.73</v>
      </c>
      <c r="B80">
        <v>3.03</v>
      </c>
    </row>
    <row r="81" spans="1:4">
      <c r="A81" t="s">
        <v>12</v>
      </c>
      <c r="B81" t="s">
        <v>12</v>
      </c>
    </row>
    <row r="82" spans="1:4">
      <c r="A82">
        <v>54</v>
      </c>
      <c r="B82">
        <v>51</v>
      </c>
    </row>
    <row r="84" spans="1:4">
      <c r="A84" t="s">
        <v>543</v>
      </c>
    </row>
    <row r="85" spans="1:4">
      <c r="A85" t="s">
        <v>109</v>
      </c>
    </row>
    <row r="86" spans="1:4">
      <c r="A86" t="s">
        <v>9</v>
      </c>
      <c r="B86" t="s">
        <v>10</v>
      </c>
      <c r="D86" t="s">
        <v>79</v>
      </c>
    </row>
    <row r="87" spans="1:4">
      <c r="A87" t="s">
        <v>18</v>
      </c>
      <c r="B87" t="s">
        <v>18</v>
      </c>
    </row>
    <row r="88" spans="1:4">
      <c r="A88">
        <v>0.54</v>
      </c>
      <c r="B88">
        <v>0.71</v>
      </c>
    </row>
    <row r="89" spans="1:4">
      <c r="A89" t="s">
        <v>19</v>
      </c>
      <c r="B89" t="s">
        <v>19</v>
      </c>
    </row>
    <row r="90" spans="1:4">
      <c r="A90">
        <v>0.46</v>
      </c>
      <c r="B90">
        <v>0.51</v>
      </c>
    </row>
    <row r="91" spans="1:4">
      <c r="A91" t="s">
        <v>12</v>
      </c>
      <c r="B91" t="s">
        <v>12</v>
      </c>
    </row>
    <row r="92" spans="1:4">
      <c r="A92">
        <v>54</v>
      </c>
      <c r="B92">
        <v>51</v>
      </c>
    </row>
    <row r="94" spans="1:4">
      <c r="A94" t="s">
        <v>543</v>
      </c>
    </row>
    <row r="95" spans="1:4">
      <c r="A95" t="s">
        <v>110</v>
      </c>
    </row>
    <row r="96" spans="1:4">
      <c r="A96" t="s">
        <v>9</v>
      </c>
      <c r="B96" t="s">
        <v>10</v>
      </c>
      <c r="D96" t="s">
        <v>79</v>
      </c>
    </row>
    <row r="97" spans="1:4">
      <c r="A97" t="s">
        <v>18</v>
      </c>
      <c r="B97" t="s">
        <v>18</v>
      </c>
    </row>
    <row r="98" spans="1:4">
      <c r="A98">
        <v>0.32</v>
      </c>
      <c r="B98">
        <v>0.51</v>
      </c>
    </row>
    <row r="99" spans="1:4">
      <c r="A99" t="s">
        <v>19</v>
      </c>
      <c r="B99" t="s">
        <v>19</v>
      </c>
    </row>
    <row r="100" spans="1:4">
      <c r="A100">
        <v>0.42</v>
      </c>
      <c r="B100">
        <v>0.53</v>
      </c>
    </row>
    <row r="101" spans="1:4">
      <c r="A101" t="s">
        <v>12</v>
      </c>
      <c r="B101" t="s">
        <v>12</v>
      </c>
    </row>
    <row r="102" spans="1:4">
      <c r="A102">
        <v>54</v>
      </c>
      <c r="B102">
        <v>51</v>
      </c>
    </row>
    <row r="104" spans="1:4">
      <c r="A104" t="s">
        <v>544</v>
      </c>
    </row>
    <row r="105" spans="1:4">
      <c r="A105" t="s">
        <v>109</v>
      </c>
    </row>
    <row r="106" spans="1:4">
      <c r="A106" t="s">
        <v>9</v>
      </c>
      <c r="B106" t="s">
        <v>10</v>
      </c>
      <c r="D106" t="s">
        <v>74</v>
      </c>
    </row>
    <row r="107" spans="1:4">
      <c r="A107" t="s">
        <v>18</v>
      </c>
      <c r="B107" t="s">
        <v>18</v>
      </c>
    </row>
    <row r="108" spans="1:4">
      <c r="A108">
        <v>6.09</v>
      </c>
      <c r="B108">
        <v>5.82</v>
      </c>
    </row>
    <row r="109" spans="1:4">
      <c r="A109" t="s">
        <v>19</v>
      </c>
      <c r="B109" t="s">
        <v>19</v>
      </c>
    </row>
    <row r="110" spans="1:4">
      <c r="A110">
        <v>0.85</v>
      </c>
      <c r="B110">
        <v>1.07</v>
      </c>
    </row>
    <row r="111" spans="1:4">
      <c r="A111" t="s">
        <v>12</v>
      </c>
      <c r="B111" t="s">
        <v>12</v>
      </c>
    </row>
    <row r="112" spans="1:4">
      <c r="A112">
        <v>54</v>
      </c>
      <c r="B112">
        <v>51</v>
      </c>
    </row>
    <row r="114" spans="1:4">
      <c r="A114" t="s">
        <v>544</v>
      </c>
    </row>
    <row r="115" spans="1:4">
      <c r="A115" t="s">
        <v>110</v>
      </c>
    </row>
    <row r="116" spans="1:4">
      <c r="A116" t="s">
        <v>9</v>
      </c>
      <c r="B116" t="s">
        <v>10</v>
      </c>
      <c r="D116" t="s">
        <v>74</v>
      </c>
    </row>
    <row r="117" spans="1:4">
      <c r="A117" t="s">
        <v>18</v>
      </c>
      <c r="B117" t="s">
        <v>18</v>
      </c>
    </row>
    <row r="118" spans="1:4">
      <c r="A118">
        <v>6.03</v>
      </c>
      <c r="B118">
        <v>5.74</v>
      </c>
    </row>
    <row r="119" spans="1:4">
      <c r="A119" t="s">
        <v>19</v>
      </c>
      <c r="B119" t="s">
        <v>19</v>
      </c>
    </row>
    <row r="120" spans="1:4">
      <c r="A120">
        <v>0.8</v>
      </c>
      <c r="B120">
        <v>1.01</v>
      </c>
    </row>
    <row r="121" spans="1:4">
      <c r="A121" t="s">
        <v>12</v>
      </c>
      <c r="B121" t="s">
        <v>12</v>
      </c>
    </row>
    <row r="122" spans="1:4">
      <c r="A122">
        <v>54</v>
      </c>
      <c r="B122">
        <v>51</v>
      </c>
    </row>
    <row r="124" spans="1:4">
      <c r="A124" t="s">
        <v>545</v>
      </c>
    </row>
    <row r="125" spans="1:4">
      <c r="A125" t="s">
        <v>109</v>
      </c>
    </row>
    <row r="126" spans="1:4">
      <c r="A126" t="s">
        <v>9</v>
      </c>
      <c r="B126" t="s">
        <v>10</v>
      </c>
      <c r="D126" t="s">
        <v>79</v>
      </c>
    </row>
    <row r="127" spans="1:4">
      <c r="A127" t="s">
        <v>18</v>
      </c>
      <c r="B127" t="s">
        <v>18</v>
      </c>
    </row>
    <row r="128" spans="1:4">
      <c r="A128">
        <v>1.61</v>
      </c>
      <c r="B128">
        <v>0.83</v>
      </c>
    </row>
    <row r="129" spans="1:4">
      <c r="A129" t="s">
        <v>19</v>
      </c>
      <c r="B129" t="s">
        <v>19</v>
      </c>
    </row>
    <row r="130" spans="1:4">
      <c r="A130">
        <v>4.72</v>
      </c>
      <c r="B130">
        <v>1.73</v>
      </c>
    </row>
    <row r="131" spans="1:4">
      <c r="A131" t="s">
        <v>12</v>
      </c>
      <c r="B131" t="s">
        <v>12</v>
      </c>
    </row>
    <row r="132" spans="1:4">
      <c r="A132">
        <v>54</v>
      </c>
      <c r="B132">
        <v>51</v>
      </c>
    </row>
    <row r="134" spans="1:4">
      <c r="A134" t="s">
        <v>545</v>
      </c>
    </row>
    <row r="135" spans="1:4">
      <c r="A135" t="s">
        <v>110</v>
      </c>
    </row>
    <row r="136" spans="1:4">
      <c r="A136" t="s">
        <v>9</v>
      </c>
      <c r="B136" t="s">
        <v>10</v>
      </c>
      <c r="D136" t="s">
        <v>79</v>
      </c>
    </row>
    <row r="137" spans="1:4">
      <c r="A137" t="s">
        <v>18</v>
      </c>
      <c r="B137" t="s">
        <v>18</v>
      </c>
    </row>
    <row r="138" spans="1:4">
      <c r="A138">
        <v>0.9</v>
      </c>
      <c r="B138">
        <v>0.68</v>
      </c>
    </row>
    <row r="139" spans="1:4">
      <c r="A139" t="s">
        <v>19</v>
      </c>
      <c r="B139" t="s">
        <v>19</v>
      </c>
    </row>
    <row r="140" spans="1:4">
      <c r="A140">
        <v>1.92</v>
      </c>
      <c r="B140">
        <v>1.44</v>
      </c>
    </row>
    <row r="141" spans="1:4">
      <c r="A141" t="s">
        <v>12</v>
      </c>
      <c r="B141" t="s">
        <v>12</v>
      </c>
    </row>
    <row r="142" spans="1:4">
      <c r="A142">
        <v>54</v>
      </c>
      <c r="B142">
        <v>51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33816-99F7-43EF-B9F8-2BF22AB2D636}">
  <dimension ref="A1:C19"/>
  <sheetViews>
    <sheetView workbookViewId="0">
      <selection activeCell="B20" sqref="B20"/>
    </sheetView>
  </sheetViews>
  <sheetFormatPr defaultRowHeight="15.75"/>
  <sheetData>
    <row r="1" spans="1:3">
      <c r="A1" t="s">
        <v>546</v>
      </c>
    </row>
    <row r="2" spans="1:3">
      <c r="A2" t="s">
        <v>308</v>
      </c>
    </row>
    <row r="3" spans="1:3">
      <c r="A3" t="s">
        <v>88</v>
      </c>
    </row>
    <row r="4" spans="1:3">
      <c r="A4" t="s">
        <v>9</v>
      </c>
      <c r="B4" t="s">
        <v>10</v>
      </c>
      <c r="C4" t="s">
        <v>74</v>
      </c>
    </row>
    <row r="5" spans="1:3">
      <c r="A5" t="s">
        <v>11</v>
      </c>
      <c r="B5" t="s">
        <v>11</v>
      </c>
    </row>
    <row r="6" spans="1:3">
      <c r="A6">
        <f>A8*A10</f>
        <v>53.1</v>
      </c>
      <c r="B6">
        <f>B8*B10</f>
        <v>37.44</v>
      </c>
    </row>
    <row r="7" spans="1:3">
      <c r="A7" t="s">
        <v>12</v>
      </c>
      <c r="B7" t="s">
        <v>12</v>
      </c>
    </row>
    <row r="8" spans="1:3">
      <c r="A8">
        <v>118</v>
      </c>
      <c r="B8">
        <v>117</v>
      </c>
    </row>
    <row r="9" spans="1:3">
      <c r="A9" t="s">
        <v>326</v>
      </c>
      <c r="B9" t="s">
        <v>326</v>
      </c>
    </row>
    <row r="10" spans="1:3">
      <c r="A10">
        <v>0.45</v>
      </c>
      <c r="B10">
        <v>0.32</v>
      </c>
    </row>
    <row r="13" spans="1:3">
      <c r="A13" t="s">
        <v>350</v>
      </c>
    </row>
    <row r="14" spans="1:3">
      <c r="A14" t="s">
        <v>546</v>
      </c>
    </row>
    <row r="15" spans="1:3">
      <c r="A15" t="s">
        <v>308</v>
      </c>
      <c r="C15" t="s">
        <v>74</v>
      </c>
    </row>
    <row r="16" spans="1:3">
      <c r="A16" t="s">
        <v>191</v>
      </c>
    </row>
    <row r="17" spans="1:1">
      <c r="A17">
        <v>0.58779999999999999</v>
      </c>
    </row>
    <row r="18" spans="1:1">
      <c r="A18" t="s">
        <v>196</v>
      </c>
    </row>
    <row r="19" spans="1:1">
      <c r="A19">
        <v>0.23269999999999999</v>
      </c>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72868-5111-4F82-944E-B7CB0B8E21B8}">
  <dimension ref="A1:H76"/>
  <sheetViews>
    <sheetView topLeftCell="A20" workbookViewId="0">
      <selection activeCell="B32" sqref="B32"/>
    </sheetView>
  </sheetViews>
  <sheetFormatPr defaultRowHeight="15.75"/>
  <sheetData>
    <row r="1" spans="1:8">
      <c r="A1" t="s">
        <v>406</v>
      </c>
    </row>
    <row r="2" spans="1:8">
      <c r="A2" t="s">
        <v>89</v>
      </c>
    </row>
    <row r="3" spans="1:8">
      <c r="A3" t="s">
        <v>547</v>
      </c>
      <c r="E3" t="s">
        <v>548</v>
      </c>
    </row>
    <row r="4" spans="1:8">
      <c r="A4" t="s">
        <v>109</v>
      </c>
      <c r="D4" t="s">
        <v>79</v>
      </c>
      <c r="E4" t="s">
        <v>549</v>
      </c>
    </row>
    <row r="5" spans="1:8">
      <c r="A5" t="s">
        <v>9</v>
      </c>
      <c r="E5" t="s">
        <v>550</v>
      </c>
      <c r="F5">
        <f>76/15</f>
        <v>5.0666666666666664</v>
      </c>
      <c r="G5">
        <v>5</v>
      </c>
    </row>
    <row r="6" spans="1:8">
      <c r="A6" t="s">
        <v>18</v>
      </c>
      <c r="B6" t="s">
        <v>18</v>
      </c>
      <c r="E6" t="s">
        <v>551</v>
      </c>
      <c r="G6" t="s">
        <v>552</v>
      </c>
      <c r="H6">
        <f>1+(15-1)*0.05</f>
        <v>1.7000000000000002</v>
      </c>
    </row>
    <row r="7" spans="1:8">
      <c r="A7">
        <v>12</v>
      </c>
      <c r="B7">
        <v>1.3</v>
      </c>
    </row>
    <row r="8" spans="1:8">
      <c r="A8" t="s">
        <v>19</v>
      </c>
      <c r="B8" t="s">
        <v>19</v>
      </c>
    </row>
    <row r="9" spans="1:8">
      <c r="A9">
        <v>194.7</v>
      </c>
      <c r="B9">
        <v>78.7</v>
      </c>
    </row>
    <row r="10" spans="1:8">
      <c r="A10" t="s">
        <v>553</v>
      </c>
      <c r="B10" t="s">
        <v>553</v>
      </c>
    </row>
    <row r="11" spans="1:8">
      <c r="A11">
        <f>A13/1.7</f>
        <v>23.529411764705884</v>
      </c>
      <c r="B11">
        <f>B13/1.7</f>
        <v>21.176470588235293</v>
      </c>
    </row>
    <row r="12" spans="1:8">
      <c r="A12" t="s">
        <v>12</v>
      </c>
      <c r="B12" t="s">
        <v>12</v>
      </c>
    </row>
    <row r="13" spans="1:8">
      <c r="A13">
        <v>40</v>
      </c>
      <c r="B13">
        <v>36</v>
      </c>
    </row>
    <row r="15" spans="1:8">
      <c r="A15" t="s">
        <v>554</v>
      </c>
    </row>
    <row r="16" spans="1:8">
      <c r="A16" t="s">
        <v>109</v>
      </c>
    </row>
    <row r="17" spans="1:5">
      <c r="A17" t="s">
        <v>9</v>
      </c>
      <c r="D17" t="s">
        <v>74</v>
      </c>
    </row>
    <row r="18" spans="1:5">
      <c r="A18" t="s">
        <v>11</v>
      </c>
      <c r="B18" t="s">
        <v>18</v>
      </c>
    </row>
    <row r="19" spans="1:5">
      <c r="A19">
        <f>24*0.3</f>
        <v>7.1999999999999993</v>
      </c>
      <c r="B19">
        <f>22*0.389</f>
        <v>8.5579999999999998</v>
      </c>
      <c r="D19">
        <f>7/24</f>
        <v>0.29166666666666669</v>
      </c>
      <c r="E19">
        <f>8/21</f>
        <v>0.38095238095238093</v>
      </c>
    </row>
    <row r="20" spans="1:5">
      <c r="A20" t="s">
        <v>553</v>
      </c>
      <c r="B20" t="s">
        <v>553</v>
      </c>
    </row>
    <row r="21" spans="1:5">
      <c r="A21">
        <f>A23/1.7</f>
        <v>23.529411764705884</v>
      </c>
      <c r="B21">
        <f>B23/1.7</f>
        <v>21.176470588235293</v>
      </c>
    </row>
    <row r="22" spans="1:5">
      <c r="A22" t="s">
        <v>12</v>
      </c>
      <c r="B22" t="s">
        <v>12</v>
      </c>
    </row>
    <row r="23" spans="1:5">
      <c r="A23">
        <v>40</v>
      </c>
      <c r="B23">
        <v>36</v>
      </c>
    </row>
    <row r="24" spans="1:5">
      <c r="A24" t="s">
        <v>326</v>
      </c>
      <c r="B24" t="s">
        <v>326</v>
      </c>
    </row>
    <row r="25" spans="1:5">
      <c r="A25">
        <v>0.3</v>
      </c>
      <c r="B25">
        <v>0.38900000000000001</v>
      </c>
    </row>
    <row r="28" spans="1:5">
      <c r="A28" t="s">
        <v>555</v>
      </c>
    </row>
    <row r="29" spans="1:5">
      <c r="A29" t="s">
        <v>109</v>
      </c>
    </row>
    <row r="30" spans="1:5">
      <c r="A30" t="s">
        <v>9</v>
      </c>
      <c r="D30" t="s">
        <v>74</v>
      </c>
    </row>
    <row r="31" spans="1:5">
      <c r="A31" t="s">
        <v>11</v>
      </c>
      <c r="B31" t="s">
        <v>11</v>
      </c>
    </row>
    <row r="32" spans="1:5">
      <c r="A32">
        <f>24*A38</f>
        <v>9.6000000000000014</v>
      </c>
      <c r="B32">
        <f>21*B38</f>
        <v>12.242999999999999</v>
      </c>
      <c r="D32">
        <f>10/24</f>
        <v>0.41666666666666669</v>
      </c>
      <c r="E32">
        <f>12/21</f>
        <v>0.5714285714285714</v>
      </c>
    </row>
    <row r="33" spans="1:4">
      <c r="A33" t="s">
        <v>553</v>
      </c>
      <c r="B33" t="s">
        <v>553</v>
      </c>
    </row>
    <row r="34" spans="1:4">
      <c r="A34">
        <f>A36/1.7</f>
        <v>23.529411764705884</v>
      </c>
      <c r="B34">
        <f>B36/1.7</f>
        <v>21.176470588235293</v>
      </c>
    </row>
    <row r="35" spans="1:4">
      <c r="A35" t="s">
        <v>12</v>
      </c>
      <c r="B35" t="s">
        <v>12</v>
      </c>
    </row>
    <row r="36" spans="1:4">
      <c r="A36">
        <v>40</v>
      </c>
      <c r="B36">
        <v>36</v>
      </c>
    </row>
    <row r="37" spans="1:4">
      <c r="A37" t="s">
        <v>326</v>
      </c>
      <c r="B37" t="s">
        <v>326</v>
      </c>
    </row>
    <row r="38" spans="1:4">
      <c r="A38">
        <v>0.4</v>
      </c>
      <c r="B38">
        <v>0.58299999999999996</v>
      </c>
    </row>
    <row r="41" spans="1:4">
      <c r="A41" t="s">
        <v>528</v>
      </c>
    </row>
    <row r="42" spans="1:4">
      <c r="A42" t="s">
        <v>109</v>
      </c>
      <c r="D42" t="s">
        <v>74</v>
      </c>
    </row>
    <row r="43" spans="1:4">
      <c r="A43" t="s">
        <v>9</v>
      </c>
    </row>
    <row r="44" spans="1:4">
      <c r="A44" t="s">
        <v>18</v>
      </c>
      <c r="B44" t="s">
        <v>18</v>
      </c>
    </row>
    <row r="45" spans="1:4">
      <c r="A45">
        <v>39.5</v>
      </c>
      <c r="B45">
        <v>39.1</v>
      </c>
    </row>
    <row r="46" spans="1:4">
      <c r="A46" t="s">
        <v>19</v>
      </c>
      <c r="B46" t="s">
        <v>19</v>
      </c>
    </row>
    <row r="47" spans="1:4">
      <c r="A47">
        <v>12.5</v>
      </c>
      <c r="B47">
        <v>10.6</v>
      </c>
    </row>
    <row r="48" spans="1:4">
      <c r="A48" t="s">
        <v>553</v>
      </c>
      <c r="B48" t="s">
        <v>553</v>
      </c>
    </row>
    <row r="49" spans="1:4">
      <c r="A49">
        <f>A51/1.7</f>
        <v>23.529411764705884</v>
      </c>
      <c r="B49">
        <f>B51/1.7</f>
        <v>21.176470588235293</v>
      </c>
    </row>
    <row r="50" spans="1:4">
      <c r="A50" t="s">
        <v>12</v>
      </c>
      <c r="B50" t="s">
        <v>12</v>
      </c>
    </row>
    <row r="51" spans="1:4">
      <c r="A51">
        <v>40</v>
      </c>
      <c r="B51">
        <v>36</v>
      </c>
    </row>
    <row r="53" spans="1:4">
      <c r="A53" t="s">
        <v>527</v>
      </c>
    </row>
    <row r="54" spans="1:4">
      <c r="A54" t="s">
        <v>109</v>
      </c>
      <c r="D54" t="s">
        <v>74</v>
      </c>
    </row>
    <row r="55" spans="1:4">
      <c r="A55" t="s">
        <v>9</v>
      </c>
    </row>
    <row r="56" spans="1:4">
      <c r="A56" t="s">
        <v>18</v>
      </c>
      <c r="B56" t="s">
        <v>18</v>
      </c>
    </row>
    <row r="57" spans="1:4">
      <c r="A57">
        <v>42.8</v>
      </c>
      <c r="B57">
        <v>41</v>
      </c>
    </row>
    <row r="58" spans="1:4">
      <c r="A58" t="s">
        <v>19</v>
      </c>
      <c r="B58" t="s">
        <v>19</v>
      </c>
    </row>
    <row r="59" spans="1:4">
      <c r="A59">
        <v>11.5</v>
      </c>
      <c r="B59">
        <v>9.3000000000000007</v>
      </c>
    </row>
    <row r="60" spans="1:4">
      <c r="A60" t="s">
        <v>553</v>
      </c>
      <c r="B60" t="s">
        <v>553</v>
      </c>
    </row>
    <row r="61" spans="1:4">
      <c r="A61">
        <f>A63/1.7</f>
        <v>23.529411764705884</v>
      </c>
      <c r="B61">
        <f>B63/1.7</f>
        <v>21.176470588235293</v>
      </c>
    </row>
    <row r="62" spans="1:4">
      <c r="A62" t="s">
        <v>12</v>
      </c>
      <c r="B62" t="s">
        <v>12</v>
      </c>
    </row>
    <row r="63" spans="1:4">
      <c r="A63">
        <v>40</v>
      </c>
      <c r="B63">
        <v>36</v>
      </c>
    </row>
    <row r="66" spans="1:5">
      <c r="A66" t="s">
        <v>556</v>
      </c>
    </row>
    <row r="67" spans="1:5">
      <c r="A67" t="s">
        <v>109</v>
      </c>
      <c r="D67" t="s">
        <v>79</v>
      </c>
    </row>
    <row r="68" spans="1:5">
      <c r="A68" t="s">
        <v>9</v>
      </c>
    </row>
    <row r="69" spans="1:5">
      <c r="A69" t="s">
        <v>11</v>
      </c>
      <c r="B69" t="s">
        <v>18</v>
      </c>
    </row>
    <row r="70" spans="1:5">
      <c r="A70">
        <f>24*A76</f>
        <v>9.6000000000000014</v>
      </c>
      <c r="B70">
        <f>21*B76</f>
        <v>9.911999999999999</v>
      </c>
      <c r="D70">
        <f>10/24</f>
        <v>0.41666666666666669</v>
      </c>
      <c r="E70">
        <f>10/21</f>
        <v>0.47619047619047616</v>
      </c>
    </row>
    <row r="71" spans="1:5">
      <c r="A71" t="s">
        <v>553</v>
      </c>
      <c r="B71" t="s">
        <v>553</v>
      </c>
    </row>
    <row r="72" spans="1:5">
      <c r="A72">
        <f>A74/1.7</f>
        <v>23.529411764705884</v>
      </c>
      <c r="B72">
        <f>B74/1.7</f>
        <v>21.176470588235293</v>
      </c>
    </row>
    <row r="73" spans="1:5">
      <c r="A73" t="s">
        <v>12</v>
      </c>
      <c r="B73" t="s">
        <v>12</v>
      </c>
    </row>
    <row r="74" spans="1:5">
      <c r="A74">
        <v>40</v>
      </c>
      <c r="B74">
        <v>36</v>
      </c>
    </row>
    <row r="75" spans="1:5">
      <c r="A75" t="s">
        <v>326</v>
      </c>
      <c r="B75" t="s">
        <v>326</v>
      </c>
    </row>
    <row r="76" spans="1:5">
      <c r="A76">
        <v>0.4</v>
      </c>
      <c r="B76">
        <v>0.47199999999999998</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D1A92-C78E-4035-B2E1-49A97C3DD7EE}">
  <dimension ref="A1:B37"/>
  <sheetViews>
    <sheetView topLeftCell="A15" workbookViewId="0">
      <selection activeCell="D29" sqref="D29"/>
    </sheetView>
  </sheetViews>
  <sheetFormatPr defaultRowHeight="15.75"/>
  <sheetData>
    <row r="1" spans="1:2">
      <c r="A1" t="s">
        <v>113</v>
      </c>
    </row>
    <row r="2" spans="1:2">
      <c r="A2" t="s">
        <v>115</v>
      </c>
    </row>
    <row r="3" spans="1:2">
      <c r="A3" t="s">
        <v>557</v>
      </c>
    </row>
    <row r="4" spans="1:2">
      <c r="A4" t="s">
        <v>9</v>
      </c>
      <c r="B4" t="s">
        <v>10</v>
      </c>
    </row>
    <row r="5" spans="1:2">
      <c r="A5" t="s">
        <v>18</v>
      </c>
      <c r="B5" t="s">
        <v>18</v>
      </c>
    </row>
    <row r="6" spans="1:2">
      <c r="A6">
        <v>87.16</v>
      </c>
      <c r="B6">
        <v>95.45</v>
      </c>
    </row>
    <row r="7" spans="1:2">
      <c r="A7" t="s">
        <v>19</v>
      </c>
      <c r="B7" t="s">
        <v>19</v>
      </c>
    </row>
    <row r="8" spans="1:2">
      <c r="A8">
        <v>40.19</v>
      </c>
      <c r="B8">
        <v>53.27</v>
      </c>
    </row>
    <row r="9" spans="1:2">
      <c r="A9" t="s">
        <v>12</v>
      </c>
      <c r="B9" t="s">
        <v>12</v>
      </c>
    </row>
    <row r="10" spans="1:2">
      <c r="A10">
        <v>80</v>
      </c>
      <c r="B10">
        <v>82</v>
      </c>
    </row>
    <row r="12" spans="1:2">
      <c r="A12" t="s">
        <v>115</v>
      </c>
    </row>
    <row r="13" spans="1:2">
      <c r="A13" t="s">
        <v>558</v>
      </c>
    </row>
    <row r="14" spans="1:2">
      <c r="A14" t="s">
        <v>9</v>
      </c>
      <c r="B14" t="s">
        <v>10</v>
      </c>
    </row>
    <row r="15" spans="1:2">
      <c r="A15" t="s">
        <v>18</v>
      </c>
      <c r="B15" t="s">
        <v>18</v>
      </c>
    </row>
    <row r="16" spans="1:2">
      <c r="A16">
        <v>5.26</v>
      </c>
      <c r="B16">
        <v>5.08</v>
      </c>
    </row>
    <row r="17" spans="1:2">
      <c r="A17" t="s">
        <v>19</v>
      </c>
      <c r="B17" t="s">
        <v>19</v>
      </c>
    </row>
    <row r="18" spans="1:2">
      <c r="A18">
        <v>1.27</v>
      </c>
      <c r="B18">
        <v>1.32</v>
      </c>
    </row>
    <row r="19" spans="1:2">
      <c r="A19" t="s">
        <v>12</v>
      </c>
      <c r="B19" t="s">
        <v>12</v>
      </c>
    </row>
    <row r="20" spans="1:2">
      <c r="A20">
        <v>90</v>
      </c>
      <c r="B20">
        <v>83</v>
      </c>
    </row>
    <row r="22" spans="1:2">
      <c r="A22" t="s">
        <v>559</v>
      </c>
    </row>
    <row r="23" spans="1:2">
      <c r="A23" t="s">
        <v>9</v>
      </c>
      <c r="B23" t="s">
        <v>10</v>
      </c>
    </row>
    <row r="24" spans="1:2">
      <c r="A24" t="s">
        <v>18</v>
      </c>
      <c r="B24" t="s">
        <v>18</v>
      </c>
    </row>
    <row r="25" spans="1:2">
      <c r="A25">
        <v>0.44</v>
      </c>
      <c r="B25">
        <v>0.56999999999999995</v>
      </c>
    </row>
    <row r="26" spans="1:2">
      <c r="A26" t="s">
        <v>19</v>
      </c>
      <c r="B26" t="s">
        <v>19</v>
      </c>
    </row>
    <row r="27" spans="1:2">
      <c r="A27">
        <v>0.44</v>
      </c>
      <c r="B27">
        <v>0.62</v>
      </c>
    </row>
    <row r="28" spans="1:2">
      <c r="A28" t="s">
        <v>12</v>
      </c>
      <c r="B28" t="s">
        <v>12</v>
      </c>
    </row>
    <row r="29" spans="1:2">
      <c r="A29">
        <v>85</v>
      </c>
      <c r="B29">
        <v>77</v>
      </c>
    </row>
    <row r="31" spans="1:2">
      <c r="A31" t="s">
        <v>560</v>
      </c>
    </row>
    <row r="32" spans="1:2">
      <c r="A32" t="s">
        <v>9</v>
      </c>
      <c r="B32" t="s">
        <v>10</v>
      </c>
    </row>
    <row r="33" spans="1:2">
      <c r="A33" t="s">
        <v>88</v>
      </c>
    </row>
    <row r="34" spans="1:2">
      <c r="A34" t="s">
        <v>11</v>
      </c>
      <c r="B34" t="s">
        <v>11</v>
      </c>
    </row>
    <row r="35" spans="1:2">
      <c r="A35">
        <v>19</v>
      </c>
      <c r="B35">
        <v>21</v>
      </c>
    </row>
    <row r="36" spans="1:2">
      <c r="A36" t="s">
        <v>12</v>
      </c>
      <c r="B36" t="s">
        <v>12</v>
      </c>
    </row>
    <row r="37" spans="1:2">
      <c r="A37">
        <v>87</v>
      </c>
      <c r="B37">
        <v>80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3512-A03B-41ED-BFF2-DDD883F6DE68}">
  <dimension ref="A1:F64"/>
  <sheetViews>
    <sheetView topLeftCell="A9" workbookViewId="0">
      <selection activeCell="D10" sqref="D10"/>
    </sheetView>
  </sheetViews>
  <sheetFormatPr defaultRowHeight="15.75"/>
  <sheetData>
    <row r="1" spans="1:5">
      <c r="A1" t="s">
        <v>561</v>
      </c>
    </row>
    <row r="2" spans="1:5">
      <c r="D2" t="s">
        <v>562</v>
      </c>
    </row>
    <row r="3" spans="1:5">
      <c r="D3" t="s">
        <v>550</v>
      </c>
      <c r="E3">
        <f>47/2</f>
        <v>23.5</v>
      </c>
    </row>
    <row r="4" spans="1:5">
      <c r="D4" t="s">
        <v>563</v>
      </c>
      <c r="E4">
        <f>1+(23.5-1)*0.05</f>
        <v>2.125</v>
      </c>
    </row>
    <row r="5" spans="1:5">
      <c r="A5" t="s">
        <v>6</v>
      </c>
    </row>
    <row r="6" spans="1:5">
      <c r="A6" t="s">
        <v>564</v>
      </c>
      <c r="D6" t="s">
        <v>79</v>
      </c>
    </row>
    <row r="7" spans="1:5">
      <c r="A7" t="s">
        <v>109</v>
      </c>
    </row>
    <row r="8" spans="1:5">
      <c r="A8" t="s">
        <v>9</v>
      </c>
      <c r="B8" t="s">
        <v>10</v>
      </c>
    </row>
    <row r="9" spans="1:5">
      <c r="A9" t="s">
        <v>18</v>
      </c>
      <c r="B9" t="s">
        <v>18</v>
      </c>
    </row>
    <row r="10" spans="1:5">
      <c r="A10">
        <v>1.6</v>
      </c>
      <c r="B10">
        <v>1.8</v>
      </c>
    </row>
    <row r="11" spans="1:5">
      <c r="A11" t="s">
        <v>19</v>
      </c>
      <c r="B11" t="s">
        <v>19</v>
      </c>
    </row>
    <row r="12" spans="1:5">
      <c r="A12">
        <v>1.1000000000000001</v>
      </c>
      <c r="B12">
        <v>0.7</v>
      </c>
    </row>
    <row r="13" spans="1:5">
      <c r="A13" t="s">
        <v>565</v>
      </c>
      <c r="B13" t="s">
        <v>565</v>
      </c>
    </row>
    <row r="14" spans="1:5">
      <c r="A14">
        <f>A16/E4</f>
        <v>14.117647058823529</v>
      </c>
      <c r="B14">
        <f>B16/E4</f>
        <v>8</v>
      </c>
    </row>
    <row r="15" spans="1:5">
      <c r="A15" t="s">
        <v>12</v>
      </c>
      <c r="B15" t="s">
        <v>12</v>
      </c>
    </row>
    <row r="16" spans="1:5">
      <c r="A16">
        <v>30</v>
      </c>
      <c r="B16">
        <v>17</v>
      </c>
    </row>
    <row r="18" spans="1:5">
      <c r="A18" t="s">
        <v>566</v>
      </c>
    </row>
    <row r="19" spans="1:5">
      <c r="A19" t="s">
        <v>109</v>
      </c>
      <c r="D19" t="s">
        <v>74</v>
      </c>
    </row>
    <row r="20" spans="1:5">
      <c r="A20" t="s">
        <v>9</v>
      </c>
      <c r="B20" t="s">
        <v>10</v>
      </c>
    </row>
    <row r="21" spans="1:5">
      <c r="A21" t="s">
        <v>11</v>
      </c>
      <c r="B21" t="s">
        <v>11</v>
      </c>
    </row>
    <row r="22" spans="1:5">
      <c r="A22">
        <f>A24*A28</f>
        <v>9.8823529411764692</v>
      </c>
      <c r="B22">
        <f>B24*B28</f>
        <v>7.5279999999999996</v>
      </c>
      <c r="D22">
        <f>10/14</f>
        <v>0.7142857142857143</v>
      </c>
      <c r="E22">
        <f>8/8</f>
        <v>1</v>
      </c>
    </row>
    <row r="23" spans="1:5">
      <c r="A23" t="s">
        <v>565</v>
      </c>
      <c r="B23" t="s">
        <v>565</v>
      </c>
    </row>
    <row r="24" spans="1:5">
      <c r="A24">
        <f>A26/E4</f>
        <v>14.117647058823529</v>
      </c>
      <c r="B24">
        <f>B26/E4</f>
        <v>8</v>
      </c>
    </row>
    <row r="25" spans="1:5">
      <c r="A25" t="s">
        <v>12</v>
      </c>
      <c r="B25" t="s">
        <v>12</v>
      </c>
    </row>
    <row r="26" spans="1:5">
      <c r="A26">
        <v>30</v>
      </c>
      <c r="B26">
        <v>17</v>
      </c>
    </row>
    <row r="27" spans="1:5">
      <c r="A27" t="s">
        <v>326</v>
      </c>
      <c r="B27" t="s">
        <v>326</v>
      </c>
    </row>
    <row r="28" spans="1:5">
      <c r="A28">
        <v>0.7</v>
      </c>
      <c r="B28">
        <v>0.94099999999999995</v>
      </c>
    </row>
    <row r="30" spans="1:5">
      <c r="A30" t="s">
        <v>567</v>
      </c>
    </row>
    <row r="31" spans="1:5">
      <c r="A31" t="s">
        <v>109</v>
      </c>
      <c r="D31" t="s">
        <v>74</v>
      </c>
    </row>
    <row r="32" spans="1:5">
      <c r="A32" t="s">
        <v>9</v>
      </c>
      <c r="B32" t="s">
        <v>10</v>
      </c>
    </row>
    <row r="33" spans="1:6">
      <c r="A33" t="s">
        <v>11</v>
      </c>
      <c r="B33" t="s">
        <v>11</v>
      </c>
    </row>
    <row r="34" spans="1:6">
      <c r="A34">
        <f>A36*A40</f>
        <v>4.7011764705882353</v>
      </c>
      <c r="B34">
        <f>B36*B40</f>
        <v>1.232</v>
      </c>
      <c r="E34">
        <f>5/14</f>
        <v>0.35714285714285715</v>
      </c>
      <c r="F34">
        <f>1/8</f>
        <v>0.125</v>
      </c>
    </row>
    <row r="35" spans="1:6">
      <c r="A35" t="s">
        <v>565</v>
      </c>
      <c r="B35" t="s">
        <v>565</v>
      </c>
    </row>
    <row r="36" spans="1:6">
      <c r="A36">
        <f>A38/E4</f>
        <v>14.117647058823529</v>
      </c>
      <c r="B36">
        <f>B38/E4</f>
        <v>8</v>
      </c>
    </row>
    <row r="37" spans="1:6">
      <c r="A37" t="s">
        <v>12</v>
      </c>
      <c r="B37" t="s">
        <v>12</v>
      </c>
    </row>
    <row r="38" spans="1:6">
      <c r="A38">
        <v>30</v>
      </c>
      <c r="B38">
        <v>17</v>
      </c>
    </row>
    <row r="39" spans="1:6">
      <c r="A39" t="s">
        <v>326</v>
      </c>
      <c r="B39" t="s">
        <v>326</v>
      </c>
    </row>
    <row r="40" spans="1:6">
      <c r="A40">
        <v>0.33300000000000002</v>
      </c>
      <c r="B40">
        <v>0.154</v>
      </c>
    </row>
    <row r="42" spans="1:6">
      <c r="A42" t="s">
        <v>568</v>
      </c>
      <c r="D42" t="s">
        <v>79</v>
      </c>
    </row>
    <row r="43" spans="1:6">
      <c r="A43" t="s">
        <v>88</v>
      </c>
    </row>
    <row r="44" spans="1:6">
      <c r="A44" t="s">
        <v>9</v>
      </c>
      <c r="B44" t="s">
        <v>10</v>
      </c>
    </row>
    <row r="45" spans="1:6">
      <c r="A45" t="s">
        <v>11</v>
      </c>
      <c r="B45" t="s">
        <v>11</v>
      </c>
    </row>
    <row r="46" spans="1:6">
      <c r="A46">
        <f>A48*A52</f>
        <v>8.4705882352941178</v>
      </c>
      <c r="B46">
        <f>B48*B52</f>
        <v>5.1760000000000002</v>
      </c>
      <c r="E46">
        <f>8/14</f>
        <v>0.5714285714285714</v>
      </c>
      <c r="F46">
        <f>5/8</f>
        <v>0.625</v>
      </c>
    </row>
    <row r="47" spans="1:6">
      <c r="A47" t="s">
        <v>565</v>
      </c>
      <c r="B47" t="s">
        <v>565</v>
      </c>
    </row>
    <row r="48" spans="1:6">
      <c r="A48">
        <f>A50/E4</f>
        <v>14.117647058823529</v>
      </c>
      <c r="B48">
        <f>B50/E4</f>
        <v>8</v>
      </c>
    </row>
    <row r="49" spans="1:4">
      <c r="A49" t="s">
        <v>12</v>
      </c>
      <c r="B49" t="s">
        <v>12</v>
      </c>
    </row>
    <row r="50" spans="1:4">
      <c r="A50">
        <v>30</v>
      </c>
      <c r="B50">
        <v>17</v>
      </c>
    </row>
    <row r="51" spans="1:4">
      <c r="A51" t="s">
        <v>326</v>
      </c>
      <c r="B51" t="s">
        <v>326</v>
      </c>
    </row>
    <row r="52" spans="1:4">
      <c r="A52">
        <v>0.6</v>
      </c>
      <c r="B52">
        <v>0.64700000000000002</v>
      </c>
    </row>
    <row r="54" spans="1:4">
      <c r="A54" t="s">
        <v>569</v>
      </c>
      <c r="D54" t="s">
        <v>74</v>
      </c>
    </row>
    <row r="55" spans="1:4">
      <c r="A55" t="s">
        <v>109</v>
      </c>
    </row>
    <row r="56" spans="1:4">
      <c r="A56" t="s">
        <v>9</v>
      </c>
      <c r="B56" t="s">
        <v>10</v>
      </c>
    </row>
    <row r="57" spans="1:4">
      <c r="A57" t="s">
        <v>18</v>
      </c>
      <c r="B57" t="s">
        <v>18</v>
      </c>
    </row>
    <row r="58" spans="1:4">
      <c r="A58">
        <v>46</v>
      </c>
      <c r="B58">
        <v>41.5</v>
      </c>
    </row>
    <row r="59" spans="1:4">
      <c r="A59" t="s">
        <v>19</v>
      </c>
      <c r="B59" t="s">
        <v>19</v>
      </c>
    </row>
    <row r="60" spans="1:4">
      <c r="A60">
        <v>9.6</v>
      </c>
      <c r="B60">
        <v>12.2</v>
      </c>
    </row>
    <row r="61" spans="1:4">
      <c r="A61" t="s">
        <v>565</v>
      </c>
      <c r="B61" t="s">
        <v>565</v>
      </c>
    </row>
    <row r="62" spans="1:4">
      <c r="A62">
        <f>A64/E4</f>
        <v>14.117647058823529</v>
      </c>
      <c r="B62">
        <f>B64/E4</f>
        <v>8</v>
      </c>
    </row>
    <row r="63" spans="1:4">
      <c r="A63" t="s">
        <v>12</v>
      </c>
      <c r="B63" t="s">
        <v>12</v>
      </c>
    </row>
    <row r="64" spans="1:4">
      <c r="A64">
        <v>30</v>
      </c>
      <c r="B64">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C9AE-2A50-4186-956E-2E90D7C06643}">
  <dimension ref="A1:A15"/>
  <sheetViews>
    <sheetView workbookViewId="0">
      <selection activeCell="A16" sqref="A16"/>
    </sheetView>
  </sheetViews>
  <sheetFormatPr defaultRowHeight="15.75"/>
  <sheetData>
    <row r="1" spans="1:1">
      <c r="A1" t="s">
        <v>52</v>
      </c>
    </row>
    <row r="2" spans="1:1">
      <c r="A2" t="s">
        <v>53</v>
      </c>
    </row>
    <row r="3" spans="1:1">
      <c r="A3" t="s">
        <v>54</v>
      </c>
    </row>
    <row r="4" spans="1:1">
      <c r="A4" t="s">
        <v>55</v>
      </c>
    </row>
    <row r="5" spans="1:1">
      <c r="A5" t="s">
        <v>56</v>
      </c>
    </row>
    <row r="6" spans="1:1">
      <c r="A6" t="s">
        <v>57</v>
      </c>
    </row>
    <row r="7" spans="1:1">
      <c r="A7">
        <v>88.36</v>
      </c>
    </row>
    <row r="8" spans="1:1">
      <c r="A8" t="s">
        <v>58</v>
      </c>
    </row>
    <row r="9" spans="1:1">
      <c r="A9">
        <v>16.22</v>
      </c>
    </row>
    <row r="11" spans="1:1">
      <c r="A11" t="s">
        <v>59</v>
      </c>
    </row>
    <row r="12" spans="1:1">
      <c r="A12" t="s">
        <v>57</v>
      </c>
    </row>
    <row r="13" spans="1:1">
      <c r="A13">
        <v>75.540000000000006</v>
      </c>
    </row>
    <row r="14" spans="1:1">
      <c r="A14" t="s">
        <v>58</v>
      </c>
    </row>
    <row r="15" spans="1:1">
      <c r="A15">
        <v>25.260999999999999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BD267-76F6-47BF-BB46-FF5C51E86D40}">
  <dimension ref="A1:A3"/>
  <sheetViews>
    <sheetView workbookViewId="0">
      <selection activeCell="A4" sqref="A4"/>
    </sheetView>
  </sheetViews>
  <sheetFormatPr defaultColWidth="8.875" defaultRowHeight="15.95"/>
  <sheetData>
    <row r="1" spans="1:1">
      <c r="A1" t="s">
        <v>60</v>
      </c>
    </row>
    <row r="2" spans="1:1">
      <c r="A2" t="s">
        <v>61</v>
      </c>
    </row>
    <row r="3" spans="1:1">
      <c r="A3" t="s">
        <v>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8E0E-F3F3-4F36-BA77-4668A75C2725}">
  <dimension ref="A1:B12"/>
  <sheetViews>
    <sheetView workbookViewId="0">
      <selection activeCell="B8" sqref="B8"/>
    </sheetView>
  </sheetViews>
  <sheetFormatPr defaultRowHeight="15.75"/>
  <sheetData>
    <row r="1" spans="1:2">
      <c r="A1" t="s">
        <v>63</v>
      </c>
    </row>
    <row r="2" spans="1:2">
      <c r="A2" t="s">
        <v>64</v>
      </c>
    </row>
    <row r="3" spans="1:2">
      <c r="A3" t="s">
        <v>65</v>
      </c>
    </row>
    <row r="4" spans="1:2">
      <c r="A4" t="s">
        <v>66</v>
      </c>
    </row>
    <row r="5" spans="1:2">
      <c r="A5">
        <v>1.35</v>
      </c>
    </row>
    <row r="6" spans="1:2">
      <c r="A6" t="s">
        <v>67</v>
      </c>
    </row>
    <row r="7" spans="1:2">
      <c r="A7">
        <v>0.3</v>
      </c>
      <c r="B7" t="s">
        <v>68</v>
      </c>
    </row>
    <row r="8" spans="1:2">
      <c r="A8" t="s">
        <v>69</v>
      </c>
    </row>
    <row r="9" spans="1:2">
      <c r="A9">
        <v>0.62</v>
      </c>
    </row>
    <row r="11" spans="1:2">
      <c r="A11" t="s">
        <v>70</v>
      </c>
    </row>
    <row r="12" spans="1:2">
      <c r="A12">
        <f>EXP(A7-1.96*A9)</f>
        <v>0.40043653077539915</v>
      </c>
      <c r="B12">
        <f>EXP(A7+1.96*A9)</f>
        <v>4.5503311020655035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Kelson</dc:creator>
  <cp:keywords/>
  <dc:description/>
  <cp:lastModifiedBy>Wong, Chak Fung Jeff</cp:lastModifiedBy>
  <cp:revision/>
  <dcterms:created xsi:type="dcterms:W3CDTF">2022-02-20T13:47:38Z</dcterms:created>
  <dcterms:modified xsi:type="dcterms:W3CDTF">2022-04-21T18:28:26Z</dcterms:modified>
  <cp:category/>
  <cp:contentStatus/>
</cp:coreProperties>
</file>