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fileSharing readOnlyRecommended="1" userName="Beatrice N. Mwiriki" algorithmName="SHA-512" hashValue="M9EIgcSkL7hoHbZ/ZeuzXzI8Rcbgtp4m2LzXDbEeqIHfXCVBpbT7XBBG7ybWu5MxY+B+5JVkjfJWyy6kktniNQ==" saltValue="OgATAcpuTvni/E28gt6Q7A==" spinCount="100000"/>
  <workbookPr/>
  <mc:AlternateContent xmlns:mc="http://schemas.openxmlformats.org/markup-compatibility/2006">
    <mc:Choice Requires="x15">
      <x15ac:absPath xmlns:x15ac="http://schemas.microsoft.com/office/spreadsheetml/2010/11/ac" url="\\10.1.1.105\HO-Finance\Reports\Monthly\2023\Apr 2023\"/>
    </mc:Choice>
  </mc:AlternateContent>
  <xr:revisionPtr revIDLastSave="0" documentId="13_ncr:10001_{913BF3B3-D1C6-4BAA-8728-75B2A27AE053}" xr6:coauthVersionLast="47" xr6:coauthVersionMax="47" xr10:uidLastSave="{00000000-0000-0000-0000-000000000000}"/>
  <bookViews>
    <workbookView xWindow="-120" yWindow="-120" windowWidth="29040" windowHeight="15960" tabRatio="896" firstSheet="1" activeTab="20" xr2:uid="{E80187C4-3A20-48E1-AAD3-72DD91EF6205}"/>
  </bookViews>
  <sheets>
    <sheet name="Reval rates" sheetId="20" state="hidden" r:id="rId1"/>
    <sheet name="Summary" sheetId="16" r:id="rId2"/>
    <sheet name="DB" sheetId="35" state="hidden" r:id="rId3"/>
    <sheet name="GROUP" sheetId="6" r:id="rId4"/>
    <sheet name="GROUP CAR - Mar 2023" sheetId="24" r:id="rId5"/>
    <sheet name="Intercompany 2023" sheetId="37" r:id="rId6"/>
    <sheet name="BCDC PPA Adjustments" sheetId="33" state="hidden" r:id="rId7"/>
    <sheet name="Consolidation  JVs" sheetId="19" r:id="rId8"/>
    <sheet name="JV summary" sheetId="39" state="hidden" r:id="rId9"/>
    <sheet name="NOSTRO BALANCES" sheetId="29" r:id="rId10"/>
    <sheet name="SOCE" sheetId="40" r:id="rId11"/>
    <sheet name="R_parties workings" sheetId="22" state="hidden" r:id="rId12"/>
    <sheet name="EGH Plc" sheetId="21" r:id="rId13"/>
    <sheet name="EBKL" sheetId="4" r:id="rId14"/>
    <sheet name="NCI comp" sheetId="41" state="hidden" r:id="rId15"/>
    <sheet name="E_BCDC" sheetId="31" r:id="rId16"/>
    <sheet name="EBSSL" sheetId="3" r:id="rId17"/>
    <sheet name="EBTL" sheetId="2" r:id="rId18"/>
    <sheet name="EBRL" sheetId="5" r:id="rId19"/>
    <sheet name="FinAL&amp;Azenia" sheetId="9" r:id="rId20"/>
    <sheet name="EBUL" sheetId="1" r:id="rId21"/>
    <sheet name="EIAL" sheetId="11" r:id="rId22"/>
    <sheet name="EIBL" sheetId="10" r:id="rId23"/>
    <sheet name="Others" sheetId="14" r:id="rId24"/>
    <sheet name="EIGHL&amp;ELAK" sheetId="36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</externalReferences>
  <definedNames>
    <definedName name="_xlnm._FilterDatabase" localSheetId="7" hidden="1">'Consolidation  JVs'!$B$1:$F$368</definedName>
    <definedName name="_xlnm._FilterDatabase" localSheetId="15" hidden="1">E_BCDC!#REF!</definedName>
    <definedName name="_xlnm._FilterDatabase" localSheetId="9" hidden="1">'NOSTRO BALANCES'!$A$5:$P$108</definedName>
    <definedName name="_xlnm._FilterDatabase" localSheetId="0" hidden="1">'Reval rates'!$C$24:$C$45</definedName>
    <definedName name="AS2DocOpenMode" hidden="1">"AS2DocumentEdit"</definedName>
    <definedName name="cellsAdvanceToday">'[1]Advances-USD'!#REF!</definedName>
    <definedName name="cellsAdvanceYest">'[1]Advances-USD'!#REF!</definedName>
    <definedName name="cellsDepositToday">'[1]DEPOSIT-USD'!#REF!</definedName>
    <definedName name="cellsDepositYest">'[1]DEPOSIT-USD'!#REF!</definedName>
    <definedName name="forecast_pd">'[2]6.A'!$F$43</definedName>
    <definedName name="IQ_ADDIN" hidden="1">"AUTO"</definedName>
    <definedName name="Period_9">'[3]Inputs -IncomeStatement'!$D$18</definedName>
    <definedName name="Period_9Description">'[3]Inputs -IncomeStatement'!$E$18</definedName>
    <definedName name="PeriodEnd_1">'[3]Inputs -IncomeStatement'!$D$22</definedName>
    <definedName name="PeriodEnd_1Description">'[3]Inputs -IncomeStatement'!$E$22</definedName>
    <definedName name="PeriodEnd_2">'[3]Inputs -IncomeStatement'!$D$23</definedName>
    <definedName name="PeriodEnd_2Description">'[3]Inputs -IncomeStatement'!$E$23</definedName>
    <definedName name="PeriodEnd_3">'[3]Inputs -IncomeStatement'!$D$24</definedName>
    <definedName name="PeriodEnd_3Description">'[3]Inputs -IncomeStatement'!$E$24</definedName>
    <definedName name="PeriodEnd_4">'[3]Inputs -IncomeStatement'!$D$25</definedName>
    <definedName name="PeriodEnd_4Description">'[3]Inputs -IncomeStatement'!$E$25</definedName>
    <definedName name="PeriodEnd_5">'[3]Inputs -IncomeStatement'!$D$26</definedName>
    <definedName name="PeriodEnd_5Description">'[3]Inputs -IncomeStatement'!$E$26</definedName>
    <definedName name="PeriodEnd_6">'[3]Inputs -IncomeStatement'!$D$27</definedName>
    <definedName name="PeriodEnd_6Description">'[3]Inputs -IncomeStatement'!$E$27</definedName>
    <definedName name="PeriodEnd_7">'[3]Inputs -IncomeStatement'!$D$28</definedName>
    <definedName name="PeriodEnd_7Description">'[3]Inputs -IncomeStatement'!$E$28</definedName>
    <definedName name="PeriodEnd_8">'[3]Inputs -IncomeStatement'!$D$29</definedName>
    <definedName name="PeriodEnd_8Description">'[3]Inputs -IncomeStatement'!$E$29</definedName>
    <definedName name="PeriodEnd_9">'[3]Inputs -IncomeStatement'!$D$30</definedName>
    <definedName name="PeriodEnd_9Description">'[3]Inputs -IncomeStatement'!$E$30</definedName>
    <definedName name="_xlnm.Print_Area" localSheetId="13">EBKL!$A$1:$E$98</definedName>
    <definedName name="SD">'[2]1.NTBA'!$D$13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" i="37" l="1"/>
  <c r="O13" i="24"/>
  <c r="B6" i="24"/>
  <c r="Q3" i="37"/>
  <c r="K54" i="31" l="1"/>
  <c r="D329" i="19"/>
  <c r="B42" i="3"/>
  <c r="B12" i="3"/>
  <c r="B79" i="3"/>
  <c r="B70" i="3"/>
  <c r="B65" i="3"/>
  <c r="B48" i="3"/>
  <c r="B47" i="3"/>
  <c r="B46" i="3"/>
  <c r="B37" i="3"/>
  <c r="B36" i="3"/>
  <c r="B32" i="3"/>
  <c r="B25" i="3"/>
  <c r="B22" i="3"/>
  <c r="B17" i="3"/>
  <c r="B15" i="3"/>
  <c r="B14" i="3"/>
  <c r="B7" i="3"/>
  <c r="C61" i="3"/>
  <c r="C6" i="3"/>
  <c r="B88" i="3" l="1"/>
  <c r="B87" i="3"/>
  <c r="B85" i="3"/>
  <c r="B71" i="3" l="1"/>
  <c r="B62" i="3"/>
  <c r="B90" i="3" l="1"/>
  <c r="B78" i="3"/>
  <c r="B63" i="3"/>
  <c r="B91" i="3" l="1"/>
  <c r="B69" i="3"/>
  <c r="B64" i="3"/>
  <c r="B86" i="3" l="1"/>
  <c r="B76" i="3" l="1"/>
  <c r="B77" i="3" l="1"/>
  <c r="B89" i="3" l="1"/>
  <c r="B27" i="3" l="1"/>
  <c r="B40" i="3" l="1"/>
  <c r="B97" i="3" l="1"/>
  <c r="B38" i="3"/>
  <c r="B98" i="3" l="1"/>
  <c r="B80" i="3"/>
  <c r="B49" i="3" l="1"/>
  <c r="B145" i="3" l="1"/>
  <c r="B144" i="3"/>
  <c r="B131" i="3"/>
  <c r="B127" i="3"/>
  <c r="B126" i="3"/>
  <c r="B122" i="3"/>
  <c r="B121" i="3"/>
  <c r="B117" i="3"/>
  <c r="B116" i="3"/>
  <c r="B112" i="3"/>
  <c r="B110" i="3"/>
  <c r="B108" i="3"/>
  <c r="B107" i="3"/>
  <c r="B95" i="3"/>
  <c r="D258" i="19" l="1"/>
  <c r="C9" i="37"/>
  <c r="H16" i="37" l="1"/>
  <c r="S3" i="37" l="1"/>
  <c r="B133" i="5" l="1"/>
  <c r="B145" i="5"/>
  <c r="B144" i="5"/>
  <c r="B139" i="5"/>
  <c r="B136" i="5"/>
  <c r="B131" i="5"/>
  <c r="B129" i="5"/>
  <c r="B127" i="5"/>
  <c r="B126" i="5"/>
  <c r="B122" i="5"/>
  <c r="B121" i="5"/>
  <c r="B117" i="5"/>
  <c r="B116" i="5"/>
  <c r="B110" i="5"/>
  <c r="B108" i="5"/>
  <c r="B107" i="5"/>
  <c r="B98" i="5"/>
  <c r="B97" i="5"/>
  <c r="B91" i="5"/>
  <c r="B90" i="5"/>
  <c r="B89" i="5"/>
  <c r="B88" i="5"/>
  <c r="B87" i="5"/>
  <c r="B86" i="5"/>
  <c r="B85" i="5"/>
  <c r="B80" i="5"/>
  <c r="B79" i="5"/>
  <c r="B78" i="5"/>
  <c r="B77" i="5"/>
  <c r="B76" i="5"/>
  <c r="B71" i="5"/>
  <c r="B70" i="5"/>
  <c r="B69" i="5"/>
  <c r="B65" i="5"/>
  <c r="B64" i="5"/>
  <c r="B63" i="5"/>
  <c r="B62" i="5"/>
  <c r="B53" i="5"/>
  <c r="B52" i="5"/>
  <c r="B51" i="5"/>
  <c r="B50" i="5"/>
  <c r="B49" i="5"/>
  <c r="B48" i="5"/>
  <c r="B47" i="5"/>
  <c r="B43" i="5"/>
  <c r="B42" i="5"/>
  <c r="B41" i="5"/>
  <c r="B40" i="5"/>
  <c r="B39" i="5"/>
  <c r="B38" i="5"/>
  <c r="B37" i="5"/>
  <c r="B36" i="5"/>
  <c r="B35" i="5"/>
  <c r="B34" i="5"/>
  <c r="B33" i="5"/>
  <c r="B32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8" i="5"/>
  <c r="B90" i="11"/>
  <c r="B91" i="11" s="1"/>
  <c r="B88" i="11"/>
  <c r="B86" i="11"/>
  <c r="B80" i="11"/>
  <c r="B50" i="11"/>
  <c r="B47" i="11"/>
  <c r="B43" i="11"/>
  <c r="B40" i="11"/>
  <c r="B39" i="11"/>
  <c r="B28" i="11"/>
  <c r="B26" i="11"/>
  <c r="B25" i="11"/>
  <c r="B10" i="11"/>
  <c r="B8" i="11"/>
  <c r="J7" i="37"/>
  <c r="L6" i="40"/>
  <c r="L7" i="40"/>
  <c r="L8" i="40"/>
  <c r="L9" i="40"/>
  <c r="B96" i="10"/>
  <c r="B95" i="10"/>
  <c r="B90" i="10"/>
  <c r="B89" i="10"/>
  <c r="B88" i="10"/>
  <c r="B87" i="10"/>
  <c r="B86" i="10"/>
  <c r="B85" i="10"/>
  <c r="B84" i="10"/>
  <c r="B79" i="10"/>
  <c r="B77" i="10"/>
  <c r="B76" i="10"/>
  <c r="B75" i="10"/>
  <c r="B70" i="10"/>
  <c r="B69" i="10"/>
  <c r="B68" i="10"/>
  <c r="B67" i="10"/>
  <c r="B64" i="10"/>
  <c r="B63" i="10"/>
  <c r="B62" i="10"/>
  <c r="B61" i="10"/>
  <c r="B51" i="10"/>
  <c r="B49" i="10"/>
  <c r="B48" i="10"/>
  <c r="B47" i="10"/>
  <c r="B46" i="10"/>
  <c r="B45" i="10"/>
  <c r="B41" i="10"/>
  <c r="B40" i="10"/>
  <c r="B39" i="10"/>
  <c r="B37" i="10"/>
  <c r="B35" i="10"/>
  <c r="B34" i="10"/>
  <c r="B33" i="10"/>
  <c r="B32" i="10"/>
  <c r="B31" i="10"/>
  <c r="B30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3" i="10"/>
  <c r="B12" i="10"/>
  <c r="B11" i="10"/>
  <c r="B10" i="10"/>
  <c r="B9" i="10"/>
  <c r="B8" i="10"/>
  <c r="B7" i="10"/>
  <c r="B6" i="10"/>
  <c r="I7" i="37"/>
  <c r="B146" i="1"/>
  <c r="B142" i="1"/>
  <c r="B141" i="1"/>
  <c r="B139" i="1"/>
  <c r="B138" i="1"/>
  <c r="B136" i="1"/>
  <c r="B135" i="1"/>
  <c r="B137" i="1" s="1"/>
  <c r="B133" i="1"/>
  <c r="B131" i="1"/>
  <c r="B129" i="1"/>
  <c r="B128" i="1"/>
  <c r="B124" i="1"/>
  <c r="B122" i="1"/>
  <c r="B118" i="1"/>
  <c r="B117" i="1"/>
  <c r="B113" i="1"/>
  <c r="B111" i="1"/>
  <c r="B109" i="1"/>
  <c r="B108" i="1"/>
  <c r="B98" i="1"/>
  <c r="B99" i="1"/>
  <c r="B92" i="1"/>
  <c r="B91" i="1"/>
  <c r="B90" i="1"/>
  <c r="B89" i="1"/>
  <c r="B88" i="1"/>
  <c r="B87" i="1"/>
  <c r="B86" i="1"/>
  <c r="B81" i="1"/>
  <c r="B80" i="1"/>
  <c r="B79" i="1"/>
  <c r="B78" i="1"/>
  <c r="B77" i="1"/>
  <c r="B72" i="1"/>
  <c r="B71" i="1"/>
  <c r="B70" i="1"/>
  <c r="B66" i="1"/>
  <c r="B65" i="1"/>
  <c r="B64" i="1"/>
  <c r="B63" i="1"/>
  <c r="B52" i="1"/>
  <c r="B51" i="1"/>
  <c r="B50" i="1"/>
  <c r="B49" i="1"/>
  <c r="B53" i="1"/>
  <c r="B48" i="1"/>
  <c r="B47" i="1"/>
  <c r="B43" i="1"/>
  <c r="B42" i="1"/>
  <c r="B41" i="1"/>
  <c r="B40" i="1"/>
  <c r="B39" i="1"/>
  <c r="B38" i="1"/>
  <c r="B37" i="1"/>
  <c r="B36" i="1"/>
  <c r="B35" i="1"/>
  <c r="B34" i="1"/>
  <c r="B33" i="1"/>
  <c r="B32" i="1"/>
  <c r="B28" i="1"/>
  <c r="B27" i="1"/>
  <c r="B26" i="1"/>
  <c r="B25" i="1"/>
  <c r="B23" i="1"/>
  <c r="B22" i="1"/>
  <c r="B21" i="1"/>
  <c r="B20" i="1"/>
  <c r="B19" i="1"/>
  <c r="B18" i="1"/>
  <c r="B17" i="1"/>
  <c r="B16" i="1"/>
  <c r="B15" i="1"/>
  <c r="B14" i="1"/>
  <c r="B13" i="1"/>
  <c r="B11" i="1"/>
  <c r="B8" i="1"/>
  <c r="B144" i="2" l="1"/>
  <c r="B131" i="2"/>
  <c r="B127" i="2"/>
  <c r="B126" i="2"/>
  <c r="B122" i="2"/>
  <c r="B121" i="2"/>
  <c r="B117" i="2"/>
  <c r="B116" i="2"/>
  <c r="B112" i="2"/>
  <c r="B111" i="2"/>
  <c r="B110" i="2"/>
  <c r="B109" i="2"/>
  <c r="B108" i="2"/>
  <c r="B107" i="2"/>
  <c r="B97" i="2"/>
  <c r="B91" i="2"/>
  <c r="B90" i="2"/>
  <c r="B89" i="2"/>
  <c r="B88" i="2"/>
  <c r="B87" i="2"/>
  <c r="B86" i="2"/>
  <c r="B85" i="2"/>
  <c r="B81" i="2"/>
  <c r="B80" i="2"/>
  <c r="B79" i="2"/>
  <c r="B78" i="2"/>
  <c r="B77" i="2"/>
  <c r="B76" i="2"/>
  <c r="B71" i="2"/>
  <c r="B70" i="2"/>
  <c r="B69" i="2"/>
  <c r="B65" i="2"/>
  <c r="B64" i="2"/>
  <c r="B63" i="2"/>
  <c r="B62" i="2"/>
  <c r="B50" i="2"/>
  <c r="B49" i="2"/>
  <c r="B48" i="2"/>
  <c r="B47" i="2"/>
  <c r="B46" i="2"/>
  <c r="B42" i="2"/>
  <c r="B41" i="2"/>
  <c r="B40" i="2"/>
  <c r="B39" i="2"/>
  <c r="B38" i="2"/>
  <c r="B37" i="2"/>
  <c r="B36" i="2"/>
  <c r="B35" i="2"/>
  <c r="B34" i="2"/>
  <c r="B33" i="2"/>
  <c r="B32" i="2"/>
  <c r="B31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0" i="2"/>
  <c r="B7" i="2"/>
  <c r="B41" i="31"/>
  <c r="B141" i="31" l="1"/>
  <c r="B128" i="31"/>
  <c r="B126" i="31"/>
  <c r="B124" i="31"/>
  <c r="B123" i="31"/>
  <c r="B119" i="31"/>
  <c r="B118" i="31"/>
  <c r="B114" i="31"/>
  <c r="B113" i="31"/>
  <c r="B107" i="31"/>
  <c r="B105" i="31"/>
  <c r="B104" i="31"/>
  <c r="B95" i="31"/>
  <c r="B94" i="31"/>
  <c r="B89" i="31"/>
  <c r="B88" i="31"/>
  <c r="B87" i="31"/>
  <c r="B86" i="31"/>
  <c r="B85" i="31"/>
  <c r="B84" i="31"/>
  <c r="B83" i="31"/>
  <c r="B78" i="31"/>
  <c r="B77" i="31"/>
  <c r="B76" i="31"/>
  <c r="B75" i="31"/>
  <c r="B74" i="31"/>
  <c r="B69" i="31"/>
  <c r="B68" i="31"/>
  <c r="B67" i="31"/>
  <c r="B63" i="31"/>
  <c r="B62" i="31"/>
  <c r="B61" i="31"/>
  <c r="B60" i="31"/>
  <c r="B51" i="31"/>
  <c r="B50" i="31"/>
  <c r="B49" i="31"/>
  <c r="B48" i="31"/>
  <c r="B47" i="31"/>
  <c r="B46" i="31"/>
  <c r="B45" i="31"/>
  <c r="B40" i="31"/>
  <c r="B39" i="31"/>
  <c r="B37" i="31"/>
  <c r="B36" i="31"/>
  <c r="B35" i="31"/>
  <c r="B34" i="31"/>
  <c r="B33" i="31"/>
  <c r="B31" i="31"/>
  <c r="B26" i="31"/>
  <c r="B25" i="31"/>
  <c r="B24" i="31"/>
  <c r="B23" i="31"/>
  <c r="B22" i="31"/>
  <c r="B21" i="31"/>
  <c r="B20" i="31"/>
  <c r="B19" i="31"/>
  <c r="B18" i="31"/>
  <c r="B17" i="31"/>
  <c r="B16" i="31"/>
  <c r="B15" i="31"/>
  <c r="B14" i="31"/>
  <c r="B13" i="31"/>
  <c r="B12" i="31"/>
  <c r="B11" i="31"/>
  <c r="B10" i="31"/>
  <c r="B9" i="31"/>
  <c r="B6" i="31"/>
  <c r="B143" i="4"/>
  <c r="B115" i="4"/>
  <c r="B114" i="4"/>
  <c r="B41" i="4" l="1"/>
  <c r="B38" i="4"/>
  <c r="D335" i="19" l="1"/>
  <c r="B97" i="21"/>
  <c r="B96" i="21"/>
  <c r="B91" i="21"/>
  <c r="B90" i="21"/>
  <c r="B89" i="21"/>
  <c r="B88" i="21"/>
  <c r="B87" i="21"/>
  <c r="B86" i="21"/>
  <c r="B85" i="21"/>
  <c r="B80" i="21"/>
  <c r="B79" i="21"/>
  <c r="B71" i="21"/>
  <c r="B64" i="21"/>
  <c r="B49" i="21"/>
  <c r="B47" i="21"/>
  <c r="B46" i="21"/>
  <c r="B42" i="21"/>
  <c r="B39" i="21"/>
  <c r="B38" i="21"/>
  <c r="B36" i="21"/>
  <c r="B27" i="21"/>
  <c r="B25" i="21"/>
  <c r="B22" i="21"/>
  <c r="B19" i="21"/>
  <c r="B14" i="21"/>
  <c r="B7" i="21"/>
  <c r="D7" i="37"/>
  <c r="D3" i="37"/>
  <c r="B97" i="14"/>
  <c r="B96" i="14"/>
  <c r="B91" i="14"/>
  <c r="B90" i="14"/>
  <c r="B89" i="14"/>
  <c r="B88" i="14"/>
  <c r="B87" i="14"/>
  <c r="B86" i="14"/>
  <c r="B85" i="14"/>
  <c r="B80" i="14"/>
  <c r="B79" i="14"/>
  <c r="B78" i="14"/>
  <c r="B77" i="14"/>
  <c r="B76" i="14"/>
  <c r="B71" i="14"/>
  <c r="B70" i="14"/>
  <c r="B69" i="14"/>
  <c r="B65" i="14"/>
  <c r="B64" i="14"/>
  <c r="B63" i="14"/>
  <c r="B62" i="14"/>
  <c r="B51" i="14"/>
  <c r="B50" i="14"/>
  <c r="B49" i="14"/>
  <c r="B48" i="14"/>
  <c r="B47" i="14"/>
  <c r="B43" i="14"/>
  <c r="B42" i="14"/>
  <c r="B41" i="14"/>
  <c r="B40" i="14"/>
  <c r="B39" i="14"/>
  <c r="B28" i="14"/>
  <c r="B26" i="14"/>
  <c r="B17" i="14"/>
  <c r="B16" i="14"/>
  <c r="B15" i="14"/>
  <c r="B14" i="14"/>
  <c r="B8" i="14"/>
  <c r="N7" i="37"/>
  <c r="N3" i="37"/>
  <c r="E336" i="19" l="1"/>
  <c r="D242" i="19"/>
  <c r="B138" i="4" l="1"/>
  <c r="B135" i="4"/>
  <c r="B132" i="4"/>
  <c r="B97" i="4"/>
  <c r="B96" i="4"/>
  <c r="B91" i="4"/>
  <c r="B90" i="4"/>
  <c r="B89" i="4"/>
  <c r="B88" i="4"/>
  <c r="B87" i="4"/>
  <c r="B86" i="4"/>
  <c r="B85" i="4"/>
  <c r="B80" i="4"/>
  <c r="B79" i="4"/>
  <c r="B78" i="4"/>
  <c r="B77" i="4"/>
  <c r="B76" i="4"/>
  <c r="B71" i="4"/>
  <c r="B70" i="4"/>
  <c r="B69" i="4"/>
  <c r="B65" i="4"/>
  <c r="B64" i="4"/>
  <c r="B63" i="4"/>
  <c r="B62" i="4"/>
  <c r="B51" i="4"/>
  <c r="B50" i="4"/>
  <c r="B49" i="4"/>
  <c r="B48" i="4"/>
  <c r="B47" i="4"/>
  <c r="B46" i="4"/>
  <c r="B45" i="4"/>
  <c r="B40" i="4"/>
  <c r="B39" i="4"/>
  <c r="B37" i="4"/>
  <c r="B36" i="4"/>
  <c r="B35" i="4"/>
  <c r="B34" i="4"/>
  <c r="B33" i="4"/>
  <c r="B32" i="4"/>
  <c r="B31" i="4"/>
  <c r="B30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D13" i="37" l="1"/>
  <c r="C7" i="37"/>
  <c r="C3" i="37"/>
  <c r="B92" i="11" l="1"/>
  <c r="B130" i="4" l="1"/>
  <c r="B128" i="4"/>
  <c r="B125" i="4"/>
  <c r="B120" i="4"/>
  <c r="B119" i="4"/>
  <c r="B126" i="4" l="1"/>
  <c r="B121" i="4"/>
  <c r="F98" i="29"/>
  <c r="F95" i="29"/>
  <c r="F94" i="29"/>
  <c r="F93" i="29"/>
  <c r="F92" i="29"/>
  <c r="F91" i="29"/>
  <c r="F89" i="29"/>
  <c r="F83" i="29"/>
  <c r="F82" i="29"/>
  <c r="F81" i="29"/>
  <c r="F74" i="29"/>
  <c r="F72" i="29"/>
  <c r="F71" i="29"/>
  <c r="F70" i="29"/>
  <c r="F69" i="29"/>
  <c r="F67" i="29"/>
  <c r="F66" i="29"/>
  <c r="F65" i="29"/>
  <c r="F64" i="29"/>
  <c r="F61" i="29"/>
  <c r="F60" i="29"/>
  <c r="F59" i="29"/>
  <c r="F56" i="29"/>
  <c r="F55" i="29"/>
  <c r="F53" i="29"/>
  <c r="F52" i="29"/>
  <c r="F51" i="29"/>
  <c r="F50" i="29"/>
  <c r="F48" i="29"/>
  <c r="F47" i="29"/>
  <c r="F46" i="29"/>
  <c r="F45" i="29"/>
  <c r="F40" i="29"/>
  <c r="F36" i="29"/>
  <c r="F35" i="29"/>
  <c r="F34" i="29"/>
  <c r="F33" i="29"/>
  <c r="F31" i="29"/>
  <c r="F30" i="29"/>
  <c r="F29" i="29"/>
  <c r="F28" i="29"/>
  <c r="F21" i="29"/>
  <c r="F20" i="29"/>
  <c r="F19" i="29"/>
  <c r="F18" i="29"/>
  <c r="F16" i="29"/>
  <c r="F15" i="29"/>
  <c r="F14" i="29"/>
  <c r="F13" i="29"/>
  <c r="F11" i="29"/>
  <c r="F8" i="29"/>
  <c r="F7" i="29"/>
  <c r="F6" i="29"/>
  <c r="F5" i="29"/>
  <c r="C54" i="24"/>
  <c r="C53" i="24"/>
  <c r="C52" i="24"/>
  <c r="C46" i="24"/>
  <c r="O12" i="24"/>
  <c r="F90" i="9" l="1"/>
  <c r="F89" i="9"/>
  <c r="F88" i="9"/>
  <c r="F87" i="9"/>
  <c r="F86" i="9"/>
  <c r="F85" i="9"/>
  <c r="F84" i="9"/>
  <c r="F79" i="9"/>
  <c r="F63" i="9"/>
  <c r="F45" i="9"/>
  <c r="F41" i="9"/>
  <c r="F26" i="9"/>
  <c r="F24" i="9"/>
  <c r="F23" i="9"/>
  <c r="F21" i="9"/>
  <c r="F18" i="9"/>
  <c r="F6" i="9"/>
  <c r="K7" i="37"/>
  <c r="K3" i="37"/>
  <c r="K48" i="31" l="1"/>
  <c r="D248" i="19"/>
  <c r="E99" i="29"/>
  <c r="D57" i="5" l="1"/>
  <c r="C97" i="14" l="1"/>
  <c r="C96" i="14"/>
  <c r="C91" i="14"/>
  <c r="C89" i="14"/>
  <c r="C88" i="14"/>
  <c r="C87" i="14"/>
  <c r="C86" i="14"/>
  <c r="C85" i="14"/>
  <c r="C80" i="14"/>
  <c r="C79" i="14"/>
  <c r="C78" i="14"/>
  <c r="C77" i="14"/>
  <c r="C76" i="14"/>
  <c r="C71" i="14"/>
  <c r="C70" i="14"/>
  <c r="C69" i="14"/>
  <c r="C64" i="14"/>
  <c r="C63" i="14"/>
  <c r="C62" i="14"/>
  <c r="C52" i="14"/>
  <c r="C51" i="14"/>
  <c r="C50" i="14"/>
  <c r="C49" i="14"/>
  <c r="C48" i="14"/>
  <c r="C47" i="14"/>
  <c r="C43" i="14"/>
  <c r="C42" i="14"/>
  <c r="C41" i="14"/>
  <c r="C40" i="14"/>
  <c r="C39" i="14"/>
  <c r="C38" i="14"/>
  <c r="C37" i="14"/>
  <c r="C36" i="14"/>
  <c r="C35" i="14"/>
  <c r="C34" i="14"/>
  <c r="C33" i="14"/>
  <c r="C32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53" i="10"/>
  <c r="C51" i="10"/>
  <c r="C50" i="10"/>
  <c r="C49" i="10"/>
  <c r="C48" i="10"/>
  <c r="C47" i="10"/>
  <c r="C46" i="10"/>
  <c r="C45" i="10"/>
  <c r="C41" i="10"/>
  <c r="C40" i="10"/>
  <c r="C39" i="10"/>
  <c r="C38" i="10"/>
  <c r="C37" i="10"/>
  <c r="C35" i="10"/>
  <c r="C34" i="10"/>
  <c r="C33" i="10"/>
  <c r="C32" i="10"/>
  <c r="C31" i="10"/>
  <c r="C30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9" i="10"/>
  <c r="C8" i="10"/>
  <c r="C7" i="10"/>
  <c r="C6" i="10"/>
  <c r="C97" i="11"/>
  <c r="C96" i="11"/>
  <c r="C94" i="11"/>
  <c r="C91" i="11"/>
  <c r="C90" i="11"/>
  <c r="C89" i="11"/>
  <c r="C88" i="11"/>
  <c r="C87" i="11"/>
  <c r="C86" i="11"/>
  <c r="C85" i="11"/>
  <c r="C80" i="11"/>
  <c r="C79" i="11"/>
  <c r="C78" i="11"/>
  <c r="C77" i="11"/>
  <c r="C76" i="11"/>
  <c r="C71" i="11"/>
  <c r="C70" i="11"/>
  <c r="C69" i="11"/>
  <c r="C65" i="11"/>
  <c r="C64" i="11"/>
  <c r="C63" i="11"/>
  <c r="C62" i="11"/>
  <c r="C53" i="11"/>
  <c r="C52" i="11"/>
  <c r="C51" i="11"/>
  <c r="C50" i="11"/>
  <c r="C49" i="11"/>
  <c r="C48" i="11"/>
  <c r="C47" i="11"/>
  <c r="C43" i="11"/>
  <c r="C42" i="11"/>
  <c r="C41" i="11"/>
  <c r="C40" i="11"/>
  <c r="C39" i="11"/>
  <c r="C37" i="11"/>
  <c r="C36" i="11"/>
  <c r="C35" i="11"/>
  <c r="C34" i="11"/>
  <c r="C33" i="11"/>
  <c r="C32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D147" i="1"/>
  <c r="D146" i="1"/>
  <c r="D142" i="1"/>
  <c r="D139" i="1"/>
  <c r="D136" i="1"/>
  <c r="D133" i="1"/>
  <c r="D131" i="1"/>
  <c r="D130" i="1"/>
  <c r="D129" i="1"/>
  <c r="D128" i="1"/>
  <c r="D124" i="1"/>
  <c r="D123" i="1"/>
  <c r="D122" i="1"/>
  <c r="D118" i="1"/>
  <c r="D117" i="1"/>
  <c r="D113" i="1"/>
  <c r="D111" i="1"/>
  <c r="D109" i="1"/>
  <c r="D108" i="1"/>
  <c r="D99" i="1"/>
  <c r="D98" i="1"/>
  <c r="D96" i="1"/>
  <c r="D95" i="1"/>
  <c r="D92" i="1"/>
  <c r="D91" i="1"/>
  <c r="D90" i="1"/>
  <c r="D89" i="1"/>
  <c r="D88" i="1"/>
  <c r="D87" i="1"/>
  <c r="D86" i="1"/>
  <c r="D81" i="1"/>
  <c r="D80" i="1"/>
  <c r="D79" i="1"/>
  <c r="D78" i="1"/>
  <c r="D77" i="1"/>
  <c r="D72" i="1"/>
  <c r="D71" i="1"/>
  <c r="D70" i="1"/>
  <c r="D66" i="1"/>
  <c r="D65" i="1"/>
  <c r="D64" i="1"/>
  <c r="D63" i="1"/>
  <c r="D62" i="1"/>
  <c r="D52" i="1"/>
  <c r="D51" i="1"/>
  <c r="D50" i="1"/>
  <c r="D49" i="1"/>
  <c r="D48" i="1"/>
  <c r="C48" i="1"/>
  <c r="D47" i="1"/>
  <c r="C47" i="1"/>
  <c r="D43" i="1"/>
  <c r="D42" i="1"/>
  <c r="D41" i="1"/>
  <c r="D40" i="1"/>
  <c r="D39" i="1"/>
  <c r="D38" i="1"/>
  <c r="D37" i="1"/>
  <c r="D36" i="1"/>
  <c r="D35" i="1"/>
  <c r="D34" i="1"/>
  <c r="D33" i="1"/>
  <c r="D32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1" i="1"/>
  <c r="D10" i="1"/>
  <c r="D9" i="1"/>
  <c r="D8" i="1"/>
  <c r="D7" i="1"/>
  <c r="G96" i="9"/>
  <c r="G95" i="9"/>
  <c r="G90" i="9"/>
  <c r="G89" i="9"/>
  <c r="G88" i="9"/>
  <c r="G87" i="9"/>
  <c r="G86" i="9"/>
  <c r="G85" i="9"/>
  <c r="G84" i="9"/>
  <c r="G79" i="9"/>
  <c r="G78" i="9"/>
  <c r="G77" i="9"/>
  <c r="G76" i="9"/>
  <c r="G75" i="9"/>
  <c r="G70" i="9"/>
  <c r="G69" i="9"/>
  <c r="G68" i="9"/>
  <c r="G64" i="9"/>
  <c r="G63" i="9"/>
  <c r="G62" i="9"/>
  <c r="G61" i="9"/>
  <c r="G51" i="9"/>
  <c r="G50" i="9"/>
  <c r="G49" i="9"/>
  <c r="G48" i="9"/>
  <c r="G47" i="9"/>
  <c r="G46" i="9"/>
  <c r="G45" i="9"/>
  <c r="G41" i="9"/>
  <c r="G40" i="9"/>
  <c r="G39" i="9"/>
  <c r="G38" i="9"/>
  <c r="G37" i="9"/>
  <c r="G35" i="9"/>
  <c r="G34" i="9"/>
  <c r="G33" i="9"/>
  <c r="G32" i="9"/>
  <c r="G31" i="9"/>
  <c r="G30" i="9"/>
  <c r="G26" i="9"/>
  <c r="G25" i="9"/>
  <c r="G24" i="9"/>
  <c r="G23" i="9"/>
  <c r="G22" i="9"/>
  <c r="G21" i="9"/>
  <c r="G20" i="9"/>
  <c r="G19" i="9"/>
  <c r="G18" i="9"/>
  <c r="G17" i="9"/>
  <c r="G15" i="9"/>
  <c r="G14" i="9"/>
  <c r="G13" i="9"/>
  <c r="G12" i="9"/>
  <c r="G11" i="9"/>
  <c r="G10" i="9"/>
  <c r="G9" i="9"/>
  <c r="G8" i="9"/>
  <c r="G7" i="9"/>
  <c r="G6" i="9"/>
  <c r="D139" i="5"/>
  <c r="D136" i="5"/>
  <c r="D133" i="5"/>
  <c r="D131" i="5"/>
  <c r="D129" i="5"/>
  <c r="D127" i="5"/>
  <c r="D126" i="5"/>
  <c r="D121" i="5"/>
  <c r="D117" i="5"/>
  <c r="D98" i="5"/>
  <c r="D97" i="5"/>
  <c r="D95" i="5"/>
  <c r="D94" i="5"/>
  <c r="D91" i="5"/>
  <c r="D90" i="5"/>
  <c r="D89" i="5"/>
  <c r="D88" i="5"/>
  <c r="D87" i="5"/>
  <c r="D86" i="5"/>
  <c r="D85" i="5"/>
  <c r="D80" i="5"/>
  <c r="D79" i="5"/>
  <c r="D78" i="5"/>
  <c r="D77" i="5"/>
  <c r="D76" i="5"/>
  <c r="D71" i="5"/>
  <c r="D70" i="5"/>
  <c r="D69" i="5"/>
  <c r="D65" i="5"/>
  <c r="D64" i="5"/>
  <c r="D63" i="5"/>
  <c r="D62" i="5"/>
  <c r="D61" i="5"/>
  <c r="D53" i="5"/>
  <c r="D52" i="5"/>
  <c r="D51" i="5"/>
  <c r="D50" i="5"/>
  <c r="D49" i="5"/>
  <c r="D48" i="5"/>
  <c r="D43" i="5"/>
  <c r="D42" i="5"/>
  <c r="D41" i="5"/>
  <c r="D40" i="5"/>
  <c r="D39" i="5"/>
  <c r="D38" i="5"/>
  <c r="D37" i="5"/>
  <c r="D36" i="5"/>
  <c r="D35" i="5"/>
  <c r="D34" i="5"/>
  <c r="D33" i="5"/>
  <c r="D32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146" i="2"/>
  <c r="D145" i="2"/>
  <c r="D144" i="2"/>
  <c r="D140" i="2"/>
  <c r="D139" i="2"/>
  <c r="D137" i="2"/>
  <c r="D136" i="2"/>
  <c r="D133" i="2"/>
  <c r="D131" i="2"/>
  <c r="D130" i="2"/>
  <c r="D129" i="2"/>
  <c r="D128" i="2"/>
  <c r="D127" i="2"/>
  <c r="D126" i="2"/>
  <c r="D123" i="2"/>
  <c r="D121" i="2"/>
  <c r="D120" i="2"/>
  <c r="D119" i="2"/>
  <c r="D118" i="2"/>
  <c r="D117" i="2"/>
  <c r="D116" i="2"/>
  <c r="D111" i="2"/>
  <c r="D110" i="2"/>
  <c r="D109" i="2"/>
  <c r="D108" i="2"/>
  <c r="D107" i="2"/>
  <c r="D98" i="2"/>
  <c r="D97" i="2"/>
  <c r="D95" i="2"/>
  <c r="D94" i="2"/>
  <c r="D91" i="2"/>
  <c r="D90" i="2"/>
  <c r="D89" i="2"/>
  <c r="D88" i="2"/>
  <c r="D87" i="2"/>
  <c r="D86" i="2"/>
  <c r="D85" i="2"/>
  <c r="D80" i="2"/>
  <c r="D79" i="2"/>
  <c r="D78" i="2"/>
  <c r="D77" i="2"/>
  <c r="D76" i="2"/>
  <c r="D71" i="2"/>
  <c r="D70" i="2"/>
  <c r="D69" i="2"/>
  <c r="D65" i="2"/>
  <c r="D64" i="2"/>
  <c r="D63" i="2"/>
  <c r="D62" i="2"/>
  <c r="D51" i="2"/>
  <c r="D50" i="2"/>
  <c r="D49" i="2"/>
  <c r="D48" i="2"/>
  <c r="D47" i="2"/>
  <c r="C47" i="2"/>
  <c r="D46" i="2"/>
  <c r="C46" i="2"/>
  <c r="D42" i="2"/>
  <c r="D41" i="2"/>
  <c r="D40" i="2"/>
  <c r="D39" i="2"/>
  <c r="D38" i="2"/>
  <c r="D37" i="2"/>
  <c r="D36" i="2"/>
  <c r="D35" i="2"/>
  <c r="D34" i="2"/>
  <c r="D33" i="2"/>
  <c r="D32" i="2"/>
  <c r="D31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146" i="3"/>
  <c r="E145" i="3"/>
  <c r="D145" i="3"/>
  <c r="D144" i="3"/>
  <c r="E140" i="3"/>
  <c r="D140" i="3"/>
  <c r="E139" i="3"/>
  <c r="D139" i="3"/>
  <c r="E137" i="3"/>
  <c r="D137" i="3"/>
  <c r="E136" i="3"/>
  <c r="D136" i="3"/>
  <c r="E134" i="3"/>
  <c r="D134" i="3"/>
  <c r="E133" i="3"/>
  <c r="D133" i="3"/>
  <c r="E131" i="3"/>
  <c r="D131" i="3"/>
  <c r="E130" i="3"/>
  <c r="D130" i="3"/>
  <c r="E129" i="3"/>
  <c r="D129" i="3"/>
  <c r="E127" i="3"/>
  <c r="D127" i="3"/>
  <c r="E126" i="3"/>
  <c r="D126" i="3"/>
  <c r="E122" i="3"/>
  <c r="D122" i="3"/>
  <c r="E111" i="3"/>
  <c r="D111" i="3"/>
  <c r="E110" i="3"/>
  <c r="D110" i="3"/>
  <c r="E109" i="3"/>
  <c r="D109" i="3"/>
  <c r="E108" i="3"/>
  <c r="D108" i="3"/>
  <c r="E107" i="3"/>
  <c r="D107" i="3"/>
  <c r="E98" i="3"/>
  <c r="D98" i="3"/>
  <c r="E97" i="3"/>
  <c r="D97" i="3"/>
  <c r="E95" i="3"/>
  <c r="E94" i="3"/>
  <c r="E91" i="3"/>
  <c r="D91" i="3"/>
  <c r="E90" i="3"/>
  <c r="D90" i="3"/>
  <c r="E89" i="3"/>
  <c r="D89" i="3"/>
  <c r="E88" i="3"/>
  <c r="D88" i="3"/>
  <c r="E87" i="3"/>
  <c r="D87" i="3"/>
  <c r="E86" i="3"/>
  <c r="D86" i="3"/>
  <c r="E85" i="3"/>
  <c r="D85" i="3"/>
  <c r="E80" i="3"/>
  <c r="D80" i="3"/>
  <c r="E79" i="3"/>
  <c r="D79" i="3"/>
  <c r="E78" i="3"/>
  <c r="D78" i="3"/>
  <c r="E77" i="3"/>
  <c r="D77" i="3"/>
  <c r="E76" i="3"/>
  <c r="D76" i="3"/>
  <c r="E71" i="3"/>
  <c r="D71" i="3"/>
  <c r="E70" i="3"/>
  <c r="D70" i="3"/>
  <c r="E69" i="3"/>
  <c r="D69" i="3"/>
  <c r="E65" i="3"/>
  <c r="D65" i="3"/>
  <c r="E64" i="3"/>
  <c r="D64" i="3"/>
  <c r="E63" i="3"/>
  <c r="D63" i="3"/>
  <c r="E62" i="3"/>
  <c r="D62" i="3"/>
  <c r="E52" i="3"/>
  <c r="E51" i="3"/>
  <c r="E50" i="3"/>
  <c r="E49" i="3"/>
  <c r="D49" i="3"/>
  <c r="E48" i="3"/>
  <c r="E47" i="3"/>
  <c r="D47" i="3"/>
  <c r="D46" i="3"/>
  <c r="E42" i="3"/>
  <c r="D42" i="3"/>
  <c r="E41" i="3"/>
  <c r="E40" i="3"/>
  <c r="D40" i="3"/>
  <c r="E39" i="3"/>
  <c r="E38" i="3"/>
  <c r="D38" i="3"/>
  <c r="E37" i="3"/>
  <c r="D37" i="3"/>
  <c r="E36" i="3"/>
  <c r="D36" i="3"/>
  <c r="E35" i="3"/>
  <c r="E34" i="3"/>
  <c r="E33" i="3"/>
  <c r="E32" i="3"/>
  <c r="D32" i="3"/>
  <c r="E31" i="3"/>
  <c r="E27" i="3"/>
  <c r="D27" i="3"/>
  <c r="E26" i="3"/>
  <c r="E25" i="3"/>
  <c r="D25" i="3"/>
  <c r="E24" i="3"/>
  <c r="D24" i="3"/>
  <c r="E23" i="3"/>
  <c r="D23" i="3"/>
  <c r="E22" i="3"/>
  <c r="D22" i="3"/>
  <c r="E21" i="3"/>
  <c r="E20" i="3"/>
  <c r="E19" i="3"/>
  <c r="E18" i="3"/>
  <c r="E17" i="3"/>
  <c r="D17" i="3"/>
  <c r="E16" i="3"/>
  <c r="E15" i="3"/>
  <c r="D15" i="3"/>
  <c r="E14" i="3"/>
  <c r="D14" i="3"/>
  <c r="E13" i="3"/>
  <c r="E12" i="3"/>
  <c r="D12" i="3"/>
  <c r="E11" i="3"/>
  <c r="E10" i="3"/>
  <c r="E9" i="3"/>
  <c r="E8" i="3"/>
  <c r="D7" i="3"/>
  <c r="D6" i="3"/>
  <c r="D143" i="31"/>
  <c r="D141" i="31"/>
  <c r="D128" i="31"/>
  <c r="D126" i="31"/>
  <c r="D123" i="31"/>
  <c r="D118" i="31"/>
  <c r="D114" i="31"/>
  <c r="D113" i="31"/>
  <c r="D107" i="31"/>
  <c r="D104" i="31"/>
  <c r="E97" i="31"/>
  <c r="D97" i="31"/>
  <c r="E95" i="31"/>
  <c r="D95" i="31"/>
  <c r="E94" i="31"/>
  <c r="D94" i="31"/>
  <c r="E89" i="31"/>
  <c r="D89" i="31"/>
  <c r="E88" i="31"/>
  <c r="D88" i="31"/>
  <c r="E87" i="31"/>
  <c r="D87" i="31"/>
  <c r="E86" i="31"/>
  <c r="D86" i="31"/>
  <c r="E85" i="31"/>
  <c r="D85" i="31"/>
  <c r="E84" i="31"/>
  <c r="D84" i="31"/>
  <c r="E83" i="31"/>
  <c r="D83" i="31"/>
  <c r="E78" i="31"/>
  <c r="D78" i="31"/>
  <c r="E77" i="31"/>
  <c r="D77" i="31"/>
  <c r="E76" i="31"/>
  <c r="D76" i="31"/>
  <c r="E75" i="31"/>
  <c r="D75" i="31"/>
  <c r="E74" i="31"/>
  <c r="D74" i="31"/>
  <c r="E69" i="31"/>
  <c r="D69" i="31"/>
  <c r="E68" i="31"/>
  <c r="D68" i="31"/>
  <c r="E67" i="31"/>
  <c r="D67" i="31"/>
  <c r="E63" i="31"/>
  <c r="D63" i="31"/>
  <c r="E62" i="31"/>
  <c r="D62" i="31"/>
  <c r="E61" i="31"/>
  <c r="D61" i="31"/>
  <c r="E60" i="31"/>
  <c r="D60" i="31"/>
  <c r="E56" i="31"/>
  <c r="E51" i="31"/>
  <c r="D51" i="31"/>
  <c r="E50" i="31"/>
  <c r="D50" i="31"/>
  <c r="E49" i="31"/>
  <c r="D49" i="31"/>
  <c r="E48" i="31"/>
  <c r="D48" i="31"/>
  <c r="E47" i="31"/>
  <c r="D47" i="31"/>
  <c r="E45" i="31"/>
  <c r="E41" i="31"/>
  <c r="D41" i="31"/>
  <c r="E40" i="31"/>
  <c r="D40" i="31"/>
  <c r="E39" i="31"/>
  <c r="D39" i="31"/>
  <c r="E38" i="31"/>
  <c r="D38" i="31"/>
  <c r="E37" i="31"/>
  <c r="D37" i="31"/>
  <c r="E36" i="31"/>
  <c r="D36" i="31"/>
  <c r="E35" i="31"/>
  <c r="D35" i="31"/>
  <c r="E34" i="31"/>
  <c r="D34" i="31"/>
  <c r="E33" i="31"/>
  <c r="D33" i="31"/>
  <c r="E31" i="31"/>
  <c r="D31" i="31"/>
  <c r="E30" i="31"/>
  <c r="D30" i="31"/>
  <c r="E26" i="31"/>
  <c r="D26" i="31"/>
  <c r="E25" i="31"/>
  <c r="D25" i="31"/>
  <c r="E24" i="31"/>
  <c r="D24" i="31"/>
  <c r="E23" i="31"/>
  <c r="D23" i="31"/>
  <c r="E22" i="31"/>
  <c r="D22" i="31"/>
  <c r="E21" i="31"/>
  <c r="D21" i="31"/>
  <c r="E20" i="31"/>
  <c r="D20" i="31"/>
  <c r="E19" i="31"/>
  <c r="D19" i="31"/>
  <c r="E18" i="31"/>
  <c r="D18" i="31"/>
  <c r="E17" i="31"/>
  <c r="D17" i="31"/>
  <c r="E16" i="31"/>
  <c r="D16" i="31"/>
  <c r="E15" i="31"/>
  <c r="D15" i="31"/>
  <c r="E14" i="31"/>
  <c r="D14" i="31"/>
  <c r="E13" i="31"/>
  <c r="D13" i="31"/>
  <c r="E12" i="31"/>
  <c r="D12" i="31"/>
  <c r="E11" i="31"/>
  <c r="D11" i="31"/>
  <c r="E10" i="31"/>
  <c r="D10" i="31"/>
  <c r="E9" i="31"/>
  <c r="D9" i="31"/>
  <c r="E8" i="31"/>
  <c r="D8" i="31"/>
  <c r="E7" i="31"/>
  <c r="D7" i="31"/>
  <c r="E6" i="31"/>
  <c r="D6" i="31"/>
  <c r="E1" i="31"/>
  <c r="C145" i="4"/>
  <c r="C144" i="4"/>
  <c r="C143" i="4"/>
  <c r="C140" i="4"/>
  <c r="C139" i="4"/>
  <c r="C138" i="4"/>
  <c r="C137" i="4"/>
  <c r="C136" i="4"/>
  <c r="C135" i="4"/>
  <c r="C132" i="4"/>
  <c r="C130" i="4"/>
  <c r="C129" i="4"/>
  <c r="C128" i="4"/>
  <c r="C126" i="4"/>
  <c r="C125" i="4"/>
  <c r="C120" i="4"/>
  <c r="C119" i="4"/>
  <c r="C116" i="4"/>
  <c r="C115" i="4"/>
  <c r="C114" i="4"/>
  <c r="C110" i="4"/>
  <c r="C108" i="4"/>
  <c r="C106" i="4"/>
  <c r="C105" i="4"/>
  <c r="C97" i="4"/>
  <c r="C96" i="4"/>
  <c r="C91" i="4"/>
  <c r="C90" i="4"/>
  <c r="C89" i="4"/>
  <c r="C88" i="4"/>
  <c r="C87" i="4"/>
  <c r="C86" i="4"/>
  <c r="C85" i="4"/>
  <c r="C80" i="4"/>
  <c r="C79" i="4"/>
  <c r="C78" i="4"/>
  <c r="C77" i="4"/>
  <c r="C76" i="4"/>
  <c r="C71" i="4"/>
  <c r="C70" i="4"/>
  <c r="C69" i="4"/>
  <c r="C65" i="4"/>
  <c r="C64" i="4"/>
  <c r="C63" i="4"/>
  <c r="C62" i="4"/>
  <c r="C51" i="4"/>
  <c r="C50" i="4"/>
  <c r="C49" i="4"/>
  <c r="C48" i="4"/>
  <c r="C47" i="4"/>
  <c r="C46" i="4"/>
  <c r="C45" i="4"/>
  <c r="C41" i="4"/>
  <c r="C40" i="4"/>
  <c r="C39" i="4"/>
  <c r="C38" i="4"/>
  <c r="C37" i="4"/>
  <c r="C36" i="4"/>
  <c r="C35" i="4"/>
  <c r="C34" i="4"/>
  <c r="C33" i="4"/>
  <c r="C32" i="4"/>
  <c r="C31" i="4"/>
  <c r="C30" i="4"/>
  <c r="C26" i="4"/>
  <c r="C25" i="4"/>
  <c r="C24" i="4"/>
  <c r="C23" i="4"/>
  <c r="C22" i="4"/>
  <c r="C21" i="4"/>
  <c r="C20" i="4"/>
  <c r="C19" i="4"/>
  <c r="C18" i="4"/>
  <c r="C16" i="4"/>
  <c r="C15" i="4"/>
  <c r="C14" i="4"/>
  <c r="C13" i="4"/>
  <c r="C12" i="4"/>
  <c r="C11" i="4"/>
  <c r="C10" i="4"/>
  <c r="C9" i="4"/>
  <c r="C8" i="4"/>
  <c r="C7" i="4"/>
  <c r="C6" i="4"/>
  <c r="C97" i="21"/>
  <c r="C96" i="21"/>
  <c r="C91" i="21"/>
  <c r="C90" i="21"/>
  <c r="C89" i="21"/>
  <c r="C88" i="21"/>
  <c r="C87" i="21"/>
  <c r="C86" i="21"/>
  <c r="C85" i="21"/>
  <c r="C80" i="21"/>
  <c r="C79" i="21"/>
  <c r="C78" i="21"/>
  <c r="C77" i="21"/>
  <c r="C76" i="21"/>
  <c r="C71" i="21"/>
  <c r="C70" i="21"/>
  <c r="C69" i="21"/>
  <c r="C65" i="21"/>
  <c r="C64" i="21"/>
  <c r="C63" i="21"/>
  <c r="C62" i="21"/>
  <c r="C52" i="21"/>
  <c r="C51" i="21"/>
  <c r="C50" i="21"/>
  <c r="C49" i="21"/>
  <c r="C48" i="21"/>
  <c r="C47" i="21"/>
  <c r="C46" i="21"/>
  <c r="C42" i="21"/>
  <c r="C41" i="21"/>
  <c r="C40" i="21"/>
  <c r="C39" i="21"/>
  <c r="C38" i="21"/>
  <c r="C36" i="21"/>
  <c r="C35" i="21"/>
  <c r="C34" i="21"/>
  <c r="C33" i="21"/>
  <c r="C32" i="21"/>
  <c r="C31" i="21"/>
  <c r="C27" i="21"/>
  <c r="C26" i="21"/>
  <c r="C25" i="21"/>
  <c r="C24" i="21"/>
  <c r="C23" i="21"/>
  <c r="C22" i="21"/>
  <c r="C21" i="21"/>
  <c r="C20" i="21"/>
  <c r="C19" i="21"/>
  <c r="C18" i="21"/>
  <c r="C17" i="21"/>
  <c r="C16" i="21"/>
  <c r="C15" i="21"/>
  <c r="C14" i="21"/>
  <c r="C13" i="21"/>
  <c r="C12" i="21"/>
  <c r="C11" i="21"/>
  <c r="C10" i="21"/>
  <c r="C9" i="21"/>
  <c r="C8" i="21"/>
  <c r="C7" i="21"/>
  <c r="H129" i="6"/>
  <c r="H128" i="6"/>
  <c r="H127" i="6"/>
  <c r="H126" i="6"/>
  <c r="H125" i="6"/>
  <c r="H121" i="6"/>
  <c r="H120" i="6"/>
  <c r="H116" i="6"/>
  <c r="H114" i="6"/>
  <c r="H112" i="6"/>
  <c r="H111" i="6"/>
  <c r="H100" i="6"/>
  <c r="H98" i="6"/>
  <c r="H97" i="6"/>
  <c r="H95" i="6"/>
  <c r="H92" i="6"/>
  <c r="H91" i="6"/>
  <c r="H90" i="6"/>
  <c r="H89" i="6"/>
  <c r="H88" i="6"/>
  <c r="H87" i="6"/>
  <c r="H86" i="6"/>
  <c r="H81" i="6"/>
  <c r="H80" i="6"/>
  <c r="H79" i="6"/>
  <c r="H78" i="6"/>
  <c r="H77" i="6"/>
  <c r="H72" i="6"/>
  <c r="H71" i="6"/>
  <c r="H70" i="6"/>
  <c r="H66" i="6"/>
  <c r="H65" i="6"/>
  <c r="H64" i="6"/>
  <c r="H63" i="6"/>
  <c r="H53" i="6"/>
  <c r="H52" i="6"/>
  <c r="H51" i="6"/>
  <c r="H50" i="6"/>
  <c r="H49" i="6"/>
  <c r="H48" i="6"/>
  <c r="H47" i="6"/>
  <c r="H46" i="6"/>
  <c r="H42" i="6"/>
  <c r="H41" i="6"/>
  <c r="H40" i="6"/>
  <c r="H38" i="6"/>
  <c r="H37" i="6"/>
  <c r="H36" i="6"/>
  <c r="H35" i="6"/>
  <c r="H32" i="6"/>
  <c r="H31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C62" i="1"/>
  <c r="C61" i="5"/>
  <c r="C61" i="2"/>
  <c r="C56" i="31"/>
  <c r="I84" i="21"/>
  <c r="J85" i="21" s="1"/>
  <c r="E14" i="40" l="1"/>
  <c r="D9" i="22"/>
  <c r="I51" i="21"/>
  <c r="B51" i="21" l="1"/>
  <c r="J27" i="21"/>
  <c r="J26" i="21"/>
  <c r="N42" i="36"/>
  <c r="N27" i="36"/>
  <c r="P3" i="37" l="1"/>
  <c r="G116" i="6" l="1"/>
  <c r="G114" i="6"/>
  <c r="G112" i="6"/>
  <c r="G111" i="6"/>
  <c r="C113" i="1"/>
  <c r="C111" i="1"/>
  <c r="C109" i="1"/>
  <c r="C108" i="1"/>
  <c r="C110" i="1" s="1"/>
  <c r="C112" i="1" s="1"/>
  <c r="C112" i="5"/>
  <c r="C110" i="5"/>
  <c r="C108" i="5"/>
  <c r="C107" i="5"/>
  <c r="C109" i="5" s="1"/>
  <c r="C111" i="5" s="1"/>
  <c r="C112" i="2"/>
  <c r="C110" i="2"/>
  <c r="C108" i="2"/>
  <c r="C107" i="2"/>
  <c r="C109" i="2" s="1"/>
  <c r="C111" i="2" s="1"/>
  <c r="C113" i="2" s="1"/>
  <c r="C110" i="3"/>
  <c r="C108" i="3"/>
  <c r="C107" i="3"/>
  <c r="C109" i="31"/>
  <c r="C107" i="31"/>
  <c r="C105" i="31"/>
  <c r="C104" i="31"/>
  <c r="B110" i="4"/>
  <c r="B108" i="4"/>
  <c r="B106" i="4"/>
  <c r="B105" i="4"/>
  <c r="P7" i="37" l="1"/>
  <c r="D223" i="19" l="1"/>
  <c r="E224" i="19" s="1"/>
  <c r="I31" i="22"/>
  <c r="C16" i="24" l="1"/>
  <c r="D314" i="19" l="1"/>
  <c r="E315" i="19" l="1"/>
  <c r="D312" i="19"/>
  <c r="E331" i="19" l="1"/>
  <c r="B35" i="24" l="1"/>
  <c r="N64" i="36" l="1"/>
  <c r="E326" i="19"/>
  <c r="E322" i="19"/>
  <c r="D321" i="19"/>
  <c r="E323" i="19" s="1"/>
  <c r="L331" i="19"/>
  <c r="N96" i="36" l="1"/>
  <c r="N90" i="36"/>
  <c r="N88" i="36"/>
  <c r="N87" i="36"/>
  <c r="N85" i="36"/>
  <c r="N80" i="36"/>
  <c r="N79" i="36"/>
  <c r="N78" i="36"/>
  <c r="N77" i="36"/>
  <c r="N76" i="36"/>
  <c r="N71" i="36"/>
  <c r="N70" i="36"/>
  <c r="N69" i="36"/>
  <c r="N63" i="36"/>
  <c r="N62" i="36"/>
  <c r="N52" i="36"/>
  <c r="N51" i="36"/>
  <c r="N50" i="36"/>
  <c r="N48" i="36"/>
  <c r="N47" i="36"/>
  <c r="N46" i="36"/>
  <c r="N41" i="36"/>
  <c r="N40" i="36"/>
  <c r="N39" i="36"/>
  <c r="N38" i="36"/>
  <c r="N31" i="36"/>
  <c r="N26" i="36"/>
  <c r="N25" i="36"/>
  <c r="N24" i="36"/>
  <c r="N23" i="36"/>
  <c r="N22" i="36"/>
  <c r="N19" i="36"/>
  <c r="N20" i="36"/>
  <c r="N21" i="36"/>
  <c r="N18" i="36"/>
  <c r="N16" i="36"/>
  <c r="N15" i="36"/>
  <c r="N14" i="36"/>
  <c r="N13" i="36"/>
  <c r="N12" i="36"/>
  <c r="N10" i="36"/>
  <c r="N9" i="36"/>
  <c r="N8" i="36"/>
  <c r="N89" i="36" l="1"/>
  <c r="N86" i="36" l="1"/>
  <c r="N91" i="36" l="1"/>
  <c r="N49" i="36" l="1"/>
  <c r="N7" i="36" l="1"/>
  <c r="D281" i="19" l="1"/>
  <c r="K50" i="1" l="1"/>
  <c r="L90" i="9" l="1"/>
  <c r="L88" i="9"/>
  <c r="L85" i="9"/>
  <c r="L79" i="9"/>
  <c r="L77" i="9"/>
  <c r="L70" i="9"/>
  <c r="L26" i="9"/>
  <c r="L37" i="9"/>
  <c r="L41" i="9"/>
  <c r="L89" i="9"/>
  <c r="L87" i="9"/>
  <c r="L86" i="9"/>
  <c r="L84" i="9"/>
  <c r="L78" i="9"/>
  <c r="L76" i="9"/>
  <c r="L75" i="9"/>
  <c r="L69" i="9"/>
  <c r="L68" i="9"/>
  <c r="L64" i="9"/>
  <c r="L63" i="9"/>
  <c r="L62" i="9"/>
  <c r="L61" i="9"/>
  <c r="L51" i="9"/>
  <c r="L50" i="9"/>
  <c r="L49" i="9"/>
  <c r="L48" i="9"/>
  <c r="L47" i="9"/>
  <c r="L46" i="9"/>
  <c r="L45" i="9"/>
  <c r="L40" i="9"/>
  <c r="L39" i="9"/>
  <c r="L38" i="9"/>
  <c r="L35" i="9"/>
  <c r="L34" i="9"/>
  <c r="L33" i="9"/>
  <c r="L32" i="9"/>
  <c r="L31" i="9"/>
  <c r="L30" i="9"/>
  <c r="L25" i="9"/>
  <c r="L24" i="9"/>
  <c r="L23" i="9"/>
  <c r="L22" i="9"/>
  <c r="L21" i="9"/>
  <c r="L20" i="9"/>
  <c r="L19" i="9"/>
  <c r="L18" i="9"/>
  <c r="L17" i="9"/>
  <c r="L15" i="9"/>
  <c r="L14" i="9"/>
  <c r="L13" i="9"/>
  <c r="L12" i="9"/>
  <c r="L11" i="9"/>
  <c r="L10" i="9"/>
  <c r="L9" i="9"/>
  <c r="L8" i="9"/>
  <c r="L7" i="9"/>
  <c r="L6" i="9"/>
  <c r="K274" i="19" l="1"/>
  <c r="K273" i="19"/>
  <c r="K272" i="19"/>
  <c r="L7" i="37"/>
  <c r="L3" i="37"/>
  <c r="C64" i="3" l="1"/>
  <c r="G11" i="40" l="1"/>
  <c r="C4" i="37"/>
  <c r="B133" i="3" l="1"/>
  <c r="B132" i="1" l="1"/>
  <c r="F50" i="6" l="1"/>
  <c r="B81" i="11" l="1"/>
  <c r="B29" i="11"/>
  <c r="B72" i="11"/>
  <c r="B66" i="11"/>
  <c r="B73" i="11" s="1"/>
  <c r="B54" i="11"/>
  <c r="B44" i="11"/>
  <c r="B56" i="11" s="1"/>
  <c r="B82" i="11" l="1"/>
  <c r="B93" i="11" l="1"/>
  <c r="B95" i="11" s="1"/>
  <c r="B96" i="11" s="1"/>
  <c r="B98" i="11" s="1"/>
  <c r="N60" i="36" l="1"/>
  <c r="M60" i="36"/>
  <c r="N59" i="36"/>
  <c r="M59" i="36"/>
  <c r="Q7" i="37" l="1"/>
  <c r="F27" i="6" l="1"/>
  <c r="R3" i="37"/>
  <c r="M4" i="29"/>
  <c r="L3" i="29"/>
  <c r="L8" i="29"/>
  <c r="L6" i="29"/>
  <c r="L4" i="29"/>
  <c r="C7" i="1"/>
  <c r="C7" i="5"/>
  <c r="C6" i="2"/>
  <c r="C1" i="31"/>
  <c r="F46" i="6" l="1"/>
  <c r="F47" i="6"/>
  <c r="E142" i="19" l="1"/>
  <c r="D47" i="6" l="1"/>
  <c r="D50" i="6" l="1"/>
  <c r="L90" i="31" l="1"/>
  <c r="L93" i="31"/>
  <c r="D304" i="19"/>
  <c r="D303" i="19"/>
  <c r="E40" i="41"/>
  <c r="D39" i="41"/>
  <c r="D38" i="41"/>
  <c r="D34" i="41"/>
  <c r="D31" i="41"/>
  <c r="D30" i="41"/>
  <c r="E7" i="40" l="1"/>
  <c r="D15" i="22"/>
  <c r="E305" i="19"/>
  <c r="K7" i="40"/>
  <c r="I17" i="22"/>
  <c r="C26" i="41"/>
  <c r="C25" i="41"/>
  <c r="H23" i="41"/>
  <c r="B130" i="1" l="1"/>
  <c r="B110" i="1"/>
  <c r="B112" i="1" s="1"/>
  <c r="L96" i="9" l="1"/>
  <c r="L80" i="9"/>
  <c r="L71" i="9"/>
  <c r="L65" i="9"/>
  <c r="L52" i="9" l="1"/>
  <c r="L42" i="9"/>
  <c r="L27" i="9"/>
  <c r="L91" i="9"/>
  <c r="L72" i="9"/>
  <c r="L81" i="9" s="1"/>
  <c r="L92" i="9" s="1"/>
  <c r="L94" i="9" s="1"/>
  <c r="L97" i="9" s="1"/>
  <c r="L54" i="9" l="1"/>
  <c r="E100" i="29" l="1"/>
  <c r="H100" i="29"/>
  <c r="E239" i="19" l="1"/>
  <c r="J213" i="19" l="1"/>
  <c r="J214" i="19" s="1"/>
  <c r="I50" i="14" l="1"/>
  <c r="H49" i="21" l="1"/>
  <c r="I49" i="21" l="1"/>
  <c r="B71" i="10" l="1"/>
  <c r="B52" i="10"/>
  <c r="B42" i="10"/>
  <c r="B27" i="10"/>
  <c r="B80" i="10"/>
  <c r="B65" i="10"/>
  <c r="B54" i="10" l="1"/>
  <c r="B91" i="10"/>
  <c r="B72" i="10"/>
  <c r="B81" i="10" s="1"/>
  <c r="B92" i="10" s="1"/>
  <c r="B94" i="10" s="1"/>
  <c r="B97" i="10" s="1"/>
  <c r="B143" i="1" l="1"/>
  <c r="B119" i="1"/>
  <c r="B114" i="1"/>
  <c r="B93" i="1"/>
  <c r="B82" i="1"/>
  <c r="B73" i="1"/>
  <c r="B67" i="1"/>
  <c r="B148" i="1"/>
  <c r="B125" i="1"/>
  <c r="B29" i="1" l="1"/>
  <c r="B44" i="1"/>
  <c r="B54" i="1"/>
  <c r="B74" i="1"/>
  <c r="B83" i="1" s="1"/>
  <c r="B94" i="1" s="1"/>
  <c r="B97" i="1" s="1"/>
  <c r="B140" i="1"/>
  <c r="B56" i="1" l="1"/>
  <c r="B100" i="1"/>
  <c r="K52" i="1" s="1"/>
  <c r="K54" i="1" s="1"/>
  <c r="F80" i="9"/>
  <c r="B41" i="9"/>
  <c r="F96" i="9"/>
  <c r="F71" i="9"/>
  <c r="F61" i="9"/>
  <c r="F65" i="9" s="1"/>
  <c r="F72" i="9" s="1"/>
  <c r="F91" i="9" l="1"/>
  <c r="F81" i="9"/>
  <c r="F92" i="9" s="1"/>
  <c r="F94" i="9" s="1"/>
  <c r="F95" i="9" l="1"/>
  <c r="F48" i="9" l="1"/>
  <c r="F13" i="9"/>
  <c r="F97" i="9"/>
  <c r="F98" i="4"/>
  <c r="R49" i="3" l="1"/>
  <c r="D233" i="19" l="1"/>
  <c r="D35" i="6" s="1"/>
  <c r="K210" i="19"/>
  <c r="K214" i="19" s="1"/>
  <c r="F5" i="41" l="1"/>
  <c r="B21" i="24" l="1"/>
  <c r="F6" i="41" l="1"/>
  <c r="F4" i="41"/>
  <c r="E80" i="19" l="1"/>
  <c r="H113" i="6" l="1"/>
  <c r="H115" i="6" l="1"/>
  <c r="H117" i="6" s="1"/>
  <c r="N36" i="36" l="1"/>
  <c r="N35" i="36"/>
  <c r="N34" i="36"/>
  <c r="N33" i="36"/>
  <c r="N32" i="36"/>
  <c r="D144" i="5" l="1"/>
  <c r="D112" i="5" l="1"/>
  <c r="D110" i="5"/>
  <c r="D108" i="5"/>
  <c r="D107" i="5"/>
  <c r="P5" i="37" l="1"/>
  <c r="M10" i="37"/>
  <c r="P10" i="37"/>
  <c r="C19" i="37"/>
  <c r="Q9" i="37" l="1"/>
  <c r="R9" i="37" s="1"/>
  <c r="N42" i="40"/>
  <c r="M42" i="40"/>
  <c r="L42" i="40"/>
  <c r="K39" i="40"/>
  <c r="K42" i="40" s="1"/>
  <c r="O42" i="40" s="1"/>
  <c r="K24" i="40"/>
  <c r="U17" i="40"/>
  <c r="U16" i="40"/>
  <c r="I15" i="40"/>
  <c r="I18" i="40" s="1"/>
  <c r="H15" i="40"/>
  <c r="H18" i="40" s="1"/>
  <c r="D15" i="40"/>
  <c r="C15" i="40"/>
  <c r="O14" i="40"/>
  <c r="J14" i="40"/>
  <c r="L14" i="40" s="1"/>
  <c r="J5" i="40"/>
  <c r="L5" i="40" s="1"/>
  <c r="U18" i="40" l="1"/>
  <c r="U19" i="40" s="1"/>
  <c r="M97" i="36" l="1"/>
  <c r="M96" i="36"/>
  <c r="M94" i="36"/>
  <c r="M91" i="36"/>
  <c r="M90" i="36"/>
  <c r="M89" i="36"/>
  <c r="M88" i="36"/>
  <c r="M87" i="36"/>
  <c r="M86" i="36"/>
  <c r="M85" i="36"/>
  <c r="M80" i="36"/>
  <c r="M79" i="36"/>
  <c r="M78" i="36"/>
  <c r="M77" i="36"/>
  <c r="M76" i="36"/>
  <c r="M71" i="36"/>
  <c r="M70" i="36"/>
  <c r="M69" i="36"/>
  <c r="M65" i="36"/>
  <c r="M64" i="36"/>
  <c r="M63" i="36"/>
  <c r="M62" i="36"/>
  <c r="M52" i="36"/>
  <c r="M51" i="36"/>
  <c r="M50" i="36"/>
  <c r="M49" i="36"/>
  <c r="M48" i="36"/>
  <c r="M47" i="36"/>
  <c r="M46" i="36"/>
  <c r="M42" i="36"/>
  <c r="M41" i="36"/>
  <c r="M40" i="36"/>
  <c r="M39" i="36"/>
  <c r="M38" i="36"/>
  <c r="M36" i="36"/>
  <c r="M35" i="36"/>
  <c r="M34" i="36"/>
  <c r="M33" i="36"/>
  <c r="M32" i="36"/>
  <c r="M31" i="36"/>
  <c r="M27" i="36"/>
  <c r="M26" i="36"/>
  <c r="M25" i="36"/>
  <c r="M24" i="36"/>
  <c r="M23" i="36"/>
  <c r="M22" i="36"/>
  <c r="M21" i="36"/>
  <c r="M20" i="36"/>
  <c r="M19" i="36"/>
  <c r="M18" i="36"/>
  <c r="M16" i="36"/>
  <c r="M15" i="36"/>
  <c r="M14" i="36"/>
  <c r="M13" i="36"/>
  <c r="M12" i="36"/>
  <c r="M11" i="36"/>
  <c r="M10" i="36"/>
  <c r="M9" i="36"/>
  <c r="M8" i="36"/>
  <c r="M7" i="36"/>
  <c r="G98" i="29" l="1"/>
  <c r="F99" i="29"/>
  <c r="G99" i="29" s="1"/>
  <c r="D10" i="37" l="1"/>
  <c r="E8" i="19"/>
  <c r="K275" i="19" l="1"/>
  <c r="K269" i="19" s="1"/>
  <c r="K268" i="19"/>
  <c r="E108" i="19" l="1"/>
  <c r="D106" i="19"/>
  <c r="E97" i="19"/>
  <c r="D95" i="19"/>
  <c r="D9" i="39" l="1"/>
  <c r="C9" i="39"/>
  <c r="D4" i="39"/>
  <c r="D3" i="39" l="1"/>
  <c r="Q56" i="5" l="1"/>
  <c r="E93" i="9" l="1"/>
  <c r="E74" i="9"/>
  <c r="E73" i="9"/>
  <c r="E67" i="9"/>
  <c r="E66" i="9"/>
  <c r="B85" i="9" l="1"/>
  <c r="E85" i="9" s="1"/>
  <c r="H47" i="4" l="1"/>
  <c r="F48" i="3" l="1"/>
  <c r="D347" i="19" l="1"/>
  <c r="B133" i="31" l="1"/>
  <c r="O248" i="19" l="1"/>
  <c r="D232" i="19" l="1"/>
  <c r="D36" i="6" s="1"/>
  <c r="H50" i="11" l="1"/>
  <c r="D91" i="6" l="1"/>
  <c r="F24" i="6"/>
  <c r="B40" i="21" l="1"/>
  <c r="G55" i="29" l="1"/>
  <c r="L87" i="5" l="1"/>
  <c r="E287" i="19" l="1"/>
  <c r="E292" i="19"/>
  <c r="B123" i="5" l="1"/>
  <c r="B146" i="5" l="1"/>
  <c r="B138" i="5"/>
  <c r="B118" i="5"/>
  <c r="B109" i="5"/>
  <c r="B111" i="5" s="1"/>
  <c r="B128" i="5"/>
  <c r="B130" i="5"/>
  <c r="B141" i="5" s="1"/>
  <c r="B112" i="5" l="1"/>
  <c r="B113" i="5" s="1"/>
  <c r="B135" i="5" l="1"/>
  <c r="N35" i="31" l="1"/>
  <c r="E46" i="31" s="1"/>
  <c r="L32" i="31"/>
  <c r="N31" i="31"/>
  <c r="N30" i="31"/>
  <c r="N32" i="31" s="1"/>
  <c r="C45" i="31" s="1"/>
  <c r="D14" i="37" l="1"/>
  <c r="L36" i="31" l="1"/>
  <c r="L37" i="31" l="1"/>
  <c r="N36" i="31"/>
  <c r="N41" i="31" s="1"/>
  <c r="L40" i="31"/>
  <c r="N42" i="31" l="1"/>
  <c r="N37" i="31"/>
  <c r="C46" i="31" s="1"/>
  <c r="C4" i="39" l="1"/>
  <c r="H36" i="4"/>
  <c r="F16" i="33" l="1"/>
  <c r="D54" i="9" l="1"/>
  <c r="C41" i="9"/>
  <c r="Q20" i="9"/>
  <c r="D26" i="9" s="1"/>
  <c r="B26" i="9" l="1"/>
  <c r="E26" i="9" s="1"/>
  <c r="F14" i="33" l="1"/>
  <c r="F11" i="33"/>
  <c r="H18" i="33"/>
  <c r="H14" i="33"/>
  <c r="L37" i="36" l="1"/>
  <c r="L17" i="36"/>
  <c r="B136" i="2" l="1"/>
  <c r="E62" i="10" l="1"/>
  <c r="E61" i="19" l="1"/>
  <c r="D58" i="19"/>
  <c r="K57" i="2" l="1"/>
  <c r="B53" i="2" l="1"/>
  <c r="K49" i="2" l="1"/>
  <c r="K62" i="2"/>
  <c r="C49" i="2"/>
  <c r="B43" i="2"/>
  <c r="D90" i="19" l="1"/>
  <c r="D46" i="6" s="1"/>
  <c r="E91" i="19" l="1"/>
  <c r="C3" i="39"/>
  <c r="L19" i="36"/>
  <c r="B19" i="36" s="1"/>
  <c r="C20" i="31" l="1"/>
  <c r="E271" i="19" l="1"/>
  <c r="B97" i="36" l="1"/>
  <c r="B90" i="9" l="1"/>
  <c r="E90" i="9" s="1"/>
  <c r="M49" i="2" l="1"/>
  <c r="C10" i="37" l="1"/>
  <c r="E234" i="19"/>
  <c r="D270" i="19" l="1"/>
  <c r="B79" i="9"/>
  <c r="E79" i="9" s="1"/>
  <c r="K270" i="19"/>
  <c r="N26" i="16"/>
  <c r="E272" i="19" l="1"/>
  <c r="D269" i="19" l="1"/>
  <c r="D24" i="6" s="1"/>
  <c r="F87" i="6"/>
  <c r="Q27" i="16"/>
  <c r="E313" i="19" l="1"/>
  <c r="E318" i="19" l="1"/>
  <c r="N8" i="37" l="1"/>
  <c r="L8" i="37"/>
  <c r="L10" i="37" s="1"/>
  <c r="J8" i="37"/>
  <c r="J10" i="37" s="1"/>
  <c r="I8" i="37"/>
  <c r="I10" i="37" s="1"/>
  <c r="B37" i="36" l="1"/>
  <c r="O5" i="37" l="1"/>
  <c r="M5" i="37"/>
  <c r="J5" i="37"/>
  <c r="I5" i="37"/>
  <c r="D5" i="37"/>
  <c r="N5" i="37"/>
  <c r="L5" i="37"/>
  <c r="K5" i="37"/>
  <c r="C5" i="37" l="1"/>
  <c r="C11" i="37" s="1"/>
  <c r="M81" i="36" l="1"/>
  <c r="M66" i="36"/>
  <c r="M72" i="36" l="1"/>
  <c r="M73" i="36" s="1"/>
  <c r="M82" i="36" s="1"/>
  <c r="M43" i="36"/>
  <c r="M92" i="36"/>
  <c r="E118" i="19"/>
  <c r="E121" i="19"/>
  <c r="M93" i="36" l="1"/>
  <c r="M95" i="36" s="1"/>
  <c r="M98" i="36" s="1"/>
  <c r="D29" i="19"/>
  <c r="E35" i="19" l="1"/>
  <c r="E46" i="3"/>
  <c r="E114" i="19" l="1"/>
  <c r="F49" i="6" s="1"/>
  <c r="D7" i="39" l="1"/>
  <c r="H2" i="19"/>
  <c r="B96" i="9"/>
  <c r="E96" i="9" s="1"/>
  <c r="B89" i="9"/>
  <c r="E89" i="9" s="1"/>
  <c r="B88" i="9"/>
  <c r="E88" i="9" s="1"/>
  <c r="B87" i="9"/>
  <c r="E87" i="9" s="1"/>
  <c r="B86" i="9"/>
  <c r="E86" i="9" s="1"/>
  <c r="B84" i="9"/>
  <c r="E84" i="9" s="1"/>
  <c r="B78" i="9"/>
  <c r="E78" i="9" s="1"/>
  <c r="B77" i="9"/>
  <c r="E77" i="9" s="1"/>
  <c r="B76" i="9"/>
  <c r="E76" i="9" s="1"/>
  <c r="B75" i="9"/>
  <c r="E75" i="9" s="1"/>
  <c r="B70" i="9"/>
  <c r="B69" i="9"/>
  <c r="E69" i="9" s="1"/>
  <c r="B68" i="9"/>
  <c r="E68" i="9" s="1"/>
  <c r="B62" i="9"/>
  <c r="E62" i="9" s="1"/>
  <c r="B63" i="9"/>
  <c r="E63" i="9" s="1"/>
  <c r="B64" i="9"/>
  <c r="E64" i="9" s="1"/>
  <c r="B61" i="9"/>
  <c r="E70" i="9" l="1"/>
  <c r="N6" i="16"/>
  <c r="B91" i="9"/>
  <c r="B80" i="9"/>
  <c r="B71" i="9"/>
  <c r="E71" i="9" s="1"/>
  <c r="B65" i="9"/>
  <c r="N2" i="16" s="1"/>
  <c r="E61" i="9"/>
  <c r="E65" i="9" s="1"/>
  <c r="N14" i="16" l="1"/>
  <c r="E80" i="9"/>
  <c r="N34" i="16"/>
  <c r="E91" i="9"/>
  <c r="B72" i="9"/>
  <c r="N10" i="16" s="1"/>
  <c r="B81" i="9" l="1"/>
  <c r="B92" i="9" s="1"/>
  <c r="E72" i="9"/>
  <c r="K55" i="9"/>
  <c r="D52" i="9"/>
  <c r="C52" i="9"/>
  <c r="B51" i="9"/>
  <c r="E51" i="9" s="1"/>
  <c r="B50" i="9"/>
  <c r="E50" i="9" s="1"/>
  <c r="B49" i="9"/>
  <c r="E49" i="9" s="1"/>
  <c r="B47" i="9"/>
  <c r="E47" i="9" s="1"/>
  <c r="B46" i="9"/>
  <c r="E46" i="9" s="1"/>
  <c r="D27" i="9"/>
  <c r="C27" i="9"/>
  <c r="D42" i="9"/>
  <c r="C42" i="9"/>
  <c r="C54" i="9" s="1"/>
  <c r="C55" i="9" s="1"/>
  <c r="B40" i="9"/>
  <c r="E40" i="9" s="1"/>
  <c r="B39" i="9"/>
  <c r="E39" i="9" s="1"/>
  <c r="B38" i="9"/>
  <c r="E38" i="9" s="1"/>
  <c r="B36" i="9"/>
  <c r="B35" i="9"/>
  <c r="E35" i="9" s="1"/>
  <c r="B34" i="9"/>
  <c r="E34" i="9" s="1"/>
  <c r="B33" i="9"/>
  <c r="E33" i="9" s="1"/>
  <c r="B32" i="9"/>
  <c r="E32" i="9" s="1"/>
  <c r="B31" i="9"/>
  <c r="E31" i="9" s="1"/>
  <c r="B30" i="9"/>
  <c r="E30" i="9" s="1"/>
  <c r="B16" i="9"/>
  <c r="E16" i="9" s="1"/>
  <c r="B94" i="9" l="1"/>
  <c r="E92" i="9"/>
  <c r="N18" i="16"/>
  <c r="E81" i="9"/>
  <c r="D55" i="9"/>
  <c r="N38" i="16"/>
  <c r="E36" i="9"/>
  <c r="K8" i="37"/>
  <c r="K10" i="37" s="1"/>
  <c r="B7" i="9"/>
  <c r="E7" i="9" s="1"/>
  <c r="B8" i="9"/>
  <c r="E8" i="9" s="1"/>
  <c r="B9" i="9"/>
  <c r="E9" i="9" s="1"/>
  <c r="B10" i="9"/>
  <c r="E10" i="9" s="1"/>
  <c r="B11" i="9"/>
  <c r="E11" i="9" s="1"/>
  <c r="B12" i="9"/>
  <c r="E12" i="9" s="1"/>
  <c r="B14" i="9"/>
  <c r="B15" i="9"/>
  <c r="B17" i="9"/>
  <c r="E17" i="9" s="1"/>
  <c r="B18" i="9"/>
  <c r="B19" i="9"/>
  <c r="E19" i="9" s="1"/>
  <c r="B20" i="9"/>
  <c r="E20" i="9" s="1"/>
  <c r="B22" i="9"/>
  <c r="E22" i="9" s="1"/>
  <c r="B25" i="9"/>
  <c r="E25" i="9" s="1"/>
  <c r="E94" i="9" l="1"/>
  <c r="E14" i="9"/>
  <c r="N60" i="16"/>
  <c r="E15" i="9"/>
  <c r="E18" i="9"/>
  <c r="E11" i="22" l="1"/>
  <c r="L94" i="31" l="1"/>
  <c r="C3" i="21"/>
  <c r="M91" i="31" l="1"/>
  <c r="M90" i="31"/>
  <c r="M93" i="31"/>
  <c r="M92" i="31"/>
  <c r="N93" i="31" l="1"/>
  <c r="D217" i="19" s="1"/>
  <c r="D142" i="31"/>
  <c r="D53" i="6" l="1"/>
  <c r="I16" i="22"/>
  <c r="K11" i="40" s="1"/>
  <c r="B45" i="9"/>
  <c r="B24" i="9"/>
  <c r="E24" i="9" s="1"/>
  <c r="B23" i="9"/>
  <c r="E23" i="9" s="1"/>
  <c r="B21" i="9"/>
  <c r="E21" i="9" s="1"/>
  <c r="B6" i="9"/>
  <c r="M48" i="10"/>
  <c r="N56" i="16" l="1"/>
  <c r="E218" i="19"/>
  <c r="E45" i="9"/>
  <c r="E6" i="9"/>
  <c r="D94" i="21" l="1"/>
  <c r="E94" i="21" s="1"/>
  <c r="D91" i="21"/>
  <c r="E91" i="21" s="1"/>
  <c r="D87" i="21"/>
  <c r="E87" i="21" s="1"/>
  <c r="D79" i="21"/>
  <c r="E79" i="21" s="1"/>
  <c r="D78" i="21"/>
  <c r="E78" i="21" s="1"/>
  <c r="D77" i="21"/>
  <c r="E77" i="21" s="1"/>
  <c r="D76" i="21"/>
  <c r="E76" i="21" s="1"/>
  <c r="D70" i="21"/>
  <c r="E70" i="21" s="1"/>
  <c r="D69" i="21"/>
  <c r="E69" i="21" s="1"/>
  <c r="D65" i="21"/>
  <c r="E65" i="21" s="1"/>
  <c r="D62" i="21"/>
  <c r="E62" i="21" s="1"/>
  <c r="D52" i="21"/>
  <c r="E52" i="21" s="1"/>
  <c r="D51" i="21"/>
  <c r="D50" i="21"/>
  <c r="E50" i="21" s="1"/>
  <c r="D48" i="21"/>
  <c r="E48" i="21" s="1"/>
  <c r="D41" i="21"/>
  <c r="E41" i="21" s="1"/>
  <c r="D40" i="21"/>
  <c r="E40" i="21" s="1"/>
  <c r="D39" i="21"/>
  <c r="E39" i="21" s="1"/>
  <c r="D37" i="21"/>
  <c r="E37" i="21" s="1"/>
  <c r="D35" i="21"/>
  <c r="E35" i="21" s="1"/>
  <c r="D34" i="21"/>
  <c r="E34" i="21" s="1"/>
  <c r="D33" i="21"/>
  <c r="E33" i="21" s="1"/>
  <c r="D31" i="21"/>
  <c r="E31" i="21" s="1"/>
  <c r="D27" i="21"/>
  <c r="E27" i="21" s="1"/>
  <c r="D26" i="21"/>
  <c r="E26" i="21" s="1"/>
  <c r="D24" i="21"/>
  <c r="E24" i="21" s="1"/>
  <c r="D23" i="21"/>
  <c r="E23" i="21" s="1"/>
  <c r="D21" i="21"/>
  <c r="E21" i="21" s="1"/>
  <c r="D20" i="21"/>
  <c r="E20" i="21" s="1"/>
  <c r="D18" i="21"/>
  <c r="E18" i="21" s="1"/>
  <c r="D17" i="21"/>
  <c r="E17" i="21" s="1"/>
  <c r="D16" i="21"/>
  <c r="E16" i="21" s="1"/>
  <c r="D15" i="21"/>
  <c r="E15" i="21" s="1"/>
  <c r="D14" i="21"/>
  <c r="E14" i="21" s="1"/>
  <c r="D13" i="21"/>
  <c r="E13" i="21" s="1"/>
  <c r="D12" i="21"/>
  <c r="E12" i="21" s="1"/>
  <c r="D11" i="21"/>
  <c r="E11" i="21" s="1"/>
  <c r="D10" i="21"/>
  <c r="E10" i="21" s="1"/>
  <c r="D9" i="21"/>
  <c r="E9" i="21" s="1"/>
  <c r="D8" i="21"/>
  <c r="E8" i="21" s="1"/>
  <c r="D7" i="21"/>
  <c r="E7" i="21" s="1"/>
  <c r="C58" i="21"/>
  <c r="D97" i="21" l="1"/>
  <c r="E97" i="21" s="1"/>
  <c r="D80" i="21"/>
  <c r="E80" i="21" s="1"/>
  <c r="D88" i="21"/>
  <c r="E88" i="21" s="1"/>
  <c r="D38" i="21"/>
  <c r="E38" i="21" s="1"/>
  <c r="D47" i="21"/>
  <c r="E47" i="21" s="1"/>
  <c r="D71" i="21"/>
  <c r="E71" i="21" s="1"/>
  <c r="C53" i="21"/>
  <c r="C92" i="21"/>
  <c r="D36" i="21"/>
  <c r="E36" i="21" s="1"/>
  <c r="D64" i="21"/>
  <c r="E64" i="21" s="1"/>
  <c r="D86" i="21"/>
  <c r="E86" i="21" s="1"/>
  <c r="D90" i="21"/>
  <c r="E90" i="21" s="1"/>
  <c r="D19" i="21"/>
  <c r="E19" i="21" s="1"/>
  <c r="D22" i="21"/>
  <c r="E22" i="21" s="1"/>
  <c r="D42" i="21"/>
  <c r="E42" i="21" s="1"/>
  <c r="C66" i="21"/>
  <c r="C73" i="21" s="1"/>
  <c r="C28" i="21"/>
  <c r="D49" i="21"/>
  <c r="B72" i="21"/>
  <c r="D46" i="21"/>
  <c r="E46" i="21" s="1"/>
  <c r="B92" i="21"/>
  <c r="D89" i="21"/>
  <c r="E89" i="21" s="1"/>
  <c r="D25" i="21"/>
  <c r="E25" i="21" s="1"/>
  <c r="C43" i="21"/>
  <c r="B53" i="21"/>
  <c r="B81" i="21"/>
  <c r="B28" i="21"/>
  <c r="D32" i="21"/>
  <c r="E32" i="21" s="1"/>
  <c r="D63" i="21"/>
  <c r="E63" i="21" s="1"/>
  <c r="C81" i="21"/>
  <c r="B66" i="21"/>
  <c r="D85" i="21"/>
  <c r="E85" i="21" s="1"/>
  <c r="B43" i="21"/>
  <c r="D96" i="21"/>
  <c r="E96" i="21" s="1"/>
  <c r="C82" i="21" l="1"/>
  <c r="C93" i="21" s="1"/>
  <c r="C95" i="21" s="1"/>
  <c r="C98" i="21" s="1"/>
  <c r="D72" i="21"/>
  <c r="E72" i="21" s="1"/>
  <c r="D53" i="21"/>
  <c r="E53" i="21" s="1"/>
  <c r="C55" i="21"/>
  <c r="C56" i="21" s="1"/>
  <c r="D28" i="21"/>
  <c r="E28" i="21" s="1"/>
  <c r="D92" i="21"/>
  <c r="E92" i="21" s="1"/>
  <c r="D81" i="21"/>
  <c r="E81" i="21" s="1"/>
  <c r="E49" i="21"/>
  <c r="D43" i="21"/>
  <c r="E43" i="21" s="1"/>
  <c r="B55" i="21"/>
  <c r="D66" i="21"/>
  <c r="E66" i="21" s="1"/>
  <c r="B73" i="21"/>
  <c r="B56" i="21" l="1"/>
  <c r="D73" i="21"/>
  <c r="E73" i="21" s="1"/>
  <c r="B82" i="21"/>
  <c r="D55" i="21"/>
  <c r="E55" i="21" s="1"/>
  <c r="D82" i="21" l="1"/>
  <c r="E82" i="21" s="1"/>
  <c r="B93" i="21"/>
  <c r="B95" i="21" l="1"/>
  <c r="D93" i="21"/>
  <c r="E93" i="21" s="1"/>
  <c r="B98" i="21" l="1"/>
  <c r="I50" i="21" s="1"/>
  <c r="I52" i="21" s="1"/>
  <c r="D95" i="21"/>
  <c r="E95" i="21" s="1"/>
  <c r="D98" i="21" l="1"/>
  <c r="E98" i="21" s="1"/>
  <c r="E41" i="9" l="1"/>
  <c r="L55" i="9" l="1"/>
  <c r="B90" i="36" l="1"/>
  <c r="B89" i="36"/>
  <c r="B88" i="36"/>
  <c r="B87" i="36"/>
  <c r="B85" i="36"/>
  <c r="M22" i="16" s="1"/>
  <c r="B84" i="36"/>
  <c r="B80" i="36"/>
  <c r="B79" i="36"/>
  <c r="B78" i="36"/>
  <c r="B77" i="36"/>
  <c r="B76" i="36"/>
  <c r="B71" i="36"/>
  <c r="B70" i="36"/>
  <c r="B69" i="36"/>
  <c r="B65" i="36"/>
  <c r="B62" i="36"/>
  <c r="B52" i="36"/>
  <c r="B51" i="36"/>
  <c r="B50" i="36"/>
  <c r="B48" i="36"/>
  <c r="B47" i="36"/>
  <c r="B41" i="36"/>
  <c r="B40" i="36"/>
  <c r="B39" i="36"/>
  <c r="B38" i="36"/>
  <c r="B36" i="36"/>
  <c r="B35" i="36"/>
  <c r="B34" i="36"/>
  <c r="B33" i="36"/>
  <c r="B32" i="36"/>
  <c r="M64" i="16" s="1"/>
  <c r="B31" i="36"/>
  <c r="B26" i="36"/>
  <c r="B25" i="36"/>
  <c r="B24" i="36"/>
  <c r="B23" i="36"/>
  <c r="B22" i="36"/>
  <c r="B21" i="36"/>
  <c r="B20" i="36"/>
  <c r="B18" i="36"/>
  <c r="B17" i="36"/>
  <c r="B16" i="36"/>
  <c r="B15" i="36"/>
  <c r="M60" i="16" s="1"/>
  <c r="B14" i="36"/>
  <c r="B12" i="36"/>
  <c r="B11" i="36"/>
  <c r="B10" i="36"/>
  <c r="B9" i="36"/>
  <c r="B8" i="36"/>
  <c r="M53" i="36"/>
  <c r="M55" i="36" s="1"/>
  <c r="L27" i="36"/>
  <c r="L42" i="36" s="1"/>
  <c r="B91" i="36"/>
  <c r="B86" i="36"/>
  <c r="M26" i="16" s="1"/>
  <c r="N81" i="36"/>
  <c r="N72" i="36"/>
  <c r="B63" i="36"/>
  <c r="B64" i="36"/>
  <c r="N43" i="36"/>
  <c r="B49" i="36"/>
  <c r="B13" i="36"/>
  <c r="B7" i="36"/>
  <c r="M52" i="16" l="1"/>
  <c r="M56" i="16"/>
  <c r="M28" i="36"/>
  <c r="M56" i="36" s="1"/>
  <c r="B46" i="36"/>
  <c r="B27" i="36"/>
  <c r="B42" i="36"/>
  <c r="N66" i="36"/>
  <c r="N73" i="36" s="1"/>
  <c r="N82" i="36" s="1"/>
  <c r="N28" i="36"/>
  <c r="N92" i="36"/>
  <c r="R92" i="36" s="1"/>
  <c r="N53" i="36"/>
  <c r="N55" i="36" s="1"/>
  <c r="N93" i="36" l="1"/>
  <c r="N56" i="36"/>
  <c r="N95" i="36" l="1"/>
  <c r="R93" i="36"/>
  <c r="I104" i="6"/>
  <c r="M105" i="6"/>
  <c r="B96" i="36" l="1"/>
  <c r="M42" i="16" s="1"/>
  <c r="E104" i="3"/>
  <c r="N98" i="36" l="1"/>
  <c r="C48" i="31" l="1"/>
  <c r="D10" i="10" l="1"/>
  <c r="B52" i="31" l="1"/>
  <c r="E92" i="31" l="1"/>
  <c r="D92" i="31"/>
  <c r="H43" i="6" l="1"/>
  <c r="D103" i="3"/>
  <c r="AK29" i="3" l="1"/>
  <c r="AK30" i="3"/>
  <c r="AK44" i="3"/>
  <c r="AK45" i="3"/>
  <c r="AK48" i="3"/>
  <c r="AK50" i="3"/>
  <c r="AK54" i="3"/>
  <c r="AK61" i="3"/>
  <c r="AK67" i="3"/>
  <c r="AK68" i="3"/>
  <c r="AK74" i="3"/>
  <c r="AK75" i="3"/>
  <c r="AK83" i="3"/>
  <c r="AK84" i="3"/>
  <c r="AK100" i="3"/>
  <c r="AK101" i="3"/>
  <c r="AK103" i="3"/>
  <c r="AK104" i="3"/>
  <c r="AK105" i="3"/>
  <c r="AK106" i="3"/>
  <c r="AK114" i="3"/>
  <c r="AK115" i="3"/>
  <c r="AK119" i="3"/>
  <c r="AK120" i="3"/>
  <c r="AK122" i="3"/>
  <c r="AK124" i="3"/>
  <c r="AK125" i="3"/>
  <c r="AK132" i="3"/>
  <c r="AK134" i="3"/>
  <c r="AK137" i="3"/>
  <c r="AK140" i="3"/>
  <c r="AK142" i="3"/>
  <c r="AK143" i="3"/>
  <c r="AK145" i="3"/>
  <c r="AH8" i="3" l="1"/>
  <c r="AH9" i="3"/>
  <c r="AH10" i="3"/>
  <c r="AH11" i="3"/>
  <c r="AH12" i="3"/>
  <c r="AH13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9" i="3"/>
  <c r="AH30" i="3"/>
  <c r="AH31" i="3"/>
  <c r="AH32" i="3"/>
  <c r="AH33" i="3"/>
  <c r="AH34" i="3"/>
  <c r="AH35" i="3"/>
  <c r="AH36" i="3"/>
  <c r="AH37" i="3"/>
  <c r="AH39" i="3"/>
  <c r="AH40" i="3"/>
  <c r="AH41" i="3"/>
  <c r="AH42" i="3"/>
  <c r="AH44" i="3"/>
  <c r="AH45" i="3"/>
  <c r="AH46" i="3"/>
  <c r="AH47" i="3"/>
  <c r="AH48" i="3"/>
  <c r="AH50" i="3"/>
  <c r="AH51" i="3"/>
  <c r="AH52" i="3"/>
  <c r="AH54" i="3"/>
  <c r="AH61" i="3"/>
  <c r="AH65" i="3"/>
  <c r="AH67" i="3"/>
  <c r="AH68" i="3"/>
  <c r="AH70" i="3"/>
  <c r="AH74" i="3"/>
  <c r="AH75" i="3"/>
  <c r="AH79" i="3"/>
  <c r="AH83" i="3"/>
  <c r="AH84" i="3"/>
  <c r="AH100" i="3"/>
  <c r="AH105" i="3"/>
  <c r="AH106" i="3"/>
  <c r="AH107" i="3"/>
  <c r="AH108" i="3"/>
  <c r="AH110" i="3"/>
  <c r="AH112" i="3"/>
  <c r="AH114" i="3"/>
  <c r="AH115" i="3"/>
  <c r="AH116" i="3"/>
  <c r="AH117" i="3"/>
  <c r="AH119" i="3"/>
  <c r="AH120" i="3"/>
  <c r="AH122" i="3"/>
  <c r="AH124" i="3"/>
  <c r="AH125" i="3"/>
  <c r="AH127" i="3"/>
  <c r="AH129" i="3"/>
  <c r="AH132" i="3"/>
  <c r="AH134" i="3"/>
  <c r="AH137" i="3"/>
  <c r="AH140" i="3"/>
  <c r="AH142" i="3"/>
  <c r="AH143" i="3"/>
  <c r="AH145" i="3"/>
  <c r="AH7" i="3" l="1"/>
  <c r="B118" i="3" l="1"/>
  <c r="AH118" i="3" s="1"/>
  <c r="B109" i="3"/>
  <c r="B111" i="3" l="1"/>
  <c r="AH109" i="3"/>
  <c r="B113" i="3" l="1"/>
  <c r="AH113" i="3" s="1"/>
  <c r="AH111" i="3"/>
  <c r="C132" i="1" l="1"/>
  <c r="H87" i="16" s="1"/>
  <c r="C89" i="1"/>
  <c r="C65" i="1"/>
  <c r="E65" i="1" s="1"/>
  <c r="F65" i="1" s="1"/>
  <c r="D24" i="10"/>
  <c r="E24" i="10" s="1"/>
  <c r="D89" i="10"/>
  <c r="E89" i="10" s="1"/>
  <c r="D41" i="10"/>
  <c r="E41" i="10" s="1"/>
  <c r="D37" i="10"/>
  <c r="E37" i="10" s="1"/>
  <c r="D26" i="10"/>
  <c r="E26" i="10" s="1"/>
  <c r="D17" i="10"/>
  <c r="E17" i="10" s="1"/>
  <c r="C25" i="3"/>
  <c r="C12" i="3"/>
  <c r="C98" i="2"/>
  <c r="E98" i="2" s="1"/>
  <c r="F98" i="2" s="1"/>
  <c r="C89" i="2"/>
  <c r="E89" i="2" s="1"/>
  <c r="F89" i="2" s="1"/>
  <c r="C63" i="2"/>
  <c r="E63" i="2" s="1"/>
  <c r="F63" i="2" s="1"/>
  <c r="B55" i="2"/>
  <c r="C41" i="2"/>
  <c r="E41" i="2" s="1"/>
  <c r="F41" i="2" s="1"/>
  <c r="C37" i="2"/>
  <c r="C26" i="2"/>
  <c r="E26" i="2" s="1"/>
  <c r="F26" i="2" s="1"/>
  <c r="C22" i="2"/>
  <c r="C18" i="2"/>
  <c r="E18" i="2" s="1"/>
  <c r="F18" i="2" s="1"/>
  <c r="C14" i="2"/>
  <c r="E14" i="2" s="1"/>
  <c r="F14" i="2" s="1"/>
  <c r="C116" i="5"/>
  <c r="E116" i="5" s="1"/>
  <c r="C90" i="5"/>
  <c r="C69" i="5"/>
  <c r="C33" i="5"/>
  <c r="C25" i="5"/>
  <c r="C20" i="5"/>
  <c r="E20" i="5" s="1"/>
  <c r="F20" i="5" s="1"/>
  <c r="C15" i="5"/>
  <c r="B29" i="5"/>
  <c r="C50" i="31"/>
  <c r="F50" i="31" s="1"/>
  <c r="G50" i="31" s="1"/>
  <c r="F47" i="31"/>
  <c r="G47" i="31" s="1"/>
  <c r="C39" i="31"/>
  <c r="C25" i="31"/>
  <c r="C21" i="31"/>
  <c r="F21" i="31" s="1"/>
  <c r="G21" i="31" s="1"/>
  <c r="C17" i="31"/>
  <c r="F17" i="31" s="1"/>
  <c r="G17" i="31" s="1"/>
  <c r="C13" i="31"/>
  <c r="C9" i="31"/>
  <c r="D20" i="4"/>
  <c r="E20" i="4" s="1"/>
  <c r="I116" i="6"/>
  <c r="J116" i="6" s="1"/>
  <c r="I114" i="6"/>
  <c r="J114" i="6" s="1"/>
  <c r="I112" i="6"/>
  <c r="J112" i="6" s="1"/>
  <c r="I111" i="6"/>
  <c r="J111" i="6" s="1"/>
  <c r="D105" i="4"/>
  <c r="E105" i="4" s="1"/>
  <c r="C115" i="22"/>
  <c r="D93" i="10"/>
  <c r="E93" i="10" s="1"/>
  <c r="D90" i="10"/>
  <c r="E90" i="10" s="1"/>
  <c r="D88" i="10"/>
  <c r="E88" i="10" s="1"/>
  <c r="D87" i="10"/>
  <c r="E87" i="10" s="1"/>
  <c r="D86" i="10"/>
  <c r="E86" i="10" s="1"/>
  <c r="D85" i="10"/>
  <c r="E85" i="10" s="1"/>
  <c r="K27" i="16" s="1"/>
  <c r="D84" i="10"/>
  <c r="E84" i="10" s="1"/>
  <c r="Q46" i="16"/>
  <c r="D79" i="31"/>
  <c r="D52" i="31"/>
  <c r="C94" i="31"/>
  <c r="G106" i="29"/>
  <c r="A57" i="36"/>
  <c r="D97" i="36"/>
  <c r="E97" i="36" s="1"/>
  <c r="D96" i="36"/>
  <c r="E96" i="36" s="1"/>
  <c r="D94" i="36"/>
  <c r="E94" i="36" s="1"/>
  <c r="D91" i="36"/>
  <c r="E91" i="36" s="1"/>
  <c r="D90" i="36"/>
  <c r="E90" i="36" s="1"/>
  <c r="D89" i="36"/>
  <c r="E89" i="36" s="1"/>
  <c r="D88" i="36"/>
  <c r="E88" i="36" s="1"/>
  <c r="D87" i="36"/>
  <c r="E87" i="36" s="1"/>
  <c r="D86" i="36"/>
  <c r="E86" i="36" s="1"/>
  <c r="C92" i="36"/>
  <c r="D85" i="36"/>
  <c r="E85" i="36" s="1"/>
  <c r="D80" i="36"/>
  <c r="E80" i="36" s="1"/>
  <c r="D79" i="36"/>
  <c r="E79" i="36" s="1"/>
  <c r="D78" i="36"/>
  <c r="E78" i="36" s="1"/>
  <c r="D77" i="36"/>
  <c r="E77" i="36" s="1"/>
  <c r="D71" i="36"/>
  <c r="E71" i="36" s="1"/>
  <c r="D70" i="36"/>
  <c r="E70" i="36" s="1"/>
  <c r="D69" i="36"/>
  <c r="E69" i="36" s="1"/>
  <c r="D65" i="36"/>
  <c r="E65" i="36" s="1"/>
  <c r="D63" i="36"/>
  <c r="E63" i="36" s="1"/>
  <c r="D62" i="36"/>
  <c r="E62" i="36" s="1"/>
  <c r="C60" i="36"/>
  <c r="B53" i="36"/>
  <c r="M80" i="16" s="1"/>
  <c r="D52" i="36"/>
  <c r="E52" i="36" s="1"/>
  <c r="D51" i="36"/>
  <c r="E51" i="36" s="1"/>
  <c r="D50" i="36"/>
  <c r="E50" i="36" s="1"/>
  <c r="D49" i="36"/>
  <c r="E49" i="36" s="1"/>
  <c r="D48" i="36"/>
  <c r="E48" i="36" s="1"/>
  <c r="D47" i="36"/>
  <c r="E47" i="36" s="1"/>
  <c r="D42" i="36"/>
  <c r="E42" i="36" s="1"/>
  <c r="D41" i="36"/>
  <c r="E41" i="36" s="1"/>
  <c r="D40" i="36"/>
  <c r="E40" i="36" s="1"/>
  <c r="D39" i="36"/>
  <c r="E39" i="36" s="1"/>
  <c r="D38" i="36"/>
  <c r="E38" i="36" s="1"/>
  <c r="D37" i="36"/>
  <c r="E37" i="36" s="1"/>
  <c r="D36" i="36"/>
  <c r="E36" i="36" s="1"/>
  <c r="B43" i="36"/>
  <c r="M76" i="16" s="1"/>
  <c r="D35" i="36"/>
  <c r="E35" i="36" s="1"/>
  <c r="D34" i="36"/>
  <c r="E34" i="36" s="1"/>
  <c r="D33" i="36"/>
  <c r="E33" i="36" s="1"/>
  <c r="D32" i="36"/>
  <c r="E32" i="36" s="1"/>
  <c r="D31" i="36"/>
  <c r="E31" i="36" s="1"/>
  <c r="D27" i="36"/>
  <c r="E27" i="36" s="1"/>
  <c r="D26" i="36"/>
  <c r="E26" i="36" s="1"/>
  <c r="D25" i="36"/>
  <c r="E25" i="36" s="1"/>
  <c r="D24" i="36"/>
  <c r="E24" i="36" s="1"/>
  <c r="D23" i="36"/>
  <c r="E23" i="36" s="1"/>
  <c r="D22" i="36"/>
  <c r="E22" i="36" s="1"/>
  <c r="D21" i="36"/>
  <c r="E21" i="36" s="1"/>
  <c r="D20" i="36"/>
  <c r="E20" i="36" s="1"/>
  <c r="D19" i="36"/>
  <c r="E19" i="36" s="1"/>
  <c r="D18" i="36"/>
  <c r="E18" i="36" s="1"/>
  <c r="D17" i="36"/>
  <c r="E17" i="36" s="1"/>
  <c r="D16" i="36"/>
  <c r="E16" i="36" s="1"/>
  <c r="D15" i="36"/>
  <c r="E15" i="36" s="1"/>
  <c r="D14" i="36"/>
  <c r="E14" i="36" s="1"/>
  <c r="D13" i="36"/>
  <c r="E13" i="36" s="1"/>
  <c r="D12" i="36"/>
  <c r="E12" i="36" s="1"/>
  <c r="D11" i="36"/>
  <c r="E11" i="36" s="1"/>
  <c r="D10" i="36"/>
  <c r="E10" i="36" s="1"/>
  <c r="D9" i="36"/>
  <c r="E9" i="36" s="1"/>
  <c r="D8" i="36"/>
  <c r="E8" i="36" s="1"/>
  <c r="C3" i="36"/>
  <c r="C58" i="36" s="1"/>
  <c r="C66" i="36"/>
  <c r="C73" i="36" s="1"/>
  <c r="C82" i="36" s="1"/>
  <c r="C93" i="36" s="1"/>
  <c r="C95" i="36" s="1"/>
  <c r="C98" i="36" s="1"/>
  <c r="C28" i="36"/>
  <c r="D7" i="36"/>
  <c r="E7" i="36" s="1"/>
  <c r="D46" i="36"/>
  <c r="E46" i="36" s="1"/>
  <c r="C53" i="36"/>
  <c r="C55" i="36" s="1"/>
  <c r="B66" i="36"/>
  <c r="M2" i="16" s="1"/>
  <c r="D64" i="36"/>
  <c r="E64" i="36" s="1"/>
  <c r="C81" i="36"/>
  <c r="D76" i="36"/>
  <c r="E76" i="36" s="1"/>
  <c r="C43" i="36"/>
  <c r="B28" i="36"/>
  <c r="M72" i="16" s="1"/>
  <c r="B72" i="36"/>
  <c r="B81" i="36"/>
  <c r="B92" i="36"/>
  <c r="M34" i="16" s="1"/>
  <c r="M30" i="16" s="1"/>
  <c r="A58" i="3"/>
  <c r="A56" i="10"/>
  <c r="K52" i="16"/>
  <c r="K56" i="16"/>
  <c r="B125" i="31"/>
  <c r="B143" i="31"/>
  <c r="C133" i="31"/>
  <c r="D88" i="16" s="1"/>
  <c r="B106" i="31"/>
  <c r="B115" i="31"/>
  <c r="B130" i="31"/>
  <c r="D31" i="24" s="1"/>
  <c r="J52" i="16"/>
  <c r="B37" i="24"/>
  <c r="K69" i="19"/>
  <c r="K70" i="19" s="1"/>
  <c r="F95" i="2"/>
  <c r="F94" i="2"/>
  <c r="C46" i="3"/>
  <c r="D48" i="19"/>
  <c r="J70" i="19"/>
  <c r="J74" i="19"/>
  <c r="K73" i="19"/>
  <c r="K74" i="19" s="1"/>
  <c r="K244" i="19"/>
  <c r="I242" i="19" s="1"/>
  <c r="C124" i="31"/>
  <c r="E124" i="31" s="1"/>
  <c r="C123" i="31"/>
  <c r="D8" i="24" s="1"/>
  <c r="E17" i="19"/>
  <c r="F19" i="6" s="1"/>
  <c r="C50" i="1"/>
  <c r="E50" i="1" s="1"/>
  <c r="F50" i="1" s="1"/>
  <c r="I17" i="19"/>
  <c r="D42" i="31"/>
  <c r="G14" i="33"/>
  <c r="E25" i="29"/>
  <c r="E43" i="29" s="1"/>
  <c r="F18" i="33"/>
  <c r="D8" i="33"/>
  <c r="D7" i="33"/>
  <c r="D6" i="33"/>
  <c r="D4" i="33"/>
  <c r="C22" i="31"/>
  <c r="D9" i="33"/>
  <c r="E141" i="31"/>
  <c r="D127" i="31"/>
  <c r="D136" i="31" s="1"/>
  <c r="E136" i="31" s="1"/>
  <c r="D124" i="31"/>
  <c r="D125" i="31" s="1"/>
  <c r="D106" i="31"/>
  <c r="D108" i="31" s="1"/>
  <c r="D110" i="31" s="1"/>
  <c r="F43" i="6"/>
  <c r="D35" i="24"/>
  <c r="D3" i="24"/>
  <c r="E8" i="24"/>
  <c r="E6" i="24"/>
  <c r="C106" i="31"/>
  <c r="C113" i="31"/>
  <c r="C114" i="31"/>
  <c r="D115" i="31"/>
  <c r="D120" i="31"/>
  <c r="C128" i="31"/>
  <c r="D6" i="24" s="1"/>
  <c r="D130" i="31"/>
  <c r="D132" i="31" s="1"/>
  <c r="C141" i="31"/>
  <c r="F141" i="31"/>
  <c r="G141" i="31" s="1"/>
  <c r="G143" i="31" s="1"/>
  <c r="C142" i="31"/>
  <c r="E143" i="31"/>
  <c r="D133" i="31"/>
  <c r="E133" i="31" s="1"/>
  <c r="F92" i="31"/>
  <c r="C88" i="31"/>
  <c r="C87" i="31"/>
  <c r="E90" i="31"/>
  <c r="C84" i="31"/>
  <c r="F84" i="31" s="1"/>
  <c r="G84" i="31" s="1"/>
  <c r="D90" i="31"/>
  <c r="C83" i="31"/>
  <c r="C78" i="31"/>
  <c r="F78" i="31" s="1"/>
  <c r="G78" i="31" s="1"/>
  <c r="C76" i="31"/>
  <c r="C75" i="31"/>
  <c r="E79" i="31"/>
  <c r="C74" i="31"/>
  <c r="E70" i="31"/>
  <c r="D70" i="31"/>
  <c r="C68" i="31"/>
  <c r="C67" i="31"/>
  <c r="C63" i="31"/>
  <c r="C61" i="31"/>
  <c r="E64" i="31"/>
  <c r="D64" i="31"/>
  <c r="C60" i="31"/>
  <c r="C51" i="31"/>
  <c r="C49" i="31"/>
  <c r="F49" i="31" s="1"/>
  <c r="G49" i="31" s="1"/>
  <c r="F48" i="31"/>
  <c r="G48" i="31" s="1"/>
  <c r="C41" i="31"/>
  <c r="C40" i="31"/>
  <c r="C38" i="31"/>
  <c r="F38" i="31" s="1"/>
  <c r="G38" i="31" s="1"/>
  <c r="C37" i="31"/>
  <c r="C36" i="31"/>
  <c r="C35" i="31"/>
  <c r="C33" i="31"/>
  <c r="C32" i="31"/>
  <c r="F32" i="31" s="1"/>
  <c r="G32" i="31" s="1"/>
  <c r="C31" i="31"/>
  <c r="C30" i="31"/>
  <c r="F30" i="31" s="1"/>
  <c r="G30" i="31" s="1"/>
  <c r="C26" i="31"/>
  <c r="F26" i="31" s="1"/>
  <c r="G26" i="31" s="1"/>
  <c r="C24" i="31"/>
  <c r="C23" i="31"/>
  <c r="C19" i="31"/>
  <c r="C16" i="31"/>
  <c r="C14" i="31"/>
  <c r="C12" i="31"/>
  <c r="F12" i="31" s="1"/>
  <c r="G12" i="31" s="1"/>
  <c r="C11" i="31"/>
  <c r="F11" i="31" s="1"/>
  <c r="G11" i="31" s="1"/>
  <c r="C10" i="31"/>
  <c r="F10" i="31" s="1"/>
  <c r="G10" i="31" s="1"/>
  <c r="C8" i="31"/>
  <c r="F8" i="31" s="1"/>
  <c r="G8" i="31" s="1"/>
  <c r="C7" i="31"/>
  <c r="F7" i="31" s="1"/>
  <c r="G7" i="31" s="1"/>
  <c r="D27" i="31"/>
  <c r="D3" i="31"/>
  <c r="C6" i="31"/>
  <c r="H84" i="9"/>
  <c r="I84" i="9" s="1"/>
  <c r="E113" i="31"/>
  <c r="E104" i="31"/>
  <c r="E106" i="31" s="1"/>
  <c r="E128" i="31"/>
  <c r="E107" i="31"/>
  <c r="E123" i="31"/>
  <c r="E118" i="31"/>
  <c r="E126" i="31"/>
  <c r="E114" i="31"/>
  <c r="E42" i="31"/>
  <c r="E27" i="31"/>
  <c r="I20" i="24"/>
  <c r="I18" i="24" s="1"/>
  <c r="F10" i="29"/>
  <c r="G10" i="29" s="1"/>
  <c r="F58" i="29"/>
  <c r="G58" i="29" s="1"/>
  <c r="F75" i="29"/>
  <c r="G75" i="29" s="1"/>
  <c r="F90" i="29"/>
  <c r="G90" i="29" s="1"/>
  <c r="C86" i="1"/>
  <c r="Q49" i="5"/>
  <c r="D59" i="3"/>
  <c r="D61" i="3"/>
  <c r="E7" i="3"/>
  <c r="E28" i="3" s="1"/>
  <c r="D92" i="3"/>
  <c r="D81" i="3"/>
  <c r="D72" i="3"/>
  <c r="D66" i="3"/>
  <c r="D53" i="3"/>
  <c r="D28" i="3"/>
  <c r="D43" i="3"/>
  <c r="D59" i="29"/>
  <c r="D60" i="29" s="1"/>
  <c r="D61" i="29" s="1"/>
  <c r="D46" i="29"/>
  <c r="D47" i="29" s="1"/>
  <c r="D48" i="29" s="1"/>
  <c r="D50" i="29" s="1"/>
  <c r="D51" i="29"/>
  <c r="D52" i="29" s="1"/>
  <c r="D53" i="29" s="1"/>
  <c r="D55" i="29" s="1"/>
  <c r="D56" i="29"/>
  <c r="D5" i="29"/>
  <c r="D6" i="29" s="1"/>
  <c r="D7" i="29" s="1"/>
  <c r="D8" i="29" s="1"/>
  <c r="D10" i="29" s="1"/>
  <c r="D11" i="29" s="1"/>
  <c r="D13" i="29" s="1"/>
  <c r="D14" i="29" s="1"/>
  <c r="D15" i="29" s="1"/>
  <c r="D16" i="29" s="1"/>
  <c r="D18" i="29" s="1"/>
  <c r="D19" i="29" s="1"/>
  <c r="D20" i="29" s="1"/>
  <c r="D21" i="29" s="1"/>
  <c r="I64" i="16"/>
  <c r="C34" i="5"/>
  <c r="E34" i="5" s="1"/>
  <c r="F34" i="5" s="1"/>
  <c r="C37" i="5"/>
  <c r="C38" i="5"/>
  <c r="C39" i="5"/>
  <c r="C41" i="5"/>
  <c r="C43" i="5"/>
  <c r="C32" i="5"/>
  <c r="E32" i="5" s="1"/>
  <c r="F32" i="5" s="1"/>
  <c r="C35" i="5"/>
  <c r="E35" i="5" s="1"/>
  <c r="F35" i="5" s="1"/>
  <c r="C36" i="5"/>
  <c r="E36" i="5" s="1"/>
  <c r="F36" i="5" s="1"/>
  <c r="C40" i="5"/>
  <c r="C42" i="5"/>
  <c r="E42" i="5" s="1"/>
  <c r="F42" i="5" s="1"/>
  <c r="C50" i="5"/>
  <c r="E50" i="5" s="1"/>
  <c r="F50" i="5" s="1"/>
  <c r="C8" i="5"/>
  <c r="C11" i="5"/>
  <c r="C12" i="5"/>
  <c r="E12" i="5" s="1"/>
  <c r="F12" i="5" s="1"/>
  <c r="C13" i="5"/>
  <c r="E13" i="5" s="1"/>
  <c r="F13" i="5" s="1"/>
  <c r="C14" i="5"/>
  <c r="C16" i="5"/>
  <c r="C18" i="5"/>
  <c r="C19" i="5"/>
  <c r="C21" i="5"/>
  <c r="C22" i="5"/>
  <c r="E22" i="5" s="1"/>
  <c r="F22" i="5" s="1"/>
  <c r="C23" i="5"/>
  <c r="C26" i="5"/>
  <c r="C27" i="5"/>
  <c r="E27" i="5" s="1"/>
  <c r="F27" i="5" s="1"/>
  <c r="C28" i="5"/>
  <c r="E28" i="5" s="1"/>
  <c r="F28" i="5" s="1"/>
  <c r="C9" i="5"/>
  <c r="E9" i="5" s="1"/>
  <c r="F9" i="5" s="1"/>
  <c r="C24" i="5"/>
  <c r="E24" i="5" s="1"/>
  <c r="F24" i="5" s="1"/>
  <c r="D87" i="14"/>
  <c r="E87" i="14" s="1"/>
  <c r="D86" i="14"/>
  <c r="E86" i="14" s="1"/>
  <c r="D42" i="14"/>
  <c r="E42" i="14" s="1"/>
  <c r="D18" i="14"/>
  <c r="E18" i="14" s="1"/>
  <c r="H14" i="9"/>
  <c r="I14" i="9" s="1"/>
  <c r="D85" i="14"/>
  <c r="E85" i="14" s="1"/>
  <c r="C66" i="14"/>
  <c r="D52" i="14"/>
  <c r="E52" i="14" s="1"/>
  <c r="D37" i="14"/>
  <c r="E37" i="14" s="1"/>
  <c r="D34" i="14"/>
  <c r="E34" i="14" s="1"/>
  <c r="D27" i="14"/>
  <c r="E27" i="14" s="1"/>
  <c r="D23" i="14"/>
  <c r="E23" i="14" s="1"/>
  <c r="D22" i="14"/>
  <c r="E22" i="14" s="1"/>
  <c r="D19" i="14"/>
  <c r="E19" i="14" s="1"/>
  <c r="D11" i="14"/>
  <c r="E11" i="14" s="1"/>
  <c r="H96" i="9"/>
  <c r="H89" i="9"/>
  <c r="I89" i="9" s="1"/>
  <c r="H88" i="9"/>
  <c r="I88" i="9" s="1"/>
  <c r="H85" i="9"/>
  <c r="I85" i="9" s="1"/>
  <c r="N27" i="16" s="1"/>
  <c r="G91" i="9"/>
  <c r="H77" i="9"/>
  <c r="I77" i="9" s="1"/>
  <c r="H76" i="9"/>
  <c r="I76" i="9" s="1"/>
  <c r="H69" i="9"/>
  <c r="I69" i="9" s="1"/>
  <c r="G71" i="9"/>
  <c r="H62" i="9"/>
  <c r="I62" i="9" s="1"/>
  <c r="I51" i="9"/>
  <c r="I50" i="9"/>
  <c r="I47" i="9"/>
  <c r="H40" i="9"/>
  <c r="I40" i="9" s="1"/>
  <c r="H39" i="9"/>
  <c r="I39" i="9" s="1"/>
  <c r="H35" i="9"/>
  <c r="I35" i="9" s="1"/>
  <c r="H32" i="9"/>
  <c r="I32" i="9" s="1"/>
  <c r="H25" i="9"/>
  <c r="I25" i="9" s="1"/>
  <c r="H24" i="9"/>
  <c r="I24" i="9" s="1"/>
  <c r="H20" i="9"/>
  <c r="I20" i="9" s="1"/>
  <c r="H17" i="9"/>
  <c r="I17" i="9" s="1"/>
  <c r="H16" i="9"/>
  <c r="I16" i="9" s="1"/>
  <c r="H12" i="9"/>
  <c r="I12" i="9" s="1"/>
  <c r="H11" i="9"/>
  <c r="I11" i="9" s="1"/>
  <c r="H8" i="9"/>
  <c r="I8" i="9" s="1"/>
  <c r="D79" i="10"/>
  <c r="E79" i="10" s="1"/>
  <c r="E76" i="10"/>
  <c r="E68" i="10"/>
  <c r="E67" i="10"/>
  <c r="D63" i="10"/>
  <c r="E63" i="10" s="1"/>
  <c r="E51" i="10"/>
  <c r="E50" i="10"/>
  <c r="E47" i="10"/>
  <c r="E46" i="10"/>
  <c r="D40" i="10"/>
  <c r="E40" i="10" s="1"/>
  <c r="D39" i="10"/>
  <c r="E39" i="10" s="1"/>
  <c r="D35" i="10"/>
  <c r="E35" i="10" s="1"/>
  <c r="D32" i="10"/>
  <c r="E32" i="10" s="1"/>
  <c r="D25" i="10"/>
  <c r="E25" i="10" s="1"/>
  <c r="D21" i="10"/>
  <c r="E21" i="10" s="1"/>
  <c r="D20" i="10"/>
  <c r="E20" i="10" s="1"/>
  <c r="D16" i="10"/>
  <c r="E16" i="10" s="1"/>
  <c r="E12" i="10"/>
  <c r="E9" i="10"/>
  <c r="D89" i="11"/>
  <c r="E89" i="11" s="1"/>
  <c r="D86" i="11"/>
  <c r="E86" i="11" s="1"/>
  <c r="J27" i="16" s="1"/>
  <c r="E78" i="11"/>
  <c r="E70" i="11"/>
  <c r="E63" i="11"/>
  <c r="E62" i="11"/>
  <c r="E51" i="11"/>
  <c r="D50" i="11"/>
  <c r="E50" i="11" s="1"/>
  <c r="D47" i="11"/>
  <c r="E47" i="11" s="1"/>
  <c r="D43" i="11"/>
  <c r="E43" i="11" s="1"/>
  <c r="D40" i="11"/>
  <c r="E40" i="11" s="1"/>
  <c r="D39" i="11"/>
  <c r="E39" i="11" s="1"/>
  <c r="E36" i="11"/>
  <c r="E35" i="11"/>
  <c r="D28" i="11"/>
  <c r="E28" i="11" s="1"/>
  <c r="D25" i="11"/>
  <c r="E25" i="11" s="1"/>
  <c r="E24" i="11"/>
  <c r="E21" i="11"/>
  <c r="E20" i="11"/>
  <c r="E17" i="11"/>
  <c r="E16" i="11"/>
  <c r="E13" i="11"/>
  <c r="E12" i="11"/>
  <c r="E9" i="11"/>
  <c r="D93" i="1"/>
  <c r="D67" i="1"/>
  <c r="G48" i="1"/>
  <c r="D44" i="1"/>
  <c r="D141" i="2"/>
  <c r="F116" i="2"/>
  <c r="D92" i="2"/>
  <c r="D72" i="2"/>
  <c r="D66" i="2"/>
  <c r="D54" i="5"/>
  <c r="E144" i="3"/>
  <c r="E146" i="3" s="1"/>
  <c r="E141" i="3"/>
  <c r="D141" i="3"/>
  <c r="D138" i="3"/>
  <c r="E135" i="3"/>
  <c r="D135" i="3"/>
  <c r="C127" i="3"/>
  <c r="AK127" i="3" s="1"/>
  <c r="D128" i="3"/>
  <c r="D123" i="3"/>
  <c r="E81" i="3"/>
  <c r="F50" i="3"/>
  <c r="G50" i="3" s="1"/>
  <c r="E53" i="3"/>
  <c r="E117" i="3"/>
  <c r="E118" i="3" s="1"/>
  <c r="E50" i="4"/>
  <c r="C53" i="4"/>
  <c r="D19" i="4"/>
  <c r="E19" i="4" s="1"/>
  <c r="I23" i="16"/>
  <c r="I61" i="16"/>
  <c r="H93" i="6"/>
  <c r="H82" i="6"/>
  <c r="H73" i="6"/>
  <c r="H67" i="6"/>
  <c r="H54" i="6"/>
  <c r="I18" i="6"/>
  <c r="J18" i="6" s="1"/>
  <c r="H23" i="9"/>
  <c r="I23" i="9" s="1"/>
  <c r="G103" i="29"/>
  <c r="G3" i="6"/>
  <c r="B3" i="5" s="1"/>
  <c r="C2" i="4"/>
  <c r="C58" i="4" s="1"/>
  <c r="C63" i="1"/>
  <c r="C62" i="2"/>
  <c r="E62" i="2" s="1"/>
  <c r="F62" i="2" s="1"/>
  <c r="C64" i="1"/>
  <c r="C63" i="5"/>
  <c r="E63" i="5" s="1"/>
  <c r="F63" i="5" s="1"/>
  <c r="C64" i="2"/>
  <c r="E64" i="2" s="1"/>
  <c r="F64" i="2" s="1"/>
  <c r="C64" i="5"/>
  <c r="D265" i="19"/>
  <c r="C65" i="2"/>
  <c r="C65" i="3"/>
  <c r="AK65" i="3" s="1"/>
  <c r="C65" i="5"/>
  <c r="E65" i="5" s="1"/>
  <c r="F65" i="5" s="1"/>
  <c r="C70" i="1"/>
  <c r="E70" i="1" s="1"/>
  <c r="F70" i="1" s="1"/>
  <c r="C69" i="2"/>
  <c r="E69" i="2" s="1"/>
  <c r="F69" i="2" s="1"/>
  <c r="C71" i="1"/>
  <c r="E71" i="1" s="1"/>
  <c r="F71" i="1" s="1"/>
  <c r="C70" i="3"/>
  <c r="C70" i="5"/>
  <c r="C71" i="2"/>
  <c r="E71" i="2" s="1"/>
  <c r="C71" i="5"/>
  <c r="C76" i="2"/>
  <c r="E76" i="2" s="1"/>
  <c r="F76" i="2" s="1"/>
  <c r="C76" i="5"/>
  <c r="E76" i="5" s="1"/>
  <c r="F76" i="5" s="1"/>
  <c r="C78" i="1"/>
  <c r="C77" i="2"/>
  <c r="E77" i="2" s="1"/>
  <c r="F77" i="2" s="1"/>
  <c r="C79" i="1"/>
  <c r="C78" i="2"/>
  <c r="C78" i="5"/>
  <c r="E78" i="5" s="1"/>
  <c r="F78" i="5" s="1"/>
  <c r="C79" i="2"/>
  <c r="E79" i="2" s="1"/>
  <c r="F79" i="2" s="1"/>
  <c r="C79" i="3"/>
  <c r="C79" i="5"/>
  <c r="E79" i="5" s="1"/>
  <c r="F79" i="5" s="1"/>
  <c r="C80" i="2"/>
  <c r="E80" i="2" s="1"/>
  <c r="F80" i="2" s="1"/>
  <c r="C80" i="5"/>
  <c r="E80" i="5" s="1"/>
  <c r="F80" i="5" s="1"/>
  <c r="C85" i="5"/>
  <c r="F22" i="16" s="1"/>
  <c r="C87" i="1"/>
  <c r="C86" i="2"/>
  <c r="C87" i="2"/>
  <c r="E87" i="2" s="1"/>
  <c r="F87" i="2" s="1"/>
  <c r="C87" i="5"/>
  <c r="E87" i="5" s="1"/>
  <c r="F87" i="5" s="1"/>
  <c r="C88" i="2"/>
  <c r="E88" i="2" s="1"/>
  <c r="F88" i="2" s="1"/>
  <c r="C88" i="5"/>
  <c r="C90" i="1"/>
  <c r="E90" i="1" s="1"/>
  <c r="F90" i="1" s="1"/>
  <c r="C89" i="5"/>
  <c r="E89" i="5" s="1"/>
  <c r="F89" i="5" s="1"/>
  <c r="C91" i="1"/>
  <c r="E91" i="1" s="1"/>
  <c r="F91" i="1" s="1"/>
  <c r="C90" i="2"/>
  <c r="E90" i="2" s="1"/>
  <c r="F90" i="2" s="1"/>
  <c r="C91" i="2"/>
  <c r="E91" i="2" s="1"/>
  <c r="F91" i="2" s="1"/>
  <c r="C91" i="5"/>
  <c r="E91" i="5" s="1"/>
  <c r="F91" i="5" s="1"/>
  <c r="C97" i="5"/>
  <c r="E97" i="5" s="1"/>
  <c r="F97" i="5" s="1"/>
  <c r="C99" i="1"/>
  <c r="C98" i="5"/>
  <c r="D115" i="4"/>
  <c r="E115" i="4" s="1"/>
  <c r="C107" i="4"/>
  <c r="C109" i="4" s="1"/>
  <c r="C111" i="4" s="1"/>
  <c r="D106" i="4"/>
  <c r="E106" i="4" s="1"/>
  <c r="B107" i="4"/>
  <c r="B123" i="2"/>
  <c r="F9" i="24"/>
  <c r="A58" i="6"/>
  <c r="C130" i="1"/>
  <c r="E130" i="1" s="1"/>
  <c r="F130" i="1" s="1"/>
  <c r="D94" i="14"/>
  <c r="E94" i="14" s="1"/>
  <c r="D90" i="14"/>
  <c r="E90" i="14" s="1"/>
  <c r="L26" i="16"/>
  <c r="D65" i="14"/>
  <c r="E65" i="14" s="1"/>
  <c r="A57" i="14"/>
  <c r="D53" i="14"/>
  <c r="E53" i="14" s="1"/>
  <c r="D36" i="14"/>
  <c r="E36" i="14" s="1"/>
  <c r="D35" i="14"/>
  <c r="E35" i="14" s="1"/>
  <c r="D32" i="14"/>
  <c r="E32" i="14" s="1"/>
  <c r="D25" i="14"/>
  <c r="E25" i="14" s="1"/>
  <c r="D24" i="14"/>
  <c r="E24" i="14" s="1"/>
  <c r="D21" i="14"/>
  <c r="E21" i="14" s="1"/>
  <c r="D20" i="14"/>
  <c r="E20" i="14" s="1"/>
  <c r="D13" i="14"/>
  <c r="E13" i="14" s="1"/>
  <c r="D12" i="14"/>
  <c r="E12" i="14" s="1"/>
  <c r="D9" i="14"/>
  <c r="E9" i="14" s="1"/>
  <c r="H90" i="9"/>
  <c r="I90" i="9" s="1"/>
  <c r="H86" i="9"/>
  <c r="I86" i="9" s="1"/>
  <c r="G80" i="9"/>
  <c r="H78" i="9"/>
  <c r="I78" i="9" s="1"/>
  <c r="H75" i="9"/>
  <c r="I75" i="9" s="1"/>
  <c r="H70" i="9"/>
  <c r="I70" i="9" s="1"/>
  <c r="H64" i="9"/>
  <c r="I64" i="9" s="1"/>
  <c r="H61" i="9"/>
  <c r="I61" i="9" s="1"/>
  <c r="I49" i="9"/>
  <c r="H45" i="9"/>
  <c r="I45" i="9" s="1"/>
  <c r="H41" i="9"/>
  <c r="I41" i="9" s="1"/>
  <c r="H38" i="9"/>
  <c r="I38" i="9" s="1"/>
  <c r="H34" i="9"/>
  <c r="I34" i="9" s="1"/>
  <c r="H33" i="9"/>
  <c r="I33" i="9" s="1"/>
  <c r="H30" i="9"/>
  <c r="I30" i="9" s="1"/>
  <c r="H26" i="9"/>
  <c r="I26" i="9" s="1"/>
  <c r="H22" i="9"/>
  <c r="I22" i="9" s="1"/>
  <c r="H19" i="9"/>
  <c r="I19" i="9" s="1"/>
  <c r="H18" i="9"/>
  <c r="I18" i="9" s="1"/>
  <c r="H10" i="9"/>
  <c r="I10" i="9" s="1"/>
  <c r="H9" i="9"/>
  <c r="I9" i="9" s="1"/>
  <c r="H6" i="9"/>
  <c r="I6" i="9" s="1"/>
  <c r="N57" i="16" s="1"/>
  <c r="D78" i="10"/>
  <c r="E78" i="10" s="1"/>
  <c r="E77" i="10"/>
  <c r="E70" i="10"/>
  <c r="E69" i="10"/>
  <c r="D64" i="10"/>
  <c r="E64" i="10" s="1"/>
  <c r="E49" i="10"/>
  <c r="D38" i="10"/>
  <c r="E38" i="10" s="1"/>
  <c r="D36" i="10"/>
  <c r="E36" i="10" s="1"/>
  <c r="D34" i="10"/>
  <c r="E34" i="10" s="1"/>
  <c r="D33" i="10"/>
  <c r="E33" i="10" s="1"/>
  <c r="D23" i="10"/>
  <c r="E23" i="10" s="1"/>
  <c r="D22" i="10"/>
  <c r="E22" i="10" s="1"/>
  <c r="D19" i="10"/>
  <c r="E19" i="10" s="1"/>
  <c r="D18" i="10"/>
  <c r="E18" i="10" s="1"/>
  <c r="D15" i="10"/>
  <c r="E15" i="10" s="1"/>
  <c r="E14" i="10"/>
  <c r="E11" i="10"/>
  <c r="E10" i="10"/>
  <c r="E7" i="10"/>
  <c r="D97" i="11"/>
  <c r="E97" i="11" s="1"/>
  <c r="E94" i="11"/>
  <c r="D91" i="11"/>
  <c r="E91" i="11" s="1"/>
  <c r="D90" i="11"/>
  <c r="E90" i="11" s="1"/>
  <c r="D88" i="11"/>
  <c r="E88" i="11" s="1"/>
  <c r="D87" i="11"/>
  <c r="E87" i="11" s="1"/>
  <c r="E79" i="11"/>
  <c r="E71" i="11"/>
  <c r="D65" i="11"/>
  <c r="E65" i="11" s="1"/>
  <c r="D64" i="11"/>
  <c r="E64" i="11" s="1"/>
  <c r="A57" i="11"/>
  <c r="E53" i="11"/>
  <c r="D52" i="11"/>
  <c r="E52" i="11" s="1"/>
  <c r="E49" i="11"/>
  <c r="E48" i="11"/>
  <c r="D46" i="11"/>
  <c r="E42" i="11"/>
  <c r="E41" i="11"/>
  <c r="D38" i="11"/>
  <c r="E38" i="11" s="1"/>
  <c r="E37" i="11"/>
  <c r="E34" i="11"/>
  <c r="E33" i="11"/>
  <c r="E27" i="11"/>
  <c r="D26" i="11"/>
  <c r="E26" i="11" s="1"/>
  <c r="D23" i="11"/>
  <c r="E23" i="11" s="1"/>
  <c r="E22" i="11"/>
  <c r="E19" i="11"/>
  <c r="D18" i="11"/>
  <c r="E18" i="11" s="1"/>
  <c r="D15" i="11"/>
  <c r="E15" i="11" s="1"/>
  <c r="E14" i="11"/>
  <c r="E11" i="11"/>
  <c r="C3" i="11"/>
  <c r="C58" i="11" s="1"/>
  <c r="C147" i="1"/>
  <c r="C146" i="1"/>
  <c r="E146" i="1" s="1"/>
  <c r="F146" i="1" s="1"/>
  <c r="C142" i="1"/>
  <c r="C139" i="1"/>
  <c r="C136" i="1"/>
  <c r="C133" i="1"/>
  <c r="E133" i="1" s="1"/>
  <c r="F133" i="1" s="1"/>
  <c r="C129" i="1"/>
  <c r="E129" i="1" s="1"/>
  <c r="F129" i="1" s="1"/>
  <c r="D138" i="1"/>
  <c r="D140" i="1" s="1"/>
  <c r="C124" i="1"/>
  <c r="E124" i="1" s="1"/>
  <c r="F124" i="1" s="1"/>
  <c r="C122" i="1"/>
  <c r="E122" i="1" s="1"/>
  <c r="F122" i="1" s="1"/>
  <c r="D119" i="1"/>
  <c r="C118" i="1"/>
  <c r="E118" i="1" s="1"/>
  <c r="F118" i="1" s="1"/>
  <c r="E111" i="1"/>
  <c r="E108" i="1"/>
  <c r="F108" i="1" s="1"/>
  <c r="E96" i="1"/>
  <c r="E95" i="1"/>
  <c r="M90" i="1"/>
  <c r="C51" i="1"/>
  <c r="J8" i="22" s="1"/>
  <c r="E49" i="1"/>
  <c r="F49" i="1" s="1"/>
  <c r="E46" i="1"/>
  <c r="E45" i="1"/>
  <c r="C43" i="1"/>
  <c r="B42" i="6" s="1"/>
  <c r="C40" i="1"/>
  <c r="E40" i="1" s="1"/>
  <c r="F40" i="1" s="1"/>
  <c r="C39" i="1"/>
  <c r="C36" i="1"/>
  <c r="E36" i="1" s="1"/>
  <c r="F36" i="1" s="1"/>
  <c r="C35" i="1"/>
  <c r="C32" i="1"/>
  <c r="C28" i="1"/>
  <c r="C25" i="1"/>
  <c r="C24" i="1"/>
  <c r="E24" i="1" s="1"/>
  <c r="F24" i="1" s="1"/>
  <c r="C23" i="1"/>
  <c r="C20" i="1"/>
  <c r="E20" i="1" s="1"/>
  <c r="F20" i="1" s="1"/>
  <c r="C19" i="1"/>
  <c r="E19" i="1" s="1"/>
  <c r="F19" i="1" s="1"/>
  <c r="C16" i="1"/>
  <c r="C15" i="1"/>
  <c r="C12" i="1"/>
  <c r="E12" i="1" s="1"/>
  <c r="F12" i="1" s="1"/>
  <c r="C11" i="1"/>
  <c r="C9" i="1"/>
  <c r="C8" i="1"/>
  <c r="D3" i="1"/>
  <c r="D103" i="1" s="1"/>
  <c r="C140" i="2"/>
  <c r="C137" i="2"/>
  <c r="C131" i="2"/>
  <c r="E131" i="2" s="1"/>
  <c r="F131" i="2" s="1"/>
  <c r="C129" i="2"/>
  <c r="E129" i="2" s="1"/>
  <c r="F129" i="2" s="1"/>
  <c r="C126" i="2"/>
  <c r="F8" i="24" s="1"/>
  <c r="F122" i="2"/>
  <c r="C122" i="2"/>
  <c r="C121" i="2"/>
  <c r="C117" i="2"/>
  <c r="E117" i="2" s="1"/>
  <c r="F117" i="2" s="1"/>
  <c r="B118" i="2"/>
  <c r="B113" i="2"/>
  <c r="F112" i="2"/>
  <c r="D113" i="2"/>
  <c r="E111" i="2"/>
  <c r="E113" i="2" s="1"/>
  <c r="E110" i="2"/>
  <c r="F110" i="2" s="1"/>
  <c r="E109" i="2"/>
  <c r="F109" i="2" s="1"/>
  <c r="E108" i="2"/>
  <c r="F108" i="2" s="1"/>
  <c r="E107" i="2"/>
  <c r="F107" i="2" s="1"/>
  <c r="C95" i="2"/>
  <c r="C94" i="2"/>
  <c r="B66" i="2"/>
  <c r="C52" i="2"/>
  <c r="E52" i="2" s="1"/>
  <c r="F52" i="2" s="1"/>
  <c r="C51" i="2"/>
  <c r="E51" i="2" s="1"/>
  <c r="F51" i="2" s="1"/>
  <c r="C50" i="2"/>
  <c r="E50" i="2" s="1"/>
  <c r="F50" i="2" s="1"/>
  <c r="E47" i="2"/>
  <c r="F47" i="2" s="1"/>
  <c r="C42" i="2"/>
  <c r="E42" i="2" s="1"/>
  <c r="F42" i="2" s="1"/>
  <c r="C40" i="2"/>
  <c r="E40" i="2" s="1"/>
  <c r="F40" i="2" s="1"/>
  <c r="C39" i="2"/>
  <c r="E39" i="2" s="1"/>
  <c r="F39" i="2" s="1"/>
  <c r="C38" i="2"/>
  <c r="E38" i="2" s="1"/>
  <c r="F38" i="2" s="1"/>
  <c r="C36" i="2"/>
  <c r="E36" i="2" s="1"/>
  <c r="F36" i="2" s="1"/>
  <c r="C35" i="2"/>
  <c r="C34" i="2"/>
  <c r="E34" i="2" s="1"/>
  <c r="F34" i="2" s="1"/>
  <c r="C33" i="2"/>
  <c r="C32" i="2"/>
  <c r="G64" i="16" s="1"/>
  <c r="C31" i="2"/>
  <c r="C27" i="2"/>
  <c r="E27" i="2" s="1"/>
  <c r="F27" i="2" s="1"/>
  <c r="C25" i="2"/>
  <c r="E25" i="2" s="1"/>
  <c r="F25" i="2" s="1"/>
  <c r="C24" i="2"/>
  <c r="E24" i="2" s="1"/>
  <c r="F24" i="2" s="1"/>
  <c r="C23" i="2"/>
  <c r="E23" i="2" s="1"/>
  <c r="F23" i="2" s="1"/>
  <c r="C21" i="2"/>
  <c r="E21" i="2" s="1"/>
  <c r="F21" i="2" s="1"/>
  <c r="C20" i="2"/>
  <c r="E20" i="2" s="1"/>
  <c r="F20" i="2" s="1"/>
  <c r="C19" i="2"/>
  <c r="E19" i="2" s="1"/>
  <c r="F19" i="2" s="1"/>
  <c r="C17" i="2"/>
  <c r="C16" i="2"/>
  <c r="E16" i="2" s="1"/>
  <c r="F16" i="2" s="1"/>
  <c r="C15" i="2"/>
  <c r="E15" i="2" s="1"/>
  <c r="F15" i="2" s="1"/>
  <c r="G61" i="16" s="1"/>
  <c r="C13" i="2"/>
  <c r="E13" i="2" s="1"/>
  <c r="F13" i="2" s="1"/>
  <c r="C12" i="2"/>
  <c r="E12" i="2" s="1"/>
  <c r="F12" i="2" s="1"/>
  <c r="C11" i="2"/>
  <c r="E11" i="2" s="1"/>
  <c r="F11" i="2" s="1"/>
  <c r="C10" i="2"/>
  <c r="E10" i="2" s="1"/>
  <c r="F10" i="2" s="1"/>
  <c r="C8" i="2"/>
  <c r="E8" i="2" s="1"/>
  <c r="F8" i="2" s="1"/>
  <c r="C7" i="2"/>
  <c r="E7" i="2" s="1"/>
  <c r="F7" i="2" s="1"/>
  <c r="D2" i="2"/>
  <c r="D102" i="2" s="1"/>
  <c r="C145" i="5"/>
  <c r="J35" i="24"/>
  <c r="J37" i="24" s="1"/>
  <c r="C140" i="5"/>
  <c r="C137" i="5"/>
  <c r="D137" i="5" s="1"/>
  <c r="D138" i="5" s="1"/>
  <c r="C134" i="5"/>
  <c r="C131" i="5"/>
  <c r="E131" i="5" s="1"/>
  <c r="F131" i="5" s="1"/>
  <c r="C127" i="5"/>
  <c r="C122" i="5"/>
  <c r="C121" i="5"/>
  <c r="E112" i="5"/>
  <c r="E110" i="5"/>
  <c r="F110" i="5" s="1"/>
  <c r="E108" i="5"/>
  <c r="F108" i="5" s="1"/>
  <c r="C95" i="5"/>
  <c r="E95" i="5" s="1"/>
  <c r="F95" i="5" s="1"/>
  <c r="C94" i="5"/>
  <c r="E94" i="5" s="1"/>
  <c r="F94" i="5" s="1"/>
  <c r="B72" i="5"/>
  <c r="E68" i="5"/>
  <c r="E67" i="5"/>
  <c r="C53" i="5"/>
  <c r="E53" i="5" s="1"/>
  <c r="F53" i="5" s="1"/>
  <c r="C52" i="5"/>
  <c r="E52" i="5" s="1"/>
  <c r="F52" i="5" s="1"/>
  <c r="C51" i="5"/>
  <c r="E51" i="5" s="1"/>
  <c r="F51" i="5" s="1"/>
  <c r="E49" i="5"/>
  <c r="F49" i="5" s="1"/>
  <c r="C48" i="5"/>
  <c r="E47" i="5"/>
  <c r="F47" i="5" s="1"/>
  <c r="C17" i="5"/>
  <c r="E17" i="5" s="1"/>
  <c r="F17" i="5" s="1"/>
  <c r="E10" i="5"/>
  <c r="F10" i="5" s="1"/>
  <c r="D3" i="5"/>
  <c r="D102" i="5" s="1"/>
  <c r="C129" i="3"/>
  <c r="AK129" i="3" s="1"/>
  <c r="K124" i="3"/>
  <c r="D118" i="3"/>
  <c r="C116" i="3"/>
  <c r="C112" i="3"/>
  <c r="D113" i="3"/>
  <c r="E60" i="3"/>
  <c r="D60" i="3"/>
  <c r="C52" i="3"/>
  <c r="C51" i="3"/>
  <c r="N50" i="3"/>
  <c r="N48" i="3"/>
  <c r="C47" i="3"/>
  <c r="N45" i="3"/>
  <c r="N46" i="3" s="1"/>
  <c r="P46" i="3" s="1"/>
  <c r="N43" i="3"/>
  <c r="C42" i="3"/>
  <c r="C41" i="3"/>
  <c r="C40" i="3"/>
  <c r="N39" i="3"/>
  <c r="O42" i="3" s="1"/>
  <c r="C39" i="3"/>
  <c r="N38" i="3"/>
  <c r="C36" i="3"/>
  <c r="C35" i="3"/>
  <c r="C34" i="3"/>
  <c r="AK34" i="3" s="1"/>
  <c r="C33" i="3"/>
  <c r="C32" i="3"/>
  <c r="C31" i="3"/>
  <c r="C26" i="3"/>
  <c r="C24" i="3"/>
  <c r="C23" i="3"/>
  <c r="C22" i="3"/>
  <c r="C21" i="3"/>
  <c r="C20" i="3"/>
  <c r="C19" i="3"/>
  <c r="C18" i="3"/>
  <c r="C17" i="3"/>
  <c r="C16" i="3"/>
  <c r="C15" i="3"/>
  <c r="C13" i="3"/>
  <c r="C11" i="3"/>
  <c r="AK11" i="3" s="1"/>
  <c r="C10" i="3"/>
  <c r="C9" i="3"/>
  <c r="C8" i="3"/>
  <c r="AK8" i="3" s="1"/>
  <c r="C7" i="3"/>
  <c r="E3" i="3"/>
  <c r="D121" i="4"/>
  <c r="D94" i="4"/>
  <c r="E94" i="4" s="1"/>
  <c r="D52" i="4"/>
  <c r="E52" i="4" s="1"/>
  <c r="D51" i="4"/>
  <c r="E51" i="4" s="1"/>
  <c r="D40" i="4"/>
  <c r="E40" i="4" s="1"/>
  <c r="D25" i="4"/>
  <c r="E25" i="4" s="1"/>
  <c r="E17" i="4"/>
  <c r="D15" i="4"/>
  <c r="E15" i="4" s="1"/>
  <c r="C3" i="22"/>
  <c r="G105" i="29"/>
  <c r="G104" i="29"/>
  <c r="G77" i="29"/>
  <c r="G76" i="29"/>
  <c r="D264" i="19"/>
  <c r="D65" i="19"/>
  <c r="D48" i="6" s="1"/>
  <c r="I22" i="16"/>
  <c r="H108" i="6"/>
  <c r="H106" i="6"/>
  <c r="G95" i="6"/>
  <c r="F82" i="6"/>
  <c r="F67" i="6"/>
  <c r="H61" i="6"/>
  <c r="H59" i="6"/>
  <c r="B59" i="6"/>
  <c r="H35" i="24"/>
  <c r="I35" i="24" s="1"/>
  <c r="I37" i="24" s="1"/>
  <c r="I32" i="24"/>
  <c r="C32" i="24"/>
  <c r="K29" i="24"/>
  <c r="K26" i="24"/>
  <c r="I26" i="24"/>
  <c r="G26" i="24"/>
  <c r="M20" i="24"/>
  <c r="M18" i="24" s="1"/>
  <c r="K18" i="24"/>
  <c r="M10" i="24"/>
  <c r="K10" i="24"/>
  <c r="M9" i="24"/>
  <c r="J9" i="24"/>
  <c r="I9" i="24"/>
  <c r="G8" i="24"/>
  <c r="I6" i="24"/>
  <c r="G6" i="24"/>
  <c r="L3" i="24"/>
  <c r="L21" i="24" s="1"/>
  <c r="J3" i="24"/>
  <c r="J19" i="24" s="1"/>
  <c r="H3" i="24"/>
  <c r="H21" i="24" s="1"/>
  <c r="F3" i="24"/>
  <c r="F20" i="24" s="1"/>
  <c r="A2" i="24"/>
  <c r="J56" i="16"/>
  <c r="N31" i="16"/>
  <c r="K31" i="16"/>
  <c r="J31" i="16"/>
  <c r="H31" i="16"/>
  <c r="G31" i="16"/>
  <c r="E31" i="16"/>
  <c r="J26" i="16"/>
  <c r="N22" i="16"/>
  <c r="K22" i="16"/>
  <c r="J22" i="16"/>
  <c r="M86" i="1"/>
  <c r="H9" i="24"/>
  <c r="D51" i="14"/>
  <c r="E51" i="14" s="1"/>
  <c r="K53" i="16"/>
  <c r="K8" i="24"/>
  <c r="K6" i="24"/>
  <c r="D88" i="14"/>
  <c r="E88" i="14" s="1"/>
  <c r="C126" i="5"/>
  <c r="E126" i="5" s="1"/>
  <c r="F126" i="5" s="1"/>
  <c r="D16" i="14"/>
  <c r="E16" i="14" s="1"/>
  <c r="D39" i="14"/>
  <c r="E39" i="14" s="1"/>
  <c r="D78" i="14"/>
  <c r="E78" i="14" s="1"/>
  <c r="I52" i="16"/>
  <c r="I53" i="16" s="1"/>
  <c r="E136" i="5"/>
  <c r="F136" i="5" s="1"/>
  <c r="D38" i="14"/>
  <c r="E38" i="14" s="1"/>
  <c r="D79" i="14"/>
  <c r="E79" i="14" s="1"/>
  <c r="H79" i="9"/>
  <c r="I79" i="9" s="1"/>
  <c r="I60" i="16"/>
  <c r="C117" i="3"/>
  <c r="C117" i="5"/>
  <c r="E117" i="5" s="1"/>
  <c r="F117" i="5" s="1"/>
  <c r="C129" i="5"/>
  <c r="C144" i="5"/>
  <c r="D148" i="1"/>
  <c r="E47" i="1"/>
  <c r="F47" i="1" s="1"/>
  <c r="B28" i="2"/>
  <c r="G9" i="24"/>
  <c r="E49" i="2"/>
  <c r="F49" i="2" s="1"/>
  <c r="C116" i="2"/>
  <c r="B133" i="2"/>
  <c r="E133" i="2" s="1"/>
  <c r="F133" i="2" s="1"/>
  <c r="E76" i="11"/>
  <c r="D81" i="11"/>
  <c r="E81" i="11" s="1"/>
  <c r="J15" i="16" s="1"/>
  <c r="D80" i="11"/>
  <c r="E80" i="11" s="1"/>
  <c r="C134" i="4"/>
  <c r="D62" i="14"/>
  <c r="E62" i="14" s="1"/>
  <c r="J10" i="24"/>
  <c r="E32" i="11"/>
  <c r="G47" i="1"/>
  <c r="D110" i="1"/>
  <c r="D112" i="1" s="1"/>
  <c r="D114" i="1" s="1"/>
  <c r="D70" i="14"/>
  <c r="E70" i="14" s="1"/>
  <c r="E66" i="3"/>
  <c r="E72" i="3"/>
  <c r="D40" i="14"/>
  <c r="E40" i="14" s="1"/>
  <c r="D44" i="5"/>
  <c r="E46" i="2"/>
  <c r="F46" i="2" s="1"/>
  <c r="D6" i="10"/>
  <c r="E6" i="10" s="1"/>
  <c r="K57" i="16" s="1"/>
  <c r="D30" i="10"/>
  <c r="E30" i="10" s="1"/>
  <c r="E113" i="3"/>
  <c r="E128" i="3"/>
  <c r="D118" i="5"/>
  <c r="D141" i="5"/>
  <c r="D138" i="2"/>
  <c r="E61" i="10"/>
  <c r="H15" i="9"/>
  <c r="I15" i="9" s="1"/>
  <c r="D135" i="1"/>
  <c r="D137" i="1" s="1"/>
  <c r="D45" i="10"/>
  <c r="E45" i="10" s="1"/>
  <c r="D76" i="14"/>
  <c r="E76" i="14" s="1"/>
  <c r="D132" i="1"/>
  <c r="N51" i="3"/>
  <c r="P51" i="3" s="1"/>
  <c r="O41" i="3"/>
  <c r="I95" i="6"/>
  <c r="J95" i="6" s="1"/>
  <c r="C146" i="5"/>
  <c r="B72" i="14"/>
  <c r="L6" i="16" s="1"/>
  <c r="B116" i="4"/>
  <c r="D71" i="14"/>
  <c r="E71" i="14" s="1"/>
  <c r="D114" i="4"/>
  <c r="E114" i="4" s="1"/>
  <c r="D89" i="14"/>
  <c r="E89" i="14" s="1"/>
  <c r="H87" i="9"/>
  <c r="I87" i="9" s="1"/>
  <c r="H21" i="9"/>
  <c r="I21" i="9" s="1"/>
  <c r="H36" i="9"/>
  <c r="I36" i="9" s="1"/>
  <c r="H63" i="9"/>
  <c r="I63" i="9" s="1"/>
  <c r="C92" i="4"/>
  <c r="D92" i="5"/>
  <c r="H68" i="9"/>
  <c r="I68" i="9" s="1"/>
  <c r="H28" i="6"/>
  <c r="H122" i="6"/>
  <c r="E43" i="3"/>
  <c r="D81" i="5"/>
  <c r="D82" i="1"/>
  <c r="D125" i="1"/>
  <c r="E77" i="11"/>
  <c r="C81" i="11"/>
  <c r="D31" i="10"/>
  <c r="E31" i="10" s="1"/>
  <c r="C42" i="10"/>
  <c r="E75" i="10"/>
  <c r="H7" i="9"/>
  <c r="I7" i="9" s="1"/>
  <c r="G27" i="9"/>
  <c r="D33" i="14"/>
  <c r="E33" i="14" s="1"/>
  <c r="C44" i="14"/>
  <c r="E92" i="3"/>
  <c r="E138" i="3"/>
  <c r="D29" i="5"/>
  <c r="D66" i="5"/>
  <c r="D72" i="5"/>
  <c r="D130" i="5"/>
  <c r="D128" i="5"/>
  <c r="D135" i="2"/>
  <c r="D54" i="1"/>
  <c r="C44" i="11"/>
  <c r="D120" i="4"/>
  <c r="E120" i="4" s="1"/>
  <c r="C122" i="4"/>
  <c r="D109" i="5"/>
  <c r="E144" i="5"/>
  <c r="F144" i="5" s="1"/>
  <c r="D146" i="5"/>
  <c r="E9" i="2"/>
  <c r="F9" i="2" s="1"/>
  <c r="D28" i="2"/>
  <c r="D43" i="2"/>
  <c r="E48" i="2"/>
  <c r="F48" i="2" s="1"/>
  <c r="D53" i="2"/>
  <c r="D81" i="2"/>
  <c r="E10" i="1"/>
  <c r="F10" i="1" s="1"/>
  <c r="D29" i="1"/>
  <c r="D8" i="11"/>
  <c r="E8" i="11" s="1"/>
  <c r="J57" i="16" s="1"/>
  <c r="C29" i="11"/>
  <c r="C72" i="11"/>
  <c r="E69" i="11"/>
  <c r="D85" i="11"/>
  <c r="E85" i="11" s="1"/>
  <c r="C92" i="11"/>
  <c r="I46" i="9"/>
  <c r="G52" i="9"/>
  <c r="D10" i="14"/>
  <c r="E10" i="14" s="1"/>
  <c r="C29" i="14"/>
  <c r="D77" i="14"/>
  <c r="E77" i="14" s="1"/>
  <c r="C81" i="14"/>
  <c r="C52" i="10"/>
  <c r="C27" i="4"/>
  <c r="D30" i="4"/>
  <c r="E30" i="4" s="1"/>
  <c r="C42" i="4"/>
  <c r="G65" i="9"/>
  <c r="C66" i="11"/>
  <c r="C72" i="4"/>
  <c r="C66" i="4"/>
  <c r="C81" i="4"/>
  <c r="D123" i="5"/>
  <c r="H10" i="24"/>
  <c r="D73" i="1"/>
  <c r="E8" i="10"/>
  <c r="C27" i="10"/>
  <c r="G42" i="9"/>
  <c r="H31" i="9"/>
  <c r="I31" i="9" s="1"/>
  <c r="D48" i="14"/>
  <c r="E48" i="14" s="1"/>
  <c r="C54" i="14"/>
  <c r="C72" i="14"/>
  <c r="D69" i="14"/>
  <c r="E69" i="14" s="1"/>
  <c r="E121" i="3"/>
  <c r="E123" i="3" s="1"/>
  <c r="C92" i="14"/>
  <c r="E48" i="1"/>
  <c r="F48" i="1" s="1"/>
  <c r="G48" i="3"/>
  <c r="D135" i="5"/>
  <c r="C127" i="4"/>
  <c r="C54" i="11"/>
  <c r="I65" i="16"/>
  <c r="D95" i="10"/>
  <c r="D13" i="10"/>
  <c r="E13" i="10" s="1"/>
  <c r="D48" i="10"/>
  <c r="E48" i="10" s="1"/>
  <c r="K43" i="16"/>
  <c r="K42" i="16"/>
  <c r="D107" i="19"/>
  <c r="C15" i="31"/>
  <c r="C18" i="31"/>
  <c r="B19" i="6" s="1"/>
  <c r="C86" i="31"/>
  <c r="E9" i="24"/>
  <c r="F3" i="35"/>
  <c r="E249" i="19"/>
  <c r="F70" i="6" s="1"/>
  <c r="E40" i="5" l="1"/>
  <c r="F40" i="5" s="1"/>
  <c r="D228" i="19"/>
  <c r="O19" i="6"/>
  <c r="F12" i="40"/>
  <c r="D8" i="22"/>
  <c r="E64" i="1"/>
  <c r="F64" i="1" s="1"/>
  <c r="H22" i="16"/>
  <c r="E79" i="1"/>
  <c r="F79" i="1" s="1"/>
  <c r="E87" i="1"/>
  <c r="F87" i="1" s="1"/>
  <c r="H27" i="16" s="1"/>
  <c r="P42" i="3"/>
  <c r="E48" i="5"/>
  <c r="F48" i="5" s="1"/>
  <c r="F60" i="31"/>
  <c r="G60" i="31" s="1"/>
  <c r="F87" i="31"/>
  <c r="G87" i="31" s="1"/>
  <c r="F63" i="31"/>
  <c r="G63" i="31" s="1"/>
  <c r="F76" i="31"/>
  <c r="G76" i="31" s="1"/>
  <c r="E39" i="1"/>
  <c r="F39" i="1" s="1"/>
  <c r="E8" i="1"/>
  <c r="F8" i="1" s="1"/>
  <c r="E23" i="1"/>
  <c r="F23" i="1" s="1"/>
  <c r="E43" i="1"/>
  <c r="F43" i="1" s="1"/>
  <c r="E25" i="1"/>
  <c r="F25" i="1" s="1"/>
  <c r="H60" i="16"/>
  <c r="E28" i="1"/>
  <c r="F28" i="1" s="1"/>
  <c r="E51" i="1"/>
  <c r="E15" i="1"/>
  <c r="F15" i="1" s="1"/>
  <c r="E78" i="1"/>
  <c r="F78" i="1" s="1"/>
  <c r="F23" i="31"/>
  <c r="G23" i="31" s="1"/>
  <c r="O8" i="37"/>
  <c r="O10" i="37" s="1"/>
  <c r="F37" i="31"/>
  <c r="G37" i="31" s="1"/>
  <c r="F13" i="31"/>
  <c r="G13" i="31" s="1"/>
  <c r="F6" i="31"/>
  <c r="G6" i="31" s="1"/>
  <c r="F39" i="31"/>
  <c r="G39" i="31" s="1"/>
  <c r="F35" i="31"/>
  <c r="G35" i="31" s="1"/>
  <c r="D69" i="16" s="1"/>
  <c r="AK7" i="3"/>
  <c r="F4" i="37"/>
  <c r="F5" i="37" s="1"/>
  <c r="E15" i="5"/>
  <c r="F15" i="5" s="1"/>
  <c r="E25" i="5"/>
  <c r="F25" i="5" s="1"/>
  <c r="F64" i="16"/>
  <c r="E41" i="5"/>
  <c r="F41" i="5" s="1"/>
  <c r="F24" i="31"/>
  <c r="G24" i="31" s="1"/>
  <c r="D60" i="16"/>
  <c r="F60" i="16"/>
  <c r="E37" i="5"/>
  <c r="E26" i="5"/>
  <c r="F26" i="5" s="1"/>
  <c r="E39" i="5"/>
  <c r="F39" i="5" s="1"/>
  <c r="E43" i="5"/>
  <c r="F43" i="5" s="1"/>
  <c r="F41" i="31"/>
  <c r="G41" i="31" s="1"/>
  <c r="B3" i="1"/>
  <c r="C3" i="1" s="1"/>
  <c r="C59" i="1" s="1"/>
  <c r="B2" i="4"/>
  <c r="B2" i="31" s="1"/>
  <c r="E11" i="1"/>
  <c r="F11" i="1" s="1"/>
  <c r="D244" i="19"/>
  <c r="D81" i="6" s="1"/>
  <c r="J8" i="24"/>
  <c r="E71" i="5"/>
  <c r="F71" i="5" s="1"/>
  <c r="E70" i="5"/>
  <c r="F70" i="5" s="1"/>
  <c r="E69" i="5"/>
  <c r="F69" i="5" s="1"/>
  <c r="B56" i="2"/>
  <c r="F18" i="31"/>
  <c r="G18" i="31" s="1"/>
  <c r="D81" i="36"/>
  <c r="E81" i="36" s="1"/>
  <c r="M14" i="16"/>
  <c r="D72" i="36"/>
  <c r="E72" i="36" s="1"/>
  <c r="M6" i="16"/>
  <c r="M84" i="16"/>
  <c r="D58" i="5"/>
  <c r="D2" i="31"/>
  <c r="D57" i="31" s="1"/>
  <c r="E18" i="5"/>
  <c r="F18" i="5" s="1"/>
  <c r="H4" i="37"/>
  <c r="E63" i="29"/>
  <c r="E38" i="5"/>
  <c r="F38" i="5" s="1"/>
  <c r="H8" i="37"/>
  <c r="G4" i="37"/>
  <c r="G5" i="37" s="1"/>
  <c r="G8" i="37"/>
  <c r="G10" i="37" s="1"/>
  <c r="E49" i="19"/>
  <c r="F22" i="6" s="1"/>
  <c r="B2" i="3"/>
  <c r="C2" i="3" s="1"/>
  <c r="C102" i="3" s="1"/>
  <c r="AK102" i="3" s="1"/>
  <c r="B3" i="21"/>
  <c r="B58" i="21" s="1"/>
  <c r="E31" i="2"/>
  <c r="F31" i="2" s="1"/>
  <c r="B31" i="6"/>
  <c r="G31" i="6" s="1"/>
  <c r="E33" i="2"/>
  <c r="F33" i="2" s="1"/>
  <c r="F74" i="31"/>
  <c r="G74" i="31" s="1"/>
  <c r="F33" i="31"/>
  <c r="G33" i="31" s="1"/>
  <c r="B34" i="6"/>
  <c r="D7" i="16"/>
  <c r="D22" i="16"/>
  <c r="F86" i="31"/>
  <c r="G86" i="31" s="1"/>
  <c r="F67" i="31"/>
  <c r="G67" i="31" s="1"/>
  <c r="F20" i="31"/>
  <c r="G20" i="31" s="1"/>
  <c r="F19" i="31"/>
  <c r="G19" i="31" s="1"/>
  <c r="F40" i="31"/>
  <c r="G40" i="31" s="1"/>
  <c r="F51" i="31"/>
  <c r="G51" i="31" s="1"/>
  <c r="F61" i="31"/>
  <c r="G61" i="31" s="1"/>
  <c r="F88" i="31"/>
  <c r="G88" i="31" s="1"/>
  <c r="F22" i="31"/>
  <c r="G22" i="31" s="1"/>
  <c r="B23" i="6"/>
  <c r="G23" i="6" s="1"/>
  <c r="F15" i="31"/>
  <c r="G15" i="31" s="1"/>
  <c r="F36" i="31"/>
  <c r="G36" i="31" s="1"/>
  <c r="F25" i="31"/>
  <c r="G25" i="31" s="1"/>
  <c r="J20" i="24"/>
  <c r="D2" i="3"/>
  <c r="AK116" i="3"/>
  <c r="H71" i="9"/>
  <c r="I71" i="9" s="1"/>
  <c r="D43" i="36"/>
  <c r="E43" i="36" s="1"/>
  <c r="D92" i="36"/>
  <c r="E92" i="36" s="1"/>
  <c r="B73" i="36"/>
  <c r="C139" i="5"/>
  <c r="J31" i="24"/>
  <c r="J33" i="24" s="1"/>
  <c r="K23" i="24"/>
  <c r="K28" i="24" s="1"/>
  <c r="J28" i="24" s="1"/>
  <c r="J30" i="24" s="1"/>
  <c r="C130" i="5"/>
  <c r="F87" i="16" s="1"/>
  <c r="J6" i="24"/>
  <c r="E37" i="2"/>
  <c r="F37" i="2" s="1"/>
  <c r="E132" i="1"/>
  <c r="F132" i="1" s="1"/>
  <c r="D54" i="11"/>
  <c r="E54" i="11" s="1"/>
  <c r="J81" i="16" s="1"/>
  <c r="F8" i="3"/>
  <c r="G8" i="3" s="1"/>
  <c r="C123" i="5"/>
  <c r="G113" i="6"/>
  <c r="G115" i="6" s="1"/>
  <c r="G117" i="6" s="1"/>
  <c r="I117" i="6" s="1"/>
  <c r="J117" i="6" s="1"/>
  <c r="D56" i="5"/>
  <c r="F69" i="16"/>
  <c r="B3" i="36"/>
  <c r="G54" i="9"/>
  <c r="G55" i="9" s="1"/>
  <c r="E16" i="5"/>
  <c r="F16" i="5" s="1"/>
  <c r="F61" i="16" s="1"/>
  <c r="E121" i="5"/>
  <c r="F121" i="5" s="1"/>
  <c r="D107" i="4"/>
  <c r="E107" i="4" s="1"/>
  <c r="H74" i="6"/>
  <c r="H83" i="6" s="1"/>
  <c r="H94" i="6" s="1"/>
  <c r="H96" i="6" s="1"/>
  <c r="H99" i="6" s="1"/>
  <c r="H101" i="6" s="1"/>
  <c r="H103" i="6" s="1"/>
  <c r="C108" i="31"/>
  <c r="C110" i="31" s="1"/>
  <c r="F6" i="24"/>
  <c r="J21" i="24"/>
  <c r="E21" i="5"/>
  <c r="F21" i="5" s="1"/>
  <c r="J14" i="24"/>
  <c r="K25" i="24"/>
  <c r="J25" i="24" s="1"/>
  <c r="J27" i="24" s="1"/>
  <c r="I70" i="19"/>
  <c r="D141" i="1"/>
  <c r="D143" i="1" s="1"/>
  <c r="F34" i="3"/>
  <c r="G34" i="3" s="1"/>
  <c r="F65" i="3"/>
  <c r="G65" i="3" s="1"/>
  <c r="D27" i="10"/>
  <c r="E27" i="10" s="1"/>
  <c r="K73" i="16" s="1"/>
  <c r="N96" i="16"/>
  <c r="N95" i="16" s="1"/>
  <c r="H65" i="9"/>
  <c r="I65" i="9" s="1"/>
  <c r="N3" i="16" s="1"/>
  <c r="D73" i="5"/>
  <c r="D82" i="5" s="1"/>
  <c r="D93" i="5" s="1"/>
  <c r="D74" i="1"/>
  <c r="D83" i="1" s="1"/>
  <c r="I95" i="16" s="1"/>
  <c r="C2" i="10"/>
  <c r="C57" i="10" s="1"/>
  <c r="B2" i="2"/>
  <c r="B58" i="2" s="1"/>
  <c r="G59" i="6"/>
  <c r="G106" i="6"/>
  <c r="F51" i="3"/>
  <c r="G51" i="3" s="1"/>
  <c r="AK51" i="3"/>
  <c r="D96" i="10"/>
  <c r="E96" i="10" s="1"/>
  <c r="F14" i="24"/>
  <c r="Q69" i="16"/>
  <c r="F13" i="3"/>
  <c r="G13" i="3" s="1"/>
  <c r="AK13" i="3"/>
  <c r="F17" i="3"/>
  <c r="G17" i="3" s="1"/>
  <c r="AK17" i="3"/>
  <c r="F21" i="3"/>
  <c r="G21" i="3" s="1"/>
  <c r="AK21" i="3"/>
  <c r="F26" i="3"/>
  <c r="G26" i="3" s="1"/>
  <c r="AK26" i="3"/>
  <c r="F39" i="3"/>
  <c r="G39" i="3" s="1"/>
  <c r="AK39" i="3"/>
  <c r="F52" i="3"/>
  <c r="G52" i="3" s="1"/>
  <c r="AK52" i="3"/>
  <c r="J2" i="16"/>
  <c r="N30" i="16"/>
  <c r="H91" i="9"/>
  <c r="I91" i="9" s="1"/>
  <c r="N35" i="16" s="1"/>
  <c r="D11" i="33"/>
  <c r="G18" i="33"/>
  <c r="D66" i="11"/>
  <c r="E66" i="11" s="1"/>
  <c r="J11" i="16" s="1"/>
  <c r="F88" i="16"/>
  <c r="C136" i="5"/>
  <c r="F9" i="3"/>
  <c r="G9" i="3" s="1"/>
  <c r="AK9" i="3"/>
  <c r="F18" i="3"/>
  <c r="G18" i="3" s="1"/>
  <c r="AK18" i="3"/>
  <c r="AK31" i="3"/>
  <c r="F31" i="3"/>
  <c r="G31" i="3" s="1"/>
  <c r="F35" i="3"/>
  <c r="G35" i="3" s="1"/>
  <c r="AK35" i="3"/>
  <c r="P52" i="3"/>
  <c r="G26" i="16"/>
  <c r="E86" i="2"/>
  <c r="F86" i="2" s="1"/>
  <c r="G27" i="16" s="1"/>
  <c r="E65" i="2"/>
  <c r="C66" i="2"/>
  <c r="E66" i="2" s="1"/>
  <c r="F66" i="2" s="1"/>
  <c r="G3" i="16" s="1"/>
  <c r="E2" i="3"/>
  <c r="E102" i="3" s="1"/>
  <c r="C100" i="4"/>
  <c r="C3" i="14"/>
  <c r="C58" i="14" s="1"/>
  <c r="D66" i="36"/>
  <c r="E66" i="36" s="1"/>
  <c r="D28" i="36"/>
  <c r="E28" i="36" s="1"/>
  <c r="B55" i="36"/>
  <c r="B56" i="36" s="1"/>
  <c r="D53" i="36"/>
  <c r="E53" i="36" s="1"/>
  <c r="C73" i="14"/>
  <c r="C82" i="14" s="1"/>
  <c r="C93" i="14" s="1"/>
  <c r="D58" i="2"/>
  <c r="F10" i="3"/>
  <c r="G10" i="3" s="1"/>
  <c r="AK10" i="3"/>
  <c r="E19" i="5"/>
  <c r="F19" i="5" s="1"/>
  <c r="C56" i="36"/>
  <c r="D55" i="2"/>
  <c r="D56" i="2" s="1"/>
  <c r="C56" i="11"/>
  <c r="F11" i="3"/>
  <c r="G11" i="3" s="1"/>
  <c r="F19" i="3"/>
  <c r="G19" i="3" s="1"/>
  <c r="AK19" i="3"/>
  <c r="F23" i="3"/>
  <c r="G23" i="3" s="1"/>
  <c r="AK23" i="3"/>
  <c r="D71" i="31"/>
  <c r="D80" i="31" s="1"/>
  <c r="D91" i="31" s="1"/>
  <c r="D93" i="31" s="1"/>
  <c r="D96" i="31" s="1"/>
  <c r="D98" i="31" s="1"/>
  <c r="D16" i="19"/>
  <c r="I74" i="19"/>
  <c r="I75" i="19" s="1"/>
  <c r="C73" i="11"/>
  <c r="C82" i="11" s="1"/>
  <c r="C93" i="11" s="1"/>
  <c r="C95" i="11" s="1"/>
  <c r="C98" i="11" s="1"/>
  <c r="F16" i="3"/>
  <c r="G16" i="3" s="1"/>
  <c r="AK16" i="3"/>
  <c r="F20" i="3"/>
  <c r="G20" i="3" s="1"/>
  <c r="AK20" i="3"/>
  <c r="F24" i="3"/>
  <c r="G24" i="3" s="1"/>
  <c r="AK24" i="3"/>
  <c r="F33" i="3"/>
  <c r="G33" i="3" s="1"/>
  <c r="AK33" i="3"/>
  <c r="F41" i="3"/>
  <c r="G41" i="3" s="1"/>
  <c r="AK41" i="3"/>
  <c r="F113" i="2"/>
  <c r="F52" i="16"/>
  <c r="K35" i="24"/>
  <c r="K37" i="24" s="1"/>
  <c r="H14" i="24"/>
  <c r="H19" i="24"/>
  <c r="D59" i="1"/>
  <c r="F86" i="16"/>
  <c r="F43" i="16"/>
  <c r="F68" i="16"/>
  <c r="E133" i="5"/>
  <c r="F133" i="5" s="1"/>
  <c r="E85" i="5"/>
  <c r="F85" i="5" s="1"/>
  <c r="F23" i="16" s="1"/>
  <c r="C128" i="5"/>
  <c r="E128" i="5" s="1"/>
  <c r="F128" i="5" s="1"/>
  <c r="E73" i="3"/>
  <c r="E82" i="3" s="1"/>
  <c r="E93" i="3" s="1"/>
  <c r="L19" i="24"/>
  <c r="L14" i="24"/>
  <c r="F46" i="3"/>
  <c r="G46" i="3" s="1"/>
  <c r="AK46" i="3"/>
  <c r="F47" i="3"/>
  <c r="G47" i="3" s="1"/>
  <c r="AK47" i="3"/>
  <c r="D73" i="3"/>
  <c r="D82" i="3" s="1"/>
  <c r="D93" i="3" s="1"/>
  <c r="D96" i="3" s="1"/>
  <c r="D99" i="3" s="1"/>
  <c r="F7" i="3"/>
  <c r="G7" i="3" s="1"/>
  <c r="E60" i="16"/>
  <c r="AK15" i="3"/>
  <c r="E64" i="16"/>
  <c r="AK32" i="3"/>
  <c r="F108" i="3"/>
  <c r="G108" i="3" s="1"/>
  <c r="AK108" i="3"/>
  <c r="F12" i="3"/>
  <c r="G12" i="3" s="1"/>
  <c r="AK12" i="3"/>
  <c r="F25" i="3"/>
  <c r="G25" i="3" s="1"/>
  <c r="AK25" i="3"/>
  <c r="F112" i="3"/>
  <c r="AK112" i="3"/>
  <c r="F117" i="3"/>
  <c r="G117" i="3" s="1"/>
  <c r="AK117" i="3"/>
  <c r="F36" i="3"/>
  <c r="G36" i="3" s="1"/>
  <c r="AK36" i="3"/>
  <c r="F110" i="3"/>
  <c r="G110" i="3" s="1"/>
  <c r="AK110" i="3"/>
  <c r="F22" i="3"/>
  <c r="G22" i="3" s="1"/>
  <c r="AK22" i="3"/>
  <c r="F40" i="3"/>
  <c r="G40" i="3" s="1"/>
  <c r="AK40" i="3"/>
  <c r="F42" i="3"/>
  <c r="G42" i="3" s="1"/>
  <c r="AK42" i="3"/>
  <c r="F107" i="3"/>
  <c r="G107" i="3" s="1"/>
  <c r="AK107" i="3"/>
  <c r="F79" i="3"/>
  <c r="G79" i="3" s="1"/>
  <c r="AK79" i="3"/>
  <c r="F70" i="3"/>
  <c r="G70" i="3" s="1"/>
  <c r="AK70" i="3"/>
  <c r="E25" i="24"/>
  <c r="E27" i="24" s="1"/>
  <c r="E115" i="31"/>
  <c r="D54" i="31"/>
  <c r="D55" i="31" s="1"/>
  <c r="D135" i="31"/>
  <c r="E135" i="31" s="1"/>
  <c r="D138" i="31"/>
  <c r="E138" i="31" s="1"/>
  <c r="D68" i="16"/>
  <c r="E31" i="24"/>
  <c r="E33" i="24" s="1"/>
  <c r="D33" i="24"/>
  <c r="C130" i="31"/>
  <c r="C132" i="31" s="1"/>
  <c r="C143" i="31"/>
  <c r="B108" i="31"/>
  <c r="B132" i="31"/>
  <c r="B135" i="31"/>
  <c r="K2" i="16"/>
  <c r="K14" i="16"/>
  <c r="K76" i="16"/>
  <c r="I42" i="10"/>
  <c r="H80" i="9"/>
  <c r="I80" i="9" s="1"/>
  <c r="N15" i="16" s="1"/>
  <c r="D92" i="11"/>
  <c r="E92" i="11" s="1"/>
  <c r="J35" i="16" s="1"/>
  <c r="E55" i="3"/>
  <c r="J14" i="16"/>
  <c r="J76" i="16"/>
  <c r="J72" i="16"/>
  <c r="J34" i="16"/>
  <c r="J30" i="16" s="1"/>
  <c r="J80" i="16"/>
  <c r="F10" i="24"/>
  <c r="E17" i="2"/>
  <c r="F17" i="2" s="1"/>
  <c r="D73" i="2"/>
  <c r="D82" i="2" s="1"/>
  <c r="D93" i="2" s="1"/>
  <c r="E136" i="2"/>
  <c r="F136" i="2" s="1"/>
  <c r="F31" i="24"/>
  <c r="G31" i="24" s="1"/>
  <c r="G33" i="24" s="1"/>
  <c r="F25" i="24"/>
  <c r="C118" i="2"/>
  <c r="G117" i="2" s="1"/>
  <c r="C133" i="2"/>
  <c r="C135" i="2" s="1"/>
  <c r="B135" i="2"/>
  <c r="F128" i="31"/>
  <c r="G128" i="31" s="1"/>
  <c r="F123" i="31"/>
  <c r="G123" i="31" s="1"/>
  <c r="D27" i="16"/>
  <c r="F114" i="31"/>
  <c r="G114" i="31" s="1"/>
  <c r="F68" i="31"/>
  <c r="G68" i="31" s="1"/>
  <c r="F14" i="31"/>
  <c r="G14" i="31" s="1"/>
  <c r="E8" i="35" s="1"/>
  <c r="D72" i="14"/>
  <c r="E72" i="14" s="1"/>
  <c r="C55" i="4"/>
  <c r="C56" i="4" s="1"/>
  <c r="E125" i="31"/>
  <c r="D52" i="10"/>
  <c r="E52" i="10" s="1"/>
  <c r="K81" i="16" s="1"/>
  <c r="D56" i="1"/>
  <c r="D57" i="1" s="1"/>
  <c r="D25" i="24"/>
  <c r="D27" i="24" s="1"/>
  <c r="D86" i="16"/>
  <c r="L10" i="24"/>
  <c r="L20" i="24"/>
  <c r="L9" i="24"/>
  <c r="E53" i="16"/>
  <c r="E52" i="16"/>
  <c r="F15" i="3"/>
  <c r="G15" i="3" s="1"/>
  <c r="E56" i="16"/>
  <c r="F16" i="31"/>
  <c r="G16" i="31" s="1"/>
  <c r="D52" i="16"/>
  <c r="D65" i="10"/>
  <c r="E65" i="10" s="1"/>
  <c r="D72" i="10"/>
  <c r="E72" i="10" s="1"/>
  <c r="D80" i="10"/>
  <c r="E80" i="10" s="1"/>
  <c r="C53" i="2"/>
  <c r="G53" i="16"/>
  <c r="G60" i="16"/>
  <c r="G52" i="16"/>
  <c r="F13" i="24"/>
  <c r="E32" i="2"/>
  <c r="F32" i="2" s="1"/>
  <c r="F21" i="24"/>
  <c r="C123" i="2"/>
  <c r="E123" i="2" s="1"/>
  <c r="F123" i="2" s="1"/>
  <c r="E121" i="2"/>
  <c r="F121" i="2" s="1"/>
  <c r="B138" i="2"/>
  <c r="E126" i="2"/>
  <c r="F126" i="2" s="1"/>
  <c r="G88" i="16"/>
  <c r="G84" i="16"/>
  <c r="C81" i="2"/>
  <c r="C136" i="2"/>
  <c r="C138" i="2" s="1"/>
  <c r="G86" i="16"/>
  <c r="C43" i="2"/>
  <c r="F111" i="2"/>
  <c r="E88" i="5"/>
  <c r="F88" i="5" s="1"/>
  <c r="F56" i="16"/>
  <c r="F57" i="16"/>
  <c r="C54" i="5"/>
  <c r="F80" i="16" s="1"/>
  <c r="F89" i="16"/>
  <c r="E139" i="5"/>
  <c r="F139" i="5" s="1"/>
  <c r="E9" i="1"/>
  <c r="F9" i="1" s="1"/>
  <c r="G127" i="6"/>
  <c r="I127" i="6" s="1"/>
  <c r="J127" i="6" s="1"/>
  <c r="H20" i="24"/>
  <c r="H6" i="24"/>
  <c r="H26" i="16"/>
  <c r="F32" i="3"/>
  <c r="G32" i="3" s="1"/>
  <c r="E86" i="1"/>
  <c r="F86" i="1" s="1"/>
  <c r="H23" i="16" s="1"/>
  <c r="E99" i="1"/>
  <c r="F99" i="1" s="1"/>
  <c r="E16" i="1"/>
  <c r="F16" i="1" s="1"/>
  <c r="H61" i="16" s="1"/>
  <c r="C109" i="3"/>
  <c r="AK109" i="3" s="1"/>
  <c r="E68" i="16"/>
  <c r="E64" i="5"/>
  <c r="F64" i="5" s="1"/>
  <c r="F9" i="31"/>
  <c r="G9" i="31" s="1"/>
  <c r="C27" i="31"/>
  <c r="E90" i="5"/>
  <c r="F90" i="5" s="1"/>
  <c r="K87" i="5"/>
  <c r="M87" i="5" s="1"/>
  <c r="C28" i="2"/>
  <c r="E22" i="2"/>
  <c r="F22" i="2" s="1"/>
  <c r="D53" i="16"/>
  <c r="K80" i="16"/>
  <c r="C118" i="5"/>
  <c r="E118" i="5" s="1"/>
  <c r="F118" i="5" s="1"/>
  <c r="G57" i="16"/>
  <c r="G56" i="16"/>
  <c r="G69" i="16"/>
  <c r="E35" i="2"/>
  <c r="F35" i="2" s="1"/>
  <c r="G68" i="16"/>
  <c r="E32" i="1"/>
  <c r="F32" i="1" s="1"/>
  <c r="E14" i="5"/>
  <c r="F14" i="5" s="1"/>
  <c r="F53" i="16"/>
  <c r="E11" i="5"/>
  <c r="F11" i="5" s="1"/>
  <c r="E78" i="2"/>
  <c r="F78" i="2" s="1"/>
  <c r="C29" i="5"/>
  <c r="E98" i="5"/>
  <c r="F98" i="5" s="1"/>
  <c r="F42" i="16"/>
  <c r="D57" i="16"/>
  <c r="D56" i="16"/>
  <c r="C34" i="31"/>
  <c r="B42" i="31"/>
  <c r="E10" i="24"/>
  <c r="B64" i="31"/>
  <c r="C62" i="31"/>
  <c r="F62" i="31" s="1"/>
  <c r="G62" i="31" s="1"/>
  <c r="C69" i="31"/>
  <c r="B70" i="31"/>
  <c r="B79" i="31"/>
  <c r="C77" i="31"/>
  <c r="B90" i="31"/>
  <c r="C89" i="31"/>
  <c r="F89" i="31" s="1"/>
  <c r="G89" i="31" s="1"/>
  <c r="D31" i="16" s="1"/>
  <c r="B120" i="31"/>
  <c r="C118" i="31"/>
  <c r="C120" i="31" s="1"/>
  <c r="C126" i="31"/>
  <c r="D19" i="24" s="1"/>
  <c r="E19" i="24"/>
  <c r="F126" i="31"/>
  <c r="G126" i="31" s="1"/>
  <c r="B127" i="31"/>
  <c r="E33" i="5"/>
  <c r="F33" i="5" s="1"/>
  <c r="C44" i="5"/>
  <c r="E44" i="5" s="1"/>
  <c r="F44" i="5" s="1"/>
  <c r="F77" i="16" s="1"/>
  <c r="K9" i="24"/>
  <c r="B54" i="5"/>
  <c r="C62" i="5"/>
  <c r="B66" i="5"/>
  <c r="C72" i="5"/>
  <c r="B81" i="5"/>
  <c r="C77" i="5"/>
  <c r="C86" i="5"/>
  <c r="B92" i="5"/>
  <c r="E107" i="5"/>
  <c r="F107" i="5" s="1"/>
  <c r="C70" i="2"/>
  <c r="C72" i="2" s="1"/>
  <c r="B72" i="2"/>
  <c r="C85" i="2"/>
  <c r="B92" i="2"/>
  <c r="B130" i="2"/>
  <c r="C37" i="3"/>
  <c r="K72" i="16"/>
  <c r="K84" i="16"/>
  <c r="K26" i="16"/>
  <c r="C41" i="1"/>
  <c r="D9" i="24"/>
  <c r="B27" i="31"/>
  <c r="D116" i="4"/>
  <c r="E116" i="4" s="1"/>
  <c r="E146" i="5"/>
  <c r="F146" i="5" s="1"/>
  <c r="E8" i="5"/>
  <c r="F8" i="5" s="1"/>
  <c r="C133" i="5"/>
  <c r="C118" i="3"/>
  <c r="G121" i="6"/>
  <c r="E57" i="16"/>
  <c r="B44" i="5"/>
  <c r="D64" i="16"/>
  <c r="F31" i="31"/>
  <c r="G31" i="31" s="1"/>
  <c r="D23" i="16"/>
  <c r="F83" i="31"/>
  <c r="G83" i="31" s="1"/>
  <c r="C85" i="31"/>
  <c r="D108" i="4"/>
  <c r="E108" i="4" s="1"/>
  <c r="B109" i="4"/>
  <c r="D22" i="4"/>
  <c r="E22" i="4" s="1"/>
  <c r="F94" i="31"/>
  <c r="G94" i="31" s="1"/>
  <c r="F75" i="31"/>
  <c r="G75" i="31" s="1"/>
  <c r="D15" i="16"/>
  <c r="E23" i="5"/>
  <c r="F23" i="5" s="1"/>
  <c r="C115" i="31"/>
  <c r="F113" i="31"/>
  <c r="G113" i="31" s="1"/>
  <c r="C125" i="31"/>
  <c r="E35" i="24"/>
  <c r="E37" i="24" s="1"/>
  <c r="D37" i="24"/>
  <c r="D26" i="16"/>
  <c r="F107" i="31"/>
  <c r="G107" i="31" s="1"/>
  <c r="D82" i="11"/>
  <c r="E82" i="11" s="1"/>
  <c r="J19" i="16" s="1"/>
  <c r="D44" i="11"/>
  <c r="E44" i="11" s="1"/>
  <c r="J77" i="16" s="1"/>
  <c r="J84" i="16"/>
  <c r="D29" i="11"/>
  <c r="E29" i="11" s="1"/>
  <c r="J73" i="16" s="1"/>
  <c r="E72" i="11"/>
  <c r="C73" i="4"/>
  <c r="C82" i="4" s="1"/>
  <c r="C93" i="4" s="1"/>
  <c r="C95" i="4" s="1"/>
  <c r="C98" i="4" s="1"/>
  <c r="G72" i="9"/>
  <c r="G81" i="9" s="1"/>
  <c r="G92" i="9" s="1"/>
  <c r="C56" i="14"/>
  <c r="D57" i="14" s="1"/>
  <c r="C54" i="10"/>
  <c r="E127" i="31"/>
  <c r="H56" i="6"/>
  <c r="H57" i="6" s="1"/>
  <c r="F143" i="31"/>
  <c r="D55" i="3"/>
  <c r="D56" i="3" s="1"/>
  <c r="F133" i="31"/>
  <c r="G133" i="31" s="1"/>
  <c r="D42" i="10"/>
  <c r="E42" i="10" s="1"/>
  <c r="K77" i="16" s="1"/>
  <c r="D111" i="5"/>
  <c r="E135" i="2"/>
  <c r="F135" i="2" s="1"/>
  <c r="E6" i="35"/>
  <c r="F104" i="31"/>
  <c r="G104" i="31" s="1"/>
  <c r="E108" i="31"/>
  <c r="F106" i="31"/>
  <c r="G106" i="31" s="1"/>
  <c r="E120" i="31"/>
  <c r="E71" i="31"/>
  <c r="E130" i="31"/>
  <c r="E132" i="31" s="1"/>
  <c r="F130" i="31"/>
  <c r="G130" i="31" s="1"/>
  <c r="G2" i="9"/>
  <c r="G57" i="9" s="1"/>
  <c r="C27" i="1"/>
  <c r="H37" i="24"/>
  <c r="C38" i="1"/>
  <c r="C81" i="1"/>
  <c r="E113" i="1"/>
  <c r="F113" i="1" s="1"/>
  <c r="E35" i="1"/>
  <c r="F35" i="1" s="1"/>
  <c r="H89" i="16"/>
  <c r="C141" i="1"/>
  <c r="H28" i="24"/>
  <c r="C14" i="1"/>
  <c r="C18" i="1"/>
  <c r="C22" i="1"/>
  <c r="B21" i="6" s="1"/>
  <c r="C34" i="1"/>
  <c r="B33" i="6" s="1"/>
  <c r="G33" i="6" s="1"/>
  <c r="C42" i="1"/>
  <c r="B41" i="6" s="1"/>
  <c r="C53" i="1"/>
  <c r="B52" i="6" s="1"/>
  <c r="G52" i="6" s="1"/>
  <c r="C66" i="1"/>
  <c r="B66" i="6" s="1"/>
  <c r="C77" i="1"/>
  <c r="E89" i="1"/>
  <c r="F89" i="1" s="1"/>
  <c r="C117" i="1"/>
  <c r="G120" i="6" s="1"/>
  <c r="C128" i="1"/>
  <c r="I8" i="24"/>
  <c r="C17" i="1"/>
  <c r="C26" i="1"/>
  <c r="C52" i="1"/>
  <c r="C72" i="1"/>
  <c r="C88" i="1"/>
  <c r="C131" i="1"/>
  <c r="E131" i="1" s="1"/>
  <c r="F131" i="1" s="1"/>
  <c r="C123" i="1"/>
  <c r="E63" i="1"/>
  <c r="F63" i="1" s="1"/>
  <c r="C13" i="1"/>
  <c r="C21" i="1"/>
  <c r="B20" i="6" s="1"/>
  <c r="C33" i="1"/>
  <c r="C37" i="1"/>
  <c r="I10" i="24"/>
  <c r="C80" i="1"/>
  <c r="C92" i="1"/>
  <c r="C148" i="1"/>
  <c r="E148" i="1" s="1"/>
  <c r="F148" i="1" s="1"/>
  <c r="D39" i="6" l="1"/>
  <c r="E229" i="19"/>
  <c r="E29" i="5"/>
  <c r="F29" i="5" s="1"/>
  <c r="H5" i="37"/>
  <c r="H10" i="37"/>
  <c r="E12" i="40"/>
  <c r="F15" i="40"/>
  <c r="B58" i="3"/>
  <c r="AH58" i="3" s="1"/>
  <c r="G14" i="16"/>
  <c r="B102" i="3"/>
  <c r="B80" i="6"/>
  <c r="B58" i="4"/>
  <c r="B32" i="6"/>
  <c r="E41" i="1"/>
  <c r="F41" i="1" s="1"/>
  <c r="C143" i="1"/>
  <c r="E143" i="1" s="1"/>
  <c r="F143" i="1" s="1"/>
  <c r="E18" i="24"/>
  <c r="D18" i="24" s="1"/>
  <c r="D23" i="24" s="1"/>
  <c r="D28" i="24" s="1"/>
  <c r="D30" i="24" s="1"/>
  <c r="B73" i="5"/>
  <c r="B82" i="5" s="1"/>
  <c r="B93" i="5" s="1"/>
  <c r="B96" i="5" s="1"/>
  <c r="I320" i="19"/>
  <c r="I321" i="19"/>
  <c r="C5" i="39"/>
  <c r="C58" i="3"/>
  <c r="AK58" i="3" s="1"/>
  <c r="E245" i="19"/>
  <c r="N87" i="5"/>
  <c r="F31" i="16" s="1"/>
  <c r="B56" i="5"/>
  <c r="B57" i="5" s="1"/>
  <c r="D99" i="31"/>
  <c r="E2" i="31"/>
  <c r="E57" i="31" s="1"/>
  <c r="G80" i="16"/>
  <c r="C55" i="2"/>
  <c r="C56" i="2" s="1"/>
  <c r="I23" i="6"/>
  <c r="J23" i="6" s="1"/>
  <c r="J18" i="24"/>
  <c r="J23" i="24" s="1"/>
  <c r="I78" i="19"/>
  <c r="B15" i="24" s="1"/>
  <c r="B111" i="4"/>
  <c r="B82" i="36"/>
  <c r="M18" i="16" s="1"/>
  <c r="M93" i="16" s="1"/>
  <c r="M10" i="16"/>
  <c r="I121" i="6"/>
  <c r="J121" i="6" s="1"/>
  <c r="E8" i="37"/>
  <c r="E86" i="29"/>
  <c r="B17" i="6"/>
  <c r="E4" i="37"/>
  <c r="Q4" i="37" s="1"/>
  <c r="Q5" i="37" s="1"/>
  <c r="AK37" i="3"/>
  <c r="F8" i="37"/>
  <c r="F10" i="37" s="1"/>
  <c r="I71" i="19"/>
  <c r="C55" i="10"/>
  <c r="H18" i="24"/>
  <c r="B37" i="6"/>
  <c r="B26" i="6"/>
  <c r="G26" i="6" s="1"/>
  <c r="F77" i="31"/>
  <c r="G77" i="31" s="1"/>
  <c r="C52" i="31"/>
  <c r="E52" i="31"/>
  <c r="E54" i="31" s="1"/>
  <c r="E55" i="31" s="1"/>
  <c r="F45" i="31"/>
  <c r="G45" i="31" s="1"/>
  <c r="D102" i="3"/>
  <c r="D58" i="3"/>
  <c r="E58" i="3"/>
  <c r="K31" i="24"/>
  <c r="K33" i="24" s="1"/>
  <c r="E130" i="5"/>
  <c r="F130" i="5" s="1"/>
  <c r="D73" i="36"/>
  <c r="E73" i="36" s="1"/>
  <c r="B58" i="36"/>
  <c r="M58" i="36" s="1"/>
  <c r="N58" i="36" s="1"/>
  <c r="M3" i="36"/>
  <c r="N3" i="36" s="1"/>
  <c r="C141" i="5"/>
  <c r="C135" i="5"/>
  <c r="C138" i="5"/>
  <c r="I115" i="6"/>
  <c r="J115" i="6" s="1"/>
  <c r="I113" i="6"/>
  <c r="J113" i="6" s="1"/>
  <c r="D56" i="11"/>
  <c r="E56" i="11" s="1"/>
  <c r="C57" i="11"/>
  <c r="B3" i="14"/>
  <c r="B58" i="14" s="1"/>
  <c r="E138" i="5"/>
  <c r="F138" i="5" s="1"/>
  <c r="E56" i="3"/>
  <c r="E57" i="3"/>
  <c r="C2" i="2"/>
  <c r="C58" i="2" s="1"/>
  <c r="B102" i="2"/>
  <c r="K27" i="24"/>
  <c r="E118" i="2"/>
  <c r="F118" i="2" s="1"/>
  <c r="K10" i="16"/>
  <c r="E7" i="35"/>
  <c r="I96" i="16"/>
  <c r="E141" i="1"/>
  <c r="F141" i="1" s="1"/>
  <c r="B103" i="1"/>
  <c r="B3" i="11"/>
  <c r="B2" i="10" s="1"/>
  <c r="B57" i="10" s="1"/>
  <c r="B59" i="1"/>
  <c r="D94" i="1"/>
  <c r="D97" i="1" s="1"/>
  <c r="D100" i="1" s="1"/>
  <c r="J3" i="16"/>
  <c r="G2" i="16"/>
  <c r="F33" i="24"/>
  <c r="C73" i="2"/>
  <c r="G10" i="16" s="1"/>
  <c r="E53" i="2"/>
  <c r="F53" i="2" s="1"/>
  <c r="G81" i="16" s="1"/>
  <c r="E141" i="5"/>
  <c r="F141" i="5" s="1"/>
  <c r="D61" i="16"/>
  <c r="D73" i="11"/>
  <c r="E73" i="11" s="1"/>
  <c r="G91" i="10"/>
  <c r="G93" i="10" s="1"/>
  <c r="L96" i="16"/>
  <c r="L95" i="16" s="1"/>
  <c r="F115" i="31"/>
  <c r="G115" i="31" s="1"/>
  <c r="B102" i="5"/>
  <c r="C102" i="5" s="1"/>
  <c r="B58" i="5"/>
  <c r="C3" i="5"/>
  <c r="C58" i="5" s="1"/>
  <c r="B100" i="4"/>
  <c r="F135" i="31"/>
  <c r="G135" i="31" s="1"/>
  <c r="D55" i="36"/>
  <c r="E55" i="36" s="1"/>
  <c r="J10" i="16"/>
  <c r="E11" i="33"/>
  <c r="K30" i="24"/>
  <c r="E135" i="5"/>
  <c r="F135" i="5" s="1"/>
  <c r="L18" i="24"/>
  <c r="F118" i="3"/>
  <c r="G118" i="3" s="1"/>
  <c r="AK118" i="3"/>
  <c r="F132" i="31"/>
  <c r="G132" i="31" s="1"/>
  <c r="F125" i="31"/>
  <c r="G125" i="31" s="1"/>
  <c r="C79" i="31"/>
  <c r="D14" i="16" s="1"/>
  <c r="C135" i="31"/>
  <c r="B110" i="31"/>
  <c r="B136" i="31"/>
  <c r="B138" i="31" s="1"/>
  <c r="K96" i="16"/>
  <c r="K95" i="16" s="1"/>
  <c r="J96" i="16"/>
  <c r="J95" i="16" s="1"/>
  <c r="J18" i="16"/>
  <c r="F27" i="24"/>
  <c r="E138" i="2"/>
  <c r="F138" i="2" s="1"/>
  <c r="B73" i="2"/>
  <c r="F120" i="31"/>
  <c r="G120" i="31" s="1"/>
  <c r="F118" i="31"/>
  <c r="G118" i="31" s="1"/>
  <c r="C64" i="31"/>
  <c r="D2" i="16" s="1"/>
  <c r="E54" i="5"/>
  <c r="F54" i="5" s="1"/>
  <c r="F81" i="16" s="1"/>
  <c r="E9" i="35"/>
  <c r="E61" i="16"/>
  <c r="D54" i="10"/>
  <c r="E54" i="10" s="1"/>
  <c r="F6" i="35"/>
  <c r="G65" i="16"/>
  <c r="E43" i="2"/>
  <c r="F43" i="2" s="1"/>
  <c r="G77" i="16" s="1"/>
  <c r="G76" i="16"/>
  <c r="E81" i="2"/>
  <c r="F81" i="2" s="1"/>
  <c r="G15" i="16" s="1"/>
  <c r="E65" i="16"/>
  <c r="F9" i="35"/>
  <c r="E5" i="35"/>
  <c r="C111" i="3"/>
  <c r="AK111" i="3" s="1"/>
  <c r="F109" i="3"/>
  <c r="G109" i="3" s="1"/>
  <c r="D109" i="4"/>
  <c r="E109" i="4" s="1"/>
  <c r="G22" i="16"/>
  <c r="E85" i="2"/>
  <c r="F85" i="2" s="1"/>
  <c r="G23" i="16" s="1"/>
  <c r="C92" i="2"/>
  <c r="E62" i="5"/>
  <c r="F62" i="5" s="1"/>
  <c r="C66" i="5"/>
  <c r="F69" i="31"/>
  <c r="G69" i="31" s="1"/>
  <c r="C70" i="31"/>
  <c r="B71" i="31"/>
  <c r="F34" i="31"/>
  <c r="G34" i="31" s="1"/>
  <c r="F8" i="35"/>
  <c r="D65" i="16"/>
  <c r="F84" i="16"/>
  <c r="E38" i="1"/>
  <c r="F38" i="1" s="1"/>
  <c r="F85" i="31"/>
  <c r="G85" i="31" s="1"/>
  <c r="C90" i="31"/>
  <c r="F19" i="24"/>
  <c r="G18" i="24"/>
  <c r="G23" i="24" s="1"/>
  <c r="G25" i="24" s="1"/>
  <c r="G27" i="24" s="1"/>
  <c r="E70" i="2"/>
  <c r="F70" i="2" s="1"/>
  <c r="E86" i="5"/>
  <c r="F86" i="5" s="1"/>
  <c r="F27" i="16" s="1"/>
  <c r="F26" i="16"/>
  <c r="C92" i="5"/>
  <c r="F6" i="16"/>
  <c r="E72" i="5"/>
  <c r="F72" i="5" s="1"/>
  <c r="F7" i="16" s="1"/>
  <c r="D10" i="24"/>
  <c r="D91" i="10"/>
  <c r="K34" i="16"/>
  <c r="K30" i="16" s="1"/>
  <c r="B139" i="2"/>
  <c r="C130" i="2"/>
  <c r="F65" i="16"/>
  <c r="F7" i="35"/>
  <c r="C127" i="31"/>
  <c r="D87" i="16" s="1"/>
  <c r="C42" i="31"/>
  <c r="G6" i="16"/>
  <c r="E72" i="2"/>
  <c r="F72" i="2" s="1"/>
  <c r="G7" i="16" s="1"/>
  <c r="F37" i="3"/>
  <c r="G37" i="3" s="1"/>
  <c r="E109" i="5"/>
  <c r="F109" i="5" s="1"/>
  <c r="C81" i="5"/>
  <c r="E77" i="5"/>
  <c r="F77" i="5" s="1"/>
  <c r="C56" i="5"/>
  <c r="C57" i="5" s="1"/>
  <c r="F76" i="16"/>
  <c r="B54" i="31"/>
  <c r="B55" i="31" s="1"/>
  <c r="F72" i="16"/>
  <c r="G72" i="16"/>
  <c r="E28" i="2"/>
  <c r="F28" i="2" s="1"/>
  <c r="D72" i="16"/>
  <c r="F27" i="31"/>
  <c r="G27" i="31" s="1"/>
  <c r="H81" i="9"/>
  <c r="I81" i="9" s="1"/>
  <c r="N19" i="16" s="1"/>
  <c r="H72" i="9"/>
  <c r="I72" i="9" s="1"/>
  <c r="N11" i="16" s="1"/>
  <c r="D96" i="5"/>
  <c r="E80" i="31"/>
  <c r="D113" i="5"/>
  <c r="C95" i="14"/>
  <c r="D7" i="35"/>
  <c r="F73" i="16"/>
  <c r="D96" i="2"/>
  <c r="E110" i="31"/>
  <c r="F110" i="31" s="1"/>
  <c r="G110" i="31" s="1"/>
  <c r="F108" i="31"/>
  <c r="G108" i="31" s="1"/>
  <c r="G94" i="9"/>
  <c r="E96" i="3"/>
  <c r="E27" i="1"/>
  <c r="F27" i="1" s="1"/>
  <c r="E81" i="1"/>
  <c r="F81" i="1" s="1"/>
  <c r="C54" i="1"/>
  <c r="E52" i="1"/>
  <c r="F52" i="1" s="1"/>
  <c r="E128" i="1"/>
  <c r="F128" i="1" s="1"/>
  <c r="H86" i="16"/>
  <c r="H8" i="24"/>
  <c r="E66" i="1"/>
  <c r="F66" i="1" s="1"/>
  <c r="E13" i="1"/>
  <c r="H56" i="16"/>
  <c r="H57" i="16"/>
  <c r="C29" i="1"/>
  <c r="C67" i="1"/>
  <c r="C73" i="1"/>
  <c r="H6" i="16" s="1"/>
  <c r="E72" i="1"/>
  <c r="H88" i="16"/>
  <c r="C138" i="1"/>
  <c r="E138" i="1" s="1"/>
  <c r="F138" i="1" s="1"/>
  <c r="H25" i="24"/>
  <c r="G41" i="6"/>
  <c r="E42" i="1"/>
  <c r="F42" i="1" s="1"/>
  <c r="E22" i="1"/>
  <c r="F22" i="1" s="1"/>
  <c r="G21" i="6"/>
  <c r="E14" i="1"/>
  <c r="F14" i="1" s="1"/>
  <c r="H52" i="16"/>
  <c r="H53" i="16"/>
  <c r="E21" i="1"/>
  <c r="F21" i="1" s="1"/>
  <c r="G20" i="6"/>
  <c r="E92" i="1"/>
  <c r="F92" i="1" s="1"/>
  <c r="E37" i="1"/>
  <c r="F37" i="1" s="1"/>
  <c r="H69" i="16"/>
  <c r="H68" i="16"/>
  <c r="H84" i="16"/>
  <c r="E88" i="1"/>
  <c r="F88" i="1" s="1"/>
  <c r="C93" i="1"/>
  <c r="E26" i="1"/>
  <c r="F26" i="1" s="1"/>
  <c r="C135" i="1"/>
  <c r="E135" i="1" s="1"/>
  <c r="F135" i="1" s="1"/>
  <c r="H31" i="24"/>
  <c r="E117" i="1"/>
  <c r="F117" i="1" s="1"/>
  <c r="E53" i="1"/>
  <c r="F53" i="1" s="1"/>
  <c r="I28" i="24"/>
  <c r="I30" i="24" s="1"/>
  <c r="H30" i="24"/>
  <c r="E80" i="1"/>
  <c r="F80" i="1" s="1"/>
  <c r="H64" i="16"/>
  <c r="C44" i="1"/>
  <c r="E33" i="1"/>
  <c r="E123" i="1"/>
  <c r="F123" i="1" s="1"/>
  <c r="G126" i="6"/>
  <c r="C119" i="1"/>
  <c r="E119" i="1" s="1"/>
  <c r="F119" i="1" s="1"/>
  <c r="C125" i="1"/>
  <c r="E125" i="1" s="1"/>
  <c r="F125" i="1" s="1"/>
  <c r="E109" i="1"/>
  <c r="F109" i="1" s="1"/>
  <c r="E17" i="1"/>
  <c r="F17" i="1" s="1"/>
  <c r="I23" i="24"/>
  <c r="E77" i="1"/>
  <c r="F77" i="1" s="1"/>
  <c r="C82" i="1"/>
  <c r="E34" i="1"/>
  <c r="F34" i="1" s="1"/>
  <c r="E18" i="1"/>
  <c r="F18" i="1" s="1"/>
  <c r="K33" i="19" l="1"/>
  <c r="K32" i="19"/>
  <c r="R4" i="37"/>
  <c r="Q8" i="37"/>
  <c r="R15" i="37" s="1"/>
  <c r="I32" i="22"/>
  <c r="I33" i="22" s="1"/>
  <c r="I34" i="22" s="1"/>
  <c r="I25" i="22"/>
  <c r="D276" i="19"/>
  <c r="J32" i="19" s="1"/>
  <c r="E23" i="24"/>
  <c r="E28" i="24" s="1"/>
  <c r="E30" i="24" s="1"/>
  <c r="B99" i="5"/>
  <c r="Q50" i="5" s="1"/>
  <c r="Q52" i="5" s="1"/>
  <c r="O97" i="5"/>
  <c r="E10" i="37"/>
  <c r="I322" i="19"/>
  <c r="E99" i="31"/>
  <c r="D84" i="16"/>
  <c r="B93" i="36"/>
  <c r="M38" i="16" s="1"/>
  <c r="D82" i="36"/>
  <c r="E82" i="36" s="1"/>
  <c r="I20" i="6"/>
  <c r="J20" i="6" s="1"/>
  <c r="I26" i="6"/>
  <c r="J26" i="6" s="1"/>
  <c r="M92" i="16"/>
  <c r="D111" i="4"/>
  <c r="E111" i="4" s="1"/>
  <c r="D110" i="4"/>
  <c r="E110" i="4" s="1"/>
  <c r="E91" i="10"/>
  <c r="K35" i="16" s="1"/>
  <c r="I41" i="6"/>
  <c r="J41" i="6" s="1"/>
  <c r="I21" i="6"/>
  <c r="J21" i="6" s="1"/>
  <c r="E5" i="37"/>
  <c r="F46" i="31"/>
  <c r="G46" i="31" s="1"/>
  <c r="C102" i="2"/>
  <c r="J92" i="16"/>
  <c r="D80" i="16"/>
  <c r="F52" i="31"/>
  <c r="G52" i="31" s="1"/>
  <c r="D81" i="16" s="1"/>
  <c r="I52" i="6"/>
  <c r="J52" i="6" s="1"/>
  <c r="J93" i="16"/>
  <c r="E55" i="2"/>
  <c r="F55" i="2" s="1"/>
  <c r="F2" i="9"/>
  <c r="B2" i="9" s="1"/>
  <c r="E2" i="9" s="1"/>
  <c r="B58" i="11"/>
  <c r="E73" i="2"/>
  <c r="F73" i="2" s="1"/>
  <c r="G11" i="16" s="1"/>
  <c r="C82" i="2"/>
  <c r="H81" i="2" s="1"/>
  <c r="C103" i="1"/>
  <c r="D3" i="16"/>
  <c r="B57" i="1"/>
  <c r="C2" i="31"/>
  <c r="C57" i="31" s="1"/>
  <c r="B99" i="31"/>
  <c r="B57" i="31"/>
  <c r="D19" i="16"/>
  <c r="F79" i="31"/>
  <c r="G79" i="31" s="1"/>
  <c r="C71" i="31"/>
  <c r="D11" i="16" s="1"/>
  <c r="C136" i="31"/>
  <c r="D89" i="16" s="1"/>
  <c r="F64" i="31"/>
  <c r="G64" i="31" s="1"/>
  <c r="F136" i="31"/>
  <c r="G136" i="31" s="1"/>
  <c r="D81" i="10"/>
  <c r="E81" i="10" s="1"/>
  <c r="K18" i="16"/>
  <c r="H92" i="9"/>
  <c r="I92" i="9" s="1"/>
  <c r="N92" i="16"/>
  <c r="N93" i="16"/>
  <c r="D93" i="11"/>
  <c r="J38" i="16"/>
  <c r="B82" i="2"/>
  <c r="I85" i="2" s="1"/>
  <c r="F111" i="3"/>
  <c r="G111" i="3" s="1"/>
  <c r="C113" i="3"/>
  <c r="F2" i="16"/>
  <c r="C73" i="5"/>
  <c r="C82" i="5" s="1"/>
  <c r="F95" i="16" s="1"/>
  <c r="E66" i="5"/>
  <c r="F66" i="5" s="1"/>
  <c r="F3" i="16" s="1"/>
  <c r="L55" i="5"/>
  <c r="E56" i="5"/>
  <c r="F56" i="5" s="1"/>
  <c r="E130" i="2"/>
  <c r="F130" i="2" s="1"/>
  <c r="G87" i="16"/>
  <c r="F18" i="24"/>
  <c r="F23" i="24" s="1"/>
  <c r="F127" i="31"/>
  <c r="G127" i="31" s="1"/>
  <c r="D73" i="16"/>
  <c r="D8" i="35"/>
  <c r="D34" i="16"/>
  <c r="D30" i="16" s="1"/>
  <c r="F90" i="31"/>
  <c r="G90" i="31" s="1"/>
  <c r="D35" i="16" s="1"/>
  <c r="B80" i="31"/>
  <c r="E81" i="5"/>
  <c r="F81" i="5" s="1"/>
  <c r="F15" i="16" s="1"/>
  <c r="F14" i="16"/>
  <c r="C138" i="31"/>
  <c r="F138" i="31"/>
  <c r="G138" i="31" s="1"/>
  <c r="D6" i="16"/>
  <c r="F70" i="31"/>
  <c r="G70" i="31" s="1"/>
  <c r="G73" i="16"/>
  <c r="D6" i="35"/>
  <c r="C113" i="5"/>
  <c r="E113" i="5" s="1"/>
  <c r="F113" i="5" s="1"/>
  <c r="E111" i="5"/>
  <c r="F111" i="5" s="1"/>
  <c r="D76" i="16"/>
  <c r="C54" i="31"/>
  <c r="C55" i="31" s="1"/>
  <c r="F42" i="31"/>
  <c r="G42" i="31" s="1"/>
  <c r="D77" i="16" s="1"/>
  <c r="F28" i="24"/>
  <c r="G89" i="16"/>
  <c r="C139" i="2"/>
  <c r="C141" i="2" s="1"/>
  <c r="E139" i="2"/>
  <c r="B141" i="2"/>
  <c r="F34" i="16"/>
  <c r="F30" i="16" s="1"/>
  <c r="E92" i="5"/>
  <c r="F92" i="5" s="1"/>
  <c r="F35" i="16" s="1"/>
  <c r="K55" i="5"/>
  <c r="E92" i="2"/>
  <c r="F92" i="2" s="1"/>
  <c r="G35" i="16" s="1"/>
  <c r="G34" i="16"/>
  <c r="G30" i="16" s="1"/>
  <c r="E91" i="31"/>
  <c r="D99" i="2"/>
  <c r="C98" i="14"/>
  <c r="E99" i="3"/>
  <c r="D99" i="5"/>
  <c r="H27" i="24"/>
  <c r="I25" i="24"/>
  <c r="I27" i="24" s="1"/>
  <c r="E67" i="1"/>
  <c r="H2" i="16"/>
  <c r="C74" i="1"/>
  <c r="H23" i="24"/>
  <c r="E82" i="1"/>
  <c r="F82" i="1" s="1"/>
  <c r="H15" i="16" s="1"/>
  <c r="H14" i="16"/>
  <c r="F13" i="1"/>
  <c r="E29" i="1"/>
  <c r="F29" i="1" s="1"/>
  <c r="E54" i="1"/>
  <c r="F54" i="1" s="1"/>
  <c r="H81" i="16" s="1"/>
  <c r="H80" i="16"/>
  <c r="F33" i="1"/>
  <c r="E44" i="1"/>
  <c r="F44" i="1" s="1"/>
  <c r="H77" i="16" s="1"/>
  <c r="H76" i="16"/>
  <c r="C56" i="1"/>
  <c r="E56" i="1" s="1"/>
  <c r="F56" i="1" s="1"/>
  <c r="H33" i="24"/>
  <c r="I31" i="24"/>
  <c r="I33" i="24" s="1"/>
  <c r="C137" i="1"/>
  <c r="E137" i="1" s="1"/>
  <c r="F137" i="1" s="1"/>
  <c r="F72" i="1"/>
  <c r="E73" i="1"/>
  <c r="F73" i="1" s="1"/>
  <c r="H7" i="16" s="1"/>
  <c r="H72" i="16"/>
  <c r="G122" i="6"/>
  <c r="I120" i="6"/>
  <c r="J120" i="6" s="1"/>
  <c r="I126" i="6"/>
  <c r="J126" i="6" s="1"/>
  <c r="E110" i="1"/>
  <c r="F110" i="1" s="1"/>
  <c r="E93" i="1"/>
  <c r="F93" i="1" s="1"/>
  <c r="H35" i="16" s="1"/>
  <c r="H34" i="16"/>
  <c r="C140" i="1"/>
  <c r="E140" i="1" s="1"/>
  <c r="F140" i="1" s="1"/>
  <c r="R8" i="37" l="1"/>
  <c r="D37" i="6"/>
  <c r="S8" i="37"/>
  <c r="K34" i="19"/>
  <c r="K11" i="24"/>
  <c r="D27" i="6"/>
  <c r="J33" i="19" s="1"/>
  <c r="J34" i="19" s="1"/>
  <c r="K12" i="24"/>
  <c r="J12" i="24" s="1"/>
  <c r="D28" i="6"/>
  <c r="J11" i="24"/>
  <c r="J15" i="24" s="1"/>
  <c r="B95" i="36"/>
  <c r="B98" i="36" s="1"/>
  <c r="B48" i="9"/>
  <c r="B13" i="9"/>
  <c r="D93" i="36"/>
  <c r="E93" i="36" s="1"/>
  <c r="E277" i="19"/>
  <c r="F48" i="6" s="1"/>
  <c r="M96" i="16"/>
  <c r="M95" i="16" s="1"/>
  <c r="B37" i="9"/>
  <c r="B42" i="9" s="1"/>
  <c r="B95" i="9"/>
  <c r="H94" i="9"/>
  <c r="I94" i="9" s="1"/>
  <c r="F57" i="9"/>
  <c r="L2" i="9"/>
  <c r="L57" i="9" s="1"/>
  <c r="E82" i="2"/>
  <c r="F82" i="2" s="1"/>
  <c r="G19" i="16" s="1"/>
  <c r="J85" i="2"/>
  <c r="C93" i="2"/>
  <c r="C96" i="2" s="1"/>
  <c r="G96" i="16"/>
  <c r="G18" i="16"/>
  <c r="G93" i="16" s="1"/>
  <c r="G95" i="16"/>
  <c r="C57" i="1"/>
  <c r="C99" i="31"/>
  <c r="D94" i="10"/>
  <c r="E94" i="10" s="1"/>
  <c r="F113" i="3"/>
  <c r="G113" i="3" s="1"/>
  <c r="AK113" i="3"/>
  <c r="D10" i="16"/>
  <c r="C80" i="31"/>
  <c r="D95" i="16" s="1"/>
  <c r="F71" i="31"/>
  <c r="G71" i="31" s="1"/>
  <c r="K93" i="16"/>
  <c r="K92" i="16"/>
  <c r="K19" i="16"/>
  <c r="K15" i="16"/>
  <c r="D92" i="10"/>
  <c r="E92" i="10" s="1"/>
  <c r="K38" i="16"/>
  <c r="K50" i="16" s="1"/>
  <c r="D95" i="11"/>
  <c r="E95" i="11" s="1"/>
  <c r="J39" i="16" s="1"/>
  <c r="E93" i="11"/>
  <c r="B93" i="2"/>
  <c r="M96" i="10"/>
  <c r="N94" i="10"/>
  <c r="F54" i="31"/>
  <c r="G54" i="31" s="1"/>
  <c r="F18" i="16"/>
  <c r="F93" i="16" s="1"/>
  <c r="C93" i="5"/>
  <c r="E82" i="5"/>
  <c r="F82" i="5" s="1"/>
  <c r="F19" i="16" s="1"/>
  <c r="B91" i="31"/>
  <c r="F139" i="2"/>
  <c r="E141" i="2"/>
  <c r="F141" i="2" s="1"/>
  <c r="F96" i="16"/>
  <c r="F30" i="24"/>
  <c r="G28" i="24"/>
  <c r="G30" i="24" s="1"/>
  <c r="F10" i="16"/>
  <c r="E73" i="5"/>
  <c r="F73" i="5" s="1"/>
  <c r="F11" i="16" s="1"/>
  <c r="E93" i="31"/>
  <c r="G97" i="9"/>
  <c r="F67" i="1"/>
  <c r="H3" i="16" s="1"/>
  <c r="E74" i="1"/>
  <c r="F74" i="1" s="1"/>
  <c r="H11" i="16" s="1"/>
  <c r="H65" i="16"/>
  <c r="F5" i="35"/>
  <c r="I122" i="6"/>
  <c r="J122" i="6" s="1"/>
  <c r="H30" i="16"/>
  <c r="C114" i="1"/>
  <c r="E114" i="1" s="1"/>
  <c r="F114" i="1" s="1"/>
  <c r="E112" i="1"/>
  <c r="F112" i="1" s="1"/>
  <c r="H73" i="16"/>
  <c r="D5" i="35"/>
  <c r="H10" i="16"/>
  <c r="C83" i="1"/>
  <c r="K15" i="24" l="1"/>
  <c r="F17" i="6"/>
  <c r="J321" i="19"/>
  <c r="D95" i="36"/>
  <c r="E95" i="36" s="1"/>
  <c r="E48" i="9"/>
  <c r="E52" i="9" s="1"/>
  <c r="B52" i="9"/>
  <c r="N80" i="16" s="1"/>
  <c r="O11" i="40"/>
  <c r="J320" i="19"/>
  <c r="D5" i="39"/>
  <c r="E95" i="9"/>
  <c r="B97" i="9"/>
  <c r="E97" i="9" s="1"/>
  <c r="H13" i="9"/>
  <c r="I13" i="9" s="1"/>
  <c r="N42" i="16"/>
  <c r="N50" i="16" s="1"/>
  <c r="D98" i="36"/>
  <c r="E98" i="36" s="1"/>
  <c r="M46" i="16"/>
  <c r="E37" i="9"/>
  <c r="E42" i="9" s="1"/>
  <c r="E13" i="9"/>
  <c r="E27" i="9" s="1"/>
  <c r="B27" i="9"/>
  <c r="N72" i="16" s="1"/>
  <c r="K39" i="16"/>
  <c r="G92" i="16"/>
  <c r="E93" i="2"/>
  <c r="F93" i="2" s="1"/>
  <c r="G6" i="35" s="1"/>
  <c r="D96" i="11"/>
  <c r="E96" i="11" s="1"/>
  <c r="E98" i="11" s="1"/>
  <c r="J47" i="16" s="1"/>
  <c r="J42" i="16"/>
  <c r="J50" i="16" s="1"/>
  <c r="J43" i="16"/>
  <c r="H51" i="11"/>
  <c r="G96" i="11"/>
  <c r="N43" i="16"/>
  <c r="F27" i="9"/>
  <c r="H95" i="9"/>
  <c r="I95" i="9" s="1"/>
  <c r="D18" i="16"/>
  <c r="D93" i="16" s="1"/>
  <c r="D96" i="16"/>
  <c r="C91" i="31"/>
  <c r="F91" i="31" s="1"/>
  <c r="G91" i="31" s="1"/>
  <c r="D39" i="16" s="1"/>
  <c r="F80" i="31"/>
  <c r="G80" i="31" s="1"/>
  <c r="B96" i="2"/>
  <c r="C97" i="2" s="1"/>
  <c r="F92" i="16"/>
  <c r="K46" i="16"/>
  <c r="M49" i="10"/>
  <c r="M51" i="10" s="1"/>
  <c r="B93" i="31"/>
  <c r="G38" i="16"/>
  <c r="E96" i="2"/>
  <c r="F96" i="2" s="1"/>
  <c r="G39" i="16" s="1"/>
  <c r="D97" i="10"/>
  <c r="E97" i="10" s="1"/>
  <c r="C96" i="5"/>
  <c r="C99" i="5" s="1"/>
  <c r="E93" i="5"/>
  <c r="F93" i="5" s="1"/>
  <c r="E96" i="31"/>
  <c r="E83" i="1"/>
  <c r="F83" i="1" s="1"/>
  <c r="H19" i="16" s="1"/>
  <c r="C94" i="1"/>
  <c r="H18" i="16"/>
  <c r="H96" i="16"/>
  <c r="H95" i="16"/>
  <c r="G43" i="16" l="1"/>
  <c r="G42" i="16"/>
  <c r="G50" i="16" s="1"/>
  <c r="E97" i="2"/>
  <c r="F97" i="2" s="1"/>
  <c r="C99" i="2"/>
  <c r="G46" i="16" s="1"/>
  <c r="I100" i="2"/>
  <c r="H27" i="9"/>
  <c r="I27" i="9" s="1"/>
  <c r="N73" i="16" s="1"/>
  <c r="G15" i="40"/>
  <c r="J11" i="40"/>
  <c r="L11" i="40" s="1"/>
  <c r="O15" i="40" s="1"/>
  <c r="N46" i="16"/>
  <c r="J322" i="19"/>
  <c r="C98" i="1"/>
  <c r="I98" i="1" s="1"/>
  <c r="B54" i="9"/>
  <c r="B55" i="9" s="1"/>
  <c r="N76" i="16"/>
  <c r="E54" i="9"/>
  <c r="E55" i="9" s="1"/>
  <c r="K47" i="16"/>
  <c r="H53" i="11"/>
  <c r="D98" i="11"/>
  <c r="J46" i="16"/>
  <c r="C93" i="31"/>
  <c r="F93" i="31" s="1"/>
  <c r="G93" i="31" s="1"/>
  <c r="G8" i="35" s="1"/>
  <c r="D92" i="16"/>
  <c r="D38" i="16"/>
  <c r="F52" i="9"/>
  <c r="H48" i="9"/>
  <c r="I48" i="9" s="1"/>
  <c r="H97" i="9"/>
  <c r="I97" i="9" s="1"/>
  <c r="H37" i="9"/>
  <c r="I37" i="9" s="1"/>
  <c r="F42" i="9"/>
  <c r="B99" i="2"/>
  <c r="K50" i="2" s="1"/>
  <c r="L96" i="5"/>
  <c r="F38" i="16"/>
  <c r="F50" i="16" s="1"/>
  <c r="E96" i="5"/>
  <c r="E98" i="31"/>
  <c r="H93" i="16"/>
  <c r="H92" i="16"/>
  <c r="C97" i="1"/>
  <c r="E94" i="1"/>
  <c r="F94" i="1" s="1"/>
  <c r="I12" i="24"/>
  <c r="E99" i="2" l="1"/>
  <c r="F99" i="2" s="1"/>
  <c r="G47" i="16" s="1"/>
  <c r="K53" i="2"/>
  <c r="G12" i="24"/>
  <c r="F12" i="24" s="1"/>
  <c r="H43" i="16"/>
  <c r="E98" i="1"/>
  <c r="F98" i="1" s="1"/>
  <c r="H42" i="16"/>
  <c r="H42" i="9"/>
  <c r="I42" i="9" s="1"/>
  <c r="N77" i="16" s="1"/>
  <c r="F54" i="9"/>
  <c r="F55" i="9" s="1"/>
  <c r="N84" i="16"/>
  <c r="H52" i="9"/>
  <c r="I52" i="9" s="1"/>
  <c r="N81" i="16" s="1"/>
  <c r="N39" i="16"/>
  <c r="N47" i="16"/>
  <c r="E99" i="5"/>
  <c r="F99" i="5" s="1"/>
  <c r="F47" i="16" s="1"/>
  <c r="F96" i="5"/>
  <c r="F46" i="16"/>
  <c r="H12" i="24"/>
  <c r="I11" i="24"/>
  <c r="C100" i="1"/>
  <c r="E97" i="1"/>
  <c r="F97" i="1" s="1"/>
  <c r="H38" i="16"/>
  <c r="H54" i="9" l="1"/>
  <c r="K56" i="9"/>
  <c r="G15" i="24"/>
  <c r="F11" i="24"/>
  <c r="F15" i="24" s="1"/>
  <c r="G7" i="35"/>
  <c r="F39" i="16"/>
  <c r="H50" i="16"/>
  <c r="G5" i="35"/>
  <c r="H39" i="16"/>
  <c r="H11" i="24"/>
  <c r="H15" i="24" s="1"/>
  <c r="I15" i="24"/>
  <c r="E100" i="1"/>
  <c r="F100" i="1" s="1"/>
  <c r="H47" i="16" s="1"/>
  <c r="H46" i="16"/>
  <c r="I54" i="9" l="1"/>
  <c r="H55" i="9"/>
  <c r="I68" i="16"/>
  <c r="I69" i="16"/>
  <c r="G102" i="29"/>
  <c r="I57" i="16"/>
  <c r="I56" i="16"/>
  <c r="I27" i="16"/>
  <c r="I26" i="16"/>
  <c r="I14" i="16"/>
  <c r="I15" i="16"/>
  <c r="I76" i="16" l="1"/>
  <c r="I77" i="16"/>
  <c r="I34" i="16"/>
  <c r="I35" i="16"/>
  <c r="I31" i="16"/>
  <c r="I3" i="16"/>
  <c r="D262" i="19"/>
  <c r="I7" i="16" l="1"/>
  <c r="I6" i="16"/>
  <c r="I43" i="16"/>
  <c r="I42" i="16"/>
  <c r="I2" i="16"/>
  <c r="I30" i="16"/>
  <c r="I10" i="16" l="1"/>
  <c r="I11" i="16"/>
  <c r="I19" i="16" l="1"/>
  <c r="I18" i="16"/>
  <c r="I92" i="16" s="1"/>
  <c r="I72" i="16" l="1"/>
  <c r="I84" i="16"/>
  <c r="I73" i="16"/>
  <c r="I39" i="16"/>
  <c r="I38" i="16"/>
  <c r="I93" i="16"/>
  <c r="I80" i="16"/>
  <c r="I81" i="16"/>
  <c r="I47" i="16" l="1"/>
  <c r="I46" i="16"/>
  <c r="Q47" i="16" l="1"/>
  <c r="E282" i="19"/>
  <c r="D93" i="6" l="1"/>
  <c r="D119" i="4" l="1"/>
  <c r="B122" i="4"/>
  <c r="E119" i="4" l="1"/>
  <c r="D122" i="4"/>
  <c r="E122" i="4" s="1"/>
  <c r="AH94" i="3" l="1"/>
  <c r="C94" i="3"/>
  <c r="AK94" i="3" l="1"/>
  <c r="F94" i="3"/>
  <c r="G94" i="3" s="1"/>
  <c r="C127" i="2" l="1"/>
  <c r="B128" i="2"/>
  <c r="C144" i="2"/>
  <c r="C146" i="2" s="1"/>
  <c r="E144" i="2"/>
  <c r="F144" i="2" s="1"/>
  <c r="B146" i="2"/>
  <c r="E146" i="2" s="1"/>
  <c r="F146" i="2" s="1"/>
  <c r="F35" i="24"/>
  <c r="F37" i="24" l="1"/>
  <c r="G35" i="24"/>
  <c r="G37" i="24" s="1"/>
  <c r="E127" i="2"/>
  <c r="F127" i="2" s="1"/>
  <c r="C128" i="2"/>
  <c r="E128" i="2" s="1"/>
  <c r="F128" i="2" s="1"/>
  <c r="C95" i="31" l="1"/>
  <c r="B96" i="31"/>
  <c r="B97" i="31" s="1"/>
  <c r="D7" i="41" l="1"/>
  <c r="F7" i="41" s="1"/>
  <c r="F8" i="41" s="1"/>
  <c r="J94" i="31"/>
  <c r="K102" i="31"/>
  <c r="K49" i="31"/>
  <c r="K50" i="31" s="1"/>
  <c r="F95" i="31"/>
  <c r="G95" i="31" s="1"/>
  <c r="D42" i="16"/>
  <c r="D43" i="16"/>
  <c r="C96" i="31"/>
  <c r="C97" i="31" l="1"/>
  <c r="D50" i="16"/>
  <c r="F96" i="31"/>
  <c r="G96" i="31" s="1"/>
  <c r="D47" i="16" s="1"/>
  <c r="D46" i="16"/>
  <c r="D212" i="19" l="1"/>
  <c r="I15" i="22"/>
  <c r="D49" i="6"/>
  <c r="B98" i="31"/>
  <c r="E12" i="24" s="1"/>
  <c r="C98" i="31"/>
  <c r="B100" i="6"/>
  <c r="G100" i="6" s="1"/>
  <c r="F97" i="31"/>
  <c r="G97" i="31" s="1"/>
  <c r="K10" i="40" l="1"/>
  <c r="K15" i="40" s="1"/>
  <c r="D11" i="24"/>
  <c r="D12" i="24"/>
  <c r="C7" i="39"/>
  <c r="E11" i="24"/>
  <c r="I100" i="6"/>
  <c r="J100" i="6" s="1"/>
  <c r="F98" i="31"/>
  <c r="G98" i="31" s="1"/>
  <c r="E213" i="19"/>
  <c r="F53" i="6" s="1"/>
  <c r="D15" i="24" l="1"/>
  <c r="G53" i="6"/>
  <c r="F54" i="6"/>
  <c r="D54" i="6"/>
  <c r="E15" i="24"/>
  <c r="K17" i="40" l="1"/>
  <c r="K18" i="40" s="1"/>
  <c r="D97" i="4"/>
  <c r="E97" i="4" s="1"/>
  <c r="D36" i="4" l="1"/>
  <c r="E36" i="4" s="1"/>
  <c r="D16" i="4" l="1"/>
  <c r="E16" i="4" s="1"/>
  <c r="G17" i="6" l="1"/>
  <c r="I17" i="6" l="1"/>
  <c r="J17" i="6" s="1"/>
  <c r="D79" i="4"/>
  <c r="E79" i="4" s="1"/>
  <c r="G80" i="6"/>
  <c r="I80" i="6" l="1"/>
  <c r="J80" i="6" s="1"/>
  <c r="D76" i="4"/>
  <c r="E76" i="4" s="1"/>
  <c r="D88" i="4" l="1"/>
  <c r="E88" i="4" s="1"/>
  <c r="D90" i="4" l="1"/>
  <c r="E90" i="4" s="1"/>
  <c r="D63" i="4" l="1"/>
  <c r="E63" i="4" s="1"/>
  <c r="D32" i="4" l="1"/>
  <c r="E32" i="4" s="1"/>
  <c r="I33" i="6" l="1"/>
  <c r="J33" i="6" s="1"/>
  <c r="D85" i="4"/>
  <c r="E85" i="4" s="1"/>
  <c r="C23" i="16" s="1"/>
  <c r="C22" i="16"/>
  <c r="D253" i="19" l="1"/>
  <c r="D34" i="6" s="1"/>
  <c r="D33" i="4"/>
  <c r="E33" i="4" s="1"/>
  <c r="E243" i="19" l="1"/>
  <c r="F92" i="6" s="1"/>
  <c r="Q35" i="16" l="1"/>
  <c r="Q15" i="16"/>
  <c r="D82" i="6"/>
  <c r="Q19" i="16"/>
  <c r="F93" i="6" l="1"/>
  <c r="Q31" i="16"/>
  <c r="C42" i="16" l="1"/>
  <c r="C43" i="16"/>
  <c r="D96" i="4"/>
  <c r="E96" i="4" s="1"/>
  <c r="D125" i="4" l="1"/>
  <c r="C86" i="16"/>
  <c r="C8" i="24"/>
  <c r="C48" i="24" s="1"/>
  <c r="B127" i="4"/>
  <c r="D127" i="4" l="1"/>
  <c r="E125" i="4"/>
  <c r="E127" i="4" l="1"/>
  <c r="D132" i="4" l="1"/>
  <c r="E132" i="4" s="1"/>
  <c r="B134" i="4"/>
  <c r="D134" i="4" l="1"/>
  <c r="E134" i="4" s="1"/>
  <c r="C19" i="24"/>
  <c r="D128" i="4"/>
  <c r="B129" i="4"/>
  <c r="B19" i="24" l="1"/>
  <c r="C87" i="16"/>
  <c r="E128" i="4"/>
  <c r="D129" i="4"/>
  <c r="E129" i="4" s="1"/>
  <c r="C35" i="24" l="1"/>
  <c r="B145" i="4"/>
  <c r="D145" i="4" s="1"/>
  <c r="E145" i="4" s="1"/>
  <c r="D143" i="4"/>
  <c r="E143" i="4" s="1"/>
  <c r="C37" i="24" l="1"/>
  <c r="C6" i="24" l="1"/>
  <c r="D130" i="4"/>
  <c r="E130" i="4" s="1"/>
  <c r="C25" i="24" l="1"/>
  <c r="C27" i="24" s="1"/>
  <c r="D135" i="4"/>
  <c r="E135" i="4" s="1"/>
  <c r="C88" i="16"/>
  <c r="B137" i="4"/>
  <c r="C89" i="16"/>
  <c r="D138" i="4"/>
  <c r="E138" i="4" s="1"/>
  <c r="B140" i="4"/>
  <c r="D140" i="4" l="1"/>
  <c r="E140" i="4" s="1"/>
  <c r="D137" i="4"/>
  <c r="E137" i="4" s="1"/>
  <c r="AH98" i="3"/>
  <c r="C98" i="3"/>
  <c r="AK98" i="3" l="1"/>
  <c r="F98" i="3"/>
  <c r="G98" i="3" s="1"/>
  <c r="AH14" i="3" l="1"/>
  <c r="C14" i="3"/>
  <c r="AK14" i="3" l="1"/>
  <c r="F14" i="3"/>
  <c r="G14" i="3" s="1"/>
  <c r="AH121" i="3" l="1"/>
  <c r="C121" i="3"/>
  <c r="B123" i="3"/>
  <c r="AH123" i="3" s="1"/>
  <c r="AH78" i="3" l="1"/>
  <c r="C90" i="3"/>
  <c r="B91" i="6" s="1"/>
  <c r="AH71" i="3"/>
  <c r="C71" i="3"/>
  <c r="C87" i="3"/>
  <c r="AH87" i="3"/>
  <c r="AH85" i="3"/>
  <c r="C85" i="3"/>
  <c r="B86" i="6" s="1"/>
  <c r="AH88" i="3"/>
  <c r="C88" i="3"/>
  <c r="B89" i="6" s="1"/>
  <c r="G125" i="6"/>
  <c r="C123" i="3"/>
  <c r="F121" i="3"/>
  <c r="G121" i="3" s="1"/>
  <c r="AK121" i="3"/>
  <c r="AH90" i="3" l="1"/>
  <c r="C78" i="3"/>
  <c r="AH86" i="3"/>
  <c r="AH91" i="3"/>
  <c r="AH64" i="3"/>
  <c r="C89" i="3"/>
  <c r="B90" i="6" s="1"/>
  <c r="AK90" i="3"/>
  <c r="G91" i="6"/>
  <c r="F90" i="3"/>
  <c r="G90" i="3" s="1"/>
  <c r="AK85" i="3"/>
  <c r="F85" i="3"/>
  <c r="G85" i="3" s="1"/>
  <c r="E23" i="16" s="1"/>
  <c r="E22" i="16"/>
  <c r="C95" i="3"/>
  <c r="AH95" i="3"/>
  <c r="C62" i="3"/>
  <c r="B63" i="6" s="1"/>
  <c r="AH62" i="3"/>
  <c r="F88" i="3"/>
  <c r="G88" i="3" s="1"/>
  <c r="AK88" i="3"/>
  <c r="G89" i="6"/>
  <c r="AK87" i="3"/>
  <c r="F87" i="3"/>
  <c r="G87" i="3" s="1"/>
  <c r="AK71" i="3"/>
  <c r="F71" i="3"/>
  <c r="G71" i="3" s="1"/>
  <c r="AK123" i="3"/>
  <c r="F123" i="3"/>
  <c r="G123" i="3" s="1"/>
  <c r="G128" i="6"/>
  <c r="I128" i="6" s="1"/>
  <c r="J128" i="6" s="1"/>
  <c r="I125" i="6"/>
  <c r="J125" i="6" s="1"/>
  <c r="F78" i="3" l="1"/>
  <c r="G78" i="3" s="1"/>
  <c r="B79" i="6"/>
  <c r="AK78" i="3"/>
  <c r="I91" i="6"/>
  <c r="J91" i="6" s="1"/>
  <c r="I89" i="6"/>
  <c r="J89" i="6" s="1"/>
  <c r="C86" i="3"/>
  <c r="AK86" i="3" s="1"/>
  <c r="B92" i="3"/>
  <c r="AH92" i="3" s="1"/>
  <c r="C91" i="3"/>
  <c r="F91" i="3" s="1"/>
  <c r="G91" i="3" s="1"/>
  <c r="AH89" i="3"/>
  <c r="G86" i="6"/>
  <c r="F95" i="3"/>
  <c r="G95" i="3" s="1"/>
  <c r="AK95" i="3"/>
  <c r="F62" i="3"/>
  <c r="G62" i="3" s="1"/>
  <c r="AK62" i="3"/>
  <c r="O22" i="16"/>
  <c r="E24" i="16" s="1"/>
  <c r="F89" i="3"/>
  <c r="G89" i="3" s="1"/>
  <c r="AK89" i="3"/>
  <c r="F64" i="3" l="1"/>
  <c r="G64" i="3" s="1"/>
  <c r="AK64" i="3"/>
  <c r="E26" i="16"/>
  <c r="C92" i="3"/>
  <c r="F92" i="3" s="1"/>
  <c r="G92" i="3" s="1"/>
  <c r="E35" i="16" s="1"/>
  <c r="F86" i="3"/>
  <c r="G86" i="3" s="1"/>
  <c r="E27" i="16" s="1"/>
  <c r="AK91" i="3"/>
  <c r="AH63" i="3"/>
  <c r="C63" i="3"/>
  <c r="B66" i="3"/>
  <c r="AH69" i="3"/>
  <c r="C69" i="3"/>
  <c r="B72" i="3"/>
  <c r="AH72" i="3" s="1"/>
  <c r="I24" i="16"/>
  <c r="N24" i="16"/>
  <c r="D24" i="16"/>
  <c r="H24" i="16"/>
  <c r="L24" i="16"/>
  <c r="K24" i="16"/>
  <c r="J24" i="16"/>
  <c r="C24" i="16"/>
  <c r="G24" i="16"/>
  <c r="F24" i="16"/>
  <c r="B22" i="16"/>
  <c r="P22" i="16" s="1"/>
  <c r="I86" i="6"/>
  <c r="J86" i="6" s="1"/>
  <c r="B23" i="16" s="1"/>
  <c r="E34" i="16" l="1"/>
  <c r="E30" i="16" s="1"/>
  <c r="AK92" i="3"/>
  <c r="AK69" i="3"/>
  <c r="C72" i="3"/>
  <c r="F69" i="3"/>
  <c r="G69" i="3" s="1"/>
  <c r="B73" i="3"/>
  <c r="AH66" i="3"/>
  <c r="AK63" i="3"/>
  <c r="F63" i="3"/>
  <c r="G63" i="3" s="1"/>
  <c r="C66" i="3"/>
  <c r="E2" i="16" l="1"/>
  <c r="F66" i="3"/>
  <c r="G66" i="3" s="1"/>
  <c r="E3" i="16" s="1"/>
  <c r="C73" i="3"/>
  <c r="AK66" i="3"/>
  <c r="AK72" i="3"/>
  <c r="E6" i="16"/>
  <c r="F72" i="3"/>
  <c r="G72" i="3" s="1"/>
  <c r="E7" i="16" s="1"/>
  <c r="AH73" i="3"/>
  <c r="E10" i="16" l="1"/>
  <c r="F73" i="3"/>
  <c r="G73" i="3" s="1"/>
  <c r="E11" i="16" s="1"/>
  <c r="AK73" i="3"/>
  <c r="C76" i="3" l="1"/>
  <c r="B77" i="6" s="1"/>
  <c r="AH76" i="3" l="1"/>
  <c r="AK76" i="3"/>
  <c r="F76" i="3"/>
  <c r="G76" i="3" s="1"/>
  <c r="G77" i="6" l="1"/>
  <c r="M77" i="6" l="1"/>
  <c r="I77" i="6"/>
  <c r="J77" i="6" s="1"/>
  <c r="C77" i="3" l="1"/>
  <c r="B78" i="6" s="1"/>
  <c r="AH77" i="3" l="1"/>
  <c r="AK77" i="3"/>
  <c r="F77" i="3"/>
  <c r="G77" i="3" s="1"/>
  <c r="C27" i="3" l="1"/>
  <c r="AH27" i="3" l="1"/>
  <c r="B28" i="3"/>
  <c r="AH28" i="3" s="1"/>
  <c r="AK27" i="3"/>
  <c r="F27" i="3"/>
  <c r="G27" i="3" s="1"/>
  <c r="C28" i="3"/>
  <c r="AK28" i="3" l="1"/>
  <c r="E72" i="16"/>
  <c r="F28" i="3"/>
  <c r="G28" i="3" s="1"/>
  <c r="D9" i="35" l="1"/>
  <c r="E73" i="16"/>
  <c r="M6" i="24" l="1"/>
  <c r="AH131" i="3"/>
  <c r="C131" i="3"/>
  <c r="L6" i="24" l="1"/>
  <c r="AK131" i="3"/>
  <c r="F131" i="3"/>
  <c r="G131" i="3" s="1"/>
  <c r="AH144" i="3" l="1"/>
  <c r="M35" i="24"/>
  <c r="C144" i="3"/>
  <c r="B146" i="3"/>
  <c r="F144" i="3" l="1"/>
  <c r="G144" i="3" s="1"/>
  <c r="AK144" i="3"/>
  <c r="M37" i="24"/>
  <c r="L35" i="24"/>
  <c r="L37" i="24" s="1"/>
  <c r="AH146" i="3"/>
  <c r="C146" i="3"/>
  <c r="AK146" i="3" l="1"/>
  <c r="F146" i="3"/>
  <c r="G146" i="3" s="1"/>
  <c r="C97" i="3" l="1"/>
  <c r="AH97" i="3"/>
  <c r="AH80" i="3"/>
  <c r="C80" i="3"/>
  <c r="B81" i="3"/>
  <c r="F80" i="3" l="1"/>
  <c r="G80" i="3" s="1"/>
  <c r="AK80" i="3"/>
  <c r="C81" i="3"/>
  <c r="AH81" i="3"/>
  <c r="B82" i="3"/>
  <c r="F97" i="3"/>
  <c r="G97" i="3" s="1"/>
  <c r="E42" i="16"/>
  <c r="AK97" i="3"/>
  <c r="E43" i="16"/>
  <c r="F81" i="3" l="1"/>
  <c r="G81" i="3" s="1"/>
  <c r="E15" i="16" s="1"/>
  <c r="AK81" i="3"/>
  <c r="E14" i="16"/>
  <c r="C82" i="3"/>
  <c r="AH82" i="3"/>
  <c r="B93" i="3"/>
  <c r="B53" i="3"/>
  <c r="C49" i="3"/>
  <c r="M11" i="24"/>
  <c r="L11" i="24" s="1"/>
  <c r="AH49" i="3"/>
  <c r="C38" i="3"/>
  <c r="AH38" i="3"/>
  <c r="AH93" i="3" l="1"/>
  <c r="B96" i="3"/>
  <c r="E18" i="16"/>
  <c r="E93" i="16" s="1"/>
  <c r="F82" i="3"/>
  <c r="G82" i="3" s="1"/>
  <c r="E19" i="16" s="1"/>
  <c r="AK82" i="3"/>
  <c r="C93" i="3"/>
  <c r="H93" i="3"/>
  <c r="E96" i="16"/>
  <c r="E95" i="16"/>
  <c r="AK49" i="3"/>
  <c r="F49" i="3"/>
  <c r="G49" i="3" s="1"/>
  <c r="C53" i="3"/>
  <c r="AH53" i="3"/>
  <c r="E84" i="16"/>
  <c r="C43" i="3"/>
  <c r="AK38" i="3"/>
  <c r="F38" i="3"/>
  <c r="G38" i="3" s="1"/>
  <c r="AK93" i="3" l="1"/>
  <c r="C96" i="3"/>
  <c r="F93" i="3"/>
  <c r="G93" i="3" s="1"/>
  <c r="G9" i="35" s="1"/>
  <c r="E92" i="16"/>
  <c r="AH96" i="3"/>
  <c r="B99" i="3"/>
  <c r="M12" i="24" s="1"/>
  <c r="AK53" i="3"/>
  <c r="F53" i="3"/>
  <c r="G53" i="3" s="1"/>
  <c r="E81" i="16" s="1"/>
  <c r="E80" i="16"/>
  <c r="AK43" i="3"/>
  <c r="F43" i="3"/>
  <c r="G43" i="3" s="1"/>
  <c r="E77" i="16" s="1"/>
  <c r="C55" i="3"/>
  <c r="E76" i="16"/>
  <c r="R50" i="3" l="1"/>
  <c r="R52" i="3" s="1"/>
  <c r="F96" i="3"/>
  <c r="G96" i="3" s="1"/>
  <c r="E39" i="16" s="1"/>
  <c r="AK96" i="3"/>
  <c r="E38" i="16"/>
  <c r="C99" i="3"/>
  <c r="Q97" i="3"/>
  <c r="L12" i="24"/>
  <c r="AH99" i="3"/>
  <c r="F55" i="3"/>
  <c r="G55" i="3" s="1"/>
  <c r="AK55" i="3"/>
  <c r="C56" i="3"/>
  <c r="AK56" i="3" s="1"/>
  <c r="C57" i="3"/>
  <c r="AK57" i="3" s="1"/>
  <c r="E46" i="16" l="1"/>
  <c r="AK99" i="3"/>
  <c r="F99" i="3"/>
  <c r="G99" i="3" s="1"/>
  <c r="E47" i="16" s="1"/>
  <c r="E50" i="16"/>
  <c r="B136" i="3"/>
  <c r="M8" i="24"/>
  <c r="C126" i="3"/>
  <c r="B130" i="3"/>
  <c r="AH126" i="3"/>
  <c r="B128" i="3"/>
  <c r="AH128" i="3" s="1"/>
  <c r="F126" i="3" l="1"/>
  <c r="G126" i="3" s="1"/>
  <c r="C130" i="3"/>
  <c r="C133" i="3"/>
  <c r="AK126" i="3"/>
  <c r="C128" i="3"/>
  <c r="E86" i="16"/>
  <c r="L8" i="24"/>
  <c r="M15" i="24"/>
  <c r="M23" i="24"/>
  <c r="M31" i="24"/>
  <c r="AH133" i="3"/>
  <c r="B135" i="3"/>
  <c r="B139" i="3"/>
  <c r="AH130" i="3"/>
  <c r="M25" i="24"/>
  <c r="B138" i="3"/>
  <c r="C136" i="3"/>
  <c r="AH136" i="3"/>
  <c r="E88" i="16" l="1"/>
  <c r="AH138" i="3"/>
  <c r="AK128" i="3"/>
  <c r="F128" i="3"/>
  <c r="G128" i="3" s="1"/>
  <c r="AH135" i="3"/>
  <c r="F135" i="3"/>
  <c r="G135" i="3" s="1"/>
  <c r="F133" i="3"/>
  <c r="C135" i="3"/>
  <c r="AK135" i="3" s="1"/>
  <c r="AK133" i="3"/>
  <c r="L25" i="24"/>
  <c r="L27" i="24" s="1"/>
  <c r="M27" i="24"/>
  <c r="B141" i="3"/>
  <c r="AH139" i="3"/>
  <c r="C139" i="3"/>
  <c r="M28" i="24"/>
  <c r="M33" i="24"/>
  <c r="L31" i="24"/>
  <c r="L33" i="24" s="1"/>
  <c r="E87" i="16"/>
  <c r="F130" i="3"/>
  <c r="G130" i="3" s="1"/>
  <c r="AK130" i="3"/>
  <c r="L23" i="24"/>
  <c r="L15" i="24"/>
  <c r="AK136" i="3"/>
  <c r="F136" i="3"/>
  <c r="G136" i="3" s="1"/>
  <c r="C138" i="3"/>
  <c r="L28" i="24" l="1"/>
  <c r="L30" i="24" s="1"/>
  <c r="M30" i="24"/>
  <c r="AH141" i="3"/>
  <c r="E89" i="16"/>
  <c r="AK139" i="3"/>
  <c r="F139" i="3"/>
  <c r="G139" i="3" s="1"/>
  <c r="C141" i="3"/>
  <c r="AK138" i="3"/>
  <c r="F138" i="3"/>
  <c r="G138" i="3" s="1"/>
  <c r="F141" i="3" l="1"/>
  <c r="G141" i="3" s="1"/>
  <c r="AK141" i="3"/>
  <c r="D70" i="4" l="1"/>
  <c r="E70" i="4" s="1"/>
  <c r="B71" i="6"/>
  <c r="G71" i="6" s="1"/>
  <c r="I71" i="6" l="1"/>
  <c r="J71" i="6" s="1"/>
  <c r="D62" i="4"/>
  <c r="E62" i="4" s="1"/>
  <c r="G63" i="6" l="1"/>
  <c r="I63" i="6" l="1"/>
  <c r="J63" i="6" l="1"/>
  <c r="G18" i="29" l="1"/>
  <c r="G92" i="29"/>
  <c r="G83" i="29"/>
  <c r="G13" i="29"/>
  <c r="G94" i="29"/>
  <c r="G7" i="29"/>
  <c r="G60" i="29"/>
  <c r="G20" i="29"/>
  <c r="G30" i="29"/>
  <c r="G66" i="29"/>
  <c r="G52" i="29"/>
  <c r="G15" i="29"/>
  <c r="G69" i="29"/>
  <c r="G35" i="29"/>
  <c r="G45" i="29" l="1"/>
  <c r="G28" i="29"/>
  <c r="G64" i="29"/>
  <c r="G5" i="29"/>
  <c r="G47" i="29"/>
  <c r="F80" i="29"/>
  <c r="G80" i="29" s="1"/>
  <c r="G67" i="29" l="1"/>
  <c r="G53" i="29"/>
  <c r="G31" i="29"/>
  <c r="G16" i="29"/>
  <c r="G81" i="29"/>
  <c r="G36" i="29"/>
  <c r="G8" i="29"/>
  <c r="G70" i="29"/>
  <c r="G21" i="29"/>
  <c r="G61" i="29"/>
  <c r="G48" i="29"/>
  <c r="G33" i="29"/>
  <c r="G50" i="29"/>
  <c r="G71" i="29"/>
  <c r="G91" i="29"/>
  <c r="G66" i="6" l="1"/>
  <c r="D65" i="4"/>
  <c r="E65" i="4" s="1"/>
  <c r="D71" i="4"/>
  <c r="E71" i="4" s="1"/>
  <c r="B72" i="6"/>
  <c r="I66" i="6" l="1"/>
  <c r="J66" i="6" s="1"/>
  <c r="D87" i="4"/>
  <c r="E87" i="4" s="1"/>
  <c r="B88" i="6"/>
  <c r="G88" i="6" s="1"/>
  <c r="G90" i="6" l="1"/>
  <c r="D89" i="4"/>
  <c r="E89" i="4" s="1"/>
  <c r="D86" i="4"/>
  <c r="E86" i="4" s="1"/>
  <c r="C27" i="16" s="1"/>
  <c r="B87" i="6"/>
  <c r="C26" i="16"/>
  <c r="O26" i="16" s="1"/>
  <c r="I88" i="6"/>
  <c r="J88" i="6" s="1"/>
  <c r="I90" i="6" l="1"/>
  <c r="J90" i="6" s="1"/>
  <c r="D78" i="4"/>
  <c r="E78" i="4" s="1"/>
  <c r="G79" i="6"/>
  <c r="C28" i="16"/>
  <c r="G28" i="16"/>
  <c r="D28" i="16"/>
  <c r="J28" i="16"/>
  <c r="F28" i="16"/>
  <c r="K28" i="16"/>
  <c r="I28" i="16"/>
  <c r="N28" i="16"/>
  <c r="L28" i="16"/>
  <c r="H28" i="16"/>
  <c r="E28" i="16"/>
  <c r="G87" i="6"/>
  <c r="I79" i="6" l="1"/>
  <c r="J79" i="6" s="1"/>
  <c r="B26" i="16"/>
  <c r="P26" i="16" s="1"/>
  <c r="Q28" i="16" s="1"/>
  <c r="I87" i="6"/>
  <c r="J87" i="6" s="1"/>
  <c r="B27" i="16" s="1"/>
  <c r="B72" i="4" l="1"/>
  <c r="B70" i="6"/>
  <c r="D69" i="4"/>
  <c r="E69" i="4" s="1"/>
  <c r="B73" i="6" l="1"/>
  <c r="D72" i="4"/>
  <c r="E72" i="4" s="1"/>
  <c r="C7" i="16" s="1"/>
  <c r="C6" i="16"/>
  <c r="O6" i="16" s="1"/>
  <c r="C8" i="16" l="1"/>
  <c r="L8" i="16"/>
  <c r="H8" i="16"/>
  <c r="J8" i="16"/>
  <c r="E8" i="16"/>
  <c r="N8" i="16"/>
  <c r="K8" i="16"/>
  <c r="D8" i="16"/>
  <c r="I8" i="16"/>
  <c r="F8" i="16"/>
  <c r="G8" i="16"/>
  <c r="G19" i="6" l="1"/>
  <c r="D18" i="4"/>
  <c r="E18" i="4" s="1"/>
  <c r="I19" i="6" l="1"/>
  <c r="D7" i="4"/>
  <c r="E7" i="4" s="1"/>
  <c r="B8" i="6"/>
  <c r="G8" i="6" s="1"/>
  <c r="D48" i="4"/>
  <c r="E48" i="4" s="1"/>
  <c r="I8" i="6" l="1"/>
  <c r="J8" i="6" s="1"/>
  <c r="D6" i="4"/>
  <c r="E6" i="4" s="1"/>
  <c r="D80" i="4" l="1"/>
  <c r="E80" i="4" s="1"/>
  <c r="D64" i="4"/>
  <c r="E64" i="4" s="1"/>
  <c r="B66" i="4"/>
  <c r="C2" i="16" l="1"/>
  <c r="D66" i="4"/>
  <c r="E66" i="4" s="1"/>
  <c r="C3" i="16" s="1"/>
  <c r="B73" i="4"/>
  <c r="D91" i="4"/>
  <c r="E91" i="4" s="1"/>
  <c r="C31" i="16" s="1"/>
  <c r="B92" i="4"/>
  <c r="B81" i="4"/>
  <c r="D77" i="4"/>
  <c r="E77" i="4" s="1"/>
  <c r="G78" i="6" l="1"/>
  <c r="C14" i="16"/>
  <c r="D81" i="4"/>
  <c r="E81" i="4" s="1"/>
  <c r="C15" i="16" s="1"/>
  <c r="D73" i="4"/>
  <c r="E73" i="4" s="1"/>
  <c r="C11" i="16" s="1"/>
  <c r="C10" i="16"/>
  <c r="B82" i="4"/>
  <c r="C96" i="16" s="1"/>
  <c r="D92" i="4"/>
  <c r="E92" i="4" s="1"/>
  <c r="C35" i="16" s="1"/>
  <c r="C34" i="16"/>
  <c r="C95" i="16" l="1"/>
  <c r="C30" i="16"/>
  <c r="C18" i="16"/>
  <c r="B93" i="4"/>
  <c r="D82" i="4"/>
  <c r="E82" i="4" s="1"/>
  <c r="C19" i="16" s="1"/>
  <c r="I78" i="6"/>
  <c r="J78" i="6" s="1"/>
  <c r="D93" i="4" l="1"/>
  <c r="E93" i="4" s="1"/>
  <c r="B95" i="4"/>
  <c r="F99" i="4" s="1"/>
  <c r="C38" i="16"/>
  <c r="C92" i="16"/>
  <c r="C93" i="16"/>
  <c r="D95" i="4" l="1"/>
  <c r="E95" i="4" s="1"/>
  <c r="B98" i="4"/>
  <c r="C12" i="24" s="1"/>
  <c r="C50" i="16"/>
  <c r="G48" i="4" l="1"/>
  <c r="H48" i="4" s="1"/>
  <c r="C46" i="16"/>
  <c r="D98" i="4"/>
  <c r="E98" i="4" s="1"/>
  <c r="C47" i="16" s="1"/>
  <c r="C11" i="24"/>
  <c r="C39" i="16"/>
  <c r="G4" i="35"/>
  <c r="C20" i="24" l="1"/>
  <c r="C18" i="24" s="1"/>
  <c r="C23" i="24" s="1"/>
  <c r="B50" i="6"/>
  <c r="D49" i="4"/>
  <c r="E49" i="4" s="1"/>
  <c r="G50" i="6" l="1"/>
  <c r="C28" i="24"/>
  <c r="C30" i="24" s="1"/>
  <c r="C50" i="24"/>
  <c r="F17" i="40" l="1"/>
  <c r="F18" i="40" s="1"/>
  <c r="C8" i="22"/>
  <c r="F8" i="22" s="1"/>
  <c r="I50" i="6"/>
  <c r="J50" i="6" s="1"/>
  <c r="B20" i="24"/>
  <c r="G29" i="29"/>
  <c r="G11" i="29"/>
  <c r="G46" i="29"/>
  <c r="G6" i="29"/>
  <c r="G65" i="29"/>
  <c r="G14" i="29"/>
  <c r="G74" i="29"/>
  <c r="G34" i="29"/>
  <c r="G51" i="29"/>
  <c r="G59" i="29"/>
  <c r="G89" i="29"/>
  <c r="G82" i="29"/>
  <c r="G56" i="29"/>
  <c r="G93" i="29"/>
  <c r="G72" i="29"/>
  <c r="G19" i="29"/>
  <c r="G40" i="29"/>
  <c r="G95" i="29"/>
  <c r="B18" i="24" l="1"/>
  <c r="G84" i="29"/>
  <c r="I84" i="29" s="1"/>
  <c r="G62" i="29"/>
  <c r="I62" i="29" s="1"/>
  <c r="G22" i="29"/>
  <c r="I22" i="29" s="1"/>
  <c r="G96" i="29"/>
  <c r="G37" i="29"/>
  <c r="I37" i="29" s="1"/>
  <c r="I98" i="29"/>
  <c r="G100" i="29" l="1"/>
  <c r="I96" i="29"/>
  <c r="J96" i="29" s="1"/>
  <c r="B18" i="6"/>
  <c r="D47" i="4"/>
  <c r="E47" i="4" s="1"/>
  <c r="C10" i="24"/>
  <c r="B47" i="6"/>
  <c r="D46" i="4"/>
  <c r="E46" i="4" s="1"/>
  <c r="D39" i="4"/>
  <c r="E39" i="4" s="1"/>
  <c r="D11" i="4"/>
  <c r="E11" i="4" s="1"/>
  <c r="B12" i="6"/>
  <c r="C9" i="24"/>
  <c r="D45" i="4"/>
  <c r="E45" i="4" s="1"/>
  <c r="B51" i="6"/>
  <c r="G51" i="6" s="1"/>
  <c r="I100" i="29" l="1"/>
  <c r="D252" i="19" s="1"/>
  <c r="G47" i="6"/>
  <c r="D24" i="4"/>
  <c r="E24" i="4" s="1"/>
  <c r="B53" i="4"/>
  <c r="C80" i="16" s="1"/>
  <c r="I51" i="6"/>
  <c r="C9" i="22"/>
  <c r="F9" i="22" s="1"/>
  <c r="D10" i="4"/>
  <c r="E10" i="4" s="1"/>
  <c r="B11" i="6"/>
  <c r="G11" i="6" s="1"/>
  <c r="C56" i="16"/>
  <c r="C57" i="16"/>
  <c r="B35" i="6"/>
  <c r="G35" i="6" s="1"/>
  <c r="D34" i="4"/>
  <c r="E254" i="19" l="1"/>
  <c r="F12" i="6" s="1"/>
  <c r="G12" i="6" s="1"/>
  <c r="D17" i="40"/>
  <c r="D18" i="40" s="1"/>
  <c r="C5" i="22"/>
  <c r="F5" i="22" s="1"/>
  <c r="B10" i="24"/>
  <c r="I47" i="6"/>
  <c r="J47" i="6" s="1"/>
  <c r="G34" i="6"/>
  <c r="D53" i="4"/>
  <c r="E53" i="4" s="1"/>
  <c r="C81" i="16" s="1"/>
  <c r="I35" i="6"/>
  <c r="J35" i="6" s="1"/>
  <c r="O14" i="24"/>
  <c r="D38" i="4"/>
  <c r="B39" i="6"/>
  <c r="I11" i="6"/>
  <c r="J11" i="6" s="1"/>
  <c r="D13" i="4"/>
  <c r="E13" i="4" s="1"/>
  <c r="E34" i="4"/>
  <c r="B24" i="6"/>
  <c r="G24" i="6" s="1"/>
  <c r="D23" i="4"/>
  <c r="E23" i="4" s="1"/>
  <c r="D37" i="4"/>
  <c r="E37" i="4" s="1"/>
  <c r="B38" i="6"/>
  <c r="G38" i="6" s="1"/>
  <c r="I34" i="6" l="1"/>
  <c r="J34" i="6" s="1"/>
  <c r="G39" i="6"/>
  <c r="U8" i="37"/>
  <c r="V8" i="37" s="1"/>
  <c r="I12" i="6"/>
  <c r="J12" i="6" s="1"/>
  <c r="O16" i="24"/>
  <c r="I24" i="6"/>
  <c r="J24" i="6" s="1"/>
  <c r="I38" i="6"/>
  <c r="J38" i="6" s="1"/>
  <c r="G36" i="4"/>
  <c r="J36" i="4" s="1"/>
  <c r="D26" i="4"/>
  <c r="E26" i="4" s="1"/>
  <c r="D21" i="4"/>
  <c r="E21" i="4" s="1"/>
  <c r="B22" i="6"/>
  <c r="G22" i="6" s="1"/>
  <c r="B36" i="6"/>
  <c r="G36" i="6" s="1"/>
  <c r="D35" i="4"/>
  <c r="C69" i="16"/>
  <c r="C68" i="16"/>
  <c r="O68" i="16" s="1"/>
  <c r="B10" i="6"/>
  <c r="G10" i="6" s="1"/>
  <c r="D9" i="4"/>
  <c r="E9" i="4" s="1"/>
  <c r="I39" i="6" l="1"/>
  <c r="J39" i="6" s="1"/>
  <c r="I22" i="6"/>
  <c r="J22" i="6" s="1"/>
  <c r="I10" i="6"/>
  <c r="J10" i="6" s="1"/>
  <c r="C70" i="16"/>
  <c r="F70" i="16"/>
  <c r="H70" i="16"/>
  <c r="N70" i="16"/>
  <c r="L70" i="16"/>
  <c r="E70" i="16"/>
  <c r="D70" i="16"/>
  <c r="I70" i="16"/>
  <c r="K70" i="16"/>
  <c r="G70" i="16"/>
  <c r="J70" i="16"/>
  <c r="E35" i="4"/>
  <c r="F34" i="4"/>
  <c r="I36" i="6"/>
  <c r="J36" i="6" s="1"/>
  <c r="B69" i="16"/>
  <c r="B68" i="16"/>
  <c r="P68" i="16" s="1"/>
  <c r="Q70" i="16" s="1"/>
  <c r="B15" i="6"/>
  <c r="G15" i="6" s="1"/>
  <c r="D14" i="4"/>
  <c r="E14" i="4" s="1"/>
  <c r="C60" i="16"/>
  <c r="O60" i="16" s="1"/>
  <c r="D12" i="4" l="1"/>
  <c r="E12" i="4" s="1"/>
  <c r="D41" i="4"/>
  <c r="E41" i="4" s="1"/>
  <c r="C62" i="16"/>
  <c r="I62" i="16"/>
  <c r="F62" i="16"/>
  <c r="E62" i="16"/>
  <c r="N62" i="16"/>
  <c r="G62" i="16"/>
  <c r="H62" i="16"/>
  <c r="K62" i="16"/>
  <c r="L62" i="16"/>
  <c r="J62" i="16"/>
  <c r="C61" i="16"/>
  <c r="E4" i="35"/>
  <c r="I15" i="6"/>
  <c r="J15" i="6" s="1"/>
  <c r="B60" i="16"/>
  <c r="P60" i="16" s="1"/>
  <c r="B9" i="6" l="1"/>
  <c r="C52" i="16"/>
  <c r="C53" i="16"/>
  <c r="D8" i="4"/>
  <c r="F9" i="4" s="1"/>
  <c r="B27" i="4"/>
  <c r="B61" i="16"/>
  <c r="E3" i="35"/>
  <c r="G9" i="4" l="1"/>
  <c r="D27" i="4"/>
  <c r="E27" i="4" s="1"/>
  <c r="C84" i="16"/>
  <c r="C72" i="16"/>
  <c r="F14" i="4"/>
  <c r="E8" i="4"/>
  <c r="G9" i="6"/>
  <c r="I9" i="6" l="1"/>
  <c r="D4" i="35"/>
  <c r="C73" i="16"/>
  <c r="J9" i="6" l="1"/>
  <c r="B42" i="4" l="1"/>
  <c r="B55" i="4" s="1"/>
  <c r="F42" i="4"/>
  <c r="D31" i="4"/>
  <c r="C64" i="16"/>
  <c r="C31" i="24"/>
  <c r="C33" i="24" s="1"/>
  <c r="G31" i="4"/>
  <c r="F4" i="35" s="1"/>
  <c r="F43" i="4" l="1"/>
  <c r="O64" i="16"/>
  <c r="C66" i="16" s="1"/>
  <c r="E31" i="4"/>
  <c r="C65" i="16" s="1"/>
  <c r="C76" i="16"/>
  <c r="D42" i="4"/>
  <c r="E42" i="4" s="1"/>
  <c r="C77" i="16" s="1"/>
  <c r="D55" i="4" l="1"/>
  <c r="B56" i="4"/>
  <c r="I66" i="16"/>
  <c r="N66" i="16"/>
  <c r="E66" i="16"/>
  <c r="G66" i="16"/>
  <c r="H66" i="16"/>
  <c r="J66" i="16"/>
  <c r="D66" i="16"/>
  <c r="L66" i="16"/>
  <c r="K66" i="16"/>
  <c r="F66" i="16"/>
  <c r="E55" i="4" l="1"/>
  <c r="F31" i="4"/>
  <c r="I53" i="6" l="1"/>
  <c r="J53" i="6" s="1"/>
  <c r="C10" i="22"/>
  <c r="Q81" i="16"/>
  <c r="I26" i="22" l="1"/>
  <c r="I27" i="22" s="1"/>
  <c r="G37" i="6"/>
  <c r="O22" i="6" l="1"/>
  <c r="I37" i="6"/>
  <c r="L34" i="16" l="1"/>
  <c r="B92" i="14"/>
  <c r="D92" i="14" s="1"/>
  <c r="E92" i="14" s="1"/>
  <c r="D91" i="14"/>
  <c r="E91" i="14" s="1"/>
  <c r="L30" i="16"/>
  <c r="B92" i="6"/>
  <c r="G92" i="6" l="1"/>
  <c r="B93" i="6"/>
  <c r="O30" i="16"/>
  <c r="O34" i="16"/>
  <c r="L36" i="16" s="1"/>
  <c r="H32" i="16" l="1"/>
  <c r="D32" i="16"/>
  <c r="N32" i="16"/>
  <c r="F32" i="16"/>
  <c r="C32" i="16"/>
  <c r="G32" i="16"/>
  <c r="E32" i="16"/>
  <c r="I32" i="16"/>
  <c r="K32" i="16"/>
  <c r="J32" i="16"/>
  <c r="C36" i="16"/>
  <c r="I36" i="16"/>
  <c r="G36" i="16"/>
  <c r="E36" i="16"/>
  <c r="N36" i="16"/>
  <c r="F36" i="16"/>
  <c r="H36" i="16"/>
  <c r="K36" i="16"/>
  <c r="D36" i="16"/>
  <c r="J36" i="16"/>
  <c r="L32" i="16"/>
  <c r="I92" i="6"/>
  <c r="J92" i="6" s="1"/>
  <c r="B31" i="16"/>
  <c r="B30" i="16"/>
  <c r="P30" i="16" s="1"/>
  <c r="Q32" i="16" s="1"/>
  <c r="G93" i="6"/>
  <c r="I93" i="6" l="1"/>
  <c r="J93" i="6" s="1"/>
  <c r="B35" i="16" s="1"/>
  <c r="B34" i="16"/>
  <c r="P34" i="16" s="1"/>
  <c r="Q36" i="16" s="1"/>
  <c r="D47" i="14" l="1"/>
  <c r="E47" i="14" s="1"/>
  <c r="B46" i="6"/>
  <c r="G46" i="6" s="1"/>
  <c r="L56" i="16"/>
  <c r="D8" i="14"/>
  <c r="E8" i="14" s="1"/>
  <c r="L57" i="16" s="1"/>
  <c r="G107" i="29"/>
  <c r="G108" i="29" s="1"/>
  <c r="B7" i="6"/>
  <c r="N10" i="37"/>
  <c r="R7" i="37"/>
  <c r="S9" i="37" l="1"/>
  <c r="D42" i="6"/>
  <c r="G42" i="6" s="1"/>
  <c r="D43" i="14"/>
  <c r="E43" i="14" s="1"/>
  <c r="D41" i="14"/>
  <c r="E41" i="14" s="1"/>
  <c r="B44" i="14"/>
  <c r="B40" i="6"/>
  <c r="Q14" i="37"/>
  <c r="Q10" i="37"/>
  <c r="O56" i="16"/>
  <c r="L58" i="16" s="1"/>
  <c r="D32" i="6"/>
  <c r="G110" i="29"/>
  <c r="E259" i="19" l="1"/>
  <c r="F7" i="6" s="1"/>
  <c r="R12" i="37"/>
  <c r="G40" i="6"/>
  <c r="B43" i="6"/>
  <c r="L76" i="16"/>
  <c r="D44" i="14"/>
  <c r="E44" i="14" s="1"/>
  <c r="L77" i="16" s="1"/>
  <c r="N58" i="16"/>
  <c r="E58" i="16"/>
  <c r="C58" i="16"/>
  <c r="F58" i="16"/>
  <c r="I58" i="16"/>
  <c r="D58" i="16"/>
  <c r="G58" i="16"/>
  <c r="H58" i="16"/>
  <c r="K58" i="16"/>
  <c r="J58" i="16"/>
  <c r="D63" i="14"/>
  <c r="E63" i="14" s="1"/>
  <c r="B64" i="6"/>
  <c r="C17" i="40"/>
  <c r="C4" i="22"/>
  <c r="L47" i="6"/>
  <c r="B9" i="24"/>
  <c r="I46" i="6"/>
  <c r="J46" i="6" s="1"/>
  <c r="I42" i="6" l="1"/>
  <c r="J42" i="6" s="1"/>
  <c r="I40" i="6"/>
  <c r="J40" i="6" s="1"/>
  <c r="C18" i="40"/>
  <c r="O76" i="16"/>
  <c r="L78" i="16" s="1"/>
  <c r="G64" i="6"/>
  <c r="Q65" i="16"/>
  <c r="G32" i="6"/>
  <c r="D43" i="6"/>
  <c r="F4" i="22"/>
  <c r="I64" i="6" l="1"/>
  <c r="F78" i="16"/>
  <c r="D78" i="16"/>
  <c r="E78" i="16"/>
  <c r="N78" i="16"/>
  <c r="K78" i="16"/>
  <c r="J78" i="16"/>
  <c r="G78" i="16"/>
  <c r="C78" i="16"/>
  <c r="H78" i="16"/>
  <c r="I78" i="16"/>
  <c r="I32" i="6"/>
  <c r="J32" i="6" s="1"/>
  <c r="B65" i="16" s="1"/>
  <c r="B64" i="16"/>
  <c r="P64" i="16" s="1"/>
  <c r="Q66" i="16" s="1"/>
  <c r="G43" i="6"/>
  <c r="F28" i="6"/>
  <c r="Q57" i="16"/>
  <c r="G7" i="6"/>
  <c r="Q77" i="16"/>
  <c r="D56" i="6"/>
  <c r="F56" i="6" l="1"/>
  <c r="Q73" i="16"/>
  <c r="I7" i="6"/>
  <c r="B56" i="16"/>
  <c r="P56" i="16" s="1"/>
  <c r="Q58" i="16" s="1"/>
  <c r="B57" i="16"/>
  <c r="I43" i="6"/>
  <c r="J43" i="6" s="1"/>
  <c r="B77" i="16" s="1"/>
  <c r="B76" i="16"/>
  <c r="P76" i="16" s="1"/>
  <c r="Q78" i="16" s="1"/>
  <c r="J64" i="6"/>
  <c r="F57" i="6" l="1"/>
  <c r="J7" i="6"/>
  <c r="B98" i="6" l="1"/>
  <c r="B81" i="14" l="1"/>
  <c r="D80" i="14"/>
  <c r="E80" i="14" s="1"/>
  <c r="B81" i="6"/>
  <c r="D97" i="14"/>
  <c r="E97" i="14" s="1"/>
  <c r="G98" i="6"/>
  <c r="I98" i="6" l="1"/>
  <c r="J98" i="6" s="1"/>
  <c r="L14" i="16"/>
  <c r="D81" i="14"/>
  <c r="E81" i="14" s="1"/>
  <c r="G81" i="6"/>
  <c r="B82" i="6"/>
  <c r="D26" i="14"/>
  <c r="E26" i="14" s="1"/>
  <c r="B25" i="6"/>
  <c r="B16" i="24" s="1"/>
  <c r="G25" i="6" l="1"/>
  <c r="D17" i="14"/>
  <c r="E17" i="14" s="1"/>
  <c r="B16" i="6"/>
  <c r="G16" i="6" s="1"/>
  <c r="I16" i="6" s="1"/>
  <c r="J16" i="6" s="1"/>
  <c r="I81" i="6"/>
  <c r="J81" i="6" s="1"/>
  <c r="G82" i="6"/>
  <c r="O14" i="16"/>
  <c r="L16" i="16" s="1"/>
  <c r="I25" i="6" l="1"/>
  <c r="J25" i="6" s="1"/>
  <c r="I82" i="6"/>
  <c r="J82" i="6" s="1"/>
  <c r="B15" i="16" s="1"/>
  <c r="B14" i="16"/>
  <c r="C16" i="16"/>
  <c r="H16" i="16"/>
  <c r="J16" i="16"/>
  <c r="E16" i="16"/>
  <c r="I16" i="16"/>
  <c r="F16" i="16"/>
  <c r="N16" i="16"/>
  <c r="G16" i="16"/>
  <c r="D16" i="16"/>
  <c r="K16" i="16"/>
  <c r="D14" i="14" l="1"/>
  <c r="E14" i="14" s="1"/>
  <c r="L53" i="16"/>
  <c r="B13" i="6"/>
  <c r="L52" i="16"/>
  <c r="D49" i="14"/>
  <c r="E49" i="14" s="1"/>
  <c r="B48" i="6"/>
  <c r="P14" i="16"/>
  <c r="Q16" i="16" s="1"/>
  <c r="G48" i="6" l="1"/>
  <c r="G13" i="6"/>
  <c r="O52" i="16"/>
  <c r="L54" i="16" s="1"/>
  <c r="N54" i="16"/>
  <c r="D263" i="19"/>
  <c r="D65" i="6" s="1"/>
  <c r="D64" i="14"/>
  <c r="E64" i="14" s="1"/>
  <c r="B65" i="6"/>
  <c r="B66" i="14"/>
  <c r="D28" i="14"/>
  <c r="E28" i="14" s="1"/>
  <c r="B27" i="6"/>
  <c r="G27" i="6" l="1"/>
  <c r="E266" i="19"/>
  <c r="F72" i="6" s="1"/>
  <c r="G65" i="6"/>
  <c r="D353" i="19"/>
  <c r="L2" i="16"/>
  <c r="D66" i="14"/>
  <c r="E66" i="14" s="1"/>
  <c r="B73" i="14"/>
  <c r="I13" i="6"/>
  <c r="B53" i="16"/>
  <c r="B52" i="16"/>
  <c r="P52" i="16" s="1"/>
  <c r="B67" i="6"/>
  <c r="B74" i="6" s="1"/>
  <c r="C54" i="16"/>
  <c r="G54" i="16"/>
  <c r="J54" i="16"/>
  <c r="K54" i="16"/>
  <c r="I54" i="16"/>
  <c r="F54" i="16"/>
  <c r="H54" i="16"/>
  <c r="D54" i="16"/>
  <c r="E54" i="16"/>
  <c r="G17" i="40"/>
  <c r="G18" i="40" s="1"/>
  <c r="H20" i="40" s="1"/>
  <c r="I48" i="6"/>
  <c r="J48" i="6" s="1"/>
  <c r="C6" i="22"/>
  <c r="G72" i="6" l="1"/>
  <c r="I27" i="6"/>
  <c r="J27" i="6" s="1"/>
  <c r="J13" i="6"/>
  <c r="L10" i="16"/>
  <c r="O10" i="16" s="1"/>
  <c r="B82" i="14"/>
  <c r="D73" i="14"/>
  <c r="E73" i="14" s="1"/>
  <c r="O11" i="16"/>
  <c r="B83" i="6"/>
  <c r="B94" i="6" s="1"/>
  <c r="O2" i="16"/>
  <c r="N4" i="16"/>
  <c r="F6" i="22"/>
  <c r="I65" i="6"/>
  <c r="G67" i="6"/>
  <c r="D67" i="6"/>
  <c r="D74" i="6" s="1"/>
  <c r="D83" i="6" s="1"/>
  <c r="D94" i="6" s="1"/>
  <c r="D96" i="6" s="1"/>
  <c r="D99" i="6" s="1"/>
  <c r="D101" i="6" s="1"/>
  <c r="Q3" i="16"/>
  <c r="G70" i="6"/>
  <c r="E353" i="19"/>
  <c r="E355" i="19" s="1"/>
  <c r="I72" i="6" l="1"/>
  <c r="J72" i="6" s="1"/>
  <c r="B96" i="6"/>
  <c r="B2" i="16"/>
  <c r="P2" i="16" s="1"/>
  <c r="Q4" i="16" s="1"/>
  <c r="L18" i="16"/>
  <c r="L92" i="16" s="1"/>
  <c r="B93" i="14"/>
  <c r="D82" i="14"/>
  <c r="E82" i="14" s="1"/>
  <c r="E4" i="16"/>
  <c r="C4" i="16"/>
  <c r="I4" i="16"/>
  <c r="G4" i="16"/>
  <c r="J4" i="16"/>
  <c r="H4" i="16"/>
  <c r="K4" i="16"/>
  <c r="F4" i="16"/>
  <c r="D4" i="16"/>
  <c r="J65" i="6"/>
  <c r="I67" i="6"/>
  <c r="J67" i="6" s="1"/>
  <c r="B3" i="16" s="1"/>
  <c r="L12" i="16"/>
  <c r="L4" i="16"/>
  <c r="F73" i="6"/>
  <c r="I70" i="6" l="1"/>
  <c r="J70" i="6" s="1"/>
  <c r="G73" i="6"/>
  <c r="Q7" i="16"/>
  <c r="F74" i="6"/>
  <c r="F83" i="6" s="1"/>
  <c r="F94" i="6" s="1"/>
  <c r="F96" i="6" s="1"/>
  <c r="F99" i="6" s="1"/>
  <c r="F101" i="6" s="1"/>
  <c r="O18" i="16"/>
  <c r="L20" i="16" s="1"/>
  <c r="L93" i="16"/>
  <c r="D93" i="14"/>
  <c r="E93" i="14" s="1"/>
  <c r="B95" i="14"/>
  <c r="L38" i="16"/>
  <c r="O38" i="16" s="1"/>
  <c r="C12" i="16"/>
  <c r="E12" i="16"/>
  <c r="H12" i="16"/>
  <c r="K12" i="16"/>
  <c r="D12" i="16"/>
  <c r="G12" i="16"/>
  <c r="I12" i="16"/>
  <c r="F12" i="16"/>
  <c r="J12" i="16"/>
  <c r="N12" i="16"/>
  <c r="C20" i="16" l="1"/>
  <c r="E20" i="16"/>
  <c r="K20" i="16"/>
  <c r="G20" i="16"/>
  <c r="H20" i="16"/>
  <c r="J20" i="16"/>
  <c r="D20" i="16"/>
  <c r="F20" i="16"/>
  <c r="I20" i="16"/>
  <c r="N20" i="16"/>
  <c r="I73" i="6"/>
  <c r="J73" i="6" s="1"/>
  <c r="B7" i="16" s="1"/>
  <c r="B6" i="16"/>
  <c r="P6" i="16" s="1"/>
  <c r="Q8" i="16" s="1"/>
  <c r="G74" i="6"/>
  <c r="D95" i="14"/>
  <c r="E95" i="14" s="1"/>
  <c r="B10" i="16" l="1"/>
  <c r="I74" i="6"/>
  <c r="J74" i="6" s="1"/>
  <c r="B11" i="16" s="1"/>
  <c r="G83" i="6"/>
  <c r="C40" i="16"/>
  <c r="H40" i="16"/>
  <c r="K40" i="16"/>
  <c r="E40" i="16"/>
  <c r="J40" i="16"/>
  <c r="I40" i="16"/>
  <c r="F40" i="16"/>
  <c r="D40" i="16"/>
  <c r="G40" i="16"/>
  <c r="N40" i="16"/>
  <c r="L40" i="16"/>
  <c r="M94" i="6" l="1"/>
  <c r="G94" i="6"/>
  <c r="B18" i="16"/>
  <c r="I83" i="6"/>
  <c r="J83" i="6" s="1"/>
  <c r="B19" i="16" s="1"/>
  <c r="B96" i="16"/>
  <c r="M93" i="6"/>
  <c r="B95" i="16"/>
  <c r="P10" i="16"/>
  <c r="P18" i="16" l="1"/>
  <c r="Q20" i="16" s="1"/>
  <c r="B93" i="16"/>
  <c r="G96" i="6"/>
  <c r="I94" i="6"/>
  <c r="J94" i="6" s="1"/>
  <c r="B92" i="16"/>
  <c r="L43" i="16" l="1"/>
  <c r="L42" i="16"/>
  <c r="D96" i="14"/>
  <c r="E96" i="14" s="1"/>
  <c r="G96" i="14"/>
  <c r="B97" i="6"/>
  <c r="B98" i="14"/>
  <c r="B38" i="16"/>
  <c r="P38" i="16" s="1"/>
  <c r="I96" i="6"/>
  <c r="J96" i="6" s="1"/>
  <c r="D15" i="14"/>
  <c r="E15" i="14" s="1"/>
  <c r="B14" i="6"/>
  <c r="B29" i="14"/>
  <c r="L46" i="16" l="1"/>
  <c r="I51" i="14"/>
  <c r="D98" i="14"/>
  <c r="E98" i="14" s="1"/>
  <c r="G97" i="6"/>
  <c r="B99" i="6"/>
  <c r="B101" i="6" s="1"/>
  <c r="D50" i="14"/>
  <c r="E50" i="14" s="1"/>
  <c r="B49" i="6"/>
  <c r="B54" i="14"/>
  <c r="L84" i="16" s="1"/>
  <c r="G14" i="6"/>
  <c r="B28" i="6"/>
  <c r="L72" i="16"/>
  <c r="D29" i="14"/>
  <c r="E29" i="14" s="1"/>
  <c r="L73" i="16" s="1"/>
  <c r="O42" i="16"/>
  <c r="L44" i="16" s="1"/>
  <c r="L50" i="16"/>
  <c r="B39" i="16"/>
  <c r="G3" i="35"/>
  <c r="O99" i="6" l="1"/>
  <c r="E44" i="16"/>
  <c r="K44" i="16"/>
  <c r="F44" i="16"/>
  <c r="D44" i="16"/>
  <c r="N44" i="16"/>
  <c r="J44" i="16"/>
  <c r="H44" i="16"/>
  <c r="G44" i="16"/>
  <c r="C44" i="16"/>
  <c r="I44" i="16"/>
  <c r="I97" i="6"/>
  <c r="J97" i="6" s="1"/>
  <c r="B43" i="16"/>
  <c r="B42" i="16"/>
  <c r="M98" i="6"/>
  <c r="G99" i="6"/>
  <c r="G49" i="6"/>
  <c r="B54" i="6"/>
  <c r="B56" i="6" s="1"/>
  <c r="B57" i="6" s="1"/>
  <c r="I14" i="6"/>
  <c r="G28" i="6"/>
  <c r="I52" i="14"/>
  <c r="O72" i="16"/>
  <c r="L74" i="16" s="1"/>
  <c r="L80" i="16"/>
  <c r="D54" i="14"/>
  <c r="E54" i="14" s="1"/>
  <c r="L81" i="16" s="1"/>
  <c r="B56" i="14"/>
  <c r="O46" i="16"/>
  <c r="L48" i="16" s="1"/>
  <c r="O80" i="16" l="1"/>
  <c r="L82" i="16" s="1"/>
  <c r="E17" i="40"/>
  <c r="J17" i="40" s="1"/>
  <c r="L17" i="40" s="1"/>
  <c r="C7" i="22"/>
  <c r="M49" i="6"/>
  <c r="M51" i="6" s="1"/>
  <c r="I49" i="6"/>
  <c r="J49" i="6" s="1"/>
  <c r="G54" i="6"/>
  <c r="B84" i="16" s="1"/>
  <c r="P42" i="16"/>
  <c r="B50" i="16"/>
  <c r="I99" i="6"/>
  <c r="B46" i="16"/>
  <c r="P46" i="16" s="1"/>
  <c r="G101" i="6"/>
  <c r="C48" i="16"/>
  <c r="K48" i="16"/>
  <c r="H48" i="16"/>
  <c r="J48" i="16"/>
  <c r="G48" i="16"/>
  <c r="D48" i="16"/>
  <c r="F48" i="16"/>
  <c r="E48" i="16"/>
  <c r="I48" i="16"/>
  <c r="N48" i="16"/>
  <c r="J14" i="6"/>
  <c r="I28" i="6"/>
  <c r="J28" i="6" s="1"/>
  <c r="H74" i="16"/>
  <c r="E74" i="16"/>
  <c r="G74" i="16"/>
  <c r="J74" i="16"/>
  <c r="N74" i="16"/>
  <c r="F74" i="16"/>
  <c r="K74" i="16"/>
  <c r="I74" i="16"/>
  <c r="C74" i="16"/>
  <c r="B72" i="16"/>
  <c r="P72" i="16" s="1"/>
  <c r="Q74" i="16" s="1"/>
  <c r="C57" i="14"/>
  <c r="D56" i="14"/>
  <c r="E56" i="14" s="1"/>
  <c r="B11" i="24" l="1"/>
  <c r="B12" i="24"/>
  <c r="L49" i="6"/>
  <c r="E10" i="40"/>
  <c r="G103" i="6"/>
  <c r="I103" i="6" s="1"/>
  <c r="J103" i="6" s="1"/>
  <c r="D16" i="22"/>
  <c r="I50" i="16"/>
  <c r="Q48" i="16"/>
  <c r="J99" i="6"/>
  <c r="I101" i="6"/>
  <c r="J101" i="6" s="1"/>
  <c r="B47" i="16" s="1"/>
  <c r="C11" i="22"/>
  <c r="D3" i="35"/>
  <c r="B73" i="16"/>
  <c r="B80" i="16"/>
  <c r="P80" i="16" s="1"/>
  <c r="Q82" i="16" s="1"/>
  <c r="I54" i="6"/>
  <c r="J54" i="6" s="1"/>
  <c r="B81" i="16" s="1"/>
  <c r="G56" i="6"/>
  <c r="C82" i="16"/>
  <c r="J82" i="16"/>
  <c r="F82" i="16"/>
  <c r="N82" i="16"/>
  <c r="H82" i="16"/>
  <c r="K82" i="16"/>
  <c r="E82" i="16"/>
  <c r="I82" i="16"/>
  <c r="D82" i="16"/>
  <c r="G82" i="16"/>
  <c r="B8" i="24" l="1"/>
  <c r="D21" i="22"/>
  <c r="D7" i="22" s="1"/>
  <c r="I56" i="6"/>
  <c r="J56" i="6" s="1"/>
  <c r="G57" i="6"/>
  <c r="J10" i="40"/>
  <c r="E15" i="40"/>
  <c r="E18" i="40" s="1"/>
  <c r="B25" i="24" l="1"/>
  <c r="B27" i="24" s="1"/>
  <c r="B48" i="24"/>
  <c r="B54" i="24" s="1"/>
  <c r="F7" i="22"/>
  <c r="B23" i="24"/>
  <c r="B28" i="24" s="1"/>
  <c r="B31" i="24"/>
  <c r="Q8" i="24"/>
  <c r="B86" i="16"/>
  <c r="L10" i="40"/>
  <c r="L15" i="40" s="1"/>
  <c r="L18" i="40" s="1"/>
  <c r="J15" i="40"/>
  <c r="J18" i="40" s="1"/>
  <c r="B33" i="24" l="1"/>
  <c r="B52" i="24"/>
  <c r="B87" i="16"/>
  <c r="B50" i="24"/>
  <c r="B53" i="24" s="1"/>
  <c r="B88" i="16"/>
  <c r="B30" i="24"/>
  <c r="B89" i="16"/>
  <c r="L81" i="6" l="1"/>
  <c r="M81" i="6" s="1"/>
  <c r="L86" i="6"/>
  <c r="M86" i="6" s="1"/>
  <c r="L78" i="6" l="1"/>
  <c r="M78" i="6" s="1"/>
  <c r="L79" i="6"/>
  <c r="M79" i="6" s="1"/>
  <c r="L67" i="6" l="1"/>
  <c r="M67" i="6" s="1"/>
  <c r="L73" i="6" l="1"/>
  <c r="M73" i="6" s="1"/>
  <c r="B43" i="3"/>
  <c r="AH43" i="3" s="1"/>
  <c r="B55" i="3" l="1"/>
  <c r="B57" i="3" l="1"/>
  <c r="AH57" i="3" s="1"/>
  <c r="B56" i="3"/>
  <c r="AH56" i="3" s="1"/>
  <c r="AH55" i="3"/>
  <c r="D57" i="3"/>
  <c r="I20" i="22"/>
  <c r="D10" i="22" s="1"/>
  <c r="F10" i="22" s="1"/>
  <c r="I37" i="2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Shem Kimondo Mwangi</author>
  </authors>
  <commentList>
    <comment ref="S3" authorId="0" shapeId="0" xr:uid="{E583CFAA-CDA9-44E1-B99B-3C1570852176}">
      <text>
        <r>
          <rPr>
            <sz val="9"/>
            <color indexed="81"/>
            <rFont val="Tahoma"/>
            <family val="2"/>
          </rPr>
          <t xml:space="preserve">EGF Keeps switching from Receivable and Payable ensure this is correct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Shem Kimondo Mwangi</author>
  </authors>
  <commentList>
    <comment ref="C16" authorId="0" shapeId="0" xr:uid="{2EFD6224-D7B2-44CF-9CFF-56FAE6427FC6}">
      <text>
        <r>
          <rPr>
            <b/>
            <sz val="9"/>
            <color indexed="81"/>
            <rFont val="Tahoma"/>
            <family val="2"/>
          </rPr>
          <t>Check on posting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Shem Kimondo Mwangi</author>
  </authors>
  <commentList>
    <comment ref="B98" authorId="0" shapeId="0" xr:uid="{46491E07-4F2F-4ECA-A955-4D296CCC108B}">
      <text>
        <r>
          <rPr>
            <sz val="9"/>
            <color indexed="81"/>
            <rFont val="Tahoma"/>
            <family val="2"/>
          </rPr>
          <t>Check on this.
We have a profit as per IFRS so should have a tax charge</t>
        </r>
      </text>
    </comment>
  </commentList>
</comments>
</file>

<file path=xl/sharedStrings.xml><?xml version="1.0" encoding="utf-8"?>
<sst xmlns="http://schemas.openxmlformats.org/spreadsheetml/2006/main" count="2958" uniqueCount="933">
  <si>
    <t>I1   BALANCE SHEET</t>
  </si>
  <si>
    <t>A. ASSETS</t>
  </si>
  <si>
    <t>1. Cash (both Local &amp; foreign)</t>
  </si>
  <si>
    <t>2. Balances due from central  Bank of Kenya</t>
  </si>
  <si>
    <t>3. Kenya Government securities</t>
  </si>
  <si>
    <t>4. Foreign Currency Treasury Bills and Bonds</t>
  </si>
  <si>
    <t xml:space="preserve">5. Deposits and balances due from banking institutions </t>
  </si>
  <si>
    <t>6. Deposits and balances due from banking institutions  abroad</t>
  </si>
  <si>
    <t>7. Government and other securities held for dealing purposes</t>
  </si>
  <si>
    <t>8. Tax recoverable</t>
  </si>
  <si>
    <t>9. Loans and advances to customers (net)</t>
  </si>
  <si>
    <t>10.  Investment securities</t>
  </si>
  <si>
    <t>11.  Balances due from group companies</t>
  </si>
  <si>
    <t>12.  Investments in associates</t>
  </si>
  <si>
    <t>13.  Investments in subsidiary companies</t>
  </si>
  <si>
    <t>14.  Investments in joint ventures</t>
  </si>
  <si>
    <t>15.  Investment properties</t>
  </si>
  <si>
    <t xml:space="preserve">16. Property and equipment </t>
  </si>
  <si>
    <t>17. Prepaid lease rentals</t>
  </si>
  <si>
    <t>18. Intangible assets</t>
  </si>
  <si>
    <t>19. Deferred tax asset</t>
  </si>
  <si>
    <t>20. Retirement benefit asset</t>
  </si>
  <si>
    <t>21. Other assets</t>
  </si>
  <si>
    <t>22.TOTAL ASSETS</t>
  </si>
  <si>
    <t>B. LIABILITIES</t>
  </si>
  <si>
    <t>23. Balances due to Central Bank of Kenya</t>
  </si>
  <si>
    <t>24.  Customer deposits</t>
  </si>
  <si>
    <t xml:space="preserve">25. Deposits and balances due to Local banking institutions  </t>
  </si>
  <si>
    <t xml:space="preserve">26. Deposits and balances due to Foreign  banking institutions  </t>
  </si>
  <si>
    <t>27. Other money market deposits</t>
  </si>
  <si>
    <t>28. Borrowed funds</t>
  </si>
  <si>
    <t>29. Balances due to group companies</t>
  </si>
  <si>
    <t>30. Tax payable</t>
  </si>
  <si>
    <t>31. Dividends  payable.</t>
  </si>
  <si>
    <t>32. Deferred tax liability</t>
  </si>
  <si>
    <t>33. Retirement benefit liability</t>
  </si>
  <si>
    <t>34. Other liabilities</t>
  </si>
  <si>
    <t>35. TOTAL LIABILITIES</t>
  </si>
  <si>
    <t>C. SHAREHOLDERS'  FUNDS</t>
  </si>
  <si>
    <t xml:space="preserve">36. Paid up/Assigned capital </t>
  </si>
  <si>
    <t>37. Share premium/ (discount)</t>
  </si>
  <si>
    <t>38. Revaluation reserve</t>
  </si>
  <si>
    <t>39. Retained earnings/ Accumulated losses</t>
  </si>
  <si>
    <t>40. Statutory Loan Loss reserve</t>
  </si>
  <si>
    <t>41. Proposed dividends</t>
  </si>
  <si>
    <t>42. Capital grants</t>
  </si>
  <si>
    <t>43. TOTAL SHAREHOLDERS'  FUNDS</t>
  </si>
  <si>
    <t>44.TOTAL LIABILITIES AND SHAREHOLDERS' FUNDS</t>
  </si>
  <si>
    <t>PROFIT AND LOSS ACCOUNT</t>
  </si>
  <si>
    <t>INTEREST INCOME</t>
  </si>
  <si>
    <t>1.1  Loans and advances</t>
  </si>
  <si>
    <t>1.2  Government securities.</t>
  </si>
  <si>
    <t>1.3 Deposits and placements with banking institutions</t>
  </si>
  <si>
    <t>1.4  Other</t>
  </si>
  <si>
    <t>1.5  Total Interest income</t>
  </si>
  <si>
    <t>INTEREST EXPENSES</t>
  </si>
  <si>
    <t>2.1  Customer deposits</t>
  </si>
  <si>
    <t>2.2  Deposits and placements from banking institutions</t>
  </si>
  <si>
    <t>2.3  Other Interest expense</t>
  </si>
  <si>
    <t>2.4  Total interest Expenses</t>
  </si>
  <si>
    <t>NET INTEREST INCOME</t>
  </si>
  <si>
    <t>OTHER OPERATING INCOME</t>
  </si>
  <si>
    <t>4.1  Fees and commissions income on loans &amp; advances</t>
  </si>
  <si>
    <t>4.2  Other Fees and commissions income</t>
  </si>
  <si>
    <t>4.3  Foreign exchange trading income</t>
  </si>
  <si>
    <t>4.4   Dividend Income</t>
  </si>
  <si>
    <t>4.5  Other income.</t>
  </si>
  <si>
    <t>4.6  Total Non-Interest Income</t>
  </si>
  <si>
    <t>TOTAL OPERATING INCOME</t>
  </si>
  <si>
    <t>OPERATING EXPENSES</t>
  </si>
  <si>
    <t>6.1  Loan Loss  Provision</t>
  </si>
  <si>
    <t>6.2  Staff costs</t>
  </si>
  <si>
    <t>6.3  Directors' emoluments</t>
  </si>
  <si>
    <t>6.4  Rental  charges</t>
  </si>
  <si>
    <t>6.5  Depreciation on property and equipment</t>
  </si>
  <si>
    <t>6.6  Ammortisation charges</t>
  </si>
  <si>
    <t>6.7  Other operating expenses</t>
  </si>
  <si>
    <t>6.8  Total Operating Expenses</t>
  </si>
  <si>
    <t>Profit/(loss) before tax and exceptional items</t>
  </si>
  <si>
    <t>Profit Share of minority interest</t>
  </si>
  <si>
    <t>Exceptional items-share of profit of associate</t>
  </si>
  <si>
    <t>Profit/(loss)  after exceptional items</t>
  </si>
  <si>
    <t>Current year</t>
  </si>
  <si>
    <t>Kshs. 000</t>
  </si>
  <si>
    <t>(Un-audited)</t>
  </si>
  <si>
    <t>Absolute
 Growth</t>
  </si>
  <si>
    <t>Percentage Growth</t>
  </si>
  <si>
    <t>Equity Bank Uganda Ltd</t>
  </si>
  <si>
    <t>Equity Bank Rwanda Ltd</t>
  </si>
  <si>
    <t>42. Proposed dividends</t>
  </si>
  <si>
    <t>43. Capital grants</t>
  </si>
  <si>
    <t>Current tax</t>
  </si>
  <si>
    <t>Deferred tax</t>
  </si>
  <si>
    <t>Profit / (loss) after tax and exceptional items</t>
  </si>
  <si>
    <t>Equity Bank Kenya Ltd</t>
  </si>
  <si>
    <t>Shs. 000</t>
  </si>
  <si>
    <t>Prior year</t>
  </si>
  <si>
    <t>KShs '000</t>
  </si>
  <si>
    <t>TShs '000</t>
  </si>
  <si>
    <t>Rwf '000</t>
  </si>
  <si>
    <t>Ssp '000</t>
  </si>
  <si>
    <t>-</t>
  </si>
  <si>
    <t>Elimination journals</t>
  </si>
  <si>
    <t>Equity Investment Bank Ltd</t>
  </si>
  <si>
    <t>LIABILITIES</t>
  </si>
  <si>
    <t>22.TOTAL LIABILITIES</t>
  </si>
  <si>
    <t>SHAREHOLDERS FUNDS</t>
  </si>
  <si>
    <t>36. Paid up/Assigned capital</t>
  </si>
  <si>
    <t>43. TOTAL SHAREHOLDERS FUNDS</t>
  </si>
  <si>
    <t>44.TOTAL LIABILITIES AND SHAREHOLDERS FUNDS</t>
  </si>
  <si>
    <t>US$ '000</t>
  </si>
  <si>
    <t>Less: Share of Minority Interest</t>
  </si>
  <si>
    <t>Profit attributable to the shareholders</t>
  </si>
  <si>
    <t>ENL, ECGL &amp; EISL</t>
  </si>
  <si>
    <t>1) NON PERFORMING LOANS AND ADVANCES</t>
  </si>
  <si>
    <t xml:space="preserve"> a) Gross  non performing loans and advances</t>
  </si>
  <si>
    <t>b)  Less Interest in suspense</t>
  </si>
  <si>
    <t>c)  Total  Non-Performing loans and advances (a-b)</t>
  </si>
  <si>
    <t>d) less Loan loss provision</t>
  </si>
  <si>
    <t>e) Net non- performing loans(c-b)</t>
  </si>
  <si>
    <t>f)  Discounted  value of securities</t>
  </si>
  <si>
    <t>g) Net NPLs Exposure (e-f)</t>
  </si>
  <si>
    <t>2)INSIDER LOANS AND ADVANCES</t>
  </si>
  <si>
    <t>a) Directors, shareholders and associates</t>
  </si>
  <si>
    <t>b)Employees</t>
  </si>
  <si>
    <t>c) Total insider Loans and Advances and other Facilities</t>
  </si>
  <si>
    <t>3)OFF BALANCE SHEET ITEMS</t>
  </si>
  <si>
    <t>a) Letter of Credit, guarantees, acceptances</t>
  </si>
  <si>
    <t>b) Other contigent Liabilities</t>
  </si>
  <si>
    <t>c) Total contigent Liabilities</t>
  </si>
  <si>
    <t>4) CAPITAL STRENGTH</t>
  </si>
  <si>
    <t>a) Core Capital</t>
  </si>
  <si>
    <t>b) Minimum statutory capital</t>
  </si>
  <si>
    <t>c) Excess/ (defficiency)</t>
  </si>
  <si>
    <t>d) Supplementary capital</t>
  </si>
  <si>
    <t>e) Total Capital (a+d)</t>
  </si>
  <si>
    <t>f) Total Risk Weighted Assets</t>
  </si>
  <si>
    <t>Ratios</t>
  </si>
  <si>
    <t>g) Core Capital/ Total Deposit Liabilities</t>
  </si>
  <si>
    <t>h) Minimum statutory ratio</t>
  </si>
  <si>
    <t>i) Excess / (defficiency)  (g-h)</t>
  </si>
  <si>
    <t>j) Core Capital/ Total Risk Weighted Assets</t>
  </si>
  <si>
    <t>k) Minimum statutory Ratio</t>
  </si>
  <si>
    <t>L) Excess / (defficiency) (j-k)</t>
  </si>
  <si>
    <t>m) Total Capital/ Total Risk Weighted assets</t>
  </si>
  <si>
    <t>n) Minimum statutory Ratio</t>
  </si>
  <si>
    <t>o) Excess / (defficiency) (m-n)</t>
  </si>
  <si>
    <t>5) LIQUIDITY</t>
  </si>
  <si>
    <t>a)  Liquidity Ratio</t>
  </si>
  <si>
    <t>b) Minimum statutory Ratio</t>
  </si>
  <si>
    <t>OTHER DISCLOSURES</t>
  </si>
  <si>
    <t>VARIANCE</t>
  </si>
  <si>
    <t>% Change</t>
  </si>
  <si>
    <t>Currency '000</t>
  </si>
  <si>
    <t>c) Excess / (defficiency) (a-b)</t>
  </si>
  <si>
    <t>b) Forwards, Swaps and Options</t>
  </si>
  <si>
    <t>c) Other contigent Liabilities</t>
  </si>
  <si>
    <t>Comments</t>
  </si>
  <si>
    <t>EBKL</t>
  </si>
  <si>
    <t>EBUL</t>
  </si>
  <si>
    <t>EBTL</t>
  </si>
  <si>
    <t>EBRL</t>
  </si>
  <si>
    <t>EBSSL</t>
  </si>
  <si>
    <t>EIA</t>
  </si>
  <si>
    <t>EIB</t>
  </si>
  <si>
    <t>PBT</t>
  </si>
  <si>
    <t>Growth</t>
  </si>
  <si>
    <t>Group</t>
  </si>
  <si>
    <t>Deposits</t>
  </si>
  <si>
    <t xml:space="preserve">S/H Funds </t>
  </si>
  <si>
    <t>Contribution per entity</t>
  </si>
  <si>
    <t>Total</t>
  </si>
  <si>
    <t>NII / Total Income</t>
  </si>
  <si>
    <t>C/I Ratio (with prov.)</t>
  </si>
  <si>
    <t>C/I Ratio (without prov.)</t>
  </si>
  <si>
    <t>NFI / Total Income</t>
  </si>
  <si>
    <t>PAT</t>
  </si>
  <si>
    <t>Net Interest Income</t>
  </si>
  <si>
    <t>Non-Funded Income</t>
  </si>
  <si>
    <t>Total Income</t>
  </si>
  <si>
    <t>Total Expenses</t>
  </si>
  <si>
    <t>Core Capital</t>
  </si>
  <si>
    <t>Total Capital</t>
  </si>
  <si>
    <r>
      <t>I1</t>
    </r>
    <r>
      <rPr>
        <b/>
        <sz val="10"/>
        <rFont val="EYInterstate Light"/>
      </rPr>
      <t xml:space="preserve">   BALANCE SHEET</t>
    </r>
  </si>
  <si>
    <t>EQUITY BANK TANZANIA LIMITED</t>
  </si>
  <si>
    <t>FINSERVE AFRICA LIMITED</t>
  </si>
  <si>
    <t>Elimination of Investment in Subsidiaries</t>
  </si>
  <si>
    <t>a</t>
  </si>
  <si>
    <t>EBKL(Kenya)</t>
  </si>
  <si>
    <t>Share capital</t>
  </si>
  <si>
    <t>Share premium</t>
  </si>
  <si>
    <t>Loan loss reserve</t>
  </si>
  <si>
    <t>Investment in Subsidiary</t>
  </si>
  <si>
    <t>To eliminate investment in subsidiary</t>
  </si>
  <si>
    <t>b</t>
  </si>
  <si>
    <t>Pro Credit DRC</t>
  </si>
  <si>
    <t>Share Capital</t>
  </si>
  <si>
    <t>Retained earnings (01.01.2015)</t>
  </si>
  <si>
    <t>Pre-acquisation profits</t>
  </si>
  <si>
    <t>Goodwill</t>
  </si>
  <si>
    <t>c</t>
  </si>
  <si>
    <t>Minority Interest at Aquisation</t>
  </si>
  <si>
    <t>Non-Controlling Interest</t>
  </si>
  <si>
    <t>To recognise share of non controllling interest at acquisation</t>
  </si>
  <si>
    <t>d</t>
  </si>
  <si>
    <t>EBRL(Rwanda)</t>
  </si>
  <si>
    <t>e</t>
  </si>
  <si>
    <t>EBTL (Tanzania)</t>
  </si>
  <si>
    <t>f</t>
  </si>
  <si>
    <t>EBSS (South Sudan)</t>
  </si>
  <si>
    <t>g</t>
  </si>
  <si>
    <t>EBUL (Uganda)</t>
  </si>
  <si>
    <t>Local Non-Banking Subsidiary</t>
  </si>
  <si>
    <t>Equity Insurance Agency</t>
  </si>
  <si>
    <t>Finserve Africa Ltd</t>
  </si>
  <si>
    <t>Equity Investment Bank</t>
  </si>
  <si>
    <t>Equity Investment Services</t>
  </si>
  <si>
    <t>Equity Consulting Group</t>
  </si>
  <si>
    <t>Equity Nominees Limited</t>
  </si>
  <si>
    <t>To eliminate investment and share capital in local non-banking subsidiary</t>
  </si>
  <si>
    <t>Dr-Retained earnings (with  post acquisation profit share)</t>
  </si>
  <si>
    <t>Cr-Non Controlling Interests</t>
  </si>
  <si>
    <t>To eliminate share of non-controlling interest in post acquisation retained earnings</t>
  </si>
  <si>
    <t>CONSOLIDATION ADJUSTMENTS</t>
  </si>
  <si>
    <t>DR</t>
  </si>
  <si>
    <t>CR</t>
  </si>
  <si>
    <t>KES '000</t>
  </si>
  <si>
    <t>share capital</t>
  </si>
  <si>
    <t>To comply with the two week CRR cycle of Ugx 33 billion</t>
  </si>
  <si>
    <t>Utilizing available liquidity as disbursements are low . Current yield is 17%</t>
  </si>
  <si>
    <t>Invested as above .</t>
  </si>
  <si>
    <t>Depreciation of assets, no significant assets</t>
  </si>
  <si>
    <t>Tax credit received in the 2015 tax computation</t>
  </si>
  <si>
    <t xml:space="preserve">Payments of USD 5m of the loans from group </t>
  </si>
  <si>
    <t>Accrued expense including provision for the Oasis fraud :10 billion</t>
  </si>
  <si>
    <t>USD</t>
  </si>
  <si>
    <t>KES</t>
  </si>
  <si>
    <t>GBP</t>
  </si>
  <si>
    <t>ZAR</t>
  </si>
  <si>
    <t>EUR</t>
  </si>
  <si>
    <t>SSP</t>
  </si>
  <si>
    <t>RWF</t>
  </si>
  <si>
    <t>TZS</t>
  </si>
  <si>
    <t>Dr- Borrowed funds</t>
  </si>
  <si>
    <t>Uganda</t>
  </si>
  <si>
    <t>To eliminate thin sim balance from Finserve and EBKL</t>
  </si>
  <si>
    <t>Dr-Balances due to group-Finserve</t>
  </si>
  <si>
    <t>Cr-Other assets</t>
  </si>
  <si>
    <t>Movt</t>
  </si>
  <si>
    <t xml:space="preserve">35. Paid up/Assigned capital </t>
  </si>
  <si>
    <t>36. Share premium/ (discount)</t>
  </si>
  <si>
    <t>37. Revaluation reserve</t>
  </si>
  <si>
    <t>38. Retained earnings/ Accumulated losses</t>
  </si>
  <si>
    <t>39 Statutory Loan Loss reserve</t>
  </si>
  <si>
    <t>42. Non Controlling Interests</t>
  </si>
  <si>
    <t>MOVT</t>
  </si>
  <si>
    <t>Tanzania</t>
  </si>
  <si>
    <t>Dr-revaluation reserve</t>
  </si>
  <si>
    <t>CR-Retained earnings</t>
  </si>
  <si>
    <t>CR-share capital</t>
  </si>
  <si>
    <t>Cr-Shared services fee</t>
  </si>
  <si>
    <t>To eliminate shared service fee income and expense</t>
  </si>
  <si>
    <t>0810263150291</t>
  </si>
  <si>
    <t>0810298663787</t>
  </si>
  <si>
    <t>0810298663804</t>
  </si>
  <si>
    <t>0810298663798</t>
  </si>
  <si>
    <t>0810298663794</t>
  </si>
  <si>
    <t>0810294146925</t>
  </si>
  <si>
    <t>0810293952152</t>
  </si>
  <si>
    <t>0810294146973</t>
  </si>
  <si>
    <t>0810294146918</t>
  </si>
  <si>
    <t>0810294072705</t>
  </si>
  <si>
    <t>0810294408778</t>
  </si>
  <si>
    <t>0810294249283</t>
  </si>
  <si>
    <t>0810294072712</t>
  </si>
  <si>
    <t>Loan loss provision (P/L)</t>
  </si>
  <si>
    <t>EPS (basic and diluted)</t>
  </si>
  <si>
    <t>EGHL</t>
  </si>
  <si>
    <t>Alignment of Retained earnings</t>
  </si>
  <si>
    <t>CR-Share premium</t>
  </si>
  <si>
    <t>Cr-Loan Loss reserve</t>
  </si>
  <si>
    <t>Var (Group-Total)</t>
  </si>
  <si>
    <t>Explanation</t>
  </si>
  <si>
    <t>Rate</t>
  </si>
  <si>
    <t>Kenya</t>
  </si>
  <si>
    <t>Rwanda</t>
  </si>
  <si>
    <t>Risk Weighted Assets</t>
  </si>
  <si>
    <t>Non-repayable share premium</t>
  </si>
  <si>
    <t>Net After tax profits, current year to-date (50% only)</t>
  </si>
  <si>
    <t>Other reserves</t>
  </si>
  <si>
    <t>Less:</t>
  </si>
  <si>
    <t>Tier 2 Capital</t>
  </si>
  <si>
    <t>Term subordinated debt</t>
  </si>
  <si>
    <t>Statutory Loan Loss Reserve</t>
  </si>
  <si>
    <t>Statutory minimum</t>
  </si>
  <si>
    <t>Total capital/TRWA</t>
  </si>
  <si>
    <t>Movement of high value loans - Donie - 10bn and Buyinza John 6.8bn , Simbamanyo Estate - 10 bn</t>
  </si>
  <si>
    <t>In April 2015 , there were a number adjustments taken , these include 390- financial asset, 211- customer interest , 1,1bn - Oasis Fraud. These contributed to the low profitability.</t>
  </si>
  <si>
    <t xml:space="preserve">This is due to provisions taken for Simbamanyo Estate Limited of 2bn, Donie Company 3.2Bn  and Buyinza John 2 Bn </t>
  </si>
  <si>
    <t>Increase in the Staff travel costs ED andMD's Salary on the payroll .</t>
  </si>
  <si>
    <t xml:space="preserve">Increment in the number of board directors </t>
  </si>
  <si>
    <t>In 2015 , there were a number of write offs, Financial assets , Oasis Fraud.</t>
  </si>
  <si>
    <t>Increase in the TB booking and the high  yield for majority of the TB</t>
  </si>
  <si>
    <t>There was an impairment of Kes 165,062,250  &amp; transfer to Software of Kes 11,395,840 at the end of 2015</t>
  </si>
  <si>
    <t>Thin Sim costs expensed prior to Launch in Jul 2015.After launch Thin Sims are held as stock/Inventory for sale</t>
  </si>
  <si>
    <t>Growth in customer numbers from 780,489 in May 2015 to 1,911,608 as at 31.05.2016</t>
  </si>
  <si>
    <t>Increase is purely a result of fdevaluation. USD denominated balances of USD 88Mn as at 31 May 2016.</t>
  </si>
  <si>
    <t>Impact of devaluation of USD denominated customer deposits</t>
  </si>
  <si>
    <t>Devaluation of currency.</t>
  </si>
  <si>
    <t>Investing in the money markets . Current yield is up to 17%</t>
  </si>
  <si>
    <t>Borrowings to cover withdrawal of airtel deposits withdrawn within the month of 30 Bn.</t>
  </si>
  <si>
    <t>Elimination of loans to subsidiaries</t>
  </si>
  <si>
    <t>JV REF</t>
  </si>
  <si>
    <t>Debit</t>
  </si>
  <si>
    <t>Credit</t>
  </si>
  <si>
    <t>1a,b,c,d,e,f,</t>
  </si>
  <si>
    <t>DR-Shared service income</t>
  </si>
  <si>
    <t>CR-Interest expense on placements with banking subsidiaries</t>
  </si>
  <si>
    <t>DR-Interest income on placements with banking subsidiaries</t>
  </si>
  <si>
    <t>Debit Entry</t>
  </si>
  <si>
    <t>Credit Entry</t>
  </si>
  <si>
    <t xml:space="preserve"> JV REF</t>
  </si>
  <si>
    <t>CCY</t>
  </si>
  <si>
    <t>ACC. NAME</t>
  </si>
  <si>
    <t>ACC. NO.</t>
  </si>
  <si>
    <t>A/C Balances</t>
  </si>
  <si>
    <t>NOSTROS IN KENYA</t>
  </si>
  <si>
    <t>Equity Bank Uganda Ltd- KES</t>
  </si>
  <si>
    <t>Equity Bank Uganda Ltd- USD</t>
  </si>
  <si>
    <t>Equity Bank Uganda Ltd- EUR</t>
  </si>
  <si>
    <t>Equity Bank Uganda Ltd- GBP</t>
  </si>
  <si>
    <t>NOSTROS IN SUDAN</t>
  </si>
  <si>
    <t>Equity Bank Uganda Ltd- SSP</t>
  </si>
  <si>
    <t>NOSTROS IN TANZANIA</t>
  </si>
  <si>
    <t>Equity Bank Uganda Ltd- TZS</t>
  </si>
  <si>
    <t>NOSTROS IN RWANDA</t>
  </si>
  <si>
    <t>Equity Bank Uganda Ltd- RWF</t>
  </si>
  <si>
    <t>Equity Bank Uganda Ltd-GBP</t>
  </si>
  <si>
    <t>EBL SUDAN NOSTROS ACCOUNTS</t>
  </si>
  <si>
    <t>Equity Bank Sudan- KES</t>
  </si>
  <si>
    <t>Equity Bank Sudan- USD</t>
  </si>
  <si>
    <t>Equity Bank Sudan- EUR</t>
  </si>
  <si>
    <t>Equity Bank Sudan- GBP</t>
  </si>
  <si>
    <t>NOSTROS IN UGANDA</t>
  </si>
  <si>
    <t>UGX</t>
  </si>
  <si>
    <t>Equity Bank Sudan- UGX</t>
  </si>
  <si>
    <t>1003200620946</t>
  </si>
  <si>
    <t>1003200620775</t>
  </si>
  <si>
    <t>1003200620778</t>
  </si>
  <si>
    <t>1003200620947</t>
  </si>
  <si>
    <t>S Sudan Nostros</t>
  </si>
  <si>
    <t xml:space="preserve">PROCREDIT BANK CONGO </t>
  </si>
  <si>
    <t xml:space="preserve">DRC </t>
  </si>
  <si>
    <t xml:space="preserve">EBL KENYA </t>
  </si>
  <si>
    <t>EQUITY BANK TANZANIA LTD</t>
  </si>
  <si>
    <t>EBL UGANDA</t>
  </si>
  <si>
    <t>EBL RWANDA</t>
  </si>
  <si>
    <t>EBL SUDAN</t>
  </si>
  <si>
    <t>EBL KENYA NOSTROS ACCOUNTS</t>
  </si>
  <si>
    <t>EQUITY BANK K LTD</t>
  </si>
  <si>
    <t>Equity S.Sudan-Juba-SDG</t>
  </si>
  <si>
    <t>2001200002684</t>
  </si>
  <si>
    <t>Equity  Uganda-Katwe-UGX</t>
  </si>
  <si>
    <t>1003200479633</t>
  </si>
  <si>
    <t>Equity  Rwanda-RWF</t>
  </si>
  <si>
    <t>4002200200127</t>
  </si>
  <si>
    <t>Equity  Rwanda-USD</t>
  </si>
  <si>
    <t>4002200200128</t>
  </si>
  <si>
    <t>Equity  TANZANIA-TZS</t>
  </si>
  <si>
    <t>3001200010647</t>
  </si>
  <si>
    <t>Equity  TANZANIA-USD</t>
  </si>
  <si>
    <t>3001200010648</t>
  </si>
  <si>
    <t>KES EQUIVALENT</t>
  </si>
  <si>
    <t>CASH BALANCES WITH NON-BANKING SUBS</t>
  </si>
  <si>
    <t>FINSERVE</t>
  </si>
  <si>
    <t>To eliminate Nostro balances against customer deposits</t>
  </si>
  <si>
    <t>DR-Customer deposits</t>
  </si>
  <si>
    <t>CR-Deposits and balances due from banking institutions  abroad</t>
  </si>
  <si>
    <t>CR- Deposits and balances due from  institutions abroad</t>
  </si>
  <si>
    <t>Cr-Cash and Bank</t>
  </si>
  <si>
    <t>DR- Customer deposits</t>
  </si>
  <si>
    <t>6,9,13</t>
  </si>
  <si>
    <t>d) less:Specific Loan loss provision</t>
  </si>
  <si>
    <t>Equity mutiplier</t>
  </si>
  <si>
    <t xml:space="preserve">5. Deposits and balances due from local banking institutions </t>
  </si>
  <si>
    <t xml:space="preserve">Growth In Airtel Deposits Jul 16 77 Bn Vs Jul 15 72 Bn  , Growth in the different branch deposits particularly savings accounts </t>
  </si>
  <si>
    <t>There is a placement with south Sudan of USD 2.5m</t>
  </si>
  <si>
    <t>Revolvin credit lines</t>
  </si>
  <si>
    <t>Increased short term borrowing to cover the withdrawal of the airtel deposits.</t>
  </si>
  <si>
    <t>Impairment of intagible assets by Kes.165M</t>
  </si>
  <si>
    <t>Outstanding south sudan USD 6.5m compared to USD 9.9m in Aug 2015</t>
  </si>
  <si>
    <t>Increased disbursement in the month of august 2016- 26bn ,Aug 2015- 6.3bn</t>
  </si>
  <si>
    <t>Airtime float: Ugx 8.3 billion, Interest receivable on loans : Ugx 3.5 billion, Prepayments Ugx 2.2 billion .</t>
  </si>
  <si>
    <t xml:space="preserve">Increase in the Airtel accrual which is 4% on the daily balance </t>
  </si>
  <si>
    <t>Increased  LACE due to high disbursements in August 2016</t>
  </si>
  <si>
    <t>Increase in the different commission lines due to increase in transactions.</t>
  </si>
  <si>
    <t xml:space="preserve">Increased fx trading . </t>
  </si>
  <si>
    <t xml:space="preserve">Sale of motor vehicles . </t>
  </si>
  <si>
    <t xml:space="preserve">Increase due to release of  suspended interest of Donnie of 1.1 bn , </t>
  </si>
  <si>
    <t>FCY Deposits from Group repackaged as loan and reclassified to borrowed funds</t>
  </si>
  <si>
    <t>Loan from group for  core capital support</t>
  </si>
  <si>
    <t>Reconciliations and settlements of balances are done more promptly</t>
  </si>
  <si>
    <t>Interest Expense</t>
  </si>
  <si>
    <t>KES'000</t>
  </si>
  <si>
    <t>Decrease is due to disposal of securities held ; and the decrease has resulted in cash increase</t>
  </si>
  <si>
    <t>Decrease is due to ipairment of investment held in FTP</t>
  </si>
  <si>
    <t>Decrease is due to repayment of balances owed to group.</t>
  </si>
  <si>
    <t>UGX '000</t>
  </si>
  <si>
    <t>additional share capital</t>
  </si>
  <si>
    <t>Ugx '000</t>
  </si>
  <si>
    <t>Share capital &amp; premium</t>
  </si>
  <si>
    <t>JPY</t>
  </si>
  <si>
    <t>CHF</t>
  </si>
  <si>
    <t>CAD</t>
  </si>
  <si>
    <t>AUD</t>
  </si>
  <si>
    <t>SEK</t>
  </si>
  <si>
    <t>NOK</t>
  </si>
  <si>
    <t>DKK</t>
  </si>
  <si>
    <t>CNY</t>
  </si>
  <si>
    <t>Share Premium</t>
  </si>
  <si>
    <t>Others</t>
  </si>
  <si>
    <t>Un-audited</t>
  </si>
  <si>
    <t>Interest Income</t>
  </si>
  <si>
    <t>Staff costs</t>
  </si>
  <si>
    <t>Other Expenses</t>
  </si>
  <si>
    <t>Investment Securities</t>
  </si>
  <si>
    <t>Tier 1/TRWA</t>
  </si>
  <si>
    <t>Posted</t>
  </si>
  <si>
    <t>Share capital 1</t>
  </si>
  <si>
    <t>Share Capital 2</t>
  </si>
  <si>
    <t>Cr-Interest expense</t>
  </si>
  <si>
    <t>Dr-Interest Income-EIA</t>
  </si>
  <si>
    <t>Dr-Interest Income-Finserve</t>
  </si>
  <si>
    <t>To eliminate interest income/Other Income from placement with Kenya</t>
  </si>
  <si>
    <t>Dr-Interest income-placement with banks-EGHL</t>
  </si>
  <si>
    <t>`</t>
  </si>
  <si>
    <t>Liquidity ratio</t>
  </si>
  <si>
    <t>Statutoty minimum</t>
  </si>
  <si>
    <t>Dr-Other money market deposits</t>
  </si>
  <si>
    <t>To eliminate interest income/expense on short term placements &amp; Intercompany loans</t>
  </si>
  <si>
    <t>Dr-Other Income</t>
  </si>
  <si>
    <t>Cr- Other expenses (management fees)</t>
  </si>
  <si>
    <t>31. Dividends  payable</t>
  </si>
  <si>
    <t>1. Cash (both local &amp; foreign)</t>
  </si>
  <si>
    <t>Amount to be added back to retained earnings</t>
  </si>
  <si>
    <t>Adjusted core capital</t>
  </si>
  <si>
    <t>Adjusted total capital</t>
  </si>
  <si>
    <t>Dec 2014 R/E</t>
  </si>
  <si>
    <t>Dec 2014 Capital</t>
  </si>
  <si>
    <t>Dec 2015 R/E</t>
  </si>
  <si>
    <t>Dec 2015 Capital</t>
  </si>
  <si>
    <t>Deferred taxes</t>
  </si>
  <si>
    <t>Deferred tax assets</t>
  </si>
  <si>
    <t>IFRS 9 additional amount</t>
  </si>
  <si>
    <t>6.1  Loan loss  provision</t>
  </si>
  <si>
    <t>Total assets</t>
  </si>
  <si>
    <t xml:space="preserve">Loans and advances </t>
  </si>
  <si>
    <t>Cash and cash equivalents</t>
  </si>
  <si>
    <t>Total liabilities</t>
  </si>
  <si>
    <t>Borrowed funds</t>
  </si>
  <si>
    <t>adjusted for:</t>
  </si>
  <si>
    <t>Statutory loan loss reserve</t>
  </si>
  <si>
    <t>movement from general to specific during the year</t>
  </si>
  <si>
    <t>Adjusted core capital / TRWA</t>
  </si>
  <si>
    <t>Adjusted core capital / deposits</t>
  </si>
  <si>
    <t>To eliminate placements with subsidiaries and interest thereon</t>
  </si>
  <si>
    <t>Intangible assets-(pre-acquisition)</t>
  </si>
  <si>
    <t>Retained earnings-(pre-acquisition)</t>
  </si>
  <si>
    <t>Other reserves-(pre-acquisition)</t>
  </si>
  <si>
    <t>Revaluation reserve(pre-acquisition)</t>
  </si>
  <si>
    <t>SHAREHOLDERS' FUND WORKINGS</t>
  </si>
  <si>
    <t>Equity Group Holdings Plc</t>
  </si>
  <si>
    <t>EQUITY GROUP HOLDINGS PLC</t>
  </si>
  <si>
    <t>***</t>
  </si>
  <si>
    <t>EGH Plc</t>
  </si>
  <si>
    <t xml:space="preserve">Elimination journals </t>
  </si>
  <si>
    <t>Adjusted total capital / TRWA</t>
  </si>
  <si>
    <t>Daily</t>
  </si>
  <si>
    <t>Variance</t>
  </si>
  <si>
    <t>USD '000</t>
  </si>
  <si>
    <t>Tshs '000</t>
  </si>
  <si>
    <t>Ushs '000</t>
  </si>
  <si>
    <t>Core capital / TRWA</t>
  </si>
  <si>
    <t>Excess / (Deficiency)</t>
  </si>
  <si>
    <t>Total capital / TRWA</t>
  </si>
  <si>
    <t>Core capital / deposits</t>
  </si>
  <si>
    <t>Retained earnings / Accumulated losses</t>
  </si>
  <si>
    <t>EQUITY BANK RWANDA LIMITED</t>
  </si>
  <si>
    <t>0810297795881</t>
  </si>
  <si>
    <t>0810297795925</t>
  </si>
  <si>
    <t>0810297795946</t>
  </si>
  <si>
    <t>0810297795967</t>
  </si>
  <si>
    <t>1003200638051</t>
  </si>
  <si>
    <t>1003200638049</t>
  </si>
  <si>
    <t>1003200638040</t>
  </si>
  <si>
    <t>1003200638047</t>
  </si>
  <si>
    <t>2001211166791</t>
  </si>
  <si>
    <t>2001211168071</t>
  </si>
  <si>
    <t xml:space="preserve">EQUITY BANK RWANDA LIMITED </t>
  </si>
  <si>
    <t>2001211166832</t>
  </si>
  <si>
    <t>2001211166792</t>
  </si>
  <si>
    <t>3001200010404</t>
  </si>
  <si>
    <t>3001200010405</t>
  </si>
  <si>
    <t>3001200010400</t>
  </si>
  <si>
    <t>3001200010394</t>
  </si>
  <si>
    <t>o) Excess / (deficiency) (m-n)</t>
  </si>
  <si>
    <t>L) Excess / (deficiency) (j-k)</t>
  </si>
  <si>
    <t>i) Excess / (deficiency)  (g-h)</t>
  </si>
  <si>
    <t>c) Excess / (deficiency) (a-b)</t>
  </si>
  <si>
    <t>c) Excess/ (deficiency)</t>
  </si>
  <si>
    <t>Paid-up ordinary share capital / Assigned Capital</t>
  </si>
  <si>
    <t>Includes Finserve (Revenue from EBKL)</t>
  </si>
  <si>
    <t>SSP '000</t>
  </si>
  <si>
    <t>AED</t>
  </si>
  <si>
    <t>Minority</t>
  </si>
  <si>
    <t>2.3  Other interest expense</t>
  </si>
  <si>
    <t>SDG</t>
  </si>
  <si>
    <t>4.4   Dividend income</t>
  </si>
  <si>
    <t>4.2  Other fees and commissions income</t>
  </si>
  <si>
    <t>Okay</t>
  </si>
  <si>
    <t>DEC RE</t>
  </si>
  <si>
    <t>PAT FOR THE YEAR</t>
  </si>
  <si>
    <t>Jan</t>
  </si>
  <si>
    <t xml:space="preserve">Feb </t>
  </si>
  <si>
    <t>Mar</t>
  </si>
  <si>
    <t>Apr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</si>
  <si>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</si>
  <si>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</si>
  <si>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</si>
  <si>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</si>
  <si>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</si>
  <si>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</si>
  <si>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</si>
  <si>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</si>
  <si>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EBL UGANDA NOSTROS ACCOUNTS</t>
  </si>
  <si>
    <t xml:space="preserve">0810265408357 </t>
  </si>
  <si>
    <t>SSP </t>
  </si>
  <si>
    <t>EUR </t>
  </si>
  <si>
    <t>GBP </t>
  </si>
  <si>
    <t>Income tax expense</t>
  </si>
  <si>
    <t>Effective tax rate</t>
  </si>
  <si>
    <t>Equity Bank South Sudan Ltd</t>
  </si>
  <si>
    <t xml:space="preserve">Equity Bank South Sudan Ltd </t>
  </si>
  <si>
    <t xml:space="preserve">25. Deposits and balances due to local banking institutions  </t>
  </si>
  <si>
    <t xml:space="preserve">26. Deposits and balances due to foreign  banking institutions  </t>
  </si>
  <si>
    <t xml:space="preserve">36. Paid up / assigned capital </t>
  </si>
  <si>
    <t>37. Share premium / (discount)</t>
  </si>
  <si>
    <t>39. Retained earnings / accumulated losses</t>
  </si>
  <si>
    <t>40. Statutory loan loss reserve</t>
  </si>
  <si>
    <t>43. Minority interest</t>
  </si>
  <si>
    <t>1.2  Government securities</t>
  </si>
  <si>
    <t>2.4  Total interest expenses</t>
  </si>
  <si>
    <t>1.5  Total interest income</t>
  </si>
  <si>
    <t>4.5  Other income</t>
  </si>
  <si>
    <t>4.6  Total non-interest income</t>
  </si>
  <si>
    <t>6.8  Total operating expenses</t>
  </si>
  <si>
    <t>Less: Share of minority interest</t>
  </si>
  <si>
    <t>b)  Less interest in suspense</t>
  </si>
  <si>
    <t>c)  Total  non-performing loans and advances (a-b)</t>
  </si>
  <si>
    <t>g) Net NPLs exposure (e-f)</t>
  </si>
  <si>
    <t>b) Forwards, swaps and options</t>
  </si>
  <si>
    <t>c) Other contigent liabilities</t>
  </si>
  <si>
    <t>c) Total contigent liabilities</t>
  </si>
  <si>
    <t>a) Letter of credit, guarantees, acceptances</t>
  </si>
  <si>
    <t>b) Employees</t>
  </si>
  <si>
    <t>3) OFF BALANCE SHEET ITEMS</t>
  </si>
  <si>
    <t>2. Balances due from Central  Bank of Kenya</t>
  </si>
  <si>
    <t>4. Foreign  currency treasury bills and bonds</t>
  </si>
  <si>
    <t>c)  Total non-performing loans and advances (a-b)</t>
  </si>
  <si>
    <t>d) less loan loss provision</t>
  </si>
  <si>
    <t>c) Total insider loans and advances and other facilities</t>
  </si>
  <si>
    <t>a) Core capital</t>
  </si>
  <si>
    <t>e) Total capital (a+d)</t>
  </si>
  <si>
    <t>f) Total risk weighted assets</t>
  </si>
  <si>
    <t>j) Core capital / total risk weighted assets</t>
  </si>
  <si>
    <t>k) Minimum statutory ratio</t>
  </si>
  <si>
    <t>n) Minimum statutory ratio</t>
  </si>
  <si>
    <t>a)  Liquidity ratio</t>
  </si>
  <si>
    <t>b) Minimum statutory ratio</t>
  </si>
  <si>
    <t>41.Other reserves</t>
  </si>
  <si>
    <t>IFC</t>
  </si>
  <si>
    <t>m) Total capital / total risk weighted assets</t>
  </si>
  <si>
    <t>g) Core capital / total deposit liabilities</t>
  </si>
  <si>
    <t xml:space="preserve">BCDC </t>
  </si>
  <si>
    <t>Minority at Acquisition</t>
  </si>
  <si>
    <t>BCDC</t>
  </si>
  <si>
    <t>Other deductions allowed (including goodwill and minority interest)</t>
  </si>
  <si>
    <t>\</t>
  </si>
  <si>
    <t xml:space="preserve">Fair value adjustment on investment properties - BCDC </t>
  </si>
  <si>
    <t>Aug 7 Adjustments</t>
  </si>
  <si>
    <t>Property &amp; Equipment</t>
  </si>
  <si>
    <t>USD 000</t>
  </si>
  <si>
    <t>EGH</t>
  </si>
  <si>
    <t>Fair Value adjustment</t>
  </si>
  <si>
    <t>Identifiable intangible assets</t>
  </si>
  <si>
    <t>Customer Relations</t>
  </si>
  <si>
    <t>Core deposit Intangible</t>
  </si>
  <si>
    <t>Brand value</t>
  </si>
  <si>
    <t>Total Fair Value Adjustments</t>
  </si>
  <si>
    <t>Non -Controlling Interest</t>
  </si>
  <si>
    <t>Goodwill/(Bargain Purchase)</t>
  </si>
  <si>
    <t>30% corporate tax</t>
  </si>
  <si>
    <t>Intangible assets adjustments - BCDC</t>
  </si>
  <si>
    <t>To eliminate EGHL, EIA, Finserve and other small entities cash balances from customer deposits</t>
  </si>
  <si>
    <t xml:space="preserve">0810279759387 </t>
  </si>
  <si>
    <t>ETR</t>
  </si>
  <si>
    <t>Exceptional items - Gain on bargain purchase</t>
  </si>
  <si>
    <t>Retained earnings (31.07.2020)</t>
  </si>
  <si>
    <t>Deferred tax liability</t>
  </si>
  <si>
    <t>Pre-acquisation profits (7 days to 8 Aug 2020)</t>
  </si>
  <si>
    <t>New DRC Invest-Nov</t>
  </si>
  <si>
    <t>Cr-Investment in Subsidiary</t>
  </si>
  <si>
    <t>Dr-Retained earnings</t>
  </si>
  <si>
    <t>Dr-Non controlling interest</t>
  </si>
  <si>
    <t>(Audited)</t>
  </si>
  <si>
    <t>Shareholding in expanded BCDC after allotment</t>
  </si>
  <si>
    <t>% stake</t>
  </si>
  <si>
    <t>E_BCDC</t>
  </si>
  <si>
    <t>Share premium (issued on 27.12.2020)</t>
  </si>
  <si>
    <t>Retained earnings (07.08.2020)</t>
  </si>
  <si>
    <t>Revaluation reserves</t>
  </si>
  <si>
    <t>Goodwill translation</t>
  </si>
  <si>
    <t>Original</t>
  </si>
  <si>
    <t>Translated</t>
  </si>
  <si>
    <t>Exchange differences</t>
  </si>
  <si>
    <t>EBUL (ugx)</t>
  </si>
  <si>
    <t>EBCL (usd)</t>
  </si>
  <si>
    <t>DR Retained earnings</t>
  </si>
  <si>
    <t>CR PPE</t>
  </si>
  <si>
    <t>Impairment of PPE-BCDC to fair value on acquisition</t>
  </si>
  <si>
    <t>Dr-Amortisation expense</t>
  </si>
  <si>
    <t>Cr-Intangible assets</t>
  </si>
  <si>
    <t xml:space="preserve">EBCDC </t>
  </si>
  <si>
    <t>6,9</t>
  </si>
  <si>
    <t>Dr-Goodwill/Other assets</t>
  </si>
  <si>
    <t>EBCDC</t>
  </si>
  <si>
    <t>EBSS</t>
  </si>
  <si>
    <t>Total asset</t>
  </si>
  <si>
    <t>Net Loans</t>
  </si>
  <si>
    <t>Total Deposit</t>
  </si>
  <si>
    <t>5% deposit growth for customers excl. banks</t>
  </si>
  <si>
    <t>21% deposit growth for customers excl. banks</t>
  </si>
  <si>
    <t>EquityBCDC</t>
  </si>
  <si>
    <t>2020 Tax loss C/F</t>
  </si>
  <si>
    <t>EIR</t>
  </si>
  <si>
    <t>AC CLOSED</t>
  </si>
  <si>
    <t>Equity Group Holdings Plc  Group- Consolidated</t>
  </si>
  <si>
    <t>amortization of acquired intangibles</t>
  </si>
  <si>
    <t>YOY Growth-Sep 2021</t>
  </si>
  <si>
    <t>1,298,058,582.19 </t>
  </si>
  <si>
    <t>Profit(Loss) of revaluation during the year</t>
  </si>
  <si>
    <t>7. Government and other securities at fair value through OCI</t>
  </si>
  <si>
    <t xml:space="preserve">DPS </t>
  </si>
  <si>
    <t>Equity Bancassurance Intermediary Ltd</t>
  </si>
  <si>
    <t>% Growth</t>
  </si>
  <si>
    <t>EIGHL</t>
  </si>
  <si>
    <t>ELAK</t>
  </si>
  <si>
    <t>Equity Insurance Group Holdings Ltd - Consolidated</t>
  </si>
  <si>
    <t>Elimination</t>
  </si>
  <si>
    <t>Equiity Insurance Group Holdings Ltd</t>
  </si>
  <si>
    <t>Dr-Interest Income-Others &amp; ELAK</t>
  </si>
  <si>
    <t>Azenia</t>
  </si>
  <si>
    <t>FINSERVE AFRICA LIMITED - CONSOLIDATED</t>
  </si>
  <si>
    <t>AZENIA</t>
  </si>
  <si>
    <t>2022 Ownership structure</t>
  </si>
  <si>
    <t>DRC Govt</t>
  </si>
  <si>
    <t>Elimination of NCI in EBCDC share of profit for the period(2022)</t>
  </si>
  <si>
    <t>To record transaction with owners on purchase of KFW shares in 2020.</t>
  </si>
  <si>
    <t>To record intercompany elimination between Azenia and Kenya</t>
  </si>
  <si>
    <t>Consolidated</t>
  </si>
  <si>
    <t xml:space="preserve">Finserve </t>
  </si>
  <si>
    <t>Dr-Non-Controlling Interest</t>
  </si>
  <si>
    <t>Cr-Revaluation Reserves</t>
  </si>
  <si>
    <t>Elimination of EBCDC share of OCI items in NCI for 2022</t>
  </si>
  <si>
    <t>Impairment of acquired intangibles 2022</t>
  </si>
  <si>
    <t>Translation of Goodwill</t>
  </si>
  <si>
    <t>Dr-Goodwill -2021</t>
  </si>
  <si>
    <t>Dr-Intangible assets-2021</t>
  </si>
  <si>
    <t>Elimination of Azenia 2021 loss</t>
  </si>
  <si>
    <t>Cr -Retained earnings</t>
  </si>
  <si>
    <t>Elimination of 2021 acquired intangible amortization</t>
  </si>
  <si>
    <t>Cr-Goodwill-2020</t>
  </si>
  <si>
    <t>Dr-Intangible assets</t>
  </si>
  <si>
    <t>Final</t>
  </si>
  <si>
    <t>EGHIL</t>
  </si>
  <si>
    <t>EGF</t>
  </si>
  <si>
    <t>.Due from</t>
  </si>
  <si>
    <t>Other assets</t>
  </si>
  <si>
    <t>Banking subs</t>
  </si>
  <si>
    <t>Due to</t>
  </si>
  <si>
    <t>Other liabilities</t>
  </si>
  <si>
    <t xml:space="preserve">ELAK Group Life Premiums for staff </t>
  </si>
  <si>
    <t>Dr-Other liabilities-Unpaid premiums from foreign subs</t>
  </si>
  <si>
    <t>Dr- Other Income</t>
  </si>
  <si>
    <t>Cr- Operating Expense</t>
  </si>
  <si>
    <t>Developer costs</t>
  </si>
  <si>
    <t>Cr- Other Expenses</t>
  </si>
  <si>
    <t>Cr-Staff costs</t>
  </si>
  <si>
    <t>CIR exc LLP</t>
  </si>
  <si>
    <t>CIR</t>
  </si>
  <si>
    <t>To eliminate share of non-controlling interest in 2022 retained earnings</t>
  </si>
  <si>
    <t>Adjustment to 2021 LLP</t>
  </si>
  <si>
    <t>PL</t>
  </si>
  <si>
    <t>AZENIA WORKINGS</t>
  </si>
  <si>
    <t xml:space="preserve">Others - ENL, ECGL &amp; EISL </t>
  </si>
  <si>
    <t>EGHIL &amp; ELAK</t>
  </si>
  <si>
    <t>FinAL &amp; Azenia</t>
  </si>
  <si>
    <t>Dec Retained Earnings</t>
  </si>
  <si>
    <t>Intangible elimination to Azenia</t>
  </si>
  <si>
    <t>Adjustment to 2021 R/E-in April</t>
  </si>
  <si>
    <t>Other operating costs less Audit fee &amp; Licences</t>
  </si>
  <si>
    <t>Audit fee</t>
  </si>
  <si>
    <t>Licences</t>
  </si>
  <si>
    <t>Printing</t>
  </si>
  <si>
    <t>Journal</t>
  </si>
  <si>
    <t>Investment in subs</t>
  </si>
  <si>
    <t>Capital Injection</t>
  </si>
  <si>
    <t>Deferred Tax Credit</t>
  </si>
  <si>
    <t>f) Total Risk WeiMXted Assets</t>
  </si>
  <si>
    <t>j) Core Capital/ Total Risk WeiMXted Assets</t>
  </si>
  <si>
    <t>m) Total Capital/ Total Risk WeiMXted assets</t>
  </si>
  <si>
    <t>DTA Financials</t>
  </si>
  <si>
    <t>DTA Capital Workings</t>
  </si>
  <si>
    <t>Cr: Other Assets -Due to Finserve</t>
  </si>
  <si>
    <t>Dr: Other Liabilities - Due from Azenia</t>
  </si>
  <si>
    <t>To Record transaction of rights issue in 2022</t>
  </si>
  <si>
    <t>Dr-Share Capital</t>
  </si>
  <si>
    <t>Dr-Share Premium</t>
  </si>
  <si>
    <t>Capital BF Rights Issue</t>
  </si>
  <si>
    <t>Additional Capital</t>
  </si>
  <si>
    <t>Converted KES</t>
  </si>
  <si>
    <t>Share Premimum BF Rights Issue</t>
  </si>
  <si>
    <t>Additional Share Premium</t>
  </si>
  <si>
    <t>Total Share Premium</t>
  </si>
  <si>
    <t>Retained Earnings - Gain or Loss on Exchange rates</t>
  </si>
  <si>
    <t>Intercompany Elimination Azenia &amp; Finserve</t>
  </si>
  <si>
    <t>Purchase of Minority shares -25th August 2022</t>
  </si>
  <si>
    <t>Dr- Non Controlling Interest</t>
  </si>
  <si>
    <t>Cr- Investment in Subsidiary</t>
  </si>
  <si>
    <t>Dr- Retained Earnings</t>
  </si>
  <si>
    <t>Revaluation Reserve</t>
  </si>
  <si>
    <t>Cr - Non Controlling Interest</t>
  </si>
  <si>
    <t>Cr - Retained Earnings</t>
  </si>
  <si>
    <t>To record change in equity following acquisition of  NCI</t>
  </si>
  <si>
    <t>15b</t>
  </si>
  <si>
    <t>AFS reserve/loss</t>
  </si>
  <si>
    <t>Dr - AFS Reserve</t>
  </si>
  <si>
    <t>To recognise change in attribution of OCI following acquisition of NCI</t>
  </si>
  <si>
    <t>15c</t>
  </si>
  <si>
    <t>Translation reserves</t>
  </si>
  <si>
    <t>Allocate Translation gains/Losses to NCI - August 2022</t>
  </si>
  <si>
    <t>Dr - Non Controlling Interest</t>
  </si>
  <si>
    <t>Cr - Revaluation reserve/Translation gains or Losses</t>
  </si>
  <si>
    <t>Cr - Other Expense</t>
  </si>
  <si>
    <t>TZ adjustment</t>
  </si>
  <si>
    <t>NCI</t>
  </si>
  <si>
    <t xml:space="preserve">Borrowing from Rwanda of Rwf 500M and USD 0M: </t>
  </si>
  <si>
    <t>Borrowings by TZ from Kenya-0M USD, Uganda 0M USD</t>
  </si>
  <si>
    <t>15d</t>
  </si>
  <si>
    <t>Purchase of Minority Shares 04-11-2022</t>
  </si>
  <si>
    <t>Dr - Retained Earnings</t>
  </si>
  <si>
    <t>Statutory Loan Loss reserve_Uganda</t>
  </si>
  <si>
    <t>Dr - Dividend payable</t>
  </si>
  <si>
    <t>Cr - Other Assets (Dividends receivable)</t>
  </si>
  <si>
    <t>INTERIM DIVIDEND</t>
  </si>
  <si>
    <t>Dividends Payable</t>
  </si>
  <si>
    <t>Dividends</t>
  </si>
  <si>
    <t xml:space="preserve">Statutory Loan Loss </t>
  </si>
  <si>
    <t>Share</t>
  </si>
  <si>
    <t>Non-controlling interests</t>
  </si>
  <si>
    <t>Total equity</t>
  </si>
  <si>
    <t>capital</t>
  </si>
  <si>
    <t>premium</t>
  </si>
  <si>
    <t>reserves</t>
  </si>
  <si>
    <t xml:space="preserve"> </t>
  </si>
  <si>
    <t>Shs’ millions</t>
  </si>
  <si>
    <t>At start of period</t>
  </si>
  <si>
    <t xml:space="preserve">Other comprehensive income </t>
  </si>
  <si>
    <t>Final dividend declared and paid</t>
  </si>
  <si>
    <t>At end of period</t>
  </si>
  <si>
    <t>SFP</t>
  </si>
  <si>
    <t xml:space="preserve">Elimination of Dividends Receivable </t>
  </si>
  <si>
    <t>6.6  Amortisation charges</t>
  </si>
  <si>
    <t>Dividends Paid</t>
  </si>
  <si>
    <t>BALANCE SHEET</t>
  </si>
  <si>
    <t>TZ Transfers</t>
  </si>
  <si>
    <t>Ug Transfers</t>
  </si>
  <si>
    <t>EUROBOND MTM MOVEMENT</t>
  </si>
  <si>
    <t xml:space="preserve">COUNTRY </t>
  </si>
  <si>
    <t>AMOUNT</t>
  </si>
  <si>
    <t xml:space="preserve">KENYA </t>
  </si>
  <si>
    <t>TANZANIA</t>
  </si>
  <si>
    <t>Revaluation reserve</t>
  </si>
  <si>
    <t>Dec_2021 CB</t>
  </si>
  <si>
    <t>Movement</t>
  </si>
  <si>
    <t>MTM Loss</t>
  </si>
  <si>
    <t>Gain/Loss on Translation</t>
  </si>
  <si>
    <t>Share Capital 3</t>
  </si>
  <si>
    <t>Retained earnings-(Re- Capitalisation 2022)</t>
  </si>
  <si>
    <t>Cr: Dividend Income</t>
  </si>
  <si>
    <t>RW &amp; EBIL</t>
  </si>
  <si>
    <t>Dr - Retained earnings</t>
  </si>
  <si>
    <t>Cr-Translation reserve</t>
  </si>
  <si>
    <t>FX translation</t>
  </si>
  <si>
    <t>AFS reserve</t>
  </si>
  <si>
    <t>R/ Earnings</t>
  </si>
  <si>
    <t>FX Translation reserve-at acquisation</t>
  </si>
  <si>
    <t>FX Translation reserve at acquisition</t>
  </si>
  <si>
    <t>FX Translation reserve- at acquisition</t>
  </si>
  <si>
    <t>FX Translation reserve</t>
  </si>
  <si>
    <t>Dr-FX Translation reserve</t>
  </si>
  <si>
    <t>Dr-FX translation Reserve-2020</t>
  </si>
  <si>
    <t>Cr-FX translation Reserve</t>
  </si>
  <si>
    <t>Cr-FX Translation reserve</t>
  </si>
  <si>
    <t>Dr - Revaluation reserve/FX Translation reserve</t>
  </si>
  <si>
    <t>Loan loss</t>
  </si>
  <si>
    <t>ELAK /Bancassurance Commission Income Elimination</t>
  </si>
  <si>
    <t xml:space="preserve">Cr- Unearned commission/other </t>
  </si>
  <si>
    <t>Dr-Interest income from placement/fixed deposit</t>
  </si>
  <si>
    <t>Cr-Interest expense from placements</t>
  </si>
  <si>
    <t>Group Credit</t>
  </si>
  <si>
    <t>Dr-Premium payable-EBKL</t>
  </si>
  <si>
    <t>Dr-Premium Payable-EBIL</t>
  </si>
  <si>
    <t>Cr-Premum receivable-ELAK</t>
  </si>
  <si>
    <t>Elimination of NCI share of OCI in DRC 2021</t>
  </si>
  <si>
    <t>Elimination of NCI Share of profit(PL) in DRC for the period(1.10.2015-31.12.2021)</t>
  </si>
  <si>
    <t>Transactions with NCI 2020 &amp; 2021</t>
  </si>
  <si>
    <t>KFW put option( 2020) &amp; DRC ESOP (2021)</t>
  </si>
  <si>
    <t>Increase in investments in DRC through Rights Issue</t>
  </si>
  <si>
    <t>FY 2022 Journals</t>
  </si>
  <si>
    <t>BS</t>
  </si>
  <si>
    <t xml:space="preserve">Retained </t>
  </si>
  <si>
    <t>Earnings</t>
  </si>
  <si>
    <t xml:space="preserve">AFS </t>
  </si>
  <si>
    <t xml:space="preserve">FX </t>
  </si>
  <si>
    <t>translation</t>
  </si>
  <si>
    <t>Other</t>
  </si>
  <si>
    <t>Reserves</t>
  </si>
  <si>
    <t>Other Assets</t>
  </si>
  <si>
    <t>Dr</t>
  </si>
  <si>
    <t>Cr</t>
  </si>
  <si>
    <t>Dr: Investment in Subsidiaries</t>
  </si>
  <si>
    <t>To Record additional purchase of Minority Shares</t>
  </si>
  <si>
    <t>Purchase of Minority shares -December 2022</t>
  </si>
  <si>
    <t>Reclass from liabilities</t>
  </si>
  <si>
    <t>thin sims</t>
  </si>
  <si>
    <t>BCDC Fixed deposits</t>
  </si>
  <si>
    <t>15e</t>
  </si>
  <si>
    <t>opening NCI</t>
  </si>
  <si>
    <t>Add:</t>
  </si>
  <si>
    <t>Share of PBT</t>
  </si>
  <si>
    <t>Share of reserve</t>
  </si>
  <si>
    <t xml:space="preserve">FX translation </t>
  </si>
  <si>
    <t>sale 1-Aug</t>
  </si>
  <si>
    <t>Closing NCI-Aug</t>
  </si>
  <si>
    <t>Aug</t>
  </si>
  <si>
    <t>SEP</t>
  </si>
  <si>
    <t>NOV</t>
  </si>
  <si>
    <t>DEC</t>
  </si>
  <si>
    <t>%</t>
  </si>
  <si>
    <t xml:space="preserve">DR -Deposits and balances due to foreign  banking institutions  </t>
  </si>
  <si>
    <t>M-banking invoices</t>
  </si>
  <si>
    <t xml:space="preserve">AUDITED FINANCIAL STATEMENTS </t>
  </si>
  <si>
    <t>Audited</t>
  </si>
  <si>
    <t>1) NON-PERFORMING LOANS AND ADVANCES</t>
  </si>
  <si>
    <t>% minority</t>
  </si>
  <si>
    <t>Sept</t>
  </si>
  <si>
    <t>Nov</t>
  </si>
  <si>
    <t>Dec</t>
  </si>
  <si>
    <t>Share of Profit</t>
  </si>
  <si>
    <t>Share of Minority 2022</t>
  </si>
  <si>
    <t>Dr-Balances due to Related parties</t>
  </si>
  <si>
    <t>Cr-Balances due from group companies</t>
  </si>
  <si>
    <t xml:space="preserve">UNAUDITED FINANCIAL STATEMENTS </t>
  </si>
  <si>
    <t>EUROBOND VALUATION 2023</t>
  </si>
  <si>
    <t>Balance as at Dec_22</t>
  </si>
  <si>
    <t>Less: DT Element</t>
  </si>
  <si>
    <t>Group Life -</t>
  </si>
  <si>
    <t>Commisions paid to EBIL</t>
  </si>
  <si>
    <t>(Un-Audited)</t>
  </si>
  <si>
    <t>FY 2023 Journals</t>
  </si>
  <si>
    <t>Elimination of NCI in EBCDC share of profit for the period(2023)</t>
  </si>
  <si>
    <t>Elimination of EBCDC share of OCI items in NCI for 2023</t>
  </si>
  <si>
    <t>To record intercompany elimination between Azenia and Kenya-2023</t>
  </si>
  <si>
    <t>Remeasurement of Goodwill 2023</t>
  </si>
  <si>
    <t>Impairment of acquired intangibles 2023</t>
  </si>
  <si>
    <t>Allocate Translation gains/Losses to NCI - August 2023</t>
  </si>
  <si>
    <t>Additional 295 Shares bought on 31 Jan 2023</t>
  </si>
  <si>
    <t>December  2022 Strucutre</t>
  </si>
  <si>
    <t>% Shares Bought</t>
  </si>
  <si>
    <t>December NCI Share</t>
  </si>
  <si>
    <t>Jan Profit Share</t>
  </si>
  <si>
    <t>Value of NCI Bought</t>
  </si>
  <si>
    <t>Consideration Paid</t>
  </si>
  <si>
    <t>Retained Earnings</t>
  </si>
  <si>
    <t>Dr:</t>
  </si>
  <si>
    <t>Dr: Retained Earnings</t>
  </si>
  <si>
    <t>Investment in Subsidiaries</t>
  </si>
  <si>
    <t>Purchase of Minority Shares 31.01.2023</t>
  </si>
  <si>
    <r>
      <t xml:space="preserve">Dr-Amortisation expense </t>
    </r>
    <r>
      <rPr>
        <i/>
        <sz val="10"/>
        <color rgb="FFFF0000"/>
        <rFont val="Calibri"/>
        <family val="2"/>
        <scheme val="minor"/>
      </rPr>
      <t>(Retained Earnings)</t>
    </r>
  </si>
  <si>
    <t>Rate keeps changing confirm treatment</t>
  </si>
  <si>
    <t>Profit for the  period</t>
  </si>
  <si>
    <t>EBIL commission</t>
  </si>
  <si>
    <t>Difference</t>
  </si>
  <si>
    <t>Ask….</t>
  </si>
  <si>
    <t>EBKL Credit life liability</t>
  </si>
  <si>
    <t>ELAK Receivable</t>
  </si>
  <si>
    <t>EBIL Payable</t>
  </si>
  <si>
    <t>3 months period ended 31 March 2023</t>
  </si>
  <si>
    <t>(Unaudited)</t>
  </si>
  <si>
    <t>Adjustment to Retained earnings 2023</t>
  </si>
  <si>
    <t>Adjustment to NCI 2023</t>
  </si>
  <si>
    <t>Share of profit</t>
  </si>
  <si>
    <t>Transactions with NCI</t>
  </si>
  <si>
    <t>Share of OCI-AFS</t>
  </si>
  <si>
    <t>Transaction with NCI</t>
  </si>
  <si>
    <t>Share of OCI-FX translation</t>
  </si>
  <si>
    <t>Transfers</t>
  </si>
  <si>
    <t>Group life</t>
  </si>
  <si>
    <t>Un earned Group life</t>
  </si>
  <si>
    <t>Earned in 2023</t>
  </si>
  <si>
    <t>Cr - Other Assets</t>
  </si>
  <si>
    <t>Dr- Other Liabilities</t>
  </si>
  <si>
    <t>DRC Shareholders Funds</t>
  </si>
  <si>
    <t xml:space="preserve">NCI </t>
  </si>
  <si>
    <t>Dec_Shareholders funds</t>
  </si>
  <si>
    <t>March _Shareholders Funds</t>
  </si>
  <si>
    <t>Balance as at March_23</t>
  </si>
  <si>
    <t>Proposed Dividends</t>
  </si>
  <si>
    <t>Rent Allocation</t>
  </si>
  <si>
    <t>Other Opex</t>
  </si>
  <si>
    <t>EIA - Dividend Payable to EGH</t>
  </si>
  <si>
    <t xml:space="preserve">Allocate Translation gains/Losses to NCI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</si>
</sst>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3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* #,##0.00_);_(* \(#,##0.00\);_(* \-??_);_(@_)"/>
    <numFmt numFmtId="166" formatCode="_(* #,##0_);_(* \(#,##0\);_(* \-??_);_(@_)"/>
    <numFmt numFmtId="167" formatCode="_(* #,##0.00_);_(* \(#,##0.00\);_(* \-_);_(@_)"/>
    <numFmt numFmtId="168" formatCode="_(* #,##0_);_(* \(#,##0\);_(* \-_);_(@_)"/>
    <numFmt numFmtId="169" formatCode="_(* #,##0.00000_);_(* \(#,##0.00000\);_(* \-??_);_(@_)"/>
    <numFmt numFmtId="170" formatCode="_(* #,##0_);_(* \(#,##0\);_(* &quot;-&quot;??_);_(@_)"/>
    <numFmt numFmtId="171" formatCode="0.0%"/>
    <numFmt numFmtId="172" formatCode="0.000"/>
    <numFmt numFmtId="173" formatCode="_-* #,##0_-;\-* #,##0_-;_-* &quot;-&quot;??_-;_-@_-"/>
    <numFmt numFmtId="174" formatCode="_(* #,##0.00000_);_(* \(#,##0.00000\);_(* &quot;-&quot;??_);_(@_)"/>
    <numFmt numFmtId="175" formatCode="_(* #,##0.000_);_(* \(#,##0.000\);_(* &quot;-&quot;??_);_(@_)"/>
    <numFmt numFmtId="176" formatCode="[$-409]d\-mmm\-yyyy;@"/>
    <numFmt numFmtId="177" formatCode="\ #,##0.00&quot;    &quot;;\-#,##0.00&quot;    &quot;;&quot; -&quot;#&quot;    &quot;;@\ "/>
    <numFmt numFmtId="178" formatCode="[$-409]mmm\-yy;@"/>
    <numFmt numFmtId="179" formatCode="[$-409]d\-mmm\-yy;@"/>
    <numFmt numFmtId="180" formatCode="00000"/>
    <numFmt numFmtId="181" formatCode="0;[Red]0"/>
    <numFmt numFmtId="182" formatCode="&quot;Yes&quot;;&quot;Yes&quot;;&quot;No&quot;"/>
    <numFmt numFmtId="183" formatCode="_(* #,##0.0_);_(* \(#,##0.0\);_(* &quot;-&quot;??_);_(@_)"/>
    <numFmt numFmtId="184" formatCode="[$-F800]dddd\,&quot; &quot;mmmm&quot; &quot;dd\,&quot; &quot;yyyy"/>
    <numFmt numFmtId="185" formatCode="#,##0_);\(#,##0\);[White]General"/>
    <numFmt numFmtId="186" formatCode="mm/dd/yy_)"/>
    <numFmt numFmtId="187" formatCode="_(* #,##0_);_(* \(#,##0\);_(* &quot;-&quot;?_);@_)"/>
    <numFmt numFmtId="188" formatCode="#,##0.00_);\(#,##0.00\);#,##0.00_);_-* @_-"/>
    <numFmt numFmtId="189" formatCode="#,##0.000_);\(#,##0.000\);#,##0.000_);_-* @_-"/>
    <numFmt numFmtId="190" formatCode="[Red]#,##0_);[Red]\(#,##0\);[White]#,##0_);_-* @_-"/>
    <numFmt numFmtId="191" formatCode="#,##0\ ;\(#,##0\)"/>
    <numFmt numFmtId="192" formatCode="_(* #,##0.0_);_(* \(#,##0.0\);_(* #,##0.0_);_(* @_)"/>
    <numFmt numFmtId="193" formatCode="#,##0_);\(#,##0\);#,##0_);_-* @_-"/>
    <numFmt numFmtId="194" formatCode="#,##0_);;"/>
    <numFmt numFmtId="195" formatCode="[Red]#,##0_);[Red]\(#,##0\);[White]General"/>
    <numFmt numFmtId="196" formatCode="0_)"/>
    <numFmt numFmtId="197" formatCode="_-* #,##0.00_-;\-* #,##0.00_-;_-* \-??_-;_-@_-"/>
    <numFmt numFmtId="198" formatCode="[$-F800]dddd\,\ mmmm\ dd\,\ yyyy"/>
    <numFmt numFmtId="199" formatCode="0.00&quot;  &quot;"/>
    <numFmt numFmtId="200" formatCode="#,##0.00\ ;&quot; (&quot;#,##0.00\);&quot; -&quot;#\ ;@\ "/>
    <numFmt numFmtId="201" formatCode="d\-mmm\-yyyy;@"/>
    <numFmt numFmtId="202" formatCode="dd\-mmm\-yy;@"/>
    <numFmt numFmtId="203" formatCode="#,##0.00\ ;&quot;  (&quot;#,##0.00\);&quot;  -&quot;#\ ;@\ "/>
    <numFmt numFmtId="204" formatCode="_([$€-2]* #,##0.00_);_([$€-2]* \(#,##0.00\);_([$€-2]* &quot;-&quot;??_)"/>
    <numFmt numFmtId="205" formatCode="#,##0.00&quot; &quot;;&quot; (&quot;#,##0.00&quot;)&quot;;&quot; -&quot;#&quot; &quot;;@&quot; &quot;"/>
    <numFmt numFmtId="206" formatCode="0.00_)"/>
    <numFmt numFmtId="207" formatCode="[$$-409]#,##0.00;[Red]&quot;-&quot;[$$-409]#,##0.00"/>
    <numFmt numFmtId="208" formatCode="_(* #,##0.000_);_(* \(#,##0.000\);_(* \-??_);_(@_)"/>
    <numFmt numFmtId="209" formatCode="_(* #,##0.0000000_);_(* \(#,##0.0000000\);_(* &quot;-&quot;??_);_(@_)"/>
    <numFmt numFmtId="210" formatCode="_-* #,##0.00_-;[Red]\(#,##0.00\);_-* &quot;-&quot;??_-;_-@_-"/>
    <numFmt numFmtId="211" formatCode="[Red]&quot;ERROR&quot;;[Red]&quot;ERROR&quot;;[Color10]&quot;OK&quot;"/>
    <numFmt numFmtId="212" formatCode="_-* #,##0.000_-;\-* #,##0.000_-;_-* &quot;-&quot;??_-;_-@_-"/>
  </numFmts>
  <fonts count="233">
    <font>
      <sz val="11"/>
      <color theme="1"/>
      <name val="Calibri"/>
      <family val="2"/>
      <scheme val="minor"/>
    </font>
    <font>
      <sz val="10"/>
      <color theme="1"/>
      <name val="EYInterstate Light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0"/>
      <color indexed="8"/>
      <name val="MS Sans Serif"/>
    </font>
    <font>
      <sz val="10"/>
      <color indexed="8"/>
      <name val="MS Sans Serif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  <font>
      <b/>
      <sz val="14"/>
      <color indexed="8"/>
      <name val="Times New Roman"/>
      <family val="1"/>
    </font>
    <font>
      <sz val="1"/>
      <name val="Calibri"/>
      <family val="2"/>
    </font>
    <font>
      <b/>
      <sz val="10"/>
      <name val="EYInterstate Light"/>
    </font>
    <font>
      <b/>
      <sz val="10"/>
      <color rgb="FF0000FF"/>
      <name val="EYInterstate Light"/>
    </font>
    <font>
      <sz val="10"/>
      <name val="EYInterstate Light"/>
    </font>
    <font>
      <sz val="10"/>
      <color rgb="FF0000FF"/>
      <name val="EYInterstate Light"/>
    </font>
    <font>
      <sz val="10"/>
      <color indexed="59"/>
      <name val="EYInterstate Light"/>
    </font>
    <font>
      <sz val="10"/>
      <color theme="1"/>
      <name val="EYInterstate Light"/>
    </font>
    <font>
      <b/>
      <sz val="10"/>
      <color theme="1"/>
      <name val="EYInterstate Light"/>
    </font>
    <font>
      <b/>
      <sz val="10"/>
      <color indexed="10"/>
      <name val="EYInterstate Light"/>
    </font>
    <font>
      <sz val="10"/>
      <color rgb="FFFF0000"/>
      <name val="EYInterstate Light"/>
    </font>
    <font>
      <b/>
      <sz val="9"/>
      <name val="EYInterstate Light"/>
    </font>
    <font>
      <sz val="9"/>
      <color theme="1"/>
      <name val="EYInterstate Light"/>
    </font>
    <font>
      <sz val="9"/>
      <name val="EYInterstate Light"/>
    </font>
    <font>
      <b/>
      <sz val="16"/>
      <name val="EYInterstate Light"/>
    </font>
    <font>
      <b/>
      <sz val="10"/>
      <color indexed="59"/>
      <name val="EYInterstate Light"/>
    </font>
    <font>
      <sz val="10"/>
      <color indexed="10"/>
      <name val="EYInterstate Light"/>
    </font>
    <font>
      <sz val="9"/>
      <color rgb="FF002060"/>
      <name val="EYInterstate Light"/>
    </font>
    <font>
      <sz val="10"/>
      <color rgb="FF002060"/>
      <name val="EYInterstate Light"/>
    </font>
    <font>
      <b/>
      <sz val="10"/>
      <color rgb="FF002060"/>
      <name val="EYInterstate Light"/>
    </font>
    <font>
      <b/>
      <sz val="10"/>
      <color rgb="FFFF0000"/>
      <name val="EYInterstate Light"/>
    </font>
    <font>
      <b/>
      <sz val="9.9499999999999993"/>
      <color indexed="8"/>
      <name val="Arial"/>
      <family val="2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name val="EYInterstate Light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color rgb="FF0070C0"/>
      <name val="EYInterstate Light"/>
    </font>
    <font>
      <b/>
      <sz val="10"/>
      <color rgb="FFFF0000"/>
      <name val="Calibri Light"/>
      <family val="2"/>
      <scheme val="major"/>
    </font>
    <font>
      <sz val="10"/>
      <color rgb="FFFF0000"/>
      <name val="Calibri Light"/>
      <family val="2"/>
      <scheme val="major"/>
    </font>
    <font>
      <u/>
      <sz val="10"/>
      <color theme="1"/>
      <name val="Calibri Light"/>
      <family val="2"/>
      <scheme val="major"/>
    </font>
    <font>
      <b/>
      <i/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color rgb="FF0070C0"/>
      <name val="EYInterstate Light"/>
    </font>
    <font>
      <b/>
      <sz val="11"/>
      <color rgb="FF0070C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0070C0"/>
      <name val="EYInterstate Light"/>
    </font>
    <font>
      <sz val="11"/>
      <color rgb="FF0070C0"/>
      <name val="EYInterstate Light"/>
    </font>
    <font>
      <sz val="11"/>
      <color rgb="FF0070C0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u/>
      <sz val="10"/>
      <color rgb="FFFF0000"/>
      <name val="EYInterstate Light"/>
    </font>
    <font>
      <sz val="18"/>
      <color theme="3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Tahoma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.05"/>
      <color indexed="8"/>
      <name val="Times New Roman"/>
      <family val="1"/>
    </font>
    <font>
      <sz val="11"/>
      <color indexed="8"/>
      <name val="Calibri"/>
      <family val="2"/>
      <charset val="222"/>
    </font>
    <font>
      <sz val="10"/>
      <color indexed="10"/>
      <name val="Arial"/>
      <family val="2"/>
    </font>
    <font>
      <sz val="8"/>
      <name val="Times"/>
      <family val="1"/>
    </font>
    <font>
      <i/>
      <sz val="10"/>
      <name val="Times New Roman"/>
      <family val="1"/>
    </font>
    <font>
      <sz val="10"/>
      <color indexed="12"/>
      <name val="Times New Roman"/>
      <family val="1"/>
    </font>
    <font>
      <b/>
      <sz val="8"/>
      <color indexed="24"/>
      <name val="Arial"/>
      <family val="2"/>
    </font>
    <font>
      <sz val="9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sz val="10"/>
      <name val="Verdana"/>
      <family val="2"/>
    </font>
    <font>
      <b/>
      <sz val="24"/>
      <name val="Geneva"/>
    </font>
    <font>
      <sz val="10"/>
      <name val="Palatino"/>
      <family val="1"/>
    </font>
    <font>
      <vertAlign val="superscript"/>
      <sz val="10"/>
      <name val="Palatino"/>
      <family val="1"/>
    </font>
    <font>
      <b/>
      <sz val="10"/>
      <name val="Palatino"/>
      <family val="1"/>
    </font>
    <font>
      <sz val="10"/>
      <name val="CG Times"/>
      <family val="1"/>
    </font>
    <font>
      <sz val="1"/>
      <name val="Calibri"/>
      <family val="2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3"/>
      <name val="Calibri Light"/>
      <family val="2"/>
      <scheme val="major"/>
    </font>
    <font>
      <sz val="11"/>
      <color rgb="FF7F7F7F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3F3F3F"/>
      <name val="Calibri"/>
      <family val="2"/>
      <scheme val="minor"/>
    </font>
    <font>
      <sz val="10"/>
      <name val="Geneva"/>
    </font>
    <font>
      <sz val="11"/>
      <color theme="1"/>
      <name val="Agency FB"/>
      <family val="2"/>
    </font>
    <font>
      <sz val="10"/>
      <color indexed="9"/>
      <name val="Arial"/>
      <family val="2"/>
    </font>
    <font>
      <sz val="11"/>
      <color theme="0"/>
      <name val="Calibri"/>
      <family val="2"/>
    </font>
    <font>
      <sz val="11"/>
      <color rgb="FF9C0006"/>
      <name val="Calibri"/>
      <family val="2"/>
    </font>
    <font>
      <sz val="12"/>
      <name val="Tms Rmn"/>
    </font>
    <font>
      <b/>
      <sz val="10"/>
      <color indexed="52"/>
      <name val="Arial"/>
      <family val="2"/>
    </font>
    <font>
      <b/>
      <sz val="11"/>
      <color rgb="FFFA7D00"/>
      <name val="Agency FB"/>
      <family val="2"/>
    </font>
    <font>
      <b/>
      <sz val="11"/>
      <color rgb="FFFA7D00"/>
      <name val="Calibri"/>
      <family val="2"/>
    </font>
    <font>
      <sz val="10"/>
      <color indexed="52"/>
      <name val="Arial"/>
      <family val="2"/>
    </font>
    <font>
      <b/>
      <sz val="11"/>
      <color theme="0"/>
      <name val="Calibri"/>
      <family val="2"/>
    </font>
    <font>
      <sz val="8"/>
      <name val="Tahoma"/>
      <family val="2"/>
    </font>
    <font>
      <sz val="10"/>
      <color indexed="8"/>
      <name val="EYInterstate Light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10"/>
      <color indexed="62"/>
      <name val="Arial"/>
      <family val="2"/>
    </font>
    <font>
      <sz val="10"/>
      <color theme="1"/>
      <name val="Arial1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i/>
      <sz val="16"/>
      <color theme="1"/>
      <name val="Arial1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Agency FB"/>
      <family val="2"/>
    </font>
    <font>
      <sz val="11"/>
      <color rgb="FF3F3F76"/>
      <name val="Calibri"/>
      <family val="2"/>
    </font>
    <font>
      <sz val="10"/>
      <color indexed="20"/>
      <name val="Arial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0"/>
      <color indexed="60"/>
      <name val="Arial"/>
      <family val="2"/>
    </font>
    <font>
      <b/>
      <i/>
      <sz val="16"/>
      <name val="Helv"/>
    </font>
    <font>
      <sz val="10"/>
      <color indexed="8"/>
      <name val="MS Shell Dlg 2"/>
      <charset val="1"/>
    </font>
    <font>
      <sz val="8"/>
      <name val="EYInterstate Light"/>
    </font>
    <font>
      <b/>
      <sz val="11"/>
      <color rgb="FF3F3F3F"/>
      <name val="Calibri"/>
      <family val="2"/>
    </font>
    <font>
      <b/>
      <i/>
      <u/>
      <sz val="10"/>
      <color theme="1"/>
      <name val="Arial1"/>
    </font>
    <font>
      <sz val="8"/>
      <name val="Helv"/>
    </font>
    <font>
      <sz val="10"/>
      <color indexed="17"/>
      <name val="Arial"/>
      <family val="2"/>
    </font>
    <font>
      <b/>
      <sz val="10"/>
      <color indexed="63"/>
      <name val="Arial"/>
      <family val="2"/>
    </font>
    <font>
      <b/>
      <sz val="8"/>
      <color indexed="8"/>
      <name val="Helv"/>
    </font>
    <font>
      <i/>
      <sz val="10"/>
      <color indexed="23"/>
      <name val="Arial"/>
      <family val="2"/>
    </font>
    <font>
      <b/>
      <sz val="18"/>
      <color indexed="56"/>
      <name val="Cambria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0"/>
      <color indexed="9"/>
      <name val="Arial"/>
      <family val="2"/>
    </font>
    <font>
      <sz val="11"/>
      <color rgb="FFFF0000"/>
      <name val="Calibri"/>
      <family val="2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b/>
      <sz val="12"/>
      <name val="Calibri"/>
      <family val="2"/>
    </font>
    <font>
      <b/>
      <sz val="11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FF0000"/>
      <name val="EYInterstate Light"/>
    </font>
    <font>
      <sz val="8"/>
      <name val="Calibri"/>
      <family val="2"/>
      <scheme val="minor"/>
    </font>
    <font>
      <sz val="10"/>
      <name val="Cambria"/>
      <family val="1"/>
    </font>
    <font>
      <b/>
      <sz val="10"/>
      <name val="Cambria"/>
      <family val="1"/>
    </font>
    <font>
      <sz val="10"/>
      <name val="Calibri"/>
      <family val="2"/>
    </font>
    <font>
      <i/>
      <sz val="11"/>
      <color theme="0" tint="-0.499984740745262"/>
      <name val="Calibri"/>
      <family val="2"/>
      <scheme val="minor"/>
    </font>
    <font>
      <b/>
      <sz val="9"/>
      <color theme="1"/>
      <name val="EYInterstate Light"/>
    </font>
    <font>
      <sz val="10"/>
      <color theme="1"/>
      <name val="Book Antiqua"/>
      <family val="1"/>
    </font>
    <font>
      <sz val="10"/>
      <color theme="0"/>
      <name val="Book Antiqua"/>
      <family val="1"/>
    </font>
    <font>
      <sz val="10"/>
      <color theme="0"/>
      <name val="EYInterstate Light"/>
    </font>
    <font>
      <sz val="10"/>
      <color rgb="FF1F497D"/>
      <name val="Calibri"/>
      <family val="2"/>
      <scheme val="minor"/>
    </font>
    <font>
      <sz val="12"/>
      <color rgb="FF000000"/>
      <name val="Garamond"/>
      <family val="1"/>
    </font>
    <font>
      <sz val="9"/>
      <color rgb="FF0070C0"/>
      <name val="EYInterstate Light"/>
    </font>
    <font>
      <sz val="9"/>
      <color indexed="81"/>
      <name val="Tahoma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2060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i/>
      <u/>
      <sz val="10"/>
      <color rgb="FF0070C0"/>
      <name val="Calibri"/>
      <family val="2"/>
      <scheme val="minor"/>
    </font>
    <font>
      <u/>
      <sz val="10"/>
      <color rgb="FF0070C0"/>
      <name val="Calibri"/>
      <family val="2"/>
      <scheme val="minor"/>
    </font>
    <font>
      <i/>
      <sz val="10"/>
      <color rgb="FF002060"/>
      <name val="Calibri"/>
      <family val="2"/>
      <scheme val="minor"/>
    </font>
    <font>
      <b/>
      <i/>
      <sz val="10"/>
      <color rgb="FF0070C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 val="singleAccounting"/>
      <sz val="10"/>
      <color theme="1"/>
      <name val="Calibri"/>
      <family val="2"/>
      <scheme val="minor"/>
    </font>
    <font>
      <b/>
      <u/>
      <sz val="10"/>
      <color rgb="FF0000FF"/>
      <name val="Calibri"/>
      <family val="2"/>
      <scheme val="minor"/>
    </font>
    <font>
      <b/>
      <i/>
      <sz val="10"/>
      <color rgb="FF0000FF"/>
      <name val="Calibri"/>
      <family val="2"/>
      <scheme val="minor"/>
    </font>
    <font>
      <sz val="11"/>
      <color theme="1"/>
      <name val="EYInterstate Light"/>
    </font>
    <font>
      <b/>
      <sz val="20"/>
      <name val="EYInterstate Light"/>
    </font>
    <font>
      <b/>
      <sz val="12"/>
      <color indexed="59"/>
      <name val="EYInterstate Light"/>
    </font>
    <font>
      <b/>
      <sz val="11"/>
      <color theme="1"/>
      <name val="EYInterstate Light"/>
    </font>
    <font>
      <b/>
      <i/>
      <sz val="10"/>
      <color indexed="8"/>
      <name val="Calibri"/>
      <family val="2"/>
      <scheme val="minor"/>
    </font>
    <font>
      <i/>
      <sz val="10"/>
      <color rgb="FF0000FF"/>
      <name val="Calibri"/>
      <family val="2"/>
      <scheme val="minor"/>
    </font>
    <font>
      <b/>
      <sz val="9"/>
      <color indexed="81"/>
      <name val="Tahoma"/>
      <family val="2"/>
    </font>
    <font>
      <i/>
      <sz val="10"/>
      <color rgb="FFFF0000"/>
      <name val="Calibri"/>
      <family val="2"/>
      <scheme val="minor"/>
    </font>
    <font>
      <sz val="10"/>
      <color theme="1"/>
      <name val="Calibri"/>
      <family val="2"/>
    </font>
    <font>
      <b/>
      <sz val="10"/>
      <color rgb="FF02367A"/>
      <name val="Calibri"/>
      <family val="2"/>
    </font>
    <font>
      <sz val="10"/>
      <color rgb="FF02367A"/>
      <name val="Calibri"/>
      <family val="2"/>
    </font>
    <font>
      <b/>
      <sz val="10"/>
      <color rgb="FF02367A"/>
      <name val="Calibri"/>
      <family val="2"/>
      <scheme val="minor"/>
    </font>
  </fonts>
  <fills count="11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1"/>
        <bgColor indexed="4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CCCCFF"/>
        <bgColor rgb="FF000000"/>
      </patternFill>
    </fill>
    <fill>
      <patternFill patternType="solid">
        <fgColor rgb="FF84C225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6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hair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/>
      <top style="thin">
        <color theme="9" tint="-0.249977111117893"/>
      </top>
      <bottom/>
      <diagonal/>
    </border>
    <border>
      <left style="thin">
        <color theme="0"/>
      </left>
      <right style="thin">
        <color theme="0"/>
      </right>
      <top style="thin">
        <color theme="9" tint="-0.249977111117893"/>
      </top>
      <bottom style="thin">
        <color theme="0"/>
      </bottom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medium">
        <color indexed="2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theme="0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9" tint="-0.249977111117893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>
      <left style="hair">
        <color rgb="FF808080"/>
      </left>
      <right style="hair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indexed="8"/>
      </bottom>
      <diagonal/>
    </border>
    <border>
      <left style="hair">
        <color rgb="FF808080"/>
      </left>
      <right style="medium">
        <color indexed="64"/>
      </right>
      <top style="hair">
        <color rgb="FF808080"/>
      </top>
      <bottom style="hair">
        <color rgb="FF808080"/>
      </bottom>
      <diagonal/>
    </border>
    <border>
      <left style="hair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medium">
        <color indexed="64"/>
      </bottom>
      <diagonal/>
    </border>
    <border>
      <left style="hair">
        <color rgb="FF808080"/>
      </left>
      <right style="medium">
        <color indexed="64"/>
      </right>
      <top style="hair">
        <color rgb="FF808080"/>
      </top>
      <bottom style="medium">
        <color indexed="64"/>
      </bottom>
      <diagonal/>
    </border>
    <border>
      <left style="hair">
        <color rgb="FF808080"/>
      </left>
      <right style="hair">
        <color rgb="FF808080"/>
      </right>
      <top/>
      <bottom style="hair">
        <color rgb="FF808080"/>
      </bottom>
      <diagonal/>
    </border>
    <border>
      <left style="hair">
        <color rgb="FF808080"/>
      </left>
      <right style="medium">
        <color indexed="64"/>
      </right>
      <top/>
      <bottom style="hair">
        <color rgb="FF808080"/>
      </bottom>
      <diagonal/>
    </border>
    <border>
      <left style="hair">
        <color rgb="FF808080"/>
      </left>
      <right style="hair">
        <color rgb="FF808080"/>
      </right>
      <top/>
      <bottom style="thin">
        <color rgb="FF808080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4340">
    <xf numFmtId="0" fontId="0" fillId="0" borderId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0" fontId="4" fillId="0" borderId="0" applyFill="0" applyBorder="0" applyAlignment="0" applyProtection="0"/>
    <xf numFmtId="165" fontId="4" fillId="0" borderId="0" applyFill="0" applyBorder="0" applyAlignment="0" applyProtection="0"/>
    <xf numFmtId="0" fontId="10" fillId="0" borderId="0"/>
    <xf numFmtId="164" fontId="11" fillId="0" borderId="0" applyFont="0" applyFill="0" applyBorder="0" applyAlignment="0" applyProtection="0"/>
    <xf numFmtId="0" fontId="11" fillId="0" borderId="0"/>
    <xf numFmtId="0" fontId="16" fillId="0" borderId="44" applyNumberFormat="0" applyFill="0" applyAlignment="0" applyProtection="0"/>
    <xf numFmtId="0" fontId="17" fillId="0" borderId="45" applyNumberFormat="0" applyFill="0" applyAlignment="0" applyProtection="0"/>
    <xf numFmtId="0" fontId="18" fillId="0" borderId="46" applyNumberFormat="0" applyFill="0" applyAlignment="0" applyProtection="0"/>
    <xf numFmtId="0" fontId="18" fillId="0" borderId="0" applyNumberFormat="0" applyFill="0" applyBorder="0" applyAlignment="0" applyProtection="0"/>
    <xf numFmtId="0" fontId="19" fillId="15" borderId="0" applyNumberFormat="0" applyBorder="0" applyAlignment="0" applyProtection="0"/>
    <xf numFmtId="0" fontId="20" fillId="16" borderId="0" applyNumberFormat="0" applyBorder="0" applyAlignment="0" applyProtection="0"/>
    <xf numFmtId="0" fontId="21" fillId="17" borderId="0" applyNumberFormat="0" applyBorder="0" applyAlignment="0" applyProtection="0"/>
    <xf numFmtId="0" fontId="22" fillId="18" borderId="47" applyNumberFormat="0" applyAlignment="0" applyProtection="0"/>
    <xf numFmtId="0" fontId="23" fillId="19" borderId="48" applyNumberFormat="0" applyAlignment="0" applyProtection="0"/>
    <xf numFmtId="0" fontId="24" fillId="19" borderId="47" applyNumberFormat="0" applyAlignment="0" applyProtection="0"/>
    <xf numFmtId="0" fontId="25" fillId="0" borderId="49" applyNumberFormat="0" applyFill="0" applyAlignment="0" applyProtection="0"/>
    <xf numFmtId="0" fontId="7" fillId="20" borderId="50" applyNumberFormat="0" applyAlignment="0" applyProtection="0"/>
    <xf numFmtId="0" fontId="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" fillId="0" borderId="52" applyNumberFormat="0" applyFill="0" applyAlignment="0" applyProtection="0"/>
    <xf numFmtId="0" fontId="2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7" fillId="25" borderId="0" applyNumberFormat="0" applyBorder="0" applyAlignment="0" applyProtection="0"/>
    <xf numFmtId="0" fontId="2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7" fillId="29" borderId="0" applyNumberFormat="0" applyBorder="0" applyAlignment="0" applyProtection="0"/>
    <xf numFmtId="0" fontId="2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7" fillId="33" borderId="0" applyNumberFormat="0" applyBorder="0" applyAlignment="0" applyProtection="0"/>
    <xf numFmtId="0" fontId="27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7" fillId="45" borderId="0" applyNumberFormat="0" applyBorder="0" applyAlignment="0" applyProtection="0"/>
    <xf numFmtId="0" fontId="2" fillId="0" borderId="0" applyFont="0" applyFill="0" applyBorder="0" applyAlignment="0" applyProtection="0"/>
    <xf numFmtId="0" fontId="4" fillId="0" borderId="0" applyFill="0" applyBorder="0" applyAlignment="0" applyProtection="0"/>
    <xf numFmtId="0" fontId="11" fillId="0" borderId="0" applyFont="0" applyFill="0" applyBorder="0" applyAlignment="0" applyProtection="0"/>
    <xf numFmtId="176" fontId="4" fillId="0" borderId="0"/>
    <xf numFmtId="0" fontId="4" fillId="0" borderId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31" fillId="4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4" fillId="19" borderId="47" applyNumberFormat="0" applyAlignment="0" applyProtection="0"/>
    <xf numFmtId="0" fontId="24" fillId="19" borderId="47" applyNumberFormat="0" applyAlignment="0" applyProtection="0"/>
    <xf numFmtId="177" fontId="4" fillId="0" borderId="0" applyFill="0" applyBorder="0" applyAlignment="0" applyProtection="0"/>
    <xf numFmtId="164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7" fillId="0" borderId="45" applyNumberFormat="0" applyFill="0" applyAlignment="0" applyProtection="0"/>
    <xf numFmtId="0" fontId="17" fillId="0" borderId="45" applyNumberFormat="0" applyFill="0" applyAlignment="0" applyProtection="0"/>
    <xf numFmtId="0" fontId="18" fillId="0" borderId="46" applyNumberFormat="0" applyFill="0" applyAlignment="0" applyProtection="0"/>
    <xf numFmtId="0" fontId="18" fillId="0" borderId="46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21" borderId="51" applyNumberFormat="0" applyFont="0" applyAlignment="0" applyProtection="0"/>
    <xf numFmtId="0" fontId="2" fillId="21" borderId="51" applyNumberFormat="0" applyFont="0" applyAlignment="0" applyProtection="0"/>
    <xf numFmtId="0" fontId="23" fillId="19" borderId="48" applyNumberFormat="0" applyAlignment="0" applyProtection="0"/>
    <xf numFmtId="0" fontId="23" fillId="19" borderId="48" applyNumberFormat="0" applyAlignment="0" applyProtection="0"/>
    <xf numFmtId="0" fontId="30" fillId="0" borderId="0" applyFont="0" applyFill="0" applyBorder="0" applyAlignment="0" applyProtection="0">
      <alignment horizontal="center"/>
    </xf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5" fillId="0" borderId="52" applyNumberFormat="0" applyFill="0" applyAlignment="0" applyProtection="0"/>
    <xf numFmtId="0" fontId="5" fillId="0" borderId="52" applyNumberFormat="0" applyFill="0" applyAlignment="0" applyProtection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4" fillId="0" borderId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77" fontId="4" fillId="0" borderId="0" applyFill="0" applyBorder="0" applyAlignment="0" applyProtection="0"/>
    <xf numFmtId="164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ill="0" applyBorder="0" applyAlignment="0" applyProtection="0"/>
    <xf numFmtId="164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ill="0" applyBorder="0" applyAlignment="0" applyProtection="0"/>
    <xf numFmtId="164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ill="0" applyBorder="0" applyAlignment="0" applyProtection="0"/>
    <xf numFmtId="164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ill="0" applyBorder="0" applyAlignment="0" applyProtection="0"/>
    <xf numFmtId="164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177" fontId="4" fillId="0" borderId="0" applyFill="0" applyBorder="0" applyAlignment="0" applyProtection="0"/>
    <xf numFmtId="164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4" fillId="0" borderId="0"/>
    <xf numFmtId="164" fontId="11" fillId="0" borderId="0" applyFont="0" applyFill="0" applyBorder="0" applyAlignment="0" applyProtection="0"/>
    <xf numFmtId="177" fontId="4" fillId="0" borderId="0" applyFill="0" applyBorder="0" applyAlignment="0" applyProtection="0"/>
    <xf numFmtId="0" fontId="2" fillId="0" borderId="0"/>
    <xf numFmtId="164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177" fontId="4" fillId="0" borderId="0" applyFill="0" applyBorder="0" applyAlignment="0" applyProtection="0"/>
    <xf numFmtId="43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ill="0" applyBorder="0" applyAlignment="0" applyProtection="0"/>
    <xf numFmtId="164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177" fontId="4" fillId="0" borderId="0" applyFill="0" applyBorder="0" applyAlignment="0" applyProtection="0"/>
    <xf numFmtId="0" fontId="2" fillId="0" borderId="0"/>
    <xf numFmtId="164" fontId="11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177" fontId="4" fillId="0" borderId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177" fontId="4" fillId="0" borderId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177" fontId="4" fillId="0" borderId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177" fontId="4" fillId="0" borderId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4" fillId="0" borderId="0"/>
    <xf numFmtId="43" fontId="4" fillId="0" borderId="0" applyFont="0" applyFill="0" applyBorder="0" applyAlignment="0" applyProtection="0"/>
    <xf numFmtId="0" fontId="2" fillId="0" borderId="0"/>
    <xf numFmtId="177" fontId="4" fillId="0" borderId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77" fontId="4" fillId="0" borderId="0" applyFill="0" applyBorder="0" applyAlignment="0" applyProtection="0"/>
    <xf numFmtId="0" fontId="2" fillId="0" borderId="0"/>
    <xf numFmtId="0" fontId="4" fillId="0" borderId="0"/>
    <xf numFmtId="0" fontId="4" fillId="0" borderId="0"/>
    <xf numFmtId="177" fontId="4" fillId="0" borderId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177" fontId="4" fillId="0" borderId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177" fontId="4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2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2" fillId="0" borderId="0"/>
    <xf numFmtId="0" fontId="2" fillId="21" borderId="51" applyNumberFormat="0" applyFont="0" applyAlignment="0" applyProtection="0"/>
    <xf numFmtId="0" fontId="2" fillId="21" borderId="51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77" fontId="4" fillId="0" borderId="0" applyFill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164" fontId="11" fillId="0" borderId="0" applyFont="0" applyFill="0" applyBorder="0" applyAlignment="0" applyProtection="0"/>
    <xf numFmtId="177" fontId="4" fillId="0" borderId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1" fillId="0" borderId="0"/>
    <xf numFmtId="43" fontId="4" fillId="0" borderId="0" applyFont="0" applyFill="0" applyBorder="0" applyAlignment="0" applyProtection="0"/>
    <xf numFmtId="177" fontId="4" fillId="0" borderId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ill="0" applyBorder="0" applyAlignment="0" applyProtection="0"/>
    <xf numFmtId="164" fontId="11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43" borderId="0" applyNumberFormat="0" applyBorder="0" applyAlignment="0" applyProtection="0"/>
    <xf numFmtId="0" fontId="2" fillId="40" borderId="0" applyNumberFormat="0" applyBorder="0" applyAlignment="0" applyProtection="0"/>
    <xf numFmtId="0" fontId="2" fillId="39" borderId="0" applyNumberFormat="0" applyBorder="0" applyAlignment="0" applyProtection="0"/>
    <xf numFmtId="0" fontId="2" fillId="28" borderId="0" applyNumberFormat="0" applyBorder="0" applyAlignment="0" applyProtection="0"/>
    <xf numFmtId="43" fontId="2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21" borderId="51" applyNumberFormat="0" applyFont="0" applyAlignment="0" applyProtection="0"/>
    <xf numFmtId="0" fontId="2" fillId="2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 applyFont="0" applyFill="0" applyBorder="0" applyAlignment="0" applyProtection="0"/>
    <xf numFmtId="0" fontId="4" fillId="0" borderId="0"/>
    <xf numFmtId="0" fontId="2" fillId="0" borderId="0" applyFont="0" applyFill="0" applyBorder="0" applyAlignment="0" applyProtection="0"/>
    <xf numFmtId="0" fontId="4" fillId="0" borderId="0"/>
    <xf numFmtId="43" fontId="2" fillId="0" borderId="0" applyFont="0" applyFill="0" applyBorder="0" applyAlignment="0" applyProtection="0"/>
    <xf numFmtId="0" fontId="2" fillId="0" borderId="0"/>
    <xf numFmtId="178" fontId="2" fillId="0" borderId="0"/>
    <xf numFmtId="178" fontId="2" fillId="0" borderId="0"/>
    <xf numFmtId="178" fontId="4" fillId="0" borderId="0"/>
    <xf numFmtId="176" fontId="10" fillId="0" borderId="0"/>
    <xf numFmtId="43" fontId="51" fillId="0" borderId="0" applyFont="0" applyFill="0" applyBorder="0" applyAlignment="0" applyProtection="0"/>
    <xf numFmtId="176" fontId="4" fillId="0" borderId="0"/>
    <xf numFmtId="165" fontId="4" fillId="0" borderId="0" applyFill="0" applyBorder="0" applyAlignment="0" applyProtection="0"/>
    <xf numFmtId="0" fontId="2" fillId="0" borderId="0"/>
    <xf numFmtId="179" fontId="29" fillId="0" borderId="0"/>
    <xf numFmtId="0" fontId="29" fillId="52" borderId="0" applyNumberFormat="0" applyBorder="0" applyAlignment="0" applyProtection="0"/>
    <xf numFmtId="0" fontId="29" fillId="53" borderId="0" applyNumberFormat="0" applyBorder="0" applyAlignment="0" applyProtection="0"/>
    <xf numFmtId="0" fontId="29" fillId="54" borderId="0" applyNumberFormat="0" applyBorder="0" applyAlignment="0" applyProtection="0"/>
    <xf numFmtId="0" fontId="29" fillId="52" borderId="0" applyNumberFormat="0" applyBorder="0" applyAlignment="0" applyProtection="0"/>
    <xf numFmtId="0" fontId="29" fillId="55" borderId="0" applyNumberFormat="0" applyBorder="0" applyAlignment="0" applyProtection="0"/>
    <xf numFmtId="0" fontId="29" fillId="54" borderId="0" applyNumberFormat="0" applyBorder="0" applyAlignment="0" applyProtection="0"/>
    <xf numFmtId="0" fontId="29" fillId="56" borderId="0" applyNumberFormat="0" applyBorder="0" applyAlignment="0" applyProtection="0"/>
    <xf numFmtId="0" fontId="29" fillId="53" borderId="0" applyNumberFormat="0" applyBorder="0" applyAlignment="0" applyProtection="0"/>
    <xf numFmtId="0" fontId="29" fillId="57" borderId="0" applyNumberFormat="0" applyBorder="0" applyAlignment="0" applyProtection="0"/>
    <xf numFmtId="0" fontId="29" fillId="56" borderId="0" applyNumberFormat="0" applyBorder="0" applyAlignment="0" applyProtection="0"/>
    <xf numFmtId="0" fontId="29" fillId="58" borderId="0" applyNumberFormat="0" applyBorder="0" applyAlignment="0" applyProtection="0"/>
    <xf numFmtId="0" fontId="29" fillId="57" borderId="0" applyNumberFormat="0" applyBorder="0" applyAlignment="0" applyProtection="0"/>
    <xf numFmtId="0" fontId="92" fillId="59" borderId="0" applyNumberFormat="0" applyBorder="0" applyAlignment="0" applyProtection="0"/>
    <xf numFmtId="0" fontId="92" fillId="53" borderId="0" applyNumberFormat="0" applyBorder="0" applyAlignment="0" applyProtection="0"/>
    <xf numFmtId="0" fontId="92" fillId="57" borderId="0" applyNumberFormat="0" applyBorder="0" applyAlignment="0" applyProtection="0"/>
    <xf numFmtId="0" fontId="92" fillId="56" borderId="0" applyNumberFormat="0" applyBorder="0" applyAlignment="0" applyProtection="0"/>
    <xf numFmtId="0" fontId="92" fillId="59" borderId="0" applyNumberFormat="0" applyBorder="0" applyAlignment="0" applyProtection="0"/>
    <xf numFmtId="0" fontId="92" fillId="53" borderId="0" applyNumberFormat="0" applyBorder="0" applyAlignment="0" applyProtection="0"/>
    <xf numFmtId="0" fontId="92" fillId="59" borderId="0" applyNumberFormat="0" applyBorder="0" applyAlignment="0" applyProtection="0"/>
    <xf numFmtId="0" fontId="92" fillId="60" borderId="0" applyNumberFormat="0" applyBorder="0" applyAlignment="0" applyProtection="0"/>
    <xf numFmtId="0" fontId="92" fillId="61" borderId="0" applyNumberFormat="0" applyBorder="0" applyAlignment="0" applyProtection="0"/>
    <xf numFmtId="0" fontId="92" fillId="62" borderId="0" applyNumberFormat="0" applyBorder="0" applyAlignment="0" applyProtection="0"/>
    <xf numFmtId="0" fontId="92" fillId="59" borderId="0" applyNumberFormat="0" applyBorder="0" applyAlignment="0" applyProtection="0"/>
    <xf numFmtId="0" fontId="92" fillId="63" borderId="0" applyNumberFormat="0" applyBorder="0" applyAlignment="0" applyProtection="0"/>
    <xf numFmtId="0" fontId="112" fillId="0" borderId="0"/>
    <xf numFmtId="0" fontId="93" fillId="46" borderId="0" applyNumberFormat="0" applyBorder="0" applyAlignment="0" applyProtection="0"/>
    <xf numFmtId="185" fontId="113" fillId="0" borderId="0"/>
    <xf numFmtId="186" fontId="114" fillId="64" borderId="112" applyNumberFormat="0" applyBorder="0" applyAlignment="0" applyProtection="0"/>
    <xf numFmtId="0" fontId="115" fillId="0" borderId="0" applyFont="0" applyFill="0" applyBorder="0" applyAlignment="0" applyProtection="0">
      <alignment horizontal="left"/>
    </xf>
    <xf numFmtId="187" fontId="116" fillId="0" borderId="0" applyAlignment="0" applyProtection="0"/>
    <xf numFmtId="0" fontId="90" fillId="0" borderId="0" applyFill="0" applyBorder="0" applyAlignment="0" applyProtection="0"/>
    <xf numFmtId="0" fontId="90" fillId="0" borderId="0" applyNumberFormat="0" applyAlignment="0" applyProtection="0">
      <alignment horizontal="left"/>
    </xf>
    <xf numFmtId="0" fontId="117" fillId="0" borderId="113" applyNumberFormat="0" applyAlignment="0" applyProtection="0">
      <alignment horizontal="left" wrapText="1"/>
    </xf>
    <xf numFmtId="0" fontId="117" fillId="0" borderId="0" applyNumberFormat="0" applyAlignment="0" applyProtection="0">
      <alignment horizontal="left" wrapText="1"/>
    </xf>
    <xf numFmtId="0" fontId="118" fillId="0" borderId="0" applyAlignment="0" applyProtection="0">
      <alignment horizontal="left"/>
    </xf>
    <xf numFmtId="0" fontId="94" fillId="65" borderId="114" applyNumberFormat="0" applyAlignment="0" applyProtection="0"/>
    <xf numFmtId="0" fontId="95" fillId="66" borderId="115" applyNumberFormat="0" applyAlignment="0" applyProtection="0"/>
    <xf numFmtId="188" fontId="116" fillId="0" borderId="0" applyFont="0" applyFill="0" applyBorder="0" applyAlignment="0" applyProtection="0"/>
    <xf numFmtId="189" fontId="11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09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7" fillId="67" borderId="0" applyNumberFormat="0" applyBorder="0" applyAlignment="0" applyProtection="0"/>
    <xf numFmtId="0" fontId="98" fillId="0" borderId="116" applyNumberFormat="0" applyFill="0" applyAlignment="0" applyProtection="0"/>
    <xf numFmtId="0" fontId="99" fillId="0" borderId="117" applyNumberFormat="0" applyFill="0" applyAlignment="0" applyProtection="0"/>
    <xf numFmtId="0" fontId="100" fillId="0" borderId="118" applyNumberFormat="0" applyFill="0" applyAlignment="0" applyProtection="0"/>
    <xf numFmtId="0" fontId="100" fillId="0" borderId="0" applyNumberFormat="0" applyFill="0" applyBorder="0" applyAlignment="0" applyProtection="0"/>
    <xf numFmtId="0" fontId="120" fillId="0" borderId="37"/>
    <xf numFmtId="190" fontId="4" fillId="0" borderId="0" applyFont="0" applyFill="0" applyBorder="0" applyAlignment="0" applyProtection="0"/>
    <xf numFmtId="0" fontId="101" fillId="57" borderId="114" applyNumberFormat="0" applyAlignment="0" applyProtection="0"/>
    <xf numFmtId="0" fontId="102" fillId="0" borderId="119" applyNumberFormat="0" applyFill="0" applyAlignment="0" applyProtection="0"/>
    <xf numFmtId="0" fontId="103" fillId="57" borderId="0" applyNumberFormat="0" applyBorder="0" applyAlignment="0" applyProtection="0"/>
    <xf numFmtId="191" fontId="90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10" fillId="0" borderId="0"/>
    <xf numFmtId="0" fontId="29" fillId="0" borderId="0"/>
    <xf numFmtId="0" fontId="2" fillId="0" borderId="0"/>
    <xf numFmtId="0" fontId="29" fillId="0" borderId="0"/>
    <xf numFmtId="0" fontId="11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8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" fillId="0" borderId="0"/>
    <xf numFmtId="0" fontId="29" fillId="0" borderId="0"/>
    <xf numFmtId="0" fontId="8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8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8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8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104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105" fillId="65" borderId="121" applyNumberFormat="0" applyAlignment="0" applyProtection="0"/>
    <xf numFmtId="0" fontId="51" fillId="0" borderId="0" applyFont="0" applyFill="0" applyBorder="0" applyAlignment="0" applyProtection="0"/>
    <xf numFmtId="171" fontId="116" fillId="0" borderId="0" applyFont="0" applyFill="0" applyBorder="0" applyAlignment="0" applyProtection="0"/>
    <xf numFmtId="0" fontId="116" fillId="0" borderId="0" applyFont="0" applyFill="0" applyBorder="0" applyAlignment="0" applyProtection="0"/>
    <xf numFmtId="191" fontId="4" fillId="0" borderId="0"/>
    <xf numFmtId="192" fontId="121" fillId="0" borderId="0"/>
    <xf numFmtId="193" fontId="121" fillId="0" borderId="0">
      <alignment horizontal="right"/>
    </xf>
    <xf numFmtId="0" fontId="11" fillId="0" borderId="0"/>
    <xf numFmtId="0" fontId="89" fillId="0" borderId="0">
      <alignment vertical="top"/>
    </xf>
    <xf numFmtId="0" fontId="122" fillId="0" borderId="0"/>
    <xf numFmtId="194" fontId="116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122" applyNumberFormat="0" applyFill="0" applyAlignment="0" applyProtection="0"/>
    <xf numFmtId="195" fontId="11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196" fontId="123" fillId="0" borderId="42" applyFont="0" applyFill="0" applyBorder="0" applyAlignment="0" applyProtection="0"/>
    <xf numFmtId="170" fontId="3" fillId="0" borderId="0"/>
    <xf numFmtId="170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9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8" fillId="70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9" fillId="71" borderId="0" applyNumberFormat="0" applyBorder="0" applyAlignment="0" applyProtection="0"/>
    <xf numFmtId="0" fontId="28" fillId="70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8" fillId="70" borderId="0" applyNumberFormat="0" applyBorder="0" applyAlignment="0" applyProtection="0"/>
    <xf numFmtId="0" fontId="29" fillId="71" borderId="0" applyNumberFormat="0" applyBorder="0" applyAlignment="0" applyProtection="0"/>
    <xf numFmtId="0" fontId="28" fillId="70" borderId="0" applyNumberFormat="0" applyBorder="0" applyAlignment="0" applyProtection="0"/>
    <xf numFmtId="0" fontId="29" fillId="71" borderId="0" applyNumberFormat="0" applyBorder="0" applyAlignment="0" applyProtection="0"/>
    <xf numFmtId="0" fontId="28" fillId="70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8" fillId="70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8" fillId="70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9" fillId="71" borderId="0" applyNumberFormat="0" applyBorder="0" applyAlignment="0" applyProtection="0"/>
    <xf numFmtId="0" fontId="28" fillId="70" borderId="0" applyNumberFormat="0" applyBorder="0" applyAlignment="0" applyProtection="0"/>
    <xf numFmtId="0" fontId="29" fillId="71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8" fillId="70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8" fillId="70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9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9" fillId="70" borderId="0" applyNumberFormat="0" applyBorder="0" applyAlignment="0" applyProtection="0"/>
    <xf numFmtId="0" fontId="28" fillId="70" borderId="0" applyNumberFormat="0" applyBorder="0" applyAlignment="0" applyProtection="0"/>
    <xf numFmtId="0" fontId="29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8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1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1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1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8" fillId="46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72" borderId="0" applyNumberFormat="0" applyBorder="0" applyAlignment="0" applyProtection="0"/>
    <xf numFmtId="0" fontId="28" fillId="46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8" fillId="46" borderId="0" applyNumberFormat="0" applyBorder="0" applyAlignment="0" applyProtection="0"/>
    <xf numFmtId="0" fontId="29" fillId="72" borderId="0" applyNumberFormat="0" applyBorder="0" applyAlignment="0" applyProtection="0"/>
    <xf numFmtId="0" fontId="28" fillId="46" borderId="0" applyNumberFormat="0" applyBorder="0" applyAlignment="0" applyProtection="0"/>
    <xf numFmtId="0" fontId="29" fillId="72" borderId="0" applyNumberFormat="0" applyBorder="0" applyAlignment="0" applyProtection="0"/>
    <xf numFmtId="0" fontId="28" fillId="46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8" fillId="46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8" fillId="46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72" borderId="0" applyNumberFormat="0" applyBorder="0" applyAlignment="0" applyProtection="0"/>
    <xf numFmtId="0" fontId="28" fillId="46" borderId="0" applyNumberFormat="0" applyBorder="0" applyAlignment="0" applyProtection="0"/>
    <xf numFmtId="0" fontId="29" fillId="7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8" fillId="46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8" fillId="46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125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72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72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72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9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8" fillId="67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9" fillId="73" borderId="0" applyNumberFormat="0" applyBorder="0" applyAlignment="0" applyProtection="0"/>
    <xf numFmtId="0" fontId="28" fillId="67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8" fillId="67" borderId="0" applyNumberFormat="0" applyBorder="0" applyAlignment="0" applyProtection="0"/>
    <xf numFmtId="0" fontId="29" fillId="73" borderId="0" applyNumberFormat="0" applyBorder="0" applyAlignment="0" applyProtection="0"/>
    <xf numFmtId="0" fontId="28" fillId="67" borderId="0" applyNumberFormat="0" applyBorder="0" applyAlignment="0" applyProtection="0"/>
    <xf numFmtId="0" fontId="29" fillId="73" borderId="0" applyNumberFormat="0" applyBorder="0" applyAlignment="0" applyProtection="0"/>
    <xf numFmtId="0" fontId="28" fillId="67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8" fillId="67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8" fillId="67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9" fillId="73" borderId="0" applyNumberFormat="0" applyBorder="0" applyAlignment="0" applyProtection="0"/>
    <xf numFmtId="0" fontId="28" fillId="67" borderId="0" applyNumberFormat="0" applyBorder="0" applyAlignment="0" applyProtection="0"/>
    <xf numFmtId="0" fontId="29" fillId="73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8" fillId="67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8" fillId="67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9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9" fillId="67" borderId="0" applyNumberFormat="0" applyBorder="0" applyAlignment="0" applyProtection="0"/>
    <xf numFmtId="0" fontId="28" fillId="67" borderId="0" applyNumberFormat="0" applyBorder="0" applyAlignment="0" applyProtection="0"/>
    <xf numFmtId="0" fontId="29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73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73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73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67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9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9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9" fillId="74" borderId="0" applyNumberFormat="0" applyBorder="0" applyAlignment="0" applyProtection="0"/>
    <xf numFmtId="0" fontId="28" fillId="74" borderId="0" applyNumberFormat="0" applyBorder="0" applyAlignment="0" applyProtection="0"/>
    <xf numFmtId="0" fontId="29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9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8" fillId="55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9" fillId="76" borderId="0" applyNumberFormat="0" applyBorder="0" applyAlignment="0" applyProtection="0"/>
    <xf numFmtId="0" fontId="28" fillId="55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8" fillId="55" borderId="0" applyNumberFormat="0" applyBorder="0" applyAlignment="0" applyProtection="0"/>
    <xf numFmtId="0" fontId="29" fillId="76" borderId="0" applyNumberFormat="0" applyBorder="0" applyAlignment="0" applyProtection="0"/>
    <xf numFmtId="0" fontId="28" fillId="55" borderId="0" applyNumberFormat="0" applyBorder="0" applyAlignment="0" applyProtection="0"/>
    <xf numFmtId="0" fontId="29" fillId="76" borderId="0" applyNumberFormat="0" applyBorder="0" applyAlignment="0" applyProtection="0"/>
    <xf numFmtId="0" fontId="28" fillId="55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8" fillId="55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8" fillId="55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9" fillId="76" borderId="0" applyNumberFormat="0" applyBorder="0" applyAlignment="0" applyProtection="0"/>
    <xf numFmtId="0" fontId="28" fillId="55" borderId="0" applyNumberFormat="0" applyBorder="0" applyAlignment="0" applyProtection="0"/>
    <xf numFmtId="0" fontId="29" fillId="76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8" fillId="55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8" fillId="55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9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9" fillId="55" borderId="0" applyNumberFormat="0" applyBorder="0" applyAlignment="0" applyProtection="0"/>
    <xf numFmtId="0" fontId="28" fillId="55" borderId="0" applyNumberFormat="0" applyBorder="0" applyAlignment="0" applyProtection="0"/>
    <xf numFmtId="0" fontId="29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76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76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76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9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8" fillId="52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9" fillId="77" borderId="0" applyNumberFormat="0" applyBorder="0" applyAlignment="0" applyProtection="0"/>
    <xf numFmtId="0" fontId="28" fillId="52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8" fillId="52" borderId="0" applyNumberFormat="0" applyBorder="0" applyAlignment="0" applyProtection="0"/>
    <xf numFmtId="0" fontId="29" fillId="77" borderId="0" applyNumberFormat="0" applyBorder="0" applyAlignment="0" applyProtection="0"/>
    <xf numFmtId="0" fontId="28" fillId="52" borderId="0" applyNumberFormat="0" applyBorder="0" applyAlignment="0" applyProtection="0"/>
    <xf numFmtId="0" fontId="29" fillId="77" borderId="0" applyNumberFormat="0" applyBorder="0" applyAlignment="0" applyProtection="0"/>
    <xf numFmtId="0" fontId="28" fillId="52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8" fillId="52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8" fillId="52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9" fillId="77" borderId="0" applyNumberFormat="0" applyBorder="0" applyAlignment="0" applyProtection="0"/>
    <xf numFmtId="0" fontId="28" fillId="52" borderId="0" applyNumberFormat="0" applyBorder="0" applyAlignment="0" applyProtection="0"/>
    <xf numFmtId="0" fontId="29" fillId="77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8" fillId="52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8" fillId="52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9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9" fillId="52" borderId="0" applyNumberFormat="0" applyBorder="0" applyAlignment="0" applyProtection="0"/>
    <xf numFmtId="0" fontId="28" fillId="52" borderId="0" applyNumberFormat="0" applyBorder="0" applyAlignment="0" applyProtection="0"/>
    <xf numFmtId="0" fontId="29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77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77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77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9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9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9" fillId="58" borderId="0" applyNumberFormat="0" applyBorder="0" applyAlignment="0" applyProtection="0"/>
    <xf numFmtId="0" fontId="28" fillId="58" borderId="0" applyNumberFormat="0" applyBorder="0" applyAlignment="0" applyProtection="0"/>
    <xf numFmtId="0" fontId="29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7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7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7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9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8" fillId="53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9" fillId="79" borderId="0" applyNumberFormat="0" applyBorder="0" applyAlignment="0" applyProtection="0"/>
    <xf numFmtId="0" fontId="28" fillId="53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8" fillId="53" borderId="0" applyNumberFormat="0" applyBorder="0" applyAlignment="0" applyProtection="0"/>
    <xf numFmtId="0" fontId="29" fillId="79" borderId="0" applyNumberFormat="0" applyBorder="0" applyAlignment="0" applyProtection="0"/>
    <xf numFmtId="0" fontId="28" fillId="53" borderId="0" applyNumberFormat="0" applyBorder="0" applyAlignment="0" applyProtection="0"/>
    <xf numFmtId="0" fontId="29" fillId="79" borderId="0" applyNumberFormat="0" applyBorder="0" applyAlignment="0" applyProtection="0"/>
    <xf numFmtId="0" fontId="28" fillId="53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8" fillId="53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8" fillId="53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9" fillId="79" borderId="0" applyNumberFormat="0" applyBorder="0" applyAlignment="0" applyProtection="0"/>
    <xf numFmtId="0" fontId="28" fillId="53" borderId="0" applyNumberFormat="0" applyBorder="0" applyAlignment="0" applyProtection="0"/>
    <xf numFmtId="0" fontId="29" fillId="79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8" fillId="53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8" fillId="53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9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9" fillId="53" borderId="0" applyNumberFormat="0" applyBorder="0" applyAlignment="0" applyProtection="0"/>
    <xf numFmtId="0" fontId="28" fillId="53" borderId="0" applyNumberFormat="0" applyBorder="0" applyAlignment="0" applyProtection="0"/>
    <xf numFmtId="0" fontId="29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7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7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7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9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8" fillId="80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9" fillId="81" borderId="0" applyNumberFormat="0" applyBorder="0" applyAlignment="0" applyProtection="0"/>
    <xf numFmtId="0" fontId="28" fillId="80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8" fillId="80" borderId="0" applyNumberFormat="0" applyBorder="0" applyAlignment="0" applyProtection="0"/>
    <xf numFmtId="0" fontId="29" fillId="81" borderId="0" applyNumberFormat="0" applyBorder="0" applyAlignment="0" applyProtection="0"/>
    <xf numFmtId="0" fontId="28" fillId="80" borderId="0" applyNumberFormat="0" applyBorder="0" applyAlignment="0" applyProtection="0"/>
    <xf numFmtId="0" fontId="29" fillId="81" borderId="0" applyNumberFormat="0" applyBorder="0" applyAlignment="0" applyProtection="0"/>
    <xf numFmtId="0" fontId="28" fillId="80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8" fillId="80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8" fillId="80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9" fillId="81" borderId="0" applyNumberFormat="0" applyBorder="0" applyAlignment="0" applyProtection="0"/>
    <xf numFmtId="0" fontId="28" fillId="80" borderId="0" applyNumberFormat="0" applyBorder="0" applyAlignment="0" applyProtection="0"/>
    <xf numFmtId="0" fontId="29" fillId="81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8" fillId="80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8" fillId="80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9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9" fillId="80" borderId="0" applyNumberFormat="0" applyBorder="0" applyAlignment="0" applyProtection="0"/>
    <xf numFmtId="0" fontId="28" fillId="80" borderId="0" applyNumberFormat="0" applyBorder="0" applyAlignment="0" applyProtection="0"/>
    <xf numFmtId="0" fontId="29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1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1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1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80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9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9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9" fillId="74" borderId="0" applyNumberFormat="0" applyBorder="0" applyAlignment="0" applyProtection="0"/>
    <xf numFmtId="0" fontId="28" fillId="74" borderId="0" applyNumberFormat="0" applyBorder="0" applyAlignment="0" applyProtection="0"/>
    <xf numFmtId="0" fontId="29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8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74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9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9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9" fillId="58" borderId="0" applyNumberFormat="0" applyBorder="0" applyAlignment="0" applyProtection="0"/>
    <xf numFmtId="0" fontId="28" fillId="58" borderId="0" applyNumberFormat="0" applyBorder="0" applyAlignment="0" applyProtection="0"/>
    <xf numFmtId="0" fontId="29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7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7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7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9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8" fillId="82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9" fillId="83" borderId="0" applyNumberFormat="0" applyBorder="0" applyAlignment="0" applyProtection="0"/>
    <xf numFmtId="0" fontId="28" fillId="82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8" fillId="82" borderId="0" applyNumberFormat="0" applyBorder="0" applyAlignment="0" applyProtection="0"/>
    <xf numFmtId="0" fontId="29" fillId="83" borderId="0" applyNumberFormat="0" applyBorder="0" applyAlignment="0" applyProtection="0"/>
    <xf numFmtId="0" fontId="28" fillId="82" borderId="0" applyNumberFormat="0" applyBorder="0" applyAlignment="0" applyProtection="0"/>
    <xf numFmtId="0" fontId="29" fillId="83" borderId="0" applyNumberFormat="0" applyBorder="0" applyAlignment="0" applyProtection="0"/>
    <xf numFmtId="0" fontId="28" fillId="82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8" fillId="82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8" fillId="82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9" fillId="83" borderId="0" applyNumberFormat="0" applyBorder="0" applyAlignment="0" applyProtection="0"/>
    <xf numFmtId="0" fontId="28" fillId="82" borderId="0" applyNumberFormat="0" applyBorder="0" applyAlignment="0" applyProtection="0"/>
    <xf numFmtId="0" fontId="29" fillId="83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8" fillId="82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8" fillId="82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9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9" fillId="82" borderId="0" applyNumberFormat="0" applyBorder="0" applyAlignment="0" applyProtection="0"/>
    <xf numFmtId="0" fontId="28" fillId="82" borderId="0" applyNumberFormat="0" applyBorder="0" applyAlignment="0" applyProtection="0"/>
    <xf numFmtId="0" fontId="29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8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3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3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3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29" fillId="82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92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28" fillId="84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92" fillId="85" borderId="0" applyNumberFormat="0" applyBorder="0" applyAlignment="0" applyProtection="0"/>
    <xf numFmtId="0" fontId="28" fillId="84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28" fillId="84" borderId="0" applyNumberFormat="0" applyBorder="0" applyAlignment="0" applyProtection="0"/>
    <xf numFmtId="0" fontId="92" fillId="85" borderId="0" applyNumberFormat="0" applyBorder="0" applyAlignment="0" applyProtection="0"/>
    <xf numFmtId="0" fontId="28" fillId="84" borderId="0" applyNumberFormat="0" applyBorder="0" applyAlignment="0" applyProtection="0"/>
    <xf numFmtId="0" fontId="92" fillId="85" borderId="0" applyNumberFormat="0" applyBorder="0" applyAlignment="0" applyProtection="0"/>
    <xf numFmtId="0" fontId="28" fillId="84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28" fillId="84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28" fillId="84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92" fillId="85" borderId="0" applyNumberFormat="0" applyBorder="0" applyAlignment="0" applyProtection="0"/>
    <xf numFmtId="0" fontId="28" fillId="84" borderId="0" applyNumberFormat="0" applyBorder="0" applyAlignment="0" applyProtection="0"/>
    <xf numFmtId="0" fontId="92" fillId="85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28" fillId="84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28" fillId="84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92" fillId="85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92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92" fillId="84" borderId="0" applyNumberFormat="0" applyBorder="0" applyAlignment="0" applyProtection="0"/>
    <xf numFmtId="0" fontId="28" fillId="84" borderId="0" applyNumberFormat="0" applyBorder="0" applyAlignment="0" applyProtection="0"/>
    <xf numFmtId="0" fontId="92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28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5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5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5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84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92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28" fillId="53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92" fillId="79" borderId="0" applyNumberFormat="0" applyBorder="0" applyAlignment="0" applyProtection="0"/>
    <xf numFmtId="0" fontId="28" fillId="53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28" fillId="53" borderId="0" applyNumberFormat="0" applyBorder="0" applyAlignment="0" applyProtection="0"/>
    <xf numFmtId="0" fontId="92" fillId="79" borderId="0" applyNumberFormat="0" applyBorder="0" applyAlignment="0" applyProtection="0"/>
    <xf numFmtId="0" fontId="28" fillId="53" borderId="0" applyNumberFormat="0" applyBorder="0" applyAlignment="0" applyProtection="0"/>
    <xf numFmtId="0" fontId="92" fillId="79" borderId="0" applyNumberFormat="0" applyBorder="0" applyAlignment="0" applyProtection="0"/>
    <xf numFmtId="0" fontId="28" fillId="53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28" fillId="53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28" fillId="53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92" fillId="79" borderId="0" applyNumberFormat="0" applyBorder="0" applyAlignment="0" applyProtection="0"/>
    <xf numFmtId="0" fontId="28" fillId="53" borderId="0" applyNumberFormat="0" applyBorder="0" applyAlignment="0" applyProtection="0"/>
    <xf numFmtId="0" fontId="92" fillId="79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28" fillId="53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28" fillId="53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92" fillId="79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92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92" fillId="53" borderId="0" applyNumberFormat="0" applyBorder="0" applyAlignment="0" applyProtection="0"/>
    <xf numFmtId="0" fontId="28" fillId="53" borderId="0" applyNumberFormat="0" applyBorder="0" applyAlignment="0" applyProtection="0"/>
    <xf numFmtId="0" fontId="92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79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79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79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92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28" fillId="80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92" fillId="81" borderId="0" applyNumberFormat="0" applyBorder="0" applyAlignment="0" applyProtection="0"/>
    <xf numFmtId="0" fontId="28" fillId="80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28" fillId="80" borderId="0" applyNumberFormat="0" applyBorder="0" applyAlignment="0" applyProtection="0"/>
    <xf numFmtId="0" fontId="92" fillId="81" borderId="0" applyNumberFormat="0" applyBorder="0" applyAlignment="0" applyProtection="0"/>
    <xf numFmtId="0" fontId="28" fillId="80" borderId="0" applyNumberFormat="0" applyBorder="0" applyAlignment="0" applyProtection="0"/>
    <xf numFmtId="0" fontId="92" fillId="81" borderId="0" applyNumberFormat="0" applyBorder="0" applyAlignment="0" applyProtection="0"/>
    <xf numFmtId="0" fontId="28" fillId="80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28" fillId="80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28" fillId="80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92" fillId="81" borderId="0" applyNumberFormat="0" applyBorder="0" applyAlignment="0" applyProtection="0"/>
    <xf numFmtId="0" fontId="28" fillId="80" borderId="0" applyNumberFormat="0" applyBorder="0" applyAlignment="0" applyProtection="0"/>
    <xf numFmtId="0" fontId="92" fillId="81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28" fillId="80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28" fillId="80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92" fillId="81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92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92" fillId="80" borderId="0" applyNumberFormat="0" applyBorder="0" applyAlignment="0" applyProtection="0"/>
    <xf numFmtId="0" fontId="28" fillId="80" borderId="0" applyNumberFormat="0" applyBorder="0" applyAlignment="0" applyProtection="0"/>
    <xf numFmtId="0" fontId="92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28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1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1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1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0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92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92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92" fillId="86" borderId="0" applyNumberFormat="0" applyBorder="0" applyAlignment="0" applyProtection="0"/>
    <xf numFmtId="0" fontId="28" fillId="86" borderId="0" applyNumberFormat="0" applyBorder="0" applyAlignment="0" applyProtection="0"/>
    <xf numFmtId="0" fontId="92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7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7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7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92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92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92" fillId="59" borderId="0" applyNumberFormat="0" applyBorder="0" applyAlignment="0" applyProtection="0"/>
    <xf numFmtId="0" fontId="28" fillId="59" borderId="0" applyNumberFormat="0" applyBorder="0" applyAlignment="0" applyProtection="0"/>
    <xf numFmtId="0" fontId="92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88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88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88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92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28" fillId="89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92" fillId="90" borderId="0" applyNumberFormat="0" applyBorder="0" applyAlignment="0" applyProtection="0"/>
    <xf numFmtId="0" fontId="28" fillId="89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28" fillId="89" borderId="0" applyNumberFormat="0" applyBorder="0" applyAlignment="0" applyProtection="0"/>
    <xf numFmtId="0" fontId="92" fillId="90" borderId="0" applyNumberFormat="0" applyBorder="0" applyAlignment="0" applyProtection="0"/>
    <xf numFmtId="0" fontId="28" fillId="89" borderId="0" applyNumberFormat="0" applyBorder="0" applyAlignment="0" applyProtection="0"/>
    <xf numFmtId="0" fontId="92" fillId="90" borderId="0" applyNumberFormat="0" applyBorder="0" applyAlignment="0" applyProtection="0"/>
    <xf numFmtId="0" fontId="28" fillId="89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28" fillId="89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28" fillId="89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92" fillId="90" borderId="0" applyNumberFormat="0" applyBorder="0" applyAlignment="0" applyProtection="0"/>
    <xf numFmtId="0" fontId="28" fillId="89" borderId="0" applyNumberFormat="0" applyBorder="0" applyAlignment="0" applyProtection="0"/>
    <xf numFmtId="0" fontId="92" fillId="90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28" fillId="89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28" fillId="89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92" fillId="90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92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92" fillId="89" borderId="0" applyNumberFormat="0" applyBorder="0" applyAlignment="0" applyProtection="0"/>
    <xf numFmtId="0" fontId="28" fillId="89" borderId="0" applyNumberFormat="0" applyBorder="0" applyAlignment="0" applyProtection="0"/>
    <xf numFmtId="0" fontId="92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28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90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90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90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89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92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28" fillId="91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92" fillId="92" borderId="0" applyNumberFormat="0" applyBorder="0" applyAlignment="0" applyProtection="0"/>
    <xf numFmtId="0" fontId="28" fillId="91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28" fillId="91" borderId="0" applyNumberFormat="0" applyBorder="0" applyAlignment="0" applyProtection="0"/>
    <xf numFmtId="0" fontId="92" fillId="92" borderId="0" applyNumberFormat="0" applyBorder="0" applyAlignment="0" applyProtection="0"/>
    <xf numFmtId="0" fontId="28" fillId="91" borderId="0" applyNumberFormat="0" applyBorder="0" applyAlignment="0" applyProtection="0"/>
    <xf numFmtId="0" fontId="92" fillId="92" borderId="0" applyNumberFormat="0" applyBorder="0" applyAlignment="0" applyProtection="0"/>
    <xf numFmtId="0" fontId="28" fillId="91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28" fillId="91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28" fillId="91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92" fillId="92" borderId="0" applyNumberFormat="0" applyBorder="0" applyAlignment="0" applyProtection="0"/>
    <xf numFmtId="0" fontId="28" fillId="91" borderId="0" applyNumberFormat="0" applyBorder="0" applyAlignment="0" applyProtection="0"/>
    <xf numFmtId="0" fontId="92" fillId="92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28" fillId="91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28" fillId="91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92" fillId="92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92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92" fillId="91" borderId="0" applyNumberFormat="0" applyBorder="0" applyAlignment="0" applyProtection="0"/>
    <xf numFmtId="0" fontId="28" fillId="91" borderId="0" applyNumberFormat="0" applyBorder="0" applyAlignment="0" applyProtection="0"/>
    <xf numFmtId="0" fontId="92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28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2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2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2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91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92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28" fillId="60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92" fillId="93" borderId="0" applyNumberFormat="0" applyBorder="0" applyAlignment="0" applyProtection="0"/>
    <xf numFmtId="0" fontId="28" fillId="60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28" fillId="60" borderId="0" applyNumberFormat="0" applyBorder="0" applyAlignment="0" applyProtection="0"/>
    <xf numFmtId="0" fontId="92" fillId="93" borderId="0" applyNumberFormat="0" applyBorder="0" applyAlignment="0" applyProtection="0"/>
    <xf numFmtId="0" fontId="28" fillId="60" borderId="0" applyNumberFormat="0" applyBorder="0" applyAlignment="0" applyProtection="0"/>
    <xf numFmtId="0" fontId="92" fillId="93" borderId="0" applyNumberFormat="0" applyBorder="0" applyAlignment="0" applyProtection="0"/>
    <xf numFmtId="0" fontId="28" fillId="60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28" fillId="60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28" fillId="60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92" fillId="93" borderId="0" applyNumberFormat="0" applyBorder="0" applyAlignment="0" applyProtection="0"/>
    <xf numFmtId="0" fontId="28" fillId="60" borderId="0" applyNumberFormat="0" applyBorder="0" applyAlignment="0" applyProtection="0"/>
    <xf numFmtId="0" fontId="92" fillId="93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28" fillId="60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28" fillId="60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92" fillId="93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92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92" fillId="60" borderId="0" applyNumberFormat="0" applyBorder="0" applyAlignment="0" applyProtection="0"/>
    <xf numFmtId="0" fontId="28" fillId="60" borderId="0" applyNumberFormat="0" applyBorder="0" applyAlignment="0" applyProtection="0"/>
    <xf numFmtId="0" fontId="92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93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93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93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0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92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28" fillId="61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92" fillId="94" borderId="0" applyNumberFormat="0" applyBorder="0" applyAlignment="0" applyProtection="0"/>
    <xf numFmtId="0" fontId="28" fillId="61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28" fillId="61" borderId="0" applyNumberFormat="0" applyBorder="0" applyAlignment="0" applyProtection="0"/>
    <xf numFmtId="0" fontId="92" fillId="94" borderId="0" applyNumberFormat="0" applyBorder="0" applyAlignment="0" applyProtection="0"/>
    <xf numFmtId="0" fontId="28" fillId="61" borderId="0" applyNumberFormat="0" applyBorder="0" applyAlignment="0" applyProtection="0"/>
    <xf numFmtId="0" fontId="92" fillId="94" borderId="0" applyNumberFormat="0" applyBorder="0" applyAlignment="0" applyProtection="0"/>
    <xf numFmtId="0" fontId="28" fillId="61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28" fillId="61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28" fillId="61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92" fillId="94" borderId="0" applyNumberFormat="0" applyBorder="0" applyAlignment="0" applyProtection="0"/>
    <xf numFmtId="0" fontId="28" fillId="61" borderId="0" applyNumberFormat="0" applyBorder="0" applyAlignment="0" applyProtection="0"/>
    <xf numFmtId="0" fontId="92" fillId="94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28" fillId="61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28" fillId="61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92" fillId="94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92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92" fillId="61" borderId="0" applyNumberFormat="0" applyBorder="0" applyAlignment="0" applyProtection="0"/>
    <xf numFmtId="0" fontId="28" fillId="61" borderId="0" applyNumberFormat="0" applyBorder="0" applyAlignment="0" applyProtection="0"/>
    <xf numFmtId="0" fontId="92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94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94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94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61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92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92" fillId="87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92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92" fillId="86" borderId="0" applyNumberFormat="0" applyBorder="0" applyAlignment="0" applyProtection="0"/>
    <xf numFmtId="0" fontId="28" fillId="86" borderId="0" applyNumberFormat="0" applyBorder="0" applyAlignment="0" applyProtection="0"/>
    <xf numFmtId="0" fontId="92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28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7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7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7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86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92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92" fillId="88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92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92" fillId="59" borderId="0" applyNumberFormat="0" applyBorder="0" applyAlignment="0" applyProtection="0"/>
    <xf numFmtId="0" fontId="28" fillId="59" borderId="0" applyNumberFormat="0" applyBorder="0" applyAlignment="0" applyProtection="0"/>
    <xf numFmtId="0" fontId="92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88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88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88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92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28" fillId="63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92" fillId="95" borderId="0" applyNumberFormat="0" applyBorder="0" applyAlignment="0" applyProtection="0"/>
    <xf numFmtId="0" fontId="28" fillId="63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28" fillId="63" borderId="0" applyNumberFormat="0" applyBorder="0" applyAlignment="0" applyProtection="0"/>
    <xf numFmtId="0" fontId="92" fillId="95" borderId="0" applyNumberFormat="0" applyBorder="0" applyAlignment="0" applyProtection="0"/>
    <xf numFmtId="0" fontId="28" fillId="63" borderId="0" applyNumberFormat="0" applyBorder="0" applyAlignment="0" applyProtection="0"/>
    <xf numFmtId="0" fontId="92" fillId="95" borderId="0" applyNumberFormat="0" applyBorder="0" applyAlignment="0" applyProtection="0"/>
    <xf numFmtId="0" fontId="28" fillId="63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28" fillId="63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28" fillId="63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92" fillId="95" borderId="0" applyNumberFormat="0" applyBorder="0" applyAlignment="0" applyProtection="0"/>
    <xf numFmtId="0" fontId="28" fillId="63" borderId="0" applyNumberFormat="0" applyBorder="0" applyAlignment="0" applyProtection="0"/>
    <xf numFmtId="0" fontId="92" fillId="95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28" fillId="63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28" fillId="63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92" fillId="95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92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92" fillId="63" borderId="0" applyNumberFormat="0" applyBorder="0" applyAlignment="0" applyProtection="0"/>
    <xf numFmtId="0" fontId="28" fillId="63" borderId="0" applyNumberFormat="0" applyBorder="0" applyAlignment="0" applyProtection="0"/>
    <xf numFmtId="0" fontId="92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95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95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95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2" fillId="63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93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28" fillId="46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93" fillId="72" borderId="0" applyNumberFormat="0" applyBorder="0" applyAlignment="0" applyProtection="0"/>
    <xf numFmtId="0" fontId="28" fillId="46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28" fillId="46" borderId="0" applyNumberFormat="0" applyBorder="0" applyAlignment="0" applyProtection="0"/>
    <xf numFmtId="0" fontId="93" fillId="72" borderId="0" applyNumberFormat="0" applyBorder="0" applyAlignment="0" applyProtection="0"/>
    <xf numFmtId="0" fontId="28" fillId="46" borderId="0" applyNumberFormat="0" applyBorder="0" applyAlignment="0" applyProtection="0"/>
    <xf numFmtId="0" fontId="93" fillId="72" borderId="0" applyNumberFormat="0" applyBorder="0" applyAlignment="0" applyProtection="0"/>
    <xf numFmtId="0" fontId="28" fillId="46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28" fillId="46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28" fillId="46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93" fillId="72" borderId="0" applyNumberFormat="0" applyBorder="0" applyAlignment="0" applyProtection="0"/>
    <xf numFmtId="0" fontId="28" fillId="46" borderId="0" applyNumberFormat="0" applyBorder="0" applyAlignment="0" applyProtection="0"/>
    <xf numFmtId="0" fontId="93" fillId="7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28" fillId="46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28" fillId="46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93" fillId="7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93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93" fillId="46" borderId="0" applyNumberFormat="0" applyBorder="0" applyAlignment="0" applyProtection="0"/>
    <xf numFmtId="0" fontId="28" fillId="46" borderId="0" applyNumberFormat="0" applyBorder="0" applyAlignment="0" applyProtection="0"/>
    <xf numFmtId="0" fontId="93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72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72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72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94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28" fillId="56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94" fillId="68" borderId="114" applyNumberFormat="0" applyAlignment="0" applyProtection="0"/>
    <xf numFmtId="0" fontId="28" fillId="56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28" fillId="56" borderId="114" applyNumberFormat="0" applyAlignment="0" applyProtection="0"/>
    <xf numFmtId="0" fontId="94" fillId="68" borderId="114" applyNumberFormat="0" applyAlignment="0" applyProtection="0"/>
    <xf numFmtId="0" fontId="28" fillId="56" borderId="114" applyNumberFormat="0" applyAlignment="0" applyProtection="0"/>
    <xf numFmtId="0" fontId="94" fillId="68" borderId="114" applyNumberFormat="0" applyAlignment="0" applyProtection="0"/>
    <xf numFmtId="0" fontId="28" fillId="56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28" fillId="56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28" fillId="56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94" fillId="68" borderId="114" applyNumberFormat="0" applyAlignment="0" applyProtection="0"/>
    <xf numFmtId="0" fontId="28" fillId="56" borderId="114" applyNumberFormat="0" applyAlignment="0" applyProtection="0"/>
    <xf numFmtId="0" fontId="94" fillId="68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28" fillId="56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28" fillId="56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94" fillId="68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94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94" fillId="56" borderId="114" applyNumberFormat="0" applyAlignment="0" applyProtection="0"/>
    <xf numFmtId="0" fontId="28" fillId="56" borderId="114" applyNumberFormat="0" applyAlignment="0" applyProtection="0"/>
    <xf numFmtId="0" fontId="94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28" fillId="56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68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68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68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4" fillId="56" borderId="114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95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28" fillId="6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95" fillId="96" borderId="115" applyNumberFormat="0" applyAlignment="0" applyProtection="0"/>
    <xf numFmtId="0" fontId="28" fillId="6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28" fillId="66" borderId="115" applyNumberFormat="0" applyAlignment="0" applyProtection="0"/>
    <xf numFmtId="0" fontId="95" fillId="96" borderId="115" applyNumberFormat="0" applyAlignment="0" applyProtection="0"/>
    <xf numFmtId="0" fontId="28" fillId="66" borderId="115" applyNumberFormat="0" applyAlignment="0" applyProtection="0"/>
    <xf numFmtId="0" fontId="95" fillId="96" borderId="115" applyNumberFormat="0" applyAlignment="0" applyProtection="0"/>
    <xf numFmtId="0" fontId="28" fillId="6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28" fillId="6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28" fillId="6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95" fillId="96" borderId="115" applyNumberFormat="0" applyAlignment="0" applyProtection="0"/>
    <xf numFmtId="0" fontId="28" fillId="66" borderId="115" applyNumberFormat="0" applyAlignment="0" applyProtection="0"/>
    <xf numFmtId="0" fontId="95" fillId="9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28" fillId="6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28" fillId="6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95" fillId="9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95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95" fillId="66" borderId="115" applyNumberFormat="0" applyAlignment="0" applyProtection="0"/>
    <xf numFmtId="0" fontId="28" fillId="66" borderId="115" applyNumberFormat="0" applyAlignment="0" applyProtection="0"/>
    <xf numFmtId="0" fontId="95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28" fillId="6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9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9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9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0" fontId="95" fillId="66" borderId="115" applyNumberFormat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165" fontId="4" fillId="0" borderId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165" fontId="4" fillId="0" borderId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165" fontId="4" fillId="0" borderId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165" fontId="4" fillId="0" borderId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2" fontId="89" fillId="0" borderId="0"/>
    <xf numFmtId="43" fontId="4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165" fontId="4" fillId="0" borderId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165" fontId="4" fillId="0" borderId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165" fontId="4" fillId="0" borderId="0" applyFill="0" applyBorder="0" applyAlignment="0" applyProtection="0"/>
    <xf numFmtId="0" fontId="4" fillId="0" borderId="0" applyNumberFormat="0" applyFont="0" applyFill="0" applyBorder="0" applyAlignment="0" applyProtection="0"/>
    <xf numFmtId="43" fontId="4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165" fontId="4" fillId="0" borderId="0" applyFill="0" applyBorder="0" applyAlignment="0" applyProtection="0"/>
    <xf numFmtId="168" fontId="11" fillId="0" borderId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97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28" fillId="67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97" fillId="73" borderId="0" applyNumberFormat="0" applyBorder="0" applyAlignment="0" applyProtection="0"/>
    <xf numFmtId="0" fontId="28" fillId="67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28" fillId="67" borderId="0" applyNumberFormat="0" applyBorder="0" applyAlignment="0" applyProtection="0"/>
    <xf numFmtId="0" fontId="97" fillId="73" borderId="0" applyNumberFormat="0" applyBorder="0" applyAlignment="0" applyProtection="0"/>
    <xf numFmtId="0" fontId="28" fillId="67" borderId="0" applyNumberFormat="0" applyBorder="0" applyAlignment="0" applyProtection="0"/>
    <xf numFmtId="0" fontId="97" fillId="73" borderId="0" applyNumberFormat="0" applyBorder="0" applyAlignment="0" applyProtection="0"/>
    <xf numFmtId="0" fontId="28" fillId="67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28" fillId="67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28" fillId="67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97" fillId="73" borderId="0" applyNumberFormat="0" applyBorder="0" applyAlignment="0" applyProtection="0"/>
    <xf numFmtId="0" fontId="28" fillId="67" borderId="0" applyNumberFormat="0" applyBorder="0" applyAlignment="0" applyProtection="0"/>
    <xf numFmtId="0" fontId="97" fillId="73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28" fillId="67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28" fillId="67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97" fillId="73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97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97" fillId="67" borderId="0" applyNumberFormat="0" applyBorder="0" applyAlignment="0" applyProtection="0"/>
    <xf numFmtId="0" fontId="28" fillId="67" borderId="0" applyNumberFormat="0" applyBorder="0" applyAlignment="0" applyProtection="0"/>
    <xf numFmtId="0" fontId="97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28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73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73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73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97" fillId="67" borderId="0" applyNumberFormat="0" applyBorder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127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28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127" fillId="0" borderId="123" applyNumberFormat="0" applyFill="0" applyAlignment="0" applyProtection="0"/>
    <xf numFmtId="0" fontId="28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28" fillId="0" borderId="123" applyNumberFormat="0" applyFill="0" applyAlignment="0" applyProtection="0"/>
    <xf numFmtId="0" fontId="127" fillId="0" borderId="123" applyNumberFormat="0" applyFill="0" applyAlignment="0" applyProtection="0"/>
    <xf numFmtId="0" fontId="28" fillId="0" borderId="123" applyNumberFormat="0" applyFill="0" applyAlignment="0" applyProtection="0"/>
    <xf numFmtId="0" fontId="127" fillId="0" borderId="123" applyNumberFormat="0" applyFill="0" applyAlignment="0" applyProtection="0"/>
    <xf numFmtId="0" fontId="28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28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28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127" fillId="0" borderId="123" applyNumberFormat="0" applyFill="0" applyAlignment="0" applyProtection="0"/>
    <xf numFmtId="0" fontId="28" fillId="0" borderId="123" applyNumberFormat="0" applyFill="0" applyAlignment="0" applyProtection="0"/>
    <xf numFmtId="0" fontId="127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28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28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127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127" fillId="0" borderId="123" applyNumberFormat="0" applyFill="0" applyAlignment="0" applyProtection="0"/>
    <xf numFmtId="0" fontId="28" fillId="0" borderId="123" applyNumberFormat="0" applyFill="0" applyAlignment="0" applyProtection="0"/>
    <xf numFmtId="0" fontId="127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28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7" fillId="0" borderId="123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1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128" fillId="0" borderId="117" applyNumberFormat="0" applyFill="0" applyAlignment="0" applyProtection="0"/>
    <xf numFmtId="0" fontId="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28" fillId="0" borderId="117" applyNumberFormat="0" applyFill="0" applyAlignment="0" applyProtection="0"/>
    <xf numFmtId="0" fontId="128" fillId="0" borderId="117" applyNumberFormat="0" applyFill="0" applyAlignment="0" applyProtection="0"/>
    <xf numFmtId="0" fontId="28" fillId="0" borderId="117" applyNumberFormat="0" applyFill="0" applyAlignment="0" applyProtection="0"/>
    <xf numFmtId="0" fontId="128" fillId="0" borderId="117" applyNumberFormat="0" applyFill="0" applyAlignment="0" applyProtection="0"/>
    <xf numFmtId="0" fontId="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128" fillId="0" borderId="117" applyNumberFormat="0" applyFill="0" applyAlignment="0" applyProtection="0"/>
    <xf numFmtId="0" fontId="28" fillId="0" borderId="117" applyNumberFormat="0" applyFill="0" applyAlignment="0" applyProtection="0"/>
    <xf numFmtId="0" fontId="1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1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128" fillId="0" borderId="117" applyNumberFormat="0" applyFill="0" applyAlignment="0" applyProtection="0"/>
    <xf numFmtId="0" fontId="28" fillId="0" borderId="117" applyNumberFormat="0" applyFill="0" applyAlignment="0" applyProtection="0"/>
    <xf numFmtId="0" fontId="1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8" fillId="0" borderId="117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129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28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129" fillId="0" borderId="124" applyNumberFormat="0" applyFill="0" applyAlignment="0" applyProtection="0"/>
    <xf numFmtId="0" fontId="28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28" fillId="0" borderId="124" applyNumberFormat="0" applyFill="0" applyAlignment="0" applyProtection="0"/>
    <xf numFmtId="0" fontId="129" fillId="0" borderId="124" applyNumberFormat="0" applyFill="0" applyAlignment="0" applyProtection="0"/>
    <xf numFmtId="0" fontId="28" fillId="0" borderId="124" applyNumberFormat="0" applyFill="0" applyAlignment="0" applyProtection="0"/>
    <xf numFmtId="0" fontId="129" fillId="0" borderId="124" applyNumberFormat="0" applyFill="0" applyAlignment="0" applyProtection="0"/>
    <xf numFmtId="0" fontId="28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28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28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129" fillId="0" borderId="124" applyNumberFormat="0" applyFill="0" applyAlignment="0" applyProtection="0"/>
    <xf numFmtId="0" fontId="28" fillId="0" borderId="124" applyNumberFormat="0" applyFill="0" applyAlignment="0" applyProtection="0"/>
    <xf numFmtId="0" fontId="129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28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28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129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129" fillId="0" borderId="124" applyNumberFormat="0" applyFill="0" applyAlignment="0" applyProtection="0"/>
    <xf numFmtId="0" fontId="28" fillId="0" borderId="124" applyNumberFormat="0" applyFill="0" applyAlignment="0" applyProtection="0"/>
    <xf numFmtId="0" fontId="129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28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124" applyNumberFormat="0" applyFill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101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28" fillId="52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101" fillId="77" borderId="114" applyNumberFormat="0" applyAlignment="0" applyProtection="0"/>
    <xf numFmtId="0" fontId="28" fillId="52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28" fillId="52" borderId="114" applyNumberFormat="0" applyAlignment="0" applyProtection="0"/>
    <xf numFmtId="0" fontId="101" fillId="77" borderId="114" applyNumberFormat="0" applyAlignment="0" applyProtection="0"/>
    <xf numFmtId="0" fontId="28" fillId="52" borderId="114" applyNumberFormat="0" applyAlignment="0" applyProtection="0"/>
    <xf numFmtId="0" fontId="101" fillId="77" borderId="114" applyNumberFormat="0" applyAlignment="0" applyProtection="0"/>
    <xf numFmtId="0" fontId="28" fillId="52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28" fillId="52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28" fillId="52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101" fillId="77" borderId="114" applyNumberFormat="0" applyAlignment="0" applyProtection="0"/>
    <xf numFmtId="0" fontId="28" fillId="52" borderId="114" applyNumberFormat="0" applyAlignment="0" applyProtection="0"/>
    <xf numFmtId="0" fontId="101" fillId="77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28" fillId="52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28" fillId="52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101" fillId="77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101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101" fillId="52" borderId="114" applyNumberFormat="0" applyAlignment="0" applyProtection="0"/>
    <xf numFmtId="0" fontId="28" fillId="52" borderId="114" applyNumberFormat="0" applyAlignment="0" applyProtection="0"/>
    <xf numFmtId="0" fontId="101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28" fillId="52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77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77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77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1" fillId="52" borderId="114" applyNumberFormat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102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28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102" fillId="0" borderId="119" applyNumberFormat="0" applyFill="0" applyAlignment="0" applyProtection="0"/>
    <xf numFmtId="0" fontId="28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28" fillId="0" borderId="119" applyNumberFormat="0" applyFill="0" applyAlignment="0" applyProtection="0"/>
    <xf numFmtId="0" fontId="102" fillId="0" borderId="119" applyNumberFormat="0" applyFill="0" applyAlignment="0" applyProtection="0"/>
    <xf numFmtId="0" fontId="28" fillId="0" borderId="119" applyNumberFormat="0" applyFill="0" applyAlignment="0" applyProtection="0"/>
    <xf numFmtId="0" fontId="102" fillId="0" borderId="119" applyNumberFormat="0" applyFill="0" applyAlignment="0" applyProtection="0"/>
    <xf numFmtId="0" fontId="28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28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28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102" fillId="0" borderId="119" applyNumberFormat="0" applyFill="0" applyAlignment="0" applyProtection="0"/>
    <xf numFmtId="0" fontId="28" fillId="0" borderId="119" applyNumberFormat="0" applyFill="0" applyAlignment="0" applyProtection="0"/>
    <xf numFmtId="0" fontId="102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28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28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102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102" fillId="0" borderId="119" applyNumberFormat="0" applyFill="0" applyAlignment="0" applyProtection="0"/>
    <xf numFmtId="0" fontId="28" fillId="0" borderId="119" applyNumberFormat="0" applyFill="0" applyAlignment="0" applyProtection="0"/>
    <xf numFmtId="0" fontId="102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28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2" fillId="0" borderId="119" applyNumberFormat="0" applyFill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103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28" fillId="57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103" fillId="69" borderId="0" applyNumberFormat="0" applyBorder="0" applyAlignment="0" applyProtection="0"/>
    <xf numFmtId="0" fontId="28" fillId="57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28" fillId="57" borderId="0" applyNumberFormat="0" applyBorder="0" applyAlignment="0" applyProtection="0"/>
    <xf numFmtId="0" fontId="103" fillId="69" borderId="0" applyNumberFormat="0" applyBorder="0" applyAlignment="0" applyProtection="0"/>
    <xf numFmtId="0" fontId="28" fillId="57" borderId="0" applyNumberFormat="0" applyBorder="0" applyAlignment="0" applyProtection="0"/>
    <xf numFmtId="0" fontId="103" fillId="69" borderId="0" applyNumberFormat="0" applyBorder="0" applyAlignment="0" applyProtection="0"/>
    <xf numFmtId="0" fontId="28" fillId="57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28" fillId="57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28" fillId="57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103" fillId="69" borderId="0" applyNumberFormat="0" applyBorder="0" applyAlignment="0" applyProtection="0"/>
    <xf numFmtId="0" fontId="28" fillId="57" borderId="0" applyNumberFormat="0" applyBorder="0" applyAlignment="0" applyProtection="0"/>
    <xf numFmtId="0" fontId="103" fillId="69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28" fillId="57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28" fillId="57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103" fillId="69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103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103" fillId="57" borderId="0" applyNumberFormat="0" applyBorder="0" applyAlignment="0" applyProtection="0"/>
    <xf numFmtId="0" fontId="28" fillId="57" borderId="0" applyNumberFormat="0" applyBorder="0" applyAlignment="0" applyProtection="0"/>
    <xf numFmtId="0" fontId="103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69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69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69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103" fillId="57" borderId="0" applyNumberFormat="0" applyBorder="0" applyAlignment="0" applyProtection="0"/>
    <xf numFmtId="0" fontId="2" fillId="0" borderId="0"/>
    <xf numFmtId="0" fontId="2" fillId="0" borderId="0"/>
    <xf numFmtId="0" fontId="28" fillId="0" borderId="0"/>
    <xf numFmtId="0" fontId="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28" fillId="0" borderId="0"/>
    <xf numFmtId="0" fontId="4" fillId="0" borderId="0" applyNumberFormat="0" applyFont="0" applyFill="0" applyBorder="0" applyAlignment="0" applyProtection="0"/>
    <xf numFmtId="0" fontId="28" fillId="0" borderId="0"/>
    <xf numFmtId="0" fontId="2" fillId="0" borderId="0"/>
    <xf numFmtId="0" fontId="2" fillId="0" borderId="0"/>
    <xf numFmtId="0" fontId="28" fillId="0" borderId="0"/>
    <xf numFmtId="0" fontId="4" fillId="0" borderId="0" applyNumberFormat="0" applyFont="0" applyFill="0" applyBorder="0" applyAlignment="0" applyProtection="0"/>
    <xf numFmtId="0" fontId="28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4" fillId="0" borderId="0" applyNumberFormat="0" applyFont="0" applyFill="0" applyBorder="0" applyAlignment="0" applyProtection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4" fillId="0" borderId="0" applyNumberFormat="0" applyFont="0" applyFill="0" applyBorder="0" applyAlignment="0" applyProtection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ont="0" applyFill="0" applyBorder="0" applyAlignment="0" applyProtection="0"/>
    <xf numFmtId="0" fontId="28" fillId="0" borderId="0"/>
    <xf numFmtId="0" fontId="4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4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ont="0" applyFill="0" applyBorder="0" applyAlignment="0" applyProtection="0"/>
    <xf numFmtId="0" fontId="28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8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ont="0" applyFill="0" applyBorder="0" applyAlignment="0" applyProtection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31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8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8" fillId="0" borderId="0"/>
    <xf numFmtId="0" fontId="28" fillId="0" borderId="0"/>
    <xf numFmtId="0" fontId="4" fillId="0" borderId="0" applyNumberFormat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4" fillId="0" borderId="0" applyNumberFormat="0" applyFont="0" applyFill="0" applyBorder="0" applyAlignment="0" applyProtection="0"/>
    <xf numFmtId="0" fontId="28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4" fillId="0" borderId="0" applyNumberFormat="0" applyFont="0" applyFill="0" applyBorder="0" applyAlignment="0" applyProtection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28" fillId="0" borderId="0"/>
    <xf numFmtId="0" fontId="4" fillId="0" borderId="0" applyNumberFormat="0" applyFont="0" applyFill="0" applyBorder="0" applyAlignment="0" applyProtection="0"/>
    <xf numFmtId="0" fontId="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4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29" fillId="54" borderId="120" applyNumberFormat="0" applyFont="0" applyAlignment="0" applyProtection="0"/>
    <xf numFmtId="0" fontId="4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29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29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29" fillId="21" borderId="51" applyNumberFormat="0" applyFont="0" applyAlignment="0" applyProtection="0"/>
    <xf numFmtId="0" fontId="29" fillId="21" borderId="51" applyNumberFormat="0" applyFont="0" applyAlignment="0" applyProtection="0"/>
    <xf numFmtId="0" fontId="29" fillId="21" borderId="51" applyNumberFormat="0" applyFont="0" applyAlignment="0" applyProtection="0"/>
    <xf numFmtId="0" fontId="29" fillId="21" borderId="51" applyNumberFormat="0" applyFont="0" applyAlignment="0" applyProtection="0"/>
    <xf numFmtId="0" fontId="29" fillId="21" borderId="51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4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29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29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29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29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4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4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4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97" borderId="120" applyNumberFormat="0" applyAlignment="0" applyProtection="0"/>
    <xf numFmtId="0" fontId="4" fillId="97" borderId="120" applyNumberFormat="0" applyAlignment="0" applyProtection="0"/>
    <xf numFmtId="0" fontId="4" fillId="97" borderId="120" applyNumberFormat="0" applyAlignment="0" applyProtection="0"/>
    <xf numFmtId="0" fontId="4" fillId="97" borderId="120" applyNumberFormat="0" applyAlignment="0" applyProtection="0"/>
    <xf numFmtId="0" fontId="4" fillId="97" borderId="120" applyNumberForma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97" borderId="120" applyNumberFormat="0" applyAlignment="0" applyProtection="0"/>
    <xf numFmtId="0" fontId="4" fillId="97" borderId="120" applyNumberFormat="0" applyAlignment="0" applyProtection="0"/>
    <xf numFmtId="0" fontId="4" fillId="97" borderId="120" applyNumberFormat="0" applyAlignment="0" applyProtection="0"/>
    <xf numFmtId="0" fontId="4" fillId="97" borderId="120" applyNumberFormat="0" applyAlignment="0" applyProtection="0"/>
    <xf numFmtId="0" fontId="4" fillId="97" borderId="120" applyNumberForma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29" fillId="54" borderId="120" applyNumberFormat="0" applyFont="0" applyAlignment="0" applyProtection="0"/>
    <xf numFmtId="0" fontId="4" fillId="97" borderId="120" applyNumberFormat="0" applyAlignment="0" applyProtection="0"/>
    <xf numFmtId="0" fontId="4" fillId="97" borderId="120" applyNumberFormat="0" applyAlignment="0" applyProtection="0"/>
    <xf numFmtId="0" fontId="4" fillId="97" borderId="120" applyNumberFormat="0" applyAlignment="0" applyProtection="0"/>
    <xf numFmtId="0" fontId="4" fillId="97" borderId="120" applyNumberFormat="0" applyAlignment="0" applyProtection="0"/>
    <xf numFmtId="0" fontId="4" fillId="97" borderId="120" applyNumberForma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29" fillId="54" borderId="120" applyNumberFormat="0" applyFont="0" applyAlignment="0" applyProtection="0"/>
    <xf numFmtId="0" fontId="4" fillId="97" borderId="120" applyNumberFormat="0" applyAlignment="0" applyProtection="0"/>
    <xf numFmtId="0" fontId="4" fillId="97" borderId="120" applyNumberFormat="0" applyAlignment="0" applyProtection="0"/>
    <xf numFmtId="0" fontId="4" fillId="97" borderId="120" applyNumberFormat="0" applyAlignment="0" applyProtection="0"/>
    <xf numFmtId="0" fontId="4" fillId="97" borderId="120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105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28" fillId="56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105" fillId="68" borderId="121" applyNumberFormat="0" applyAlignment="0" applyProtection="0"/>
    <xf numFmtId="0" fontId="28" fillId="56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28" fillId="56" borderId="121" applyNumberFormat="0" applyAlignment="0" applyProtection="0"/>
    <xf numFmtId="0" fontId="105" fillId="68" borderId="121" applyNumberFormat="0" applyAlignment="0" applyProtection="0"/>
    <xf numFmtId="0" fontId="28" fillId="56" borderId="121" applyNumberFormat="0" applyAlignment="0" applyProtection="0"/>
    <xf numFmtId="0" fontId="105" fillId="68" borderId="121" applyNumberFormat="0" applyAlignment="0" applyProtection="0"/>
    <xf numFmtId="0" fontId="28" fillId="56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28" fillId="56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28" fillId="56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105" fillId="68" borderId="121" applyNumberFormat="0" applyAlignment="0" applyProtection="0"/>
    <xf numFmtId="0" fontId="28" fillId="56" borderId="121" applyNumberFormat="0" applyAlignment="0" applyProtection="0"/>
    <xf numFmtId="0" fontId="105" fillId="68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28" fillId="56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28" fillId="56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105" fillId="68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105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105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105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28" fillId="56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68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68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68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105" fillId="56" borderId="121" applyNumberFormat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ont="0" applyFill="0" applyBorder="0" applyAlignment="0" applyProtection="0"/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89" fillId="0" borderId="0">
      <alignment vertical="top"/>
    </xf>
    <xf numFmtId="0" fontId="28" fillId="0" borderId="0">
      <alignment vertical="top"/>
    </xf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107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28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107" fillId="0" borderId="125" applyNumberFormat="0" applyFill="0" applyAlignment="0" applyProtection="0"/>
    <xf numFmtId="0" fontId="28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28" fillId="0" borderId="125" applyNumberFormat="0" applyFill="0" applyAlignment="0" applyProtection="0"/>
    <xf numFmtId="0" fontId="107" fillId="0" borderId="125" applyNumberFormat="0" applyFill="0" applyAlignment="0" applyProtection="0"/>
    <xf numFmtId="0" fontId="28" fillId="0" borderId="125" applyNumberFormat="0" applyFill="0" applyAlignment="0" applyProtection="0"/>
    <xf numFmtId="0" fontId="107" fillId="0" borderId="125" applyNumberFormat="0" applyFill="0" applyAlignment="0" applyProtection="0"/>
    <xf numFmtId="0" fontId="28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28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28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107" fillId="0" borderId="125" applyNumberFormat="0" applyFill="0" applyAlignment="0" applyProtection="0"/>
    <xf numFmtId="0" fontId="28" fillId="0" borderId="125" applyNumberFormat="0" applyFill="0" applyAlignment="0" applyProtection="0"/>
    <xf numFmtId="0" fontId="107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28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28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107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107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107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28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7" fillId="0" borderId="125" applyNumberFormat="0" applyFill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65" fontId="4" fillId="0" borderId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9" fillId="52" borderId="0" applyNumberFormat="0" applyBorder="0" applyAlignment="0" applyProtection="0"/>
    <xf numFmtId="0" fontId="29" fillId="53" borderId="0" applyNumberFormat="0" applyBorder="0" applyAlignment="0" applyProtection="0"/>
    <xf numFmtId="0" fontId="29" fillId="54" borderId="0" applyNumberFormat="0" applyBorder="0" applyAlignment="0" applyProtection="0"/>
    <xf numFmtId="0" fontId="29" fillId="52" borderId="0" applyNumberFormat="0" applyBorder="0" applyAlignment="0" applyProtection="0"/>
    <xf numFmtId="0" fontId="29" fillId="55" borderId="0" applyNumberFormat="0" applyBorder="0" applyAlignment="0" applyProtection="0"/>
    <xf numFmtId="0" fontId="29" fillId="54" borderId="0" applyNumberFormat="0" applyBorder="0" applyAlignment="0" applyProtection="0"/>
    <xf numFmtId="0" fontId="29" fillId="56" borderId="0" applyNumberFormat="0" applyBorder="0" applyAlignment="0" applyProtection="0"/>
    <xf numFmtId="0" fontId="29" fillId="53" borderId="0" applyNumberFormat="0" applyBorder="0" applyAlignment="0" applyProtection="0"/>
    <xf numFmtId="0" fontId="29" fillId="57" borderId="0" applyNumberFormat="0" applyBorder="0" applyAlignment="0" applyProtection="0"/>
    <xf numFmtId="0" fontId="29" fillId="56" borderId="0" applyNumberFormat="0" applyBorder="0" applyAlignment="0" applyProtection="0"/>
    <xf numFmtId="0" fontId="29" fillId="58" borderId="0" applyNumberFormat="0" applyBorder="0" applyAlignment="0" applyProtection="0"/>
    <xf numFmtId="0" fontId="29" fillId="57" borderId="0" applyNumberFormat="0" applyBorder="0" applyAlignment="0" applyProtection="0"/>
    <xf numFmtId="0" fontId="92" fillId="59" borderId="0" applyNumberFormat="0" applyBorder="0" applyAlignment="0" applyProtection="0"/>
    <xf numFmtId="0" fontId="27" fillId="25" borderId="0" applyNumberFormat="0" applyBorder="0" applyAlignment="0" applyProtection="0"/>
    <xf numFmtId="0" fontId="92" fillId="53" borderId="0" applyNumberFormat="0" applyBorder="0" applyAlignment="0" applyProtection="0"/>
    <xf numFmtId="0" fontId="27" fillId="29" borderId="0" applyNumberFormat="0" applyBorder="0" applyAlignment="0" applyProtection="0"/>
    <xf numFmtId="0" fontId="92" fillId="57" borderId="0" applyNumberFormat="0" applyBorder="0" applyAlignment="0" applyProtection="0"/>
    <xf numFmtId="0" fontId="27" fillId="33" borderId="0" applyNumberFormat="0" applyBorder="0" applyAlignment="0" applyProtection="0"/>
    <xf numFmtId="0" fontId="92" fillId="56" borderId="0" applyNumberFormat="0" applyBorder="0" applyAlignment="0" applyProtection="0"/>
    <xf numFmtId="0" fontId="27" fillId="37" borderId="0" applyNumberFormat="0" applyBorder="0" applyAlignment="0" applyProtection="0"/>
    <xf numFmtId="0" fontId="92" fillId="59" borderId="0" applyNumberFormat="0" applyBorder="0" applyAlignment="0" applyProtection="0"/>
    <xf numFmtId="0" fontId="27" fillId="41" borderId="0" applyNumberFormat="0" applyBorder="0" applyAlignment="0" applyProtection="0"/>
    <xf numFmtId="0" fontId="92" fillId="53" borderId="0" applyNumberFormat="0" applyBorder="0" applyAlignment="0" applyProtection="0"/>
    <xf numFmtId="0" fontId="27" fillId="45" borderId="0" applyNumberFormat="0" applyBorder="0" applyAlignment="0" applyProtection="0"/>
    <xf numFmtId="0" fontId="92" fillId="59" borderId="0" applyNumberFormat="0" applyBorder="0" applyAlignment="0" applyProtection="0"/>
    <xf numFmtId="0" fontId="27" fillId="22" borderId="0" applyNumberFormat="0" applyBorder="0" applyAlignment="0" applyProtection="0"/>
    <xf numFmtId="0" fontId="92" fillId="60" borderId="0" applyNumberFormat="0" applyBorder="0" applyAlignment="0" applyProtection="0"/>
    <xf numFmtId="0" fontId="27" fillId="26" borderId="0" applyNumberFormat="0" applyBorder="0" applyAlignment="0" applyProtection="0"/>
    <xf numFmtId="0" fontId="92" fillId="61" borderId="0" applyNumberFormat="0" applyBorder="0" applyAlignment="0" applyProtection="0"/>
    <xf numFmtId="0" fontId="27" fillId="30" borderId="0" applyNumberFormat="0" applyBorder="0" applyAlignment="0" applyProtection="0"/>
    <xf numFmtId="0" fontId="92" fillId="62" borderId="0" applyNumberFormat="0" applyBorder="0" applyAlignment="0" applyProtection="0"/>
    <xf numFmtId="0" fontId="27" fillId="34" borderId="0" applyNumberFormat="0" applyBorder="0" applyAlignment="0" applyProtection="0"/>
    <xf numFmtId="0" fontId="92" fillId="59" borderId="0" applyNumberFormat="0" applyBorder="0" applyAlignment="0" applyProtection="0"/>
    <xf numFmtId="0" fontId="27" fillId="38" borderId="0" applyNumberFormat="0" applyBorder="0" applyAlignment="0" applyProtection="0"/>
    <xf numFmtId="0" fontId="92" fillId="63" borderId="0" applyNumberFormat="0" applyBorder="0" applyAlignment="0" applyProtection="0"/>
    <xf numFmtId="0" fontId="27" fillId="42" borderId="0" applyNumberFormat="0" applyBorder="0" applyAlignment="0" applyProtection="0"/>
    <xf numFmtId="0" fontId="93" fillId="46" borderId="0" applyNumberFormat="0" applyBorder="0" applyAlignment="0" applyProtection="0"/>
    <xf numFmtId="0" fontId="20" fillId="16" borderId="0" applyNumberFormat="0" applyBorder="0" applyAlignment="0" applyProtection="0"/>
    <xf numFmtId="0" fontId="94" fillId="65" borderId="114" applyNumberFormat="0" applyAlignment="0" applyProtection="0"/>
    <xf numFmtId="0" fontId="24" fillId="19" borderId="47" applyNumberFormat="0" applyAlignment="0" applyProtection="0"/>
    <xf numFmtId="0" fontId="95" fillId="66" borderId="115" applyNumberFormat="0" applyAlignment="0" applyProtection="0"/>
    <xf numFmtId="0" fontId="7" fillId="20" borderId="50" applyNumberFormat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97" fillId="67" borderId="0" applyNumberFormat="0" applyBorder="0" applyAlignment="0" applyProtection="0"/>
    <xf numFmtId="0" fontId="19" fillId="15" borderId="0" applyNumberFormat="0" applyBorder="0" applyAlignment="0" applyProtection="0"/>
    <xf numFmtId="0" fontId="98" fillId="0" borderId="116" applyNumberFormat="0" applyFill="0" applyAlignment="0" applyProtection="0"/>
    <xf numFmtId="0" fontId="16" fillId="0" borderId="44" applyNumberFormat="0" applyFill="0" applyAlignment="0" applyProtection="0"/>
    <xf numFmtId="0" fontId="99" fillId="0" borderId="117" applyNumberFormat="0" applyFill="0" applyAlignment="0" applyProtection="0"/>
    <xf numFmtId="0" fontId="17" fillId="0" borderId="45" applyNumberFormat="0" applyFill="0" applyAlignment="0" applyProtection="0"/>
    <xf numFmtId="0" fontId="100" fillId="0" borderId="118" applyNumberFormat="0" applyFill="0" applyAlignment="0" applyProtection="0"/>
    <xf numFmtId="0" fontId="18" fillId="0" borderId="46" applyNumberFormat="0" applyFill="0" applyAlignment="0" applyProtection="0"/>
    <xf numFmtId="0" fontId="10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1" fillId="57" borderId="114" applyNumberFormat="0" applyAlignment="0" applyProtection="0"/>
    <xf numFmtId="0" fontId="22" fillId="18" borderId="47" applyNumberFormat="0" applyAlignment="0" applyProtection="0"/>
    <xf numFmtId="0" fontId="102" fillId="0" borderId="119" applyNumberFormat="0" applyFill="0" applyAlignment="0" applyProtection="0"/>
    <xf numFmtId="0" fontId="25" fillId="0" borderId="49" applyNumberFormat="0" applyFill="0" applyAlignment="0" applyProtection="0"/>
    <xf numFmtId="0" fontId="103" fillId="57" borderId="0" applyNumberFormat="0" applyBorder="0" applyAlignment="0" applyProtection="0"/>
    <xf numFmtId="0" fontId="21" fillId="17" borderId="0" applyNumberFormat="0" applyBorder="0" applyAlignment="0" applyProtection="0"/>
    <xf numFmtId="0" fontId="77" fillId="0" borderId="0"/>
    <xf numFmtId="0" fontId="29" fillId="0" borderId="0"/>
    <xf numFmtId="0" fontId="89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9" fillId="21" borderId="51" applyNumberFormat="0" applyFont="0" applyAlignment="0" applyProtection="0"/>
    <xf numFmtId="0" fontId="29" fillId="54" borderId="120" applyNumberFormat="0" applyFont="0" applyAlignment="0" applyProtection="0"/>
    <xf numFmtId="0" fontId="29" fillId="21" borderId="51" applyNumberFormat="0" applyFont="0" applyAlignment="0" applyProtection="0"/>
    <xf numFmtId="0" fontId="29" fillId="54" borderId="120" applyNumberFormat="0" applyFont="0" applyAlignment="0" applyProtection="0"/>
    <xf numFmtId="0" fontId="29" fillId="21" borderId="51" applyNumberFormat="0" applyFont="0" applyAlignment="0" applyProtection="0"/>
    <xf numFmtId="0" fontId="104" fillId="54" borderId="120" applyNumberFormat="0" applyFont="0" applyAlignment="0" applyProtection="0"/>
    <xf numFmtId="0" fontId="29" fillId="21" borderId="51" applyNumberFormat="0" applyFont="0" applyAlignment="0" applyProtection="0"/>
    <xf numFmtId="0" fontId="105" fillId="65" borderId="121" applyNumberFormat="0" applyAlignment="0" applyProtection="0"/>
    <xf numFmtId="0" fontId="23" fillId="19" borderId="48" applyNumberFormat="0" applyAlignment="0" applyProtection="0"/>
    <xf numFmtId="0" fontId="23" fillId="19" borderId="48" applyNumberFormat="0" applyAlignment="0" applyProtection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7" fillId="0" borderId="122" applyNumberFormat="0" applyFill="0" applyAlignment="0" applyProtection="0"/>
    <xf numFmtId="0" fontId="5" fillId="0" borderId="52" applyNumberFormat="0" applyFill="0" applyAlignment="0" applyProtection="0"/>
    <xf numFmtId="0" fontId="5" fillId="0" borderId="52" applyNumberFormat="0" applyFill="0" applyAlignment="0" applyProtection="0"/>
    <xf numFmtId="0" fontId="108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6" fillId="0" borderId="44" applyNumberFormat="0" applyFill="0" applyAlignment="0" applyProtection="0"/>
    <xf numFmtId="0" fontId="17" fillId="0" borderId="45" applyNumberFormat="0" applyFill="0" applyAlignment="0" applyProtection="0"/>
    <xf numFmtId="0" fontId="18" fillId="0" borderId="46" applyNumberFormat="0" applyFill="0" applyAlignment="0" applyProtection="0"/>
    <xf numFmtId="0" fontId="18" fillId="0" borderId="0" applyNumberFormat="0" applyFill="0" applyBorder="0" applyAlignment="0" applyProtection="0"/>
    <xf numFmtId="0" fontId="19" fillId="15" borderId="0" applyNumberFormat="0" applyBorder="0" applyAlignment="0" applyProtection="0"/>
    <xf numFmtId="0" fontId="20" fillId="16" borderId="0" applyNumberFormat="0" applyBorder="0" applyAlignment="0" applyProtection="0"/>
    <xf numFmtId="0" fontId="21" fillId="17" borderId="0" applyNumberFormat="0" applyBorder="0" applyAlignment="0" applyProtection="0"/>
    <xf numFmtId="0" fontId="22" fillId="18" borderId="47" applyNumberFormat="0" applyAlignment="0" applyProtection="0"/>
    <xf numFmtId="0" fontId="23" fillId="19" borderId="48" applyNumberFormat="0" applyAlignment="0" applyProtection="0"/>
    <xf numFmtId="0" fontId="24" fillId="19" borderId="47" applyNumberFormat="0" applyAlignment="0" applyProtection="0"/>
    <xf numFmtId="0" fontId="25" fillId="0" borderId="49" applyNumberFormat="0" applyFill="0" applyAlignment="0" applyProtection="0"/>
    <xf numFmtId="0" fontId="7" fillId="20" borderId="50" applyNumberFormat="0" applyAlignment="0" applyProtection="0"/>
    <xf numFmtId="0" fontId="6" fillId="0" borderId="0" applyNumberFormat="0" applyFill="0" applyBorder="0" applyAlignment="0" applyProtection="0"/>
    <xf numFmtId="0" fontId="2" fillId="21" borderId="51" applyNumberFormat="0" applyFont="0" applyAlignment="0" applyProtection="0"/>
    <xf numFmtId="0" fontId="26" fillId="0" borderId="0" applyNumberFormat="0" applyFill="0" applyBorder="0" applyAlignment="0" applyProtection="0"/>
    <xf numFmtId="0" fontId="5" fillId="0" borderId="52" applyNumberFormat="0" applyFill="0" applyAlignment="0" applyProtection="0"/>
    <xf numFmtId="0" fontId="2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7" fillId="25" borderId="0" applyNumberFormat="0" applyBorder="0" applyAlignment="0" applyProtection="0"/>
    <xf numFmtId="0" fontId="2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7" fillId="29" borderId="0" applyNumberFormat="0" applyBorder="0" applyAlignment="0" applyProtection="0"/>
    <xf numFmtId="0" fontId="2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7" fillId="33" borderId="0" applyNumberFormat="0" applyBorder="0" applyAlignment="0" applyProtection="0"/>
    <xf numFmtId="0" fontId="27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7" fillId="45" borderId="0" applyNumberFormat="0" applyBorder="0" applyAlignment="0" applyProtection="0"/>
    <xf numFmtId="0" fontId="11" fillId="0" borderId="0"/>
    <xf numFmtId="0" fontId="29" fillId="52" borderId="0" applyNumberFormat="0" applyBorder="0" applyAlignment="0" applyProtection="0"/>
    <xf numFmtId="0" fontId="29" fillId="53" borderId="0" applyNumberFormat="0" applyBorder="0" applyAlignment="0" applyProtection="0"/>
    <xf numFmtId="0" fontId="29" fillId="54" borderId="0" applyNumberFormat="0" applyBorder="0" applyAlignment="0" applyProtection="0"/>
    <xf numFmtId="0" fontId="29" fillId="52" borderId="0" applyNumberFormat="0" applyBorder="0" applyAlignment="0" applyProtection="0"/>
    <xf numFmtId="0" fontId="29" fillId="55" borderId="0" applyNumberFormat="0" applyBorder="0" applyAlignment="0" applyProtection="0"/>
    <xf numFmtId="0" fontId="29" fillId="54" borderId="0" applyNumberFormat="0" applyBorder="0" applyAlignment="0" applyProtection="0"/>
    <xf numFmtId="0" fontId="29" fillId="56" borderId="0" applyNumberFormat="0" applyBorder="0" applyAlignment="0" applyProtection="0"/>
    <xf numFmtId="0" fontId="29" fillId="53" borderId="0" applyNumberFormat="0" applyBorder="0" applyAlignment="0" applyProtection="0"/>
    <xf numFmtId="0" fontId="29" fillId="57" borderId="0" applyNumberFormat="0" applyBorder="0" applyAlignment="0" applyProtection="0"/>
    <xf numFmtId="0" fontId="29" fillId="56" borderId="0" applyNumberFormat="0" applyBorder="0" applyAlignment="0" applyProtection="0"/>
    <xf numFmtId="0" fontId="29" fillId="58" borderId="0" applyNumberFormat="0" applyBorder="0" applyAlignment="0" applyProtection="0"/>
    <xf numFmtId="0" fontId="29" fillId="57" borderId="0" applyNumberFormat="0" applyBorder="0" applyAlignment="0" applyProtection="0"/>
    <xf numFmtId="0" fontId="92" fillId="59" borderId="0" applyNumberFormat="0" applyBorder="0" applyAlignment="0" applyProtection="0"/>
    <xf numFmtId="0" fontId="92" fillId="53" borderId="0" applyNumberFormat="0" applyBorder="0" applyAlignment="0" applyProtection="0"/>
    <xf numFmtId="0" fontId="92" fillId="57" borderId="0" applyNumberFormat="0" applyBorder="0" applyAlignment="0" applyProtection="0"/>
    <xf numFmtId="0" fontId="92" fillId="56" borderId="0" applyNumberFormat="0" applyBorder="0" applyAlignment="0" applyProtection="0"/>
    <xf numFmtId="0" fontId="92" fillId="59" borderId="0" applyNumberFormat="0" applyBorder="0" applyAlignment="0" applyProtection="0"/>
    <xf numFmtId="0" fontId="92" fillId="53" borderId="0" applyNumberFormat="0" applyBorder="0" applyAlignment="0" applyProtection="0"/>
    <xf numFmtId="0" fontId="92" fillId="59" borderId="0" applyNumberFormat="0" applyBorder="0" applyAlignment="0" applyProtection="0"/>
    <xf numFmtId="0" fontId="92" fillId="60" borderId="0" applyNumberFormat="0" applyBorder="0" applyAlignment="0" applyProtection="0"/>
    <xf numFmtId="0" fontId="92" fillId="61" borderId="0" applyNumberFormat="0" applyBorder="0" applyAlignment="0" applyProtection="0"/>
    <xf numFmtId="0" fontId="92" fillId="62" borderId="0" applyNumberFormat="0" applyBorder="0" applyAlignment="0" applyProtection="0"/>
    <xf numFmtId="0" fontId="92" fillId="59" borderId="0" applyNumberFormat="0" applyBorder="0" applyAlignment="0" applyProtection="0"/>
    <xf numFmtId="0" fontId="92" fillId="63" borderId="0" applyNumberFormat="0" applyBorder="0" applyAlignment="0" applyProtection="0"/>
    <xf numFmtId="0" fontId="93" fillId="46" borderId="0" applyNumberFormat="0" applyBorder="0" applyAlignment="0" applyProtection="0"/>
    <xf numFmtId="0" fontId="94" fillId="65" borderId="114" applyNumberFormat="0" applyAlignment="0" applyProtection="0"/>
    <xf numFmtId="0" fontId="95" fillId="66" borderId="115" applyNumberFormat="0" applyAlignment="0" applyProtection="0"/>
    <xf numFmtId="43" fontId="51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7" fillId="67" borderId="0" applyNumberFormat="0" applyBorder="0" applyAlignment="0" applyProtection="0"/>
    <xf numFmtId="0" fontId="98" fillId="0" borderId="116" applyNumberFormat="0" applyFill="0" applyAlignment="0" applyProtection="0"/>
    <xf numFmtId="0" fontId="99" fillId="0" borderId="117" applyNumberFormat="0" applyFill="0" applyAlignment="0" applyProtection="0"/>
    <xf numFmtId="0" fontId="100" fillId="0" borderId="118" applyNumberFormat="0" applyFill="0" applyAlignment="0" applyProtection="0"/>
    <xf numFmtId="0" fontId="100" fillId="0" borderId="0" applyNumberFormat="0" applyFill="0" applyBorder="0" applyAlignment="0" applyProtection="0"/>
    <xf numFmtId="0" fontId="101" fillId="57" borderId="114" applyNumberFormat="0" applyAlignment="0" applyProtection="0"/>
    <xf numFmtId="0" fontId="102" fillId="0" borderId="119" applyNumberFormat="0" applyFill="0" applyAlignment="0" applyProtection="0"/>
    <xf numFmtId="0" fontId="103" fillId="5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119" fillId="0" borderId="0"/>
    <xf numFmtId="0" fontId="2" fillId="0" borderId="0"/>
    <xf numFmtId="0" fontId="2" fillId="0" borderId="0"/>
    <xf numFmtId="0" fontId="104" fillId="54" borderId="120" applyNumberFormat="0" applyFont="0" applyAlignment="0" applyProtection="0"/>
    <xf numFmtId="0" fontId="105" fillId="65" borderId="121" applyNumberFormat="0" applyAlignment="0" applyProtection="0"/>
    <xf numFmtId="0" fontId="51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122" applyNumberFormat="0" applyFill="0" applyAlignment="0" applyProtection="0"/>
    <xf numFmtId="0" fontId="108" fillId="0" borderId="0" applyNumberFormat="0" applyFill="0" applyBorder="0" applyAlignment="0" applyProtection="0"/>
    <xf numFmtId="43" fontId="2" fillId="0" borderId="0" applyFont="0" applyFill="0" applyBorder="0" applyAlignment="0" applyProtection="0"/>
    <xf numFmtId="164" fontId="119" fillId="0" borderId="0" applyFont="0" applyFill="0" applyBorder="0" applyAlignment="0" applyProtection="0"/>
    <xf numFmtId="0" fontId="119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9" fillId="0" borderId="0"/>
    <xf numFmtId="164" fontId="1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9" fillId="52" borderId="0" applyNumberFormat="0" applyBorder="0" applyAlignment="0" applyProtection="0"/>
    <xf numFmtId="0" fontId="29" fillId="53" borderId="0" applyNumberFormat="0" applyBorder="0" applyAlignment="0" applyProtection="0"/>
    <xf numFmtId="0" fontId="29" fillId="54" borderId="0" applyNumberFormat="0" applyBorder="0" applyAlignment="0" applyProtection="0"/>
    <xf numFmtId="0" fontId="29" fillId="52" borderId="0" applyNumberFormat="0" applyBorder="0" applyAlignment="0" applyProtection="0"/>
    <xf numFmtId="0" fontId="29" fillId="55" borderId="0" applyNumberFormat="0" applyBorder="0" applyAlignment="0" applyProtection="0"/>
    <xf numFmtId="0" fontId="29" fillId="54" borderId="0" applyNumberFormat="0" applyBorder="0" applyAlignment="0" applyProtection="0"/>
    <xf numFmtId="0" fontId="29" fillId="56" borderId="0" applyNumberFormat="0" applyBorder="0" applyAlignment="0" applyProtection="0"/>
    <xf numFmtId="0" fontId="29" fillId="53" borderId="0" applyNumberFormat="0" applyBorder="0" applyAlignment="0" applyProtection="0"/>
    <xf numFmtId="0" fontId="29" fillId="57" borderId="0" applyNumberFormat="0" applyBorder="0" applyAlignment="0" applyProtection="0"/>
    <xf numFmtId="0" fontId="29" fillId="56" borderId="0" applyNumberFormat="0" applyBorder="0" applyAlignment="0" applyProtection="0"/>
    <xf numFmtId="0" fontId="29" fillId="58" borderId="0" applyNumberFormat="0" applyBorder="0" applyAlignment="0" applyProtection="0"/>
    <xf numFmtId="0" fontId="29" fillId="57" borderId="0" applyNumberFormat="0" applyBorder="0" applyAlignment="0" applyProtection="0"/>
    <xf numFmtId="43" fontId="29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 applyFill="0" applyBorder="0" applyAlignment="0" applyProtection="0"/>
    <xf numFmtId="0" fontId="2" fillId="0" borderId="0"/>
    <xf numFmtId="0" fontId="29" fillId="0" borderId="0"/>
    <xf numFmtId="0" fontId="29" fillId="0" borderId="0"/>
    <xf numFmtId="0" fontId="29" fillId="0" borderId="0"/>
    <xf numFmtId="0" fontId="11" fillId="0" borderId="0"/>
    <xf numFmtId="0" fontId="89" fillId="0" borderId="0"/>
    <xf numFmtId="0" fontId="11" fillId="0" borderId="0"/>
    <xf numFmtId="0" fontId="4" fillId="0" borderId="0"/>
    <xf numFmtId="0" fontId="86" fillId="0" borderId="0"/>
    <xf numFmtId="0" fontId="4" fillId="0" borderId="0"/>
    <xf numFmtId="0" fontId="2" fillId="0" borderId="0"/>
    <xf numFmtId="0" fontId="4" fillId="0" borderId="0"/>
    <xf numFmtId="0" fontId="29" fillId="0" borderId="0"/>
    <xf numFmtId="0" fontId="4" fillId="0" borderId="0"/>
    <xf numFmtId="0" fontId="4" fillId="0" borderId="0"/>
    <xf numFmtId="0" fontId="89" fillId="0" borderId="0"/>
    <xf numFmtId="0" fontId="29" fillId="0" borderId="0"/>
    <xf numFmtId="0" fontId="29" fillId="0" borderId="0"/>
    <xf numFmtId="0" fontId="29" fillId="0" borderId="0"/>
    <xf numFmtId="0" fontId="29" fillId="21" borderId="51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29" fillId="54" borderId="120" applyNumberFormat="0" applyFont="0" applyAlignment="0" applyProtection="0"/>
    <xf numFmtId="0" fontId="4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32" fillId="0" borderId="0"/>
    <xf numFmtId="0" fontId="62" fillId="0" borderId="0" applyFont="0" applyFill="0" applyBorder="0" applyAlignment="0" applyProtection="0"/>
    <xf numFmtId="43" fontId="13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11" fillId="0" borderId="0"/>
    <xf numFmtId="0" fontId="11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89" fillId="0" borderId="0"/>
    <xf numFmtId="0" fontId="4" fillId="0" borderId="0"/>
    <xf numFmtId="0" fontId="2" fillId="0" borderId="0"/>
    <xf numFmtId="184" fontId="4" fillId="0" borderId="0"/>
    <xf numFmtId="0" fontId="4" fillId="0" borderId="0"/>
    <xf numFmtId="0" fontId="29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29" fillId="0" borderId="0"/>
    <xf numFmtId="0" fontId="11" fillId="0" borderId="0"/>
    <xf numFmtId="0" fontId="29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9" fillId="52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27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1" fillId="4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27" borderId="0" applyNumberFormat="0" applyBorder="0" applyAlignment="0" applyProtection="0"/>
    <xf numFmtId="0" fontId="29" fillId="53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9" fillId="54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35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35" borderId="0" applyNumberFormat="0" applyBorder="0" applyAlignment="0" applyProtection="0"/>
    <xf numFmtId="0" fontId="29" fillId="52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39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39" borderId="0" applyNumberFormat="0" applyBorder="0" applyAlignment="0" applyProtection="0"/>
    <xf numFmtId="0" fontId="29" fillId="55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43" borderId="0" applyNumberFormat="0" applyBorder="0" applyAlignment="0" applyProtection="0"/>
    <xf numFmtId="0" fontId="133" fillId="0" borderId="0" applyNumberFormat="0" applyFill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43" borderId="0" applyNumberFormat="0" applyBorder="0" applyAlignment="0" applyProtection="0"/>
    <xf numFmtId="0" fontId="29" fillId="54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24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24" borderId="0" applyNumberFormat="0" applyBorder="0" applyAlignment="0" applyProtection="0"/>
    <xf numFmtId="0" fontId="29" fillId="56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28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28" borderId="0" applyNumberFormat="0" applyBorder="0" applyAlignment="0" applyProtection="0"/>
    <xf numFmtId="0" fontId="29" fillId="53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32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32" borderId="0" applyNumberFormat="0" applyBorder="0" applyAlignment="0" applyProtection="0"/>
    <xf numFmtId="0" fontId="29" fillId="57" borderId="0" applyNumberFormat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36" borderId="0" applyNumberFormat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36" borderId="0" applyNumberFormat="0" applyBorder="0" applyAlignment="0" applyProtection="0"/>
    <xf numFmtId="0" fontId="29" fillId="56" borderId="0" applyNumberFormat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40" borderId="0" applyNumberFormat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133" fillId="0" borderId="0" applyNumberFormat="0" applyFill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40" borderId="0" applyNumberFormat="0" applyBorder="0" applyAlignment="0" applyProtection="0"/>
    <xf numFmtId="0" fontId="29" fillId="58" borderId="0" applyNumberFormat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44" borderId="0" applyNumberFormat="0" applyBorder="0" applyAlignment="0" applyProtection="0"/>
    <xf numFmtId="0" fontId="133" fillId="0" borderId="0" applyNumberFormat="0" applyFill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133" fillId="0" borderId="0" applyNumberFormat="0" applyFill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44" borderId="0" applyNumberFormat="0" applyBorder="0" applyAlignment="0" applyProtection="0"/>
    <xf numFmtId="0" fontId="29" fillId="57" borderId="0" applyNumberFormat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92" fillId="59" borderId="0" applyNumberFormat="0" applyBorder="0" applyAlignment="0" applyProtection="0"/>
    <xf numFmtId="0" fontId="92" fillId="53" borderId="0" applyNumberFormat="0" applyBorder="0" applyAlignment="0" applyProtection="0"/>
    <xf numFmtId="0" fontId="92" fillId="57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92" fillId="56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7" fillId="0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7" fillId="0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7" fillId="0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7" fillId="0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7" fillId="0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7" fillId="0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7" fillId="0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7" fillId="0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0" fillId="0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5" fillId="0" borderId="47" applyNumberFormat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7" fillId="0" borderId="50" applyNumberFormat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4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9" fillId="0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5" fillId="0" borderId="44" applyNumberFormat="0" applyFill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5" fillId="0" borderId="45" applyNumberFormat="0" applyFill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5" fillId="0" borderId="46" applyNumberFormat="0" applyFill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5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2" fillId="0" borderId="47" applyNumberFormat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1" fillId="0" borderId="0" applyNumberFormat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51" applyNumberFormat="0" applyFont="0" applyAlignment="0" applyProtection="0"/>
    <xf numFmtId="0" fontId="2" fillId="0" borderId="51" applyNumberFormat="0" applyFont="0" applyAlignment="0" applyProtection="0"/>
    <xf numFmtId="0" fontId="2" fillId="0" borderId="51" applyNumberFormat="0" applyFont="0" applyAlignment="0" applyProtection="0"/>
    <xf numFmtId="0" fontId="2" fillId="0" borderId="51" applyNumberFormat="0" applyFont="0" applyAlignment="0" applyProtection="0"/>
    <xf numFmtId="0" fontId="2" fillId="0" borderId="51" applyNumberFormat="0" applyFont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51" applyNumberFormat="0" applyFont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51" applyNumberFormat="0" applyFont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6" fillId="0" borderId="48" applyNumberFormat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52" applyNumberFormat="0" applyFill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133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37" fillId="0" borderId="0"/>
    <xf numFmtId="0" fontId="89" fillId="70" borderId="0" applyNumberFormat="0" applyBorder="0" applyAlignment="0" applyProtection="0"/>
    <xf numFmtId="0" fontId="89" fillId="46" borderId="0" applyNumberFormat="0" applyBorder="0" applyAlignment="0" applyProtection="0"/>
    <xf numFmtId="0" fontId="89" fillId="67" borderId="0" applyNumberFormat="0" applyBorder="0" applyAlignment="0" applyProtection="0"/>
    <xf numFmtId="0" fontId="89" fillId="74" borderId="0" applyNumberFormat="0" applyBorder="0" applyAlignment="0" applyProtection="0"/>
    <xf numFmtId="0" fontId="89" fillId="55" borderId="0" applyNumberFormat="0" applyBorder="0" applyAlignment="0" applyProtection="0"/>
    <xf numFmtId="0" fontId="89" fillId="52" borderId="0" applyBorder="0" applyProtection="0"/>
    <xf numFmtId="0" fontId="2" fillId="23" borderId="0" applyNumberFormat="0" applyBorder="0" applyAlignment="0" applyProtection="0"/>
    <xf numFmtId="0" fontId="29" fillId="70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179" fontId="2" fillId="23" borderId="0" applyNumberFormat="0" applyBorder="0" applyAlignment="0" applyProtection="0"/>
    <xf numFmtId="179" fontId="2" fillId="23" borderId="0" applyNumberFormat="0" applyBorder="0" applyAlignment="0" applyProtection="0"/>
    <xf numFmtId="179" fontId="2" fillId="23" borderId="0" applyNumberFormat="0" applyBorder="0" applyAlignment="0" applyProtection="0"/>
    <xf numFmtId="0" fontId="2" fillId="70" borderId="0" applyNumberFormat="0" applyBorder="0" applyAlignment="0" applyProtection="0"/>
    <xf numFmtId="0" fontId="28" fillId="70" borderId="0" applyNumberFormat="0" applyBorder="0" applyAlignment="0" applyProtection="0"/>
    <xf numFmtId="0" fontId="2" fillId="23" borderId="0" applyNumberFormat="0" applyBorder="0" applyAlignment="0" applyProtection="0"/>
    <xf numFmtId="0" fontId="2" fillId="70" borderId="0" applyNumberFormat="0" applyBorder="0" applyAlignment="0" applyProtection="0"/>
    <xf numFmtId="0" fontId="29" fillId="71" borderId="0" applyNumberFormat="0" applyBorder="0" applyAlignment="0" applyProtection="0"/>
    <xf numFmtId="0" fontId="28" fillId="70" borderId="0" applyNumberFormat="0" applyBorder="0" applyAlignment="0" applyProtection="0"/>
    <xf numFmtId="0" fontId="2" fillId="70" borderId="0" applyNumberFormat="0" applyBorder="0" applyAlignment="0" applyProtection="0"/>
    <xf numFmtId="0" fontId="29" fillId="71" borderId="0" applyNumberFormat="0" applyBorder="0" applyAlignment="0" applyProtection="0"/>
    <xf numFmtId="0" fontId="2" fillId="23" borderId="0" applyNumberFormat="0" applyBorder="0" applyAlignment="0" applyProtection="0"/>
    <xf numFmtId="0" fontId="2" fillId="70" borderId="0" applyNumberFormat="0" applyBorder="0" applyAlignment="0" applyProtection="0"/>
    <xf numFmtId="0" fontId="29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23" borderId="0" applyNumberFormat="0" applyBorder="0" applyAlignment="0" applyProtection="0"/>
    <xf numFmtId="0" fontId="2" fillId="70" borderId="0" applyNumberFormat="0" applyBorder="0" applyAlignment="0" applyProtection="0"/>
    <xf numFmtId="0" fontId="29" fillId="71" borderId="0" applyNumberFormat="0" applyBorder="0" applyAlignment="0" applyProtection="0"/>
    <xf numFmtId="179" fontId="2" fillId="23" borderId="0" applyNumberFormat="0" applyBorder="0" applyAlignment="0" applyProtection="0"/>
    <xf numFmtId="0" fontId="2" fillId="70" borderId="0" applyNumberFormat="0" applyBorder="0" applyAlignment="0" applyProtection="0"/>
    <xf numFmtId="0" fontId="29" fillId="71" borderId="0" applyNumberFormat="0" applyBorder="0" applyAlignment="0" applyProtection="0"/>
    <xf numFmtId="0" fontId="29" fillId="71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179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70" borderId="0" applyNumberFormat="0" applyBorder="0" applyAlignment="0" applyProtection="0"/>
    <xf numFmtId="0" fontId="2" fillId="23" borderId="0" applyNumberFormat="0" applyBorder="0" applyAlignment="0" applyProtection="0"/>
    <xf numFmtId="0" fontId="2" fillId="70" borderId="0" applyNumberFormat="0" applyBorder="0" applyAlignment="0" applyProtection="0"/>
    <xf numFmtId="0" fontId="2" fillId="23" borderId="0" applyNumberFormat="0" applyBorder="0" applyAlignment="0" applyProtection="0"/>
    <xf numFmtId="0" fontId="2" fillId="70" borderId="0" applyNumberFormat="0" applyBorder="0" applyAlignment="0" applyProtection="0"/>
    <xf numFmtId="0" fontId="2" fillId="23" borderId="0" applyNumberFormat="0" applyBorder="0" applyAlignment="0" applyProtection="0"/>
    <xf numFmtId="0" fontId="2" fillId="70" borderId="0" applyNumberFormat="0" applyBorder="0" applyAlignment="0" applyProtection="0"/>
    <xf numFmtId="0" fontId="2" fillId="23" borderId="0" applyNumberFormat="0" applyBorder="0" applyAlignment="0" applyProtection="0"/>
    <xf numFmtId="0" fontId="2" fillId="70" borderId="0" applyNumberFormat="0" applyBorder="0" applyAlignment="0" applyProtection="0"/>
    <xf numFmtId="0" fontId="2" fillId="23" borderId="0" applyNumberFormat="0" applyBorder="0" applyAlignment="0" applyProtection="0"/>
    <xf numFmtId="0" fontId="2" fillId="70" borderId="0" applyNumberFormat="0" applyBorder="0" applyAlignment="0" applyProtection="0"/>
    <xf numFmtId="0" fontId="2" fillId="23" borderId="0" applyNumberFormat="0" applyBorder="0" applyAlignment="0" applyProtection="0"/>
    <xf numFmtId="179" fontId="2" fillId="23" borderId="0" applyNumberFormat="0" applyBorder="0" applyAlignment="0" applyProtection="0"/>
    <xf numFmtId="0" fontId="2" fillId="70" borderId="0" applyNumberFormat="0" applyBorder="0" applyAlignment="0" applyProtection="0"/>
    <xf numFmtId="0" fontId="2" fillId="23" borderId="0" applyNumberFormat="0" applyBorder="0" applyAlignment="0" applyProtection="0"/>
    <xf numFmtId="0" fontId="28" fillId="70" borderId="0" applyNumberFormat="0" applyBorder="0" applyAlignment="0" applyProtection="0"/>
    <xf numFmtId="0" fontId="2" fillId="23" borderId="0" applyNumberFormat="0" applyBorder="0" applyAlignment="0" applyProtection="0"/>
    <xf numFmtId="0" fontId="29" fillId="70" borderId="0" applyNumberFormat="0" applyBorder="0" applyAlignment="0" applyProtection="0"/>
    <xf numFmtId="0" fontId="2" fillId="70" borderId="0" applyNumberFormat="0" applyBorder="0" applyAlignment="0" applyProtection="0"/>
    <xf numFmtId="0" fontId="2" fillId="23" borderId="0" applyNumberFormat="0" applyBorder="0" applyAlignment="0" applyProtection="0"/>
    <xf numFmtId="0" fontId="2" fillId="70" borderId="0" applyNumberFormat="0" applyBorder="0" applyAlignment="0" applyProtection="0"/>
    <xf numFmtId="0" fontId="2" fillId="23" borderId="0" applyNumberFormat="0" applyBorder="0" applyAlignment="0" applyProtection="0"/>
    <xf numFmtId="0" fontId="2" fillId="70" borderId="0" applyNumberFormat="0" applyBorder="0" applyAlignment="0" applyProtection="0"/>
    <xf numFmtId="0" fontId="2" fillId="23" borderId="0" applyNumberFormat="0" applyBorder="0" applyAlignment="0" applyProtection="0"/>
    <xf numFmtId="0" fontId="2" fillId="70" borderId="0" applyNumberFormat="0" applyBorder="0" applyAlignment="0" applyProtection="0"/>
    <xf numFmtId="0" fontId="2" fillId="23" borderId="0" applyNumberFormat="0" applyBorder="0" applyAlignment="0" applyProtection="0"/>
    <xf numFmtId="0" fontId="2" fillId="70" borderId="0" applyNumberFormat="0" applyBorder="0" applyAlignment="0" applyProtection="0"/>
    <xf numFmtId="0" fontId="2" fillId="23" borderId="0" applyNumberFormat="0" applyBorder="0" applyAlignment="0" applyProtection="0"/>
    <xf numFmtId="0" fontId="2" fillId="70" borderId="0" applyNumberFormat="0" applyBorder="0" applyAlignment="0" applyProtection="0"/>
    <xf numFmtId="0" fontId="2" fillId="23" borderId="0" applyNumberFormat="0" applyBorder="0" applyAlignment="0" applyProtection="0"/>
    <xf numFmtId="0" fontId="2" fillId="70" borderId="0" applyNumberFormat="0" applyBorder="0" applyAlignment="0" applyProtection="0"/>
    <xf numFmtId="0" fontId="2" fillId="23" borderId="0" applyNumberFormat="0" applyBorder="0" applyAlignment="0" applyProtection="0"/>
    <xf numFmtId="179" fontId="2" fillId="23" borderId="0" applyNumberFormat="0" applyBorder="0" applyAlignment="0" applyProtection="0"/>
    <xf numFmtId="0" fontId="2" fillId="70" borderId="0" applyNumberFormat="0" applyBorder="0" applyAlignment="0" applyProtection="0"/>
    <xf numFmtId="0" fontId="2" fillId="23" borderId="0" applyNumberFormat="0" applyBorder="0" applyAlignment="0" applyProtection="0"/>
    <xf numFmtId="0" fontId="28" fillId="70" borderId="0" applyNumberFormat="0" applyBorder="0" applyAlignment="0" applyProtection="0"/>
    <xf numFmtId="0" fontId="2" fillId="70" borderId="0" applyNumberFormat="0" applyBorder="0" applyAlignment="0" applyProtection="0"/>
    <xf numFmtId="0" fontId="29" fillId="70" borderId="0" applyNumberFormat="0" applyBorder="0" applyAlignment="0" applyProtection="0"/>
    <xf numFmtId="0" fontId="28" fillId="70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9" fillId="52" borderId="0" applyNumberFormat="0" applyBorder="0" applyAlignment="0" applyProtection="0"/>
    <xf numFmtId="179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" fillId="23" borderId="0" applyNumberFormat="0" applyBorder="0" applyAlignment="0" applyProtection="0"/>
    <xf numFmtId="0" fontId="29" fillId="52" borderId="0" applyNumberFormat="0" applyBorder="0" applyAlignment="0" applyProtection="0"/>
    <xf numFmtId="0" fontId="28" fillId="70" borderId="0" applyNumberFormat="0" applyBorder="0" applyAlignment="0" applyProtection="0"/>
    <xf numFmtId="179" fontId="29" fillId="52" borderId="0" applyNumberFormat="0" applyBorder="0" applyAlignment="0" applyProtection="0"/>
    <xf numFmtId="179" fontId="2" fillId="23" borderId="0" applyNumberFormat="0" applyBorder="0" applyAlignment="0" applyProtection="0"/>
    <xf numFmtId="179" fontId="86" fillId="23" borderId="0" applyNumberFormat="0" applyBorder="0" applyAlignment="0" applyProtection="0"/>
    <xf numFmtId="0" fontId="86" fillId="23" borderId="0" applyNumberFormat="0" applyBorder="0" applyAlignment="0" applyProtection="0"/>
    <xf numFmtId="179" fontId="2" fillId="23" borderId="0" applyNumberFormat="0" applyBorder="0" applyAlignment="0" applyProtection="0"/>
    <xf numFmtId="179" fontId="86" fillId="23" borderId="0" applyNumberFormat="0" applyBorder="0" applyAlignment="0" applyProtection="0"/>
    <xf numFmtId="0" fontId="86" fillId="23" borderId="0" applyNumberFormat="0" applyBorder="0" applyAlignment="0" applyProtection="0"/>
    <xf numFmtId="179" fontId="2" fillId="23" borderId="0" applyNumberFormat="0" applyBorder="0" applyAlignment="0" applyProtection="0"/>
    <xf numFmtId="0" fontId="2" fillId="70" borderId="0" applyNumberFormat="0" applyBorder="0" applyAlignment="0" applyProtection="0"/>
    <xf numFmtId="179" fontId="29" fillId="52" borderId="0" applyNumberFormat="0" applyBorder="0" applyAlignment="0" applyProtection="0"/>
    <xf numFmtId="179" fontId="2" fillId="23" borderId="0" applyNumberFormat="0" applyBorder="0" applyAlignment="0" applyProtection="0"/>
    <xf numFmtId="179" fontId="29" fillId="52" borderId="0" applyNumberFormat="0" applyBorder="0" applyAlignment="0" applyProtection="0"/>
    <xf numFmtId="0" fontId="2" fillId="23" borderId="0" applyNumberFormat="0" applyBorder="0" applyAlignment="0" applyProtection="0"/>
    <xf numFmtId="0" fontId="29" fillId="70" borderId="0" applyNumberFormat="0" applyBorder="0" applyAlignment="0" applyProtection="0"/>
    <xf numFmtId="0" fontId="2" fillId="23" borderId="0" applyNumberFormat="0" applyBorder="0" applyAlignment="0" applyProtection="0"/>
    <xf numFmtId="0" fontId="29" fillId="70" borderId="0" applyNumberFormat="0" applyBorder="0" applyAlignment="0" applyProtection="0"/>
    <xf numFmtId="0" fontId="2" fillId="23" borderId="0" applyNumberFormat="0" applyBorder="0" applyAlignment="0" applyProtection="0"/>
    <xf numFmtId="0" fontId="29" fillId="70" borderId="0" applyNumberFormat="0" applyBorder="0" applyAlignment="0" applyProtection="0"/>
    <xf numFmtId="0" fontId="2" fillId="23" borderId="0" applyNumberFormat="0" applyBorder="0" applyAlignment="0" applyProtection="0"/>
    <xf numFmtId="0" fontId="29" fillId="70" borderId="0" applyNumberFormat="0" applyBorder="0" applyAlignment="0" applyProtection="0"/>
    <xf numFmtId="0" fontId="2" fillId="27" borderId="0" applyNumberFormat="0" applyBorder="0" applyAlignment="0" applyProtection="0"/>
    <xf numFmtId="0" fontId="29" fillId="4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179" fontId="2" fillId="27" borderId="0" applyNumberFormat="0" applyBorder="0" applyAlignment="0" applyProtection="0"/>
    <xf numFmtId="179" fontId="2" fillId="27" borderId="0" applyNumberFormat="0" applyBorder="0" applyAlignment="0" applyProtection="0"/>
    <xf numFmtId="179" fontId="2" fillId="27" borderId="0" applyNumberFormat="0" applyBorder="0" applyAlignment="0" applyProtection="0"/>
    <xf numFmtId="0" fontId="2" fillId="46" borderId="0" applyNumberFormat="0" applyBorder="0" applyAlignment="0" applyProtection="0"/>
    <xf numFmtId="0" fontId="28" fillId="46" borderId="0" applyNumberFormat="0" applyBorder="0" applyAlignment="0" applyProtection="0"/>
    <xf numFmtId="0" fontId="2" fillId="27" borderId="0" applyNumberFormat="0" applyBorder="0" applyAlignment="0" applyProtection="0"/>
    <xf numFmtId="0" fontId="2" fillId="46" borderId="0" applyNumberFormat="0" applyBorder="0" applyAlignment="0" applyProtection="0"/>
    <xf numFmtId="0" fontId="29" fillId="72" borderId="0" applyNumberFormat="0" applyBorder="0" applyAlignment="0" applyProtection="0"/>
    <xf numFmtId="0" fontId="28" fillId="46" borderId="0" applyNumberFormat="0" applyBorder="0" applyAlignment="0" applyProtection="0"/>
    <xf numFmtId="0" fontId="2" fillId="46" borderId="0" applyNumberFormat="0" applyBorder="0" applyAlignment="0" applyProtection="0"/>
    <xf numFmtId="0" fontId="29" fillId="72" borderId="0" applyNumberFormat="0" applyBorder="0" applyAlignment="0" applyProtection="0"/>
    <xf numFmtId="0" fontId="2" fillId="27" borderId="0" applyNumberFormat="0" applyBorder="0" applyAlignment="0" applyProtection="0"/>
    <xf numFmtId="0" fontId="2" fillId="46" borderId="0" applyNumberFormat="0" applyBorder="0" applyAlignment="0" applyProtection="0"/>
    <xf numFmtId="0" fontId="29" fillId="46" borderId="0" applyNumberFormat="0" applyBorder="0" applyAlignment="0" applyProtection="0"/>
    <xf numFmtId="0" fontId="2" fillId="46" borderId="0" applyNumberFormat="0" applyBorder="0" applyAlignment="0" applyProtection="0"/>
    <xf numFmtId="0" fontId="2" fillId="27" borderId="0" applyNumberFormat="0" applyBorder="0" applyAlignment="0" applyProtection="0"/>
    <xf numFmtId="0" fontId="2" fillId="46" borderId="0" applyNumberFormat="0" applyBorder="0" applyAlignment="0" applyProtection="0"/>
    <xf numFmtId="0" fontId="29" fillId="72" borderId="0" applyNumberFormat="0" applyBorder="0" applyAlignment="0" applyProtection="0"/>
    <xf numFmtId="179" fontId="2" fillId="27" borderId="0" applyNumberFormat="0" applyBorder="0" applyAlignment="0" applyProtection="0"/>
    <xf numFmtId="0" fontId="2" fillId="46" borderId="0" applyNumberFormat="0" applyBorder="0" applyAlignment="0" applyProtection="0"/>
    <xf numFmtId="0" fontId="29" fillId="72" borderId="0" applyNumberFormat="0" applyBorder="0" applyAlignment="0" applyProtection="0"/>
    <xf numFmtId="0" fontId="29" fillId="72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179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125" fillId="46" borderId="0" applyNumberFormat="0" applyBorder="0" applyAlignment="0" applyProtection="0"/>
    <xf numFmtId="0" fontId="2" fillId="46" borderId="0" applyNumberFormat="0" applyBorder="0" applyAlignment="0" applyProtection="0"/>
    <xf numFmtId="0" fontId="2" fillId="27" borderId="0" applyNumberFormat="0" applyBorder="0" applyAlignment="0" applyProtection="0"/>
    <xf numFmtId="0" fontId="2" fillId="46" borderId="0" applyNumberFormat="0" applyBorder="0" applyAlignment="0" applyProtection="0"/>
    <xf numFmtId="0" fontId="2" fillId="27" borderId="0" applyNumberFormat="0" applyBorder="0" applyAlignment="0" applyProtection="0"/>
    <xf numFmtId="0" fontId="2" fillId="46" borderId="0" applyNumberFormat="0" applyBorder="0" applyAlignment="0" applyProtection="0"/>
    <xf numFmtId="0" fontId="2" fillId="27" borderId="0" applyNumberFormat="0" applyBorder="0" applyAlignment="0" applyProtection="0"/>
    <xf numFmtId="0" fontId="2" fillId="46" borderId="0" applyNumberFormat="0" applyBorder="0" applyAlignment="0" applyProtection="0"/>
    <xf numFmtId="0" fontId="2" fillId="46" borderId="0" applyNumberFormat="0" applyBorder="0" applyAlignment="0" applyProtection="0"/>
    <xf numFmtId="0" fontId="2" fillId="27" borderId="0" applyNumberFormat="0" applyBorder="0" applyAlignment="0" applyProtection="0"/>
    <xf numFmtId="0" fontId="2" fillId="46" borderId="0" applyNumberFormat="0" applyBorder="0" applyAlignment="0" applyProtection="0"/>
    <xf numFmtId="0" fontId="2" fillId="27" borderId="0" applyNumberFormat="0" applyBorder="0" applyAlignment="0" applyProtection="0"/>
    <xf numFmtId="179" fontId="2" fillId="27" borderId="0" applyNumberFormat="0" applyBorder="0" applyAlignment="0" applyProtection="0"/>
    <xf numFmtId="0" fontId="2" fillId="46" borderId="0" applyNumberFormat="0" applyBorder="0" applyAlignment="0" applyProtection="0"/>
    <xf numFmtId="0" fontId="2" fillId="27" borderId="0" applyNumberFormat="0" applyBorder="0" applyAlignment="0" applyProtection="0"/>
    <xf numFmtId="0" fontId="28" fillId="46" borderId="0" applyNumberFormat="0" applyBorder="0" applyAlignment="0" applyProtection="0"/>
    <xf numFmtId="0" fontId="2" fillId="27" borderId="0" applyNumberFormat="0" applyBorder="0" applyAlignment="0" applyProtection="0"/>
    <xf numFmtId="0" fontId="29" fillId="46" borderId="0" applyNumberFormat="0" applyBorder="0" applyAlignment="0" applyProtection="0"/>
    <xf numFmtId="0" fontId="2" fillId="46" borderId="0" applyNumberFormat="0" applyBorder="0" applyAlignment="0" applyProtection="0"/>
    <xf numFmtId="0" fontId="2" fillId="27" borderId="0" applyNumberFormat="0" applyBorder="0" applyAlignment="0" applyProtection="0"/>
    <xf numFmtId="0" fontId="2" fillId="46" borderId="0" applyNumberFormat="0" applyBorder="0" applyAlignment="0" applyProtection="0"/>
    <xf numFmtId="0" fontId="2" fillId="27" borderId="0" applyNumberFormat="0" applyBorder="0" applyAlignment="0" applyProtection="0"/>
    <xf numFmtId="0" fontId="2" fillId="46" borderId="0" applyNumberFormat="0" applyBorder="0" applyAlignment="0" applyProtection="0"/>
    <xf numFmtId="0" fontId="2" fillId="27" borderId="0" applyNumberFormat="0" applyBorder="0" applyAlignment="0" applyProtection="0"/>
    <xf numFmtId="0" fontId="2" fillId="46" borderId="0" applyNumberFormat="0" applyBorder="0" applyAlignment="0" applyProtection="0"/>
    <xf numFmtId="0" fontId="2" fillId="27" borderId="0" applyNumberFormat="0" applyBorder="0" applyAlignment="0" applyProtection="0"/>
    <xf numFmtId="0" fontId="2" fillId="46" borderId="0" applyNumberFormat="0" applyBorder="0" applyAlignment="0" applyProtection="0"/>
    <xf numFmtId="0" fontId="2" fillId="27" borderId="0" applyNumberFormat="0" applyBorder="0" applyAlignment="0" applyProtection="0"/>
    <xf numFmtId="0" fontId="2" fillId="46" borderId="0" applyNumberFormat="0" applyBorder="0" applyAlignment="0" applyProtection="0"/>
    <xf numFmtId="0" fontId="2" fillId="27" borderId="0" applyNumberFormat="0" applyBorder="0" applyAlignment="0" applyProtection="0"/>
    <xf numFmtId="0" fontId="2" fillId="46" borderId="0" applyNumberFormat="0" applyBorder="0" applyAlignment="0" applyProtection="0"/>
    <xf numFmtId="0" fontId="2" fillId="27" borderId="0" applyNumberFormat="0" applyBorder="0" applyAlignment="0" applyProtection="0"/>
    <xf numFmtId="179" fontId="2" fillId="27" borderId="0" applyNumberFormat="0" applyBorder="0" applyAlignment="0" applyProtection="0"/>
    <xf numFmtId="0" fontId="2" fillId="46" borderId="0" applyNumberFormat="0" applyBorder="0" applyAlignment="0" applyProtection="0"/>
    <xf numFmtId="0" fontId="2" fillId="27" borderId="0" applyNumberFormat="0" applyBorder="0" applyAlignment="0" applyProtection="0"/>
    <xf numFmtId="0" fontId="28" fillId="46" borderId="0" applyNumberFormat="0" applyBorder="0" applyAlignment="0" applyProtection="0"/>
    <xf numFmtId="0" fontId="2" fillId="46" borderId="0" applyNumberFormat="0" applyBorder="0" applyAlignment="0" applyProtection="0"/>
    <xf numFmtId="0" fontId="29" fillId="46" borderId="0" applyNumberFormat="0" applyBorder="0" applyAlignment="0" applyProtection="0"/>
    <xf numFmtId="0" fontId="28" fillId="4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9" fillId="53" borderId="0" applyNumberFormat="0" applyBorder="0" applyAlignment="0" applyProtection="0"/>
    <xf numFmtId="179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" fillId="27" borderId="0" applyNumberFormat="0" applyBorder="0" applyAlignment="0" applyProtection="0"/>
    <xf numFmtId="0" fontId="29" fillId="53" borderId="0" applyNumberFormat="0" applyBorder="0" applyAlignment="0" applyProtection="0"/>
    <xf numFmtId="0" fontId="28" fillId="46" borderId="0" applyNumberFormat="0" applyBorder="0" applyAlignment="0" applyProtection="0"/>
    <xf numFmtId="179" fontId="29" fillId="53" borderId="0" applyNumberFormat="0" applyBorder="0" applyAlignment="0" applyProtection="0"/>
    <xf numFmtId="179" fontId="2" fillId="27" borderId="0" applyNumberFormat="0" applyBorder="0" applyAlignment="0" applyProtection="0"/>
    <xf numFmtId="179" fontId="86" fillId="27" borderId="0" applyNumberFormat="0" applyBorder="0" applyAlignment="0" applyProtection="0"/>
    <xf numFmtId="0" fontId="86" fillId="27" borderId="0" applyNumberFormat="0" applyBorder="0" applyAlignment="0" applyProtection="0"/>
    <xf numFmtId="179" fontId="2" fillId="27" borderId="0" applyNumberFormat="0" applyBorder="0" applyAlignment="0" applyProtection="0"/>
    <xf numFmtId="179" fontId="86" fillId="27" borderId="0" applyNumberFormat="0" applyBorder="0" applyAlignment="0" applyProtection="0"/>
    <xf numFmtId="0" fontId="86" fillId="27" borderId="0" applyNumberFormat="0" applyBorder="0" applyAlignment="0" applyProtection="0"/>
    <xf numFmtId="179" fontId="2" fillId="27" borderId="0" applyNumberFormat="0" applyBorder="0" applyAlignment="0" applyProtection="0"/>
    <xf numFmtId="0" fontId="2" fillId="46" borderId="0" applyNumberFormat="0" applyBorder="0" applyAlignment="0" applyProtection="0"/>
    <xf numFmtId="179" fontId="29" fillId="53" borderId="0" applyNumberFormat="0" applyBorder="0" applyAlignment="0" applyProtection="0"/>
    <xf numFmtId="179" fontId="2" fillId="27" borderId="0" applyNumberFormat="0" applyBorder="0" applyAlignment="0" applyProtection="0"/>
    <xf numFmtId="179" fontId="29" fillId="53" borderId="0" applyNumberFormat="0" applyBorder="0" applyAlignment="0" applyProtection="0"/>
    <xf numFmtId="0" fontId="2" fillId="27" borderId="0" applyNumberFormat="0" applyBorder="0" applyAlignment="0" applyProtection="0"/>
    <xf numFmtId="0" fontId="29" fillId="46" borderId="0" applyNumberFormat="0" applyBorder="0" applyAlignment="0" applyProtection="0"/>
    <xf numFmtId="0" fontId="2" fillId="27" borderId="0" applyNumberFormat="0" applyBorder="0" applyAlignment="0" applyProtection="0"/>
    <xf numFmtId="0" fontId="29" fillId="46" borderId="0" applyNumberFormat="0" applyBorder="0" applyAlignment="0" applyProtection="0"/>
    <xf numFmtId="0" fontId="2" fillId="27" borderId="0" applyNumberFormat="0" applyBorder="0" applyAlignment="0" applyProtection="0"/>
    <xf numFmtId="0" fontId="29" fillId="46" borderId="0" applyNumberFormat="0" applyBorder="0" applyAlignment="0" applyProtection="0"/>
    <xf numFmtId="0" fontId="2" fillId="27" borderId="0" applyNumberFormat="0" applyBorder="0" applyAlignment="0" applyProtection="0"/>
    <xf numFmtId="0" fontId="29" fillId="46" borderId="0" applyNumberFormat="0" applyBorder="0" applyAlignment="0" applyProtection="0"/>
    <xf numFmtId="0" fontId="2" fillId="31" borderId="0" applyNumberFormat="0" applyBorder="0" applyAlignment="0" applyProtection="0"/>
    <xf numFmtId="0" fontId="29" fillId="6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179" fontId="2" fillId="31" borderId="0" applyNumberFormat="0" applyBorder="0" applyAlignment="0" applyProtection="0"/>
    <xf numFmtId="179" fontId="2" fillId="31" borderId="0" applyNumberFormat="0" applyBorder="0" applyAlignment="0" applyProtection="0"/>
    <xf numFmtId="179" fontId="2" fillId="31" borderId="0" applyNumberFormat="0" applyBorder="0" applyAlignment="0" applyProtection="0"/>
    <xf numFmtId="0" fontId="2" fillId="67" borderId="0" applyNumberFormat="0" applyBorder="0" applyAlignment="0" applyProtection="0"/>
    <xf numFmtId="0" fontId="28" fillId="67" borderId="0" applyNumberFormat="0" applyBorder="0" applyAlignment="0" applyProtection="0"/>
    <xf numFmtId="0" fontId="2" fillId="31" borderId="0" applyNumberFormat="0" applyBorder="0" applyAlignment="0" applyProtection="0"/>
    <xf numFmtId="0" fontId="2" fillId="67" borderId="0" applyNumberFormat="0" applyBorder="0" applyAlignment="0" applyProtection="0"/>
    <xf numFmtId="0" fontId="29" fillId="73" borderId="0" applyNumberFormat="0" applyBorder="0" applyAlignment="0" applyProtection="0"/>
    <xf numFmtId="0" fontId="28" fillId="67" borderId="0" applyNumberFormat="0" applyBorder="0" applyAlignment="0" applyProtection="0"/>
    <xf numFmtId="0" fontId="2" fillId="67" borderId="0" applyNumberFormat="0" applyBorder="0" applyAlignment="0" applyProtection="0"/>
    <xf numFmtId="0" fontId="29" fillId="73" borderId="0" applyNumberFormat="0" applyBorder="0" applyAlignment="0" applyProtection="0"/>
    <xf numFmtId="0" fontId="2" fillId="31" borderId="0" applyNumberFormat="0" applyBorder="0" applyAlignment="0" applyProtection="0"/>
    <xf numFmtId="0" fontId="2" fillId="67" borderId="0" applyNumberFormat="0" applyBorder="0" applyAlignment="0" applyProtection="0"/>
    <xf numFmtId="0" fontId="29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31" borderId="0" applyNumberFormat="0" applyBorder="0" applyAlignment="0" applyProtection="0"/>
    <xf numFmtId="0" fontId="2" fillId="67" borderId="0" applyNumberFormat="0" applyBorder="0" applyAlignment="0" applyProtection="0"/>
    <xf numFmtId="0" fontId="29" fillId="73" borderId="0" applyNumberFormat="0" applyBorder="0" applyAlignment="0" applyProtection="0"/>
    <xf numFmtId="179" fontId="2" fillId="31" borderId="0" applyNumberFormat="0" applyBorder="0" applyAlignment="0" applyProtection="0"/>
    <xf numFmtId="0" fontId="2" fillId="67" borderId="0" applyNumberFormat="0" applyBorder="0" applyAlignment="0" applyProtection="0"/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179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67" borderId="0" applyNumberFormat="0" applyBorder="0" applyAlignment="0" applyProtection="0"/>
    <xf numFmtId="0" fontId="2" fillId="31" borderId="0" applyNumberFormat="0" applyBorder="0" applyAlignment="0" applyProtection="0"/>
    <xf numFmtId="0" fontId="2" fillId="67" borderId="0" applyNumberFormat="0" applyBorder="0" applyAlignment="0" applyProtection="0"/>
    <xf numFmtId="0" fontId="2" fillId="31" borderId="0" applyNumberFormat="0" applyBorder="0" applyAlignment="0" applyProtection="0"/>
    <xf numFmtId="0" fontId="2" fillId="67" borderId="0" applyNumberFormat="0" applyBorder="0" applyAlignment="0" applyProtection="0"/>
    <xf numFmtId="0" fontId="2" fillId="31" borderId="0" applyNumberFormat="0" applyBorder="0" applyAlignment="0" applyProtection="0"/>
    <xf numFmtId="0" fontId="2" fillId="67" borderId="0" applyNumberFormat="0" applyBorder="0" applyAlignment="0" applyProtection="0"/>
    <xf numFmtId="0" fontId="2" fillId="31" borderId="0" applyNumberFormat="0" applyBorder="0" applyAlignment="0" applyProtection="0"/>
    <xf numFmtId="0" fontId="2" fillId="67" borderId="0" applyNumberFormat="0" applyBorder="0" applyAlignment="0" applyProtection="0"/>
    <xf numFmtId="0" fontId="2" fillId="31" borderId="0" applyNumberFormat="0" applyBorder="0" applyAlignment="0" applyProtection="0"/>
    <xf numFmtId="0" fontId="2" fillId="67" borderId="0" applyNumberFormat="0" applyBorder="0" applyAlignment="0" applyProtection="0"/>
    <xf numFmtId="0" fontId="2" fillId="31" borderId="0" applyNumberFormat="0" applyBorder="0" applyAlignment="0" applyProtection="0"/>
    <xf numFmtId="179" fontId="2" fillId="31" borderId="0" applyNumberFormat="0" applyBorder="0" applyAlignment="0" applyProtection="0"/>
    <xf numFmtId="0" fontId="2" fillId="67" borderId="0" applyNumberFormat="0" applyBorder="0" applyAlignment="0" applyProtection="0"/>
    <xf numFmtId="0" fontId="2" fillId="31" borderId="0" applyNumberFormat="0" applyBorder="0" applyAlignment="0" applyProtection="0"/>
    <xf numFmtId="0" fontId="28" fillId="67" borderId="0" applyNumberFormat="0" applyBorder="0" applyAlignment="0" applyProtection="0"/>
    <xf numFmtId="0" fontId="2" fillId="31" borderId="0" applyNumberFormat="0" applyBorder="0" applyAlignment="0" applyProtection="0"/>
    <xf numFmtId="0" fontId="29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31" borderId="0" applyNumberFormat="0" applyBorder="0" applyAlignment="0" applyProtection="0"/>
    <xf numFmtId="0" fontId="2" fillId="67" borderId="0" applyNumberFormat="0" applyBorder="0" applyAlignment="0" applyProtection="0"/>
    <xf numFmtId="0" fontId="2" fillId="31" borderId="0" applyNumberFormat="0" applyBorder="0" applyAlignment="0" applyProtection="0"/>
    <xf numFmtId="0" fontId="2" fillId="67" borderId="0" applyNumberFormat="0" applyBorder="0" applyAlignment="0" applyProtection="0"/>
    <xf numFmtId="0" fontId="2" fillId="31" borderId="0" applyNumberFormat="0" applyBorder="0" applyAlignment="0" applyProtection="0"/>
    <xf numFmtId="0" fontId="2" fillId="67" borderId="0" applyNumberFormat="0" applyBorder="0" applyAlignment="0" applyProtection="0"/>
    <xf numFmtId="0" fontId="2" fillId="31" borderId="0" applyNumberFormat="0" applyBorder="0" applyAlignment="0" applyProtection="0"/>
    <xf numFmtId="0" fontId="2" fillId="67" borderId="0" applyNumberFormat="0" applyBorder="0" applyAlignment="0" applyProtection="0"/>
    <xf numFmtId="0" fontId="2" fillId="31" borderId="0" applyNumberFormat="0" applyBorder="0" applyAlignment="0" applyProtection="0"/>
    <xf numFmtId="0" fontId="2" fillId="67" borderId="0" applyNumberFormat="0" applyBorder="0" applyAlignment="0" applyProtection="0"/>
    <xf numFmtId="0" fontId="2" fillId="31" borderId="0" applyNumberFormat="0" applyBorder="0" applyAlignment="0" applyProtection="0"/>
    <xf numFmtId="0" fontId="2" fillId="67" borderId="0" applyNumberFormat="0" applyBorder="0" applyAlignment="0" applyProtection="0"/>
    <xf numFmtId="0" fontId="2" fillId="31" borderId="0" applyNumberFormat="0" applyBorder="0" applyAlignment="0" applyProtection="0"/>
    <xf numFmtId="179" fontId="2" fillId="31" borderId="0" applyNumberFormat="0" applyBorder="0" applyAlignment="0" applyProtection="0"/>
    <xf numFmtId="0" fontId="2" fillId="67" borderId="0" applyNumberFormat="0" applyBorder="0" applyAlignment="0" applyProtection="0"/>
    <xf numFmtId="0" fontId="2" fillId="31" borderId="0" applyNumberFormat="0" applyBorder="0" applyAlignment="0" applyProtection="0"/>
    <xf numFmtId="0" fontId="28" fillId="67" borderId="0" applyNumberFormat="0" applyBorder="0" applyAlignment="0" applyProtection="0"/>
    <xf numFmtId="0" fontId="2" fillId="67" borderId="0" applyNumberFormat="0" applyBorder="0" applyAlignment="0" applyProtection="0"/>
    <xf numFmtId="0" fontId="29" fillId="67" borderId="0" applyNumberFormat="0" applyBorder="0" applyAlignment="0" applyProtection="0"/>
    <xf numFmtId="0" fontId="28" fillId="6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9" fillId="54" borderId="0" applyNumberFormat="0" applyBorder="0" applyAlignment="0" applyProtection="0"/>
    <xf numFmtId="179" fontId="29" fillId="54" borderId="0" applyNumberFormat="0" applyBorder="0" applyAlignment="0" applyProtection="0"/>
    <xf numFmtId="0" fontId="138" fillId="98" borderId="0" applyNumberFormat="0" applyBorder="0" applyAlignment="0" applyProtection="0"/>
    <xf numFmtId="0" fontId="2" fillId="31" borderId="0" applyNumberFormat="0" applyBorder="0" applyAlignment="0" applyProtection="0"/>
    <xf numFmtId="0" fontId="138" fillId="98" borderId="0" applyNumberFormat="0" applyBorder="0" applyAlignment="0" applyProtection="0"/>
    <xf numFmtId="0" fontId="28" fillId="67" borderId="0" applyNumberFormat="0" applyBorder="0" applyAlignment="0" applyProtection="0"/>
    <xf numFmtId="179" fontId="29" fillId="54" borderId="0" applyNumberFormat="0" applyBorder="0" applyAlignment="0" applyProtection="0"/>
    <xf numFmtId="179" fontId="2" fillId="31" borderId="0" applyNumberFormat="0" applyBorder="0" applyAlignment="0" applyProtection="0"/>
    <xf numFmtId="179" fontId="86" fillId="31" borderId="0" applyNumberFormat="0" applyBorder="0" applyAlignment="0" applyProtection="0"/>
    <xf numFmtId="0" fontId="86" fillId="31" borderId="0" applyNumberFormat="0" applyBorder="0" applyAlignment="0" applyProtection="0"/>
    <xf numFmtId="179" fontId="2" fillId="31" borderId="0" applyNumberFormat="0" applyBorder="0" applyAlignment="0" applyProtection="0"/>
    <xf numFmtId="179" fontId="86" fillId="31" borderId="0" applyNumberFormat="0" applyBorder="0" applyAlignment="0" applyProtection="0"/>
    <xf numFmtId="0" fontId="86" fillId="31" borderId="0" applyNumberFormat="0" applyBorder="0" applyAlignment="0" applyProtection="0"/>
    <xf numFmtId="179" fontId="2" fillId="31" borderId="0" applyNumberFormat="0" applyBorder="0" applyAlignment="0" applyProtection="0"/>
    <xf numFmtId="0" fontId="2" fillId="67" borderId="0" applyNumberFormat="0" applyBorder="0" applyAlignment="0" applyProtection="0"/>
    <xf numFmtId="179" fontId="29" fillId="54" borderId="0" applyNumberFormat="0" applyBorder="0" applyAlignment="0" applyProtection="0"/>
    <xf numFmtId="179" fontId="2" fillId="31" borderId="0" applyNumberFormat="0" applyBorder="0" applyAlignment="0" applyProtection="0"/>
    <xf numFmtId="179" fontId="29" fillId="54" borderId="0" applyNumberFormat="0" applyBorder="0" applyAlignment="0" applyProtection="0"/>
    <xf numFmtId="0" fontId="2" fillId="31" borderId="0" applyNumberFormat="0" applyBorder="0" applyAlignment="0" applyProtection="0"/>
    <xf numFmtId="0" fontId="29" fillId="67" borderId="0" applyNumberFormat="0" applyBorder="0" applyAlignment="0" applyProtection="0"/>
    <xf numFmtId="0" fontId="2" fillId="31" borderId="0" applyNumberFormat="0" applyBorder="0" applyAlignment="0" applyProtection="0"/>
    <xf numFmtId="0" fontId="29" fillId="67" borderId="0" applyNumberFormat="0" applyBorder="0" applyAlignment="0" applyProtection="0"/>
    <xf numFmtId="0" fontId="2" fillId="31" borderId="0" applyNumberFormat="0" applyBorder="0" applyAlignment="0" applyProtection="0"/>
    <xf numFmtId="0" fontId="29" fillId="67" borderId="0" applyNumberFormat="0" applyBorder="0" applyAlignment="0" applyProtection="0"/>
    <xf numFmtId="0" fontId="2" fillId="31" borderId="0" applyNumberFormat="0" applyBorder="0" applyAlignment="0" applyProtection="0"/>
    <xf numFmtId="0" fontId="29" fillId="67" borderId="0" applyNumberFormat="0" applyBorder="0" applyAlignment="0" applyProtection="0"/>
    <xf numFmtId="0" fontId="2" fillId="35" borderId="0" applyNumberFormat="0" applyBorder="0" applyAlignment="0" applyProtection="0"/>
    <xf numFmtId="0" fontId="29" fillId="7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79" fontId="2" fillId="35" borderId="0" applyNumberFormat="0" applyBorder="0" applyAlignment="0" applyProtection="0"/>
    <xf numFmtId="179" fontId="2" fillId="35" borderId="0" applyNumberFormat="0" applyBorder="0" applyAlignment="0" applyProtection="0"/>
    <xf numFmtId="179" fontId="2" fillId="35" borderId="0" applyNumberFormat="0" applyBorder="0" applyAlignment="0" applyProtection="0"/>
    <xf numFmtId="0" fontId="2" fillId="74" borderId="0" applyNumberFormat="0" applyBorder="0" applyAlignment="0" applyProtection="0"/>
    <xf numFmtId="0" fontId="28" fillId="74" borderId="0" applyNumberFormat="0" applyBorder="0" applyAlignment="0" applyProtection="0"/>
    <xf numFmtId="0" fontId="2" fillId="35" borderId="0" applyNumberFormat="0" applyBorder="0" applyAlignment="0" applyProtection="0"/>
    <xf numFmtId="0" fontId="2" fillId="74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" fillId="74" borderId="0" applyNumberFormat="0" applyBorder="0" applyAlignment="0" applyProtection="0"/>
    <xf numFmtId="0" fontId="29" fillId="75" borderId="0" applyNumberFormat="0" applyBorder="0" applyAlignment="0" applyProtection="0"/>
    <xf numFmtId="0" fontId="2" fillId="35" borderId="0" applyNumberFormat="0" applyBorder="0" applyAlignment="0" applyProtection="0"/>
    <xf numFmtId="0" fontId="2" fillId="74" borderId="0" applyNumberFormat="0" applyBorder="0" applyAlignment="0" applyProtection="0"/>
    <xf numFmtId="0" fontId="29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35" borderId="0" applyNumberFormat="0" applyBorder="0" applyAlignment="0" applyProtection="0"/>
    <xf numFmtId="0" fontId="2" fillId="74" borderId="0" applyNumberFormat="0" applyBorder="0" applyAlignment="0" applyProtection="0"/>
    <xf numFmtId="0" fontId="29" fillId="75" borderId="0" applyNumberFormat="0" applyBorder="0" applyAlignment="0" applyProtection="0"/>
    <xf numFmtId="179" fontId="2" fillId="35" borderId="0" applyNumberFormat="0" applyBorder="0" applyAlignment="0" applyProtection="0"/>
    <xf numFmtId="0" fontId="2" fillId="74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79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35" borderId="0" applyNumberFormat="0" applyBorder="0" applyAlignment="0" applyProtection="0"/>
    <xf numFmtId="179" fontId="2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35" borderId="0" applyNumberFormat="0" applyBorder="0" applyAlignment="0" applyProtection="0"/>
    <xf numFmtId="0" fontId="28" fillId="74" borderId="0" applyNumberFormat="0" applyBorder="0" applyAlignment="0" applyProtection="0"/>
    <xf numFmtId="0" fontId="2" fillId="35" borderId="0" applyNumberFormat="0" applyBorder="0" applyAlignment="0" applyProtection="0"/>
    <xf numFmtId="0" fontId="29" fillId="74" borderId="0" applyNumberFormat="0" applyBorder="0" applyAlignment="0" applyProtection="0"/>
    <xf numFmtId="0" fontId="2" fillId="74" borderId="0" applyNumberFormat="0" applyBorder="0" applyAlignment="0" applyProtection="0"/>
    <xf numFmtId="0" fontId="2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35" borderId="0" applyNumberFormat="0" applyBorder="0" applyAlignment="0" applyProtection="0"/>
    <xf numFmtId="179" fontId="2" fillId="35" borderId="0" applyNumberFormat="0" applyBorder="0" applyAlignment="0" applyProtection="0"/>
    <xf numFmtId="0" fontId="2" fillId="74" borderId="0" applyNumberFormat="0" applyBorder="0" applyAlignment="0" applyProtection="0"/>
    <xf numFmtId="0" fontId="2" fillId="35" borderId="0" applyNumberFormat="0" applyBorder="0" applyAlignment="0" applyProtection="0"/>
    <xf numFmtId="0" fontId="28" fillId="74" borderId="0" applyNumberFormat="0" applyBorder="0" applyAlignment="0" applyProtection="0"/>
    <xf numFmtId="0" fontId="2" fillId="74" borderId="0" applyNumberFormat="0" applyBorder="0" applyAlignment="0" applyProtection="0"/>
    <xf numFmtId="0" fontId="29" fillId="74" borderId="0" applyNumberFormat="0" applyBorder="0" applyAlignment="0" applyProtection="0"/>
    <xf numFmtId="0" fontId="28" fillId="7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9" fillId="52" borderId="0" applyNumberFormat="0" applyBorder="0" applyAlignment="0" applyProtection="0"/>
    <xf numFmtId="179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" fillId="35" borderId="0" applyNumberFormat="0" applyBorder="0" applyAlignment="0" applyProtection="0"/>
    <xf numFmtId="0" fontId="29" fillId="52" borderId="0" applyNumberFormat="0" applyBorder="0" applyAlignment="0" applyProtection="0"/>
    <xf numFmtId="0" fontId="28" fillId="74" borderId="0" applyNumberFormat="0" applyBorder="0" applyAlignment="0" applyProtection="0"/>
    <xf numFmtId="179" fontId="29" fillId="52" borderId="0" applyNumberFormat="0" applyBorder="0" applyAlignment="0" applyProtection="0"/>
    <xf numFmtId="179" fontId="2" fillId="35" borderId="0" applyNumberFormat="0" applyBorder="0" applyAlignment="0" applyProtection="0"/>
    <xf numFmtId="179" fontId="86" fillId="35" borderId="0" applyNumberFormat="0" applyBorder="0" applyAlignment="0" applyProtection="0"/>
    <xf numFmtId="0" fontId="86" fillId="35" borderId="0" applyNumberFormat="0" applyBorder="0" applyAlignment="0" applyProtection="0"/>
    <xf numFmtId="179" fontId="2" fillId="35" borderId="0" applyNumberFormat="0" applyBorder="0" applyAlignment="0" applyProtection="0"/>
    <xf numFmtId="179" fontId="86" fillId="35" borderId="0" applyNumberFormat="0" applyBorder="0" applyAlignment="0" applyProtection="0"/>
    <xf numFmtId="0" fontId="86" fillId="35" borderId="0" applyNumberFormat="0" applyBorder="0" applyAlignment="0" applyProtection="0"/>
    <xf numFmtId="179" fontId="2" fillId="35" borderId="0" applyNumberFormat="0" applyBorder="0" applyAlignment="0" applyProtection="0"/>
    <xf numFmtId="0" fontId="2" fillId="74" borderId="0" applyNumberFormat="0" applyBorder="0" applyAlignment="0" applyProtection="0"/>
    <xf numFmtId="179" fontId="29" fillId="52" borderId="0" applyNumberFormat="0" applyBorder="0" applyAlignment="0" applyProtection="0"/>
    <xf numFmtId="179" fontId="2" fillId="35" borderId="0" applyNumberFormat="0" applyBorder="0" applyAlignment="0" applyProtection="0"/>
    <xf numFmtId="179" fontId="29" fillId="52" borderId="0" applyNumberFormat="0" applyBorder="0" applyAlignment="0" applyProtection="0"/>
    <xf numFmtId="0" fontId="2" fillId="35" borderId="0" applyNumberFormat="0" applyBorder="0" applyAlignment="0" applyProtection="0"/>
    <xf numFmtId="0" fontId="29" fillId="74" borderId="0" applyNumberFormat="0" applyBorder="0" applyAlignment="0" applyProtection="0"/>
    <xf numFmtId="0" fontId="2" fillId="35" borderId="0" applyNumberFormat="0" applyBorder="0" applyAlignment="0" applyProtection="0"/>
    <xf numFmtId="0" fontId="29" fillId="74" borderId="0" applyNumberFormat="0" applyBorder="0" applyAlignment="0" applyProtection="0"/>
    <xf numFmtId="0" fontId="2" fillId="35" borderId="0" applyNumberFormat="0" applyBorder="0" applyAlignment="0" applyProtection="0"/>
    <xf numFmtId="0" fontId="29" fillId="74" borderId="0" applyNumberFormat="0" applyBorder="0" applyAlignment="0" applyProtection="0"/>
    <xf numFmtId="0" fontId="2" fillId="35" borderId="0" applyNumberFormat="0" applyBorder="0" applyAlignment="0" applyProtection="0"/>
    <xf numFmtId="0" fontId="29" fillId="7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79" fontId="2" fillId="39" borderId="0" applyNumberFormat="0" applyBorder="0" applyAlignment="0" applyProtection="0"/>
    <xf numFmtId="179" fontId="2" fillId="39" borderId="0" applyNumberFormat="0" applyBorder="0" applyAlignment="0" applyProtection="0"/>
    <xf numFmtId="179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8" fillId="55" borderId="0" applyNumberFormat="0" applyBorder="0" applyAlignment="0" applyProtection="0"/>
    <xf numFmtId="0" fontId="2" fillId="39" borderId="0" applyNumberFormat="0" applyBorder="0" applyAlignment="0" applyProtection="0"/>
    <xf numFmtId="0" fontId="29" fillId="76" borderId="0" applyNumberFormat="0" applyBorder="0" applyAlignment="0" applyProtection="0"/>
    <xf numFmtId="0" fontId="28" fillId="55" borderId="0" applyNumberFormat="0" applyBorder="0" applyAlignment="0" applyProtection="0"/>
    <xf numFmtId="0" fontId="2" fillId="39" borderId="0" applyNumberFormat="0" applyBorder="0" applyAlignment="0" applyProtection="0"/>
    <xf numFmtId="0" fontId="29" fillId="76" borderId="0" applyNumberFormat="0" applyBorder="0" applyAlignment="0" applyProtection="0"/>
    <xf numFmtId="0" fontId="2" fillId="39" borderId="0" applyNumberFormat="0" applyBorder="0" applyAlignment="0" applyProtection="0"/>
    <xf numFmtId="0" fontId="29" fillId="55" borderId="0" applyNumberFormat="0" applyBorder="0" applyAlignment="0" applyProtection="0"/>
    <xf numFmtId="0" fontId="29" fillId="76" borderId="0" applyNumberFormat="0" applyBorder="0" applyAlignment="0" applyProtection="0"/>
    <xf numFmtId="179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9" fillId="76" borderId="0" applyNumberFormat="0" applyBorder="0" applyAlignment="0" applyProtection="0"/>
    <xf numFmtId="0" fontId="29" fillId="76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79" fontId="2" fillId="39" borderId="0" applyNumberFormat="0" applyBorder="0" applyAlignment="0" applyProtection="0"/>
    <xf numFmtId="179" fontId="2" fillId="39" borderId="0" applyNumberFormat="0" applyBorder="0" applyAlignment="0" applyProtection="0"/>
    <xf numFmtId="0" fontId="28" fillId="55" borderId="0" applyNumberFormat="0" applyBorder="0" applyAlignment="0" applyProtection="0"/>
    <xf numFmtId="0" fontId="2" fillId="39" borderId="0" applyNumberFormat="0" applyBorder="0" applyAlignment="0" applyProtection="0"/>
    <xf numFmtId="0" fontId="29" fillId="55" borderId="0" applyNumberFormat="0" applyBorder="0" applyAlignment="0" applyProtection="0"/>
    <xf numFmtId="179" fontId="2" fillId="39" borderId="0" applyNumberFormat="0" applyBorder="0" applyAlignment="0" applyProtection="0"/>
    <xf numFmtId="0" fontId="28" fillId="55" borderId="0" applyNumberFormat="0" applyBorder="0" applyAlignment="0" applyProtection="0"/>
    <xf numFmtId="0" fontId="29" fillId="55" borderId="0" applyNumberFormat="0" applyBorder="0" applyAlignment="0" applyProtection="0"/>
    <xf numFmtId="0" fontId="28" fillId="5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79" fontId="29" fillId="55" borderId="0" applyNumberFormat="0" applyBorder="0" applyAlignment="0" applyProtection="0"/>
    <xf numFmtId="0" fontId="28" fillId="55" borderId="0" applyNumberFormat="0" applyBorder="0" applyAlignment="0" applyProtection="0"/>
    <xf numFmtId="179" fontId="29" fillId="55" borderId="0" applyNumberFormat="0" applyBorder="0" applyAlignment="0" applyProtection="0"/>
    <xf numFmtId="179" fontId="2" fillId="39" borderId="0" applyNumberFormat="0" applyBorder="0" applyAlignment="0" applyProtection="0"/>
    <xf numFmtId="179" fontId="86" fillId="39" borderId="0" applyNumberFormat="0" applyBorder="0" applyAlignment="0" applyProtection="0"/>
    <xf numFmtId="0" fontId="86" fillId="39" borderId="0" applyNumberFormat="0" applyBorder="0" applyAlignment="0" applyProtection="0"/>
    <xf numFmtId="179" fontId="2" fillId="39" borderId="0" applyNumberFormat="0" applyBorder="0" applyAlignment="0" applyProtection="0"/>
    <xf numFmtId="179" fontId="86" fillId="39" borderId="0" applyNumberFormat="0" applyBorder="0" applyAlignment="0" applyProtection="0"/>
    <xf numFmtId="0" fontId="86" fillId="39" borderId="0" applyNumberFormat="0" applyBorder="0" applyAlignment="0" applyProtection="0"/>
    <xf numFmtId="179" fontId="2" fillId="39" borderId="0" applyNumberFormat="0" applyBorder="0" applyAlignment="0" applyProtection="0"/>
    <xf numFmtId="179" fontId="29" fillId="55" borderId="0" applyNumberFormat="0" applyBorder="0" applyAlignment="0" applyProtection="0"/>
    <xf numFmtId="179" fontId="2" fillId="39" borderId="0" applyNumberFormat="0" applyBorder="0" applyAlignment="0" applyProtection="0"/>
    <xf numFmtId="179" fontId="29" fillId="5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179" fontId="2" fillId="43" borderId="0" applyNumberFormat="0" applyBorder="0" applyAlignment="0" applyProtection="0"/>
    <xf numFmtId="179" fontId="2" fillId="43" borderId="0" applyNumberFormat="0" applyBorder="0" applyAlignment="0" applyProtection="0"/>
    <xf numFmtId="179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8" fillId="52" borderId="0" applyNumberFormat="0" applyBorder="0" applyAlignment="0" applyProtection="0"/>
    <xf numFmtId="0" fontId="2" fillId="43" borderId="0" applyNumberFormat="0" applyBorder="0" applyAlignment="0" applyProtection="0"/>
    <xf numFmtId="0" fontId="29" fillId="77" borderId="0" applyNumberFormat="0" applyBorder="0" applyAlignment="0" applyProtection="0"/>
    <xf numFmtId="0" fontId="28" fillId="52" borderId="0" applyNumberFormat="0" applyBorder="0" applyAlignment="0" applyProtection="0"/>
    <xf numFmtId="0" fontId="2" fillId="43" borderId="0" applyNumberFormat="0" applyBorder="0" applyAlignment="0" applyProtection="0"/>
    <xf numFmtId="0" fontId="29" fillId="77" borderId="0" applyNumberFormat="0" applyBorder="0" applyAlignment="0" applyProtection="0"/>
    <xf numFmtId="0" fontId="2" fillId="43" borderId="0" applyNumberFormat="0" applyBorder="0" applyAlignment="0" applyProtection="0"/>
    <xf numFmtId="0" fontId="29" fillId="52" borderId="0" applyNumberFormat="0" applyBorder="0" applyAlignment="0" applyProtection="0"/>
    <xf numFmtId="0" fontId="29" fillId="77" borderId="0" applyNumberFormat="0" applyBorder="0" applyAlignment="0" applyProtection="0"/>
    <xf numFmtId="179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9" fillId="77" borderId="0" applyNumberFormat="0" applyBorder="0" applyAlignment="0" applyProtection="0"/>
    <xf numFmtId="0" fontId="29" fillId="77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179" fontId="2" fillId="43" borderId="0" applyNumberFormat="0" applyBorder="0" applyAlignment="0" applyProtection="0"/>
    <xf numFmtId="179" fontId="2" fillId="43" borderId="0" applyNumberFormat="0" applyBorder="0" applyAlignment="0" applyProtection="0"/>
    <xf numFmtId="0" fontId="28" fillId="52" borderId="0" applyNumberFormat="0" applyBorder="0" applyAlignment="0" applyProtection="0"/>
    <xf numFmtId="0" fontId="2" fillId="43" borderId="0" applyNumberFormat="0" applyBorder="0" applyAlignment="0" applyProtection="0"/>
    <xf numFmtId="0" fontId="29" fillId="52" borderId="0" applyNumberFormat="0" applyBorder="0" applyAlignment="0" applyProtection="0"/>
    <xf numFmtId="179" fontId="2" fillId="43" borderId="0" applyNumberFormat="0" applyBorder="0" applyAlignment="0" applyProtection="0"/>
    <xf numFmtId="0" fontId="28" fillId="52" borderId="0" applyNumberFormat="0" applyBorder="0" applyAlignment="0" applyProtection="0"/>
    <xf numFmtId="0" fontId="29" fillId="52" borderId="0" applyNumberFormat="0" applyBorder="0" applyAlignment="0" applyProtection="0"/>
    <xf numFmtId="0" fontId="28" fillId="52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9" fillId="54" borderId="0" applyNumberFormat="0" applyBorder="0" applyAlignment="0" applyProtection="0"/>
    <xf numFmtId="179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8" fillId="52" borderId="0" applyNumberFormat="0" applyBorder="0" applyAlignment="0" applyProtection="0"/>
    <xf numFmtId="179" fontId="29" fillId="54" borderId="0" applyNumberFormat="0" applyBorder="0" applyAlignment="0" applyProtection="0"/>
    <xf numFmtId="179" fontId="2" fillId="43" borderId="0" applyNumberFormat="0" applyBorder="0" applyAlignment="0" applyProtection="0"/>
    <xf numFmtId="179" fontId="86" fillId="43" borderId="0" applyNumberFormat="0" applyBorder="0" applyAlignment="0" applyProtection="0"/>
    <xf numFmtId="0" fontId="86" fillId="43" borderId="0" applyNumberFormat="0" applyBorder="0" applyAlignment="0" applyProtection="0"/>
    <xf numFmtId="179" fontId="2" fillId="43" borderId="0" applyNumberFormat="0" applyBorder="0" applyAlignment="0" applyProtection="0"/>
    <xf numFmtId="179" fontId="86" fillId="43" borderId="0" applyNumberFormat="0" applyBorder="0" applyAlignment="0" applyProtection="0"/>
    <xf numFmtId="0" fontId="86" fillId="43" borderId="0" applyNumberFormat="0" applyBorder="0" applyAlignment="0" applyProtection="0"/>
    <xf numFmtId="179" fontId="2" fillId="43" borderId="0" applyNumberFormat="0" applyBorder="0" applyAlignment="0" applyProtection="0"/>
    <xf numFmtId="179" fontId="29" fillId="54" borderId="0" applyNumberFormat="0" applyBorder="0" applyAlignment="0" applyProtection="0"/>
    <xf numFmtId="179" fontId="2" fillId="43" borderId="0" applyNumberFormat="0" applyBorder="0" applyAlignment="0" applyProtection="0"/>
    <xf numFmtId="179" fontId="29" fillId="54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89" fillId="58" borderId="0" applyNumberFormat="0" applyBorder="0" applyAlignment="0" applyProtection="0"/>
    <xf numFmtId="0" fontId="89" fillId="53" borderId="0" applyNumberFormat="0" applyBorder="0" applyAlignment="0" applyProtection="0"/>
    <xf numFmtId="0" fontId="89" fillId="80" borderId="0" applyNumberFormat="0" applyBorder="0" applyAlignment="0" applyProtection="0"/>
    <xf numFmtId="0" fontId="89" fillId="74" borderId="0" applyNumberFormat="0" applyBorder="0" applyAlignment="0" applyProtection="0"/>
    <xf numFmtId="0" fontId="89" fillId="58" borderId="0" applyNumberFormat="0" applyBorder="0" applyAlignment="0" applyProtection="0"/>
    <xf numFmtId="0" fontId="89" fillId="82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179" fontId="2" fillId="24" borderId="0" applyNumberFormat="0" applyBorder="0" applyAlignment="0" applyProtection="0"/>
    <xf numFmtId="179" fontId="2" fillId="24" borderId="0" applyNumberFormat="0" applyBorder="0" applyAlignment="0" applyProtection="0"/>
    <xf numFmtId="179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8" fillId="58" borderId="0" applyNumberFormat="0" applyBorder="0" applyAlignment="0" applyProtection="0"/>
    <xf numFmtId="0" fontId="2" fillId="24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" fillId="24" borderId="0" applyNumberFormat="0" applyBorder="0" applyAlignment="0" applyProtection="0"/>
    <xf numFmtId="0" fontId="29" fillId="78" borderId="0" applyNumberFormat="0" applyBorder="0" applyAlignment="0" applyProtection="0"/>
    <xf numFmtId="0" fontId="2" fillId="24" borderId="0" applyNumberFormat="0" applyBorder="0" applyAlignment="0" applyProtection="0"/>
    <xf numFmtId="0" fontId="29" fillId="58" borderId="0" applyNumberFormat="0" applyBorder="0" applyAlignment="0" applyProtection="0"/>
    <xf numFmtId="0" fontId="29" fillId="78" borderId="0" applyNumberFormat="0" applyBorder="0" applyAlignment="0" applyProtection="0"/>
    <xf numFmtId="179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179" fontId="2" fillId="24" borderId="0" applyNumberFormat="0" applyBorder="0" applyAlignment="0" applyProtection="0"/>
    <xf numFmtId="179" fontId="2" fillId="24" borderId="0" applyNumberFormat="0" applyBorder="0" applyAlignment="0" applyProtection="0"/>
    <xf numFmtId="0" fontId="28" fillId="58" borderId="0" applyNumberFormat="0" applyBorder="0" applyAlignment="0" applyProtection="0"/>
    <xf numFmtId="0" fontId="2" fillId="24" borderId="0" applyNumberFormat="0" applyBorder="0" applyAlignment="0" applyProtection="0"/>
    <xf numFmtId="0" fontId="29" fillId="58" borderId="0" applyNumberFormat="0" applyBorder="0" applyAlignment="0" applyProtection="0"/>
    <xf numFmtId="179" fontId="2" fillId="24" borderId="0" applyNumberFormat="0" applyBorder="0" applyAlignment="0" applyProtection="0"/>
    <xf numFmtId="0" fontId="28" fillId="58" borderId="0" applyNumberFormat="0" applyBorder="0" applyAlignment="0" applyProtection="0"/>
    <xf numFmtId="0" fontId="29" fillId="58" borderId="0" applyNumberFormat="0" applyBorder="0" applyAlignment="0" applyProtection="0"/>
    <xf numFmtId="0" fontId="28" fillId="58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9" fillId="56" borderId="0" applyNumberFormat="0" applyBorder="0" applyAlignment="0" applyProtection="0"/>
    <xf numFmtId="179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8" fillId="58" borderId="0" applyNumberFormat="0" applyBorder="0" applyAlignment="0" applyProtection="0"/>
    <xf numFmtId="179" fontId="29" fillId="56" borderId="0" applyNumberFormat="0" applyBorder="0" applyAlignment="0" applyProtection="0"/>
    <xf numFmtId="179" fontId="2" fillId="24" borderId="0" applyNumberFormat="0" applyBorder="0" applyAlignment="0" applyProtection="0"/>
    <xf numFmtId="179" fontId="86" fillId="24" borderId="0" applyNumberFormat="0" applyBorder="0" applyAlignment="0" applyProtection="0"/>
    <xf numFmtId="0" fontId="86" fillId="24" borderId="0" applyNumberFormat="0" applyBorder="0" applyAlignment="0" applyProtection="0"/>
    <xf numFmtId="179" fontId="2" fillId="24" borderId="0" applyNumberFormat="0" applyBorder="0" applyAlignment="0" applyProtection="0"/>
    <xf numFmtId="179" fontId="86" fillId="24" borderId="0" applyNumberFormat="0" applyBorder="0" applyAlignment="0" applyProtection="0"/>
    <xf numFmtId="0" fontId="86" fillId="24" borderId="0" applyNumberFormat="0" applyBorder="0" applyAlignment="0" applyProtection="0"/>
    <xf numFmtId="179" fontId="2" fillId="24" borderId="0" applyNumberFormat="0" applyBorder="0" applyAlignment="0" applyProtection="0"/>
    <xf numFmtId="179" fontId="29" fillId="56" borderId="0" applyNumberFormat="0" applyBorder="0" applyAlignment="0" applyProtection="0"/>
    <xf numFmtId="179" fontId="2" fillId="24" borderId="0" applyNumberFormat="0" applyBorder="0" applyAlignment="0" applyProtection="0"/>
    <xf numFmtId="179" fontId="29" fillId="56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179" fontId="2" fillId="28" borderId="0" applyNumberFormat="0" applyBorder="0" applyAlignment="0" applyProtection="0"/>
    <xf numFmtId="179" fontId="2" fillId="28" borderId="0" applyNumberFormat="0" applyBorder="0" applyAlignment="0" applyProtection="0"/>
    <xf numFmtId="179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8" fillId="53" borderId="0" applyNumberFormat="0" applyBorder="0" applyAlignment="0" applyProtection="0"/>
    <xf numFmtId="0" fontId="2" fillId="28" borderId="0" applyNumberFormat="0" applyBorder="0" applyAlignment="0" applyProtection="0"/>
    <xf numFmtId="0" fontId="29" fillId="79" borderId="0" applyNumberFormat="0" applyBorder="0" applyAlignment="0" applyProtection="0"/>
    <xf numFmtId="0" fontId="28" fillId="53" borderId="0" applyNumberFormat="0" applyBorder="0" applyAlignment="0" applyProtection="0"/>
    <xf numFmtId="0" fontId="2" fillId="28" borderId="0" applyNumberFormat="0" applyBorder="0" applyAlignment="0" applyProtection="0"/>
    <xf numFmtId="0" fontId="29" fillId="79" borderId="0" applyNumberFormat="0" applyBorder="0" applyAlignment="0" applyProtection="0"/>
    <xf numFmtId="0" fontId="2" fillId="28" borderId="0" applyNumberFormat="0" applyBorder="0" applyAlignment="0" applyProtection="0"/>
    <xf numFmtId="0" fontId="29" fillId="53" borderId="0" applyNumberFormat="0" applyBorder="0" applyAlignment="0" applyProtection="0"/>
    <xf numFmtId="0" fontId="29" fillId="79" borderId="0" applyNumberFormat="0" applyBorder="0" applyAlignment="0" applyProtection="0"/>
    <xf numFmtId="179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9" fillId="79" borderId="0" applyNumberFormat="0" applyBorder="0" applyAlignment="0" applyProtection="0"/>
    <xf numFmtId="0" fontId="29" fillId="79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179" fontId="2" fillId="28" borderId="0" applyNumberFormat="0" applyBorder="0" applyAlignment="0" applyProtection="0"/>
    <xf numFmtId="179" fontId="2" fillId="28" borderId="0" applyNumberFormat="0" applyBorder="0" applyAlignment="0" applyProtection="0"/>
    <xf numFmtId="0" fontId="28" fillId="53" borderId="0" applyNumberFormat="0" applyBorder="0" applyAlignment="0" applyProtection="0"/>
    <xf numFmtId="0" fontId="2" fillId="28" borderId="0" applyNumberFormat="0" applyBorder="0" applyAlignment="0" applyProtection="0"/>
    <xf numFmtId="0" fontId="29" fillId="53" borderId="0" applyNumberFormat="0" applyBorder="0" applyAlignment="0" applyProtection="0"/>
    <xf numFmtId="179" fontId="2" fillId="28" borderId="0" applyNumberFormat="0" applyBorder="0" applyAlignment="0" applyProtection="0"/>
    <xf numFmtId="0" fontId="28" fillId="53" borderId="0" applyNumberFormat="0" applyBorder="0" applyAlignment="0" applyProtection="0"/>
    <xf numFmtId="0" fontId="29" fillId="53" borderId="0" applyNumberFormat="0" applyBorder="0" applyAlignment="0" applyProtection="0"/>
    <xf numFmtId="0" fontId="28" fillId="53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179" fontId="29" fillId="53" borderId="0" applyNumberFormat="0" applyBorder="0" applyAlignment="0" applyProtection="0"/>
    <xf numFmtId="0" fontId="28" fillId="53" borderId="0" applyNumberFormat="0" applyBorder="0" applyAlignment="0" applyProtection="0"/>
    <xf numFmtId="179" fontId="29" fillId="53" borderId="0" applyNumberFormat="0" applyBorder="0" applyAlignment="0" applyProtection="0"/>
    <xf numFmtId="179" fontId="2" fillId="28" borderId="0" applyNumberFormat="0" applyBorder="0" applyAlignment="0" applyProtection="0"/>
    <xf numFmtId="179" fontId="86" fillId="28" borderId="0" applyNumberFormat="0" applyBorder="0" applyAlignment="0" applyProtection="0"/>
    <xf numFmtId="0" fontId="86" fillId="28" borderId="0" applyNumberFormat="0" applyBorder="0" applyAlignment="0" applyProtection="0"/>
    <xf numFmtId="179" fontId="2" fillId="28" borderId="0" applyNumberFormat="0" applyBorder="0" applyAlignment="0" applyProtection="0"/>
    <xf numFmtId="179" fontId="86" fillId="28" borderId="0" applyNumberFormat="0" applyBorder="0" applyAlignment="0" applyProtection="0"/>
    <xf numFmtId="0" fontId="86" fillId="28" borderId="0" applyNumberFormat="0" applyBorder="0" applyAlignment="0" applyProtection="0"/>
    <xf numFmtId="179" fontId="2" fillId="28" borderId="0" applyNumberFormat="0" applyBorder="0" applyAlignment="0" applyProtection="0"/>
    <xf numFmtId="179" fontId="29" fillId="53" borderId="0" applyNumberFormat="0" applyBorder="0" applyAlignment="0" applyProtection="0"/>
    <xf numFmtId="179" fontId="2" fillId="28" borderId="0" applyNumberFormat="0" applyBorder="0" applyAlignment="0" applyProtection="0"/>
    <xf numFmtId="179" fontId="29" fillId="53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9" fillId="80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179" fontId="2" fillId="32" borderId="0" applyNumberFormat="0" applyBorder="0" applyAlignment="0" applyProtection="0"/>
    <xf numFmtId="179" fontId="2" fillId="32" borderId="0" applyNumberFormat="0" applyBorder="0" applyAlignment="0" applyProtection="0"/>
    <xf numFmtId="179" fontId="2" fillId="32" borderId="0" applyNumberFormat="0" applyBorder="0" applyAlignment="0" applyProtection="0"/>
    <xf numFmtId="0" fontId="2" fillId="80" borderId="0" applyNumberFormat="0" applyBorder="0" applyAlignment="0" applyProtection="0"/>
    <xf numFmtId="0" fontId="28" fillId="80" borderId="0" applyNumberFormat="0" applyBorder="0" applyAlignment="0" applyProtection="0"/>
    <xf numFmtId="0" fontId="2" fillId="32" borderId="0" applyNumberFormat="0" applyBorder="0" applyAlignment="0" applyProtection="0"/>
    <xf numFmtId="0" fontId="2" fillId="80" borderId="0" applyNumberFormat="0" applyBorder="0" applyAlignment="0" applyProtection="0"/>
    <xf numFmtId="0" fontId="29" fillId="81" borderId="0" applyNumberFormat="0" applyBorder="0" applyAlignment="0" applyProtection="0"/>
    <xf numFmtId="0" fontId="28" fillId="80" borderId="0" applyNumberFormat="0" applyBorder="0" applyAlignment="0" applyProtection="0"/>
    <xf numFmtId="0" fontId="2" fillId="80" borderId="0" applyNumberFormat="0" applyBorder="0" applyAlignment="0" applyProtection="0"/>
    <xf numFmtId="0" fontId="29" fillId="81" borderId="0" applyNumberFormat="0" applyBorder="0" applyAlignment="0" applyProtection="0"/>
    <xf numFmtId="0" fontId="2" fillId="32" borderId="0" applyNumberFormat="0" applyBorder="0" applyAlignment="0" applyProtection="0"/>
    <xf numFmtId="0" fontId="2" fillId="80" borderId="0" applyNumberFormat="0" applyBorder="0" applyAlignment="0" applyProtection="0"/>
    <xf numFmtId="0" fontId="29" fillId="80" borderId="0" applyNumberFormat="0" applyBorder="0" applyAlignment="0" applyProtection="0"/>
    <xf numFmtId="0" fontId="2" fillId="80" borderId="0" applyNumberFormat="0" applyBorder="0" applyAlignment="0" applyProtection="0"/>
    <xf numFmtId="0" fontId="2" fillId="32" borderId="0" applyNumberFormat="0" applyBorder="0" applyAlignment="0" applyProtection="0"/>
    <xf numFmtId="0" fontId="2" fillId="80" borderId="0" applyNumberFormat="0" applyBorder="0" applyAlignment="0" applyProtection="0"/>
    <xf numFmtId="0" fontId="29" fillId="81" borderId="0" applyNumberFormat="0" applyBorder="0" applyAlignment="0" applyProtection="0"/>
    <xf numFmtId="179" fontId="2" fillId="32" borderId="0" applyNumberFormat="0" applyBorder="0" applyAlignment="0" applyProtection="0"/>
    <xf numFmtId="0" fontId="2" fillId="80" borderId="0" applyNumberFormat="0" applyBorder="0" applyAlignment="0" applyProtection="0"/>
    <xf numFmtId="0" fontId="29" fillId="81" borderId="0" applyNumberFormat="0" applyBorder="0" applyAlignment="0" applyProtection="0"/>
    <xf numFmtId="0" fontId="29" fillId="8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179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80" borderId="0" applyNumberFormat="0" applyBorder="0" applyAlignment="0" applyProtection="0"/>
    <xf numFmtId="0" fontId="2" fillId="32" borderId="0" applyNumberFormat="0" applyBorder="0" applyAlignment="0" applyProtection="0"/>
    <xf numFmtId="0" fontId="2" fillId="80" borderId="0" applyNumberFormat="0" applyBorder="0" applyAlignment="0" applyProtection="0"/>
    <xf numFmtId="0" fontId="2" fillId="32" borderId="0" applyNumberFormat="0" applyBorder="0" applyAlignment="0" applyProtection="0"/>
    <xf numFmtId="0" fontId="2" fillId="80" borderId="0" applyNumberFormat="0" applyBorder="0" applyAlignment="0" applyProtection="0"/>
    <xf numFmtId="0" fontId="2" fillId="32" borderId="0" applyNumberFormat="0" applyBorder="0" applyAlignment="0" applyProtection="0"/>
    <xf numFmtId="0" fontId="2" fillId="80" borderId="0" applyNumberFormat="0" applyBorder="0" applyAlignment="0" applyProtection="0"/>
    <xf numFmtId="0" fontId="2" fillId="32" borderId="0" applyNumberFormat="0" applyBorder="0" applyAlignment="0" applyProtection="0"/>
    <xf numFmtId="0" fontId="2" fillId="80" borderId="0" applyNumberFormat="0" applyBorder="0" applyAlignment="0" applyProtection="0"/>
    <xf numFmtId="0" fontId="2" fillId="32" borderId="0" applyNumberFormat="0" applyBorder="0" applyAlignment="0" applyProtection="0"/>
    <xf numFmtId="0" fontId="2" fillId="80" borderId="0" applyNumberFormat="0" applyBorder="0" applyAlignment="0" applyProtection="0"/>
    <xf numFmtId="0" fontId="2" fillId="32" borderId="0" applyNumberFormat="0" applyBorder="0" applyAlignment="0" applyProtection="0"/>
    <xf numFmtId="179" fontId="2" fillId="32" borderId="0" applyNumberFormat="0" applyBorder="0" applyAlignment="0" applyProtection="0"/>
    <xf numFmtId="0" fontId="2" fillId="80" borderId="0" applyNumberFormat="0" applyBorder="0" applyAlignment="0" applyProtection="0"/>
    <xf numFmtId="0" fontId="2" fillId="32" borderId="0" applyNumberFormat="0" applyBorder="0" applyAlignment="0" applyProtection="0"/>
    <xf numFmtId="0" fontId="28" fillId="80" borderId="0" applyNumberFormat="0" applyBorder="0" applyAlignment="0" applyProtection="0"/>
    <xf numFmtId="0" fontId="2" fillId="32" borderId="0" applyNumberFormat="0" applyBorder="0" applyAlignment="0" applyProtection="0"/>
    <xf numFmtId="0" fontId="29" fillId="80" borderId="0" applyNumberFormat="0" applyBorder="0" applyAlignment="0" applyProtection="0"/>
    <xf numFmtId="0" fontId="2" fillId="80" borderId="0" applyNumberFormat="0" applyBorder="0" applyAlignment="0" applyProtection="0"/>
    <xf numFmtId="0" fontId="2" fillId="32" borderId="0" applyNumberFormat="0" applyBorder="0" applyAlignment="0" applyProtection="0"/>
    <xf numFmtId="0" fontId="2" fillId="80" borderId="0" applyNumberFormat="0" applyBorder="0" applyAlignment="0" applyProtection="0"/>
    <xf numFmtId="0" fontId="2" fillId="32" borderId="0" applyNumberFormat="0" applyBorder="0" applyAlignment="0" applyProtection="0"/>
    <xf numFmtId="0" fontId="2" fillId="80" borderId="0" applyNumberFormat="0" applyBorder="0" applyAlignment="0" applyProtection="0"/>
    <xf numFmtId="0" fontId="2" fillId="32" borderId="0" applyNumberFormat="0" applyBorder="0" applyAlignment="0" applyProtection="0"/>
    <xf numFmtId="0" fontId="2" fillId="80" borderId="0" applyNumberFormat="0" applyBorder="0" applyAlignment="0" applyProtection="0"/>
    <xf numFmtId="0" fontId="2" fillId="32" borderId="0" applyNumberFormat="0" applyBorder="0" applyAlignment="0" applyProtection="0"/>
    <xf numFmtId="0" fontId="2" fillId="80" borderId="0" applyNumberFormat="0" applyBorder="0" applyAlignment="0" applyProtection="0"/>
    <xf numFmtId="0" fontId="2" fillId="32" borderId="0" applyNumberFormat="0" applyBorder="0" applyAlignment="0" applyProtection="0"/>
    <xf numFmtId="0" fontId="2" fillId="80" borderId="0" applyNumberFormat="0" applyBorder="0" applyAlignment="0" applyProtection="0"/>
    <xf numFmtId="0" fontId="2" fillId="32" borderId="0" applyNumberFormat="0" applyBorder="0" applyAlignment="0" applyProtection="0"/>
    <xf numFmtId="0" fontId="2" fillId="80" borderId="0" applyNumberFormat="0" applyBorder="0" applyAlignment="0" applyProtection="0"/>
    <xf numFmtId="0" fontId="2" fillId="32" borderId="0" applyNumberFormat="0" applyBorder="0" applyAlignment="0" applyProtection="0"/>
    <xf numFmtId="179" fontId="2" fillId="32" borderId="0" applyNumberFormat="0" applyBorder="0" applyAlignment="0" applyProtection="0"/>
    <xf numFmtId="0" fontId="2" fillId="80" borderId="0" applyNumberFormat="0" applyBorder="0" applyAlignment="0" applyProtection="0"/>
    <xf numFmtId="0" fontId="2" fillId="32" borderId="0" applyNumberFormat="0" applyBorder="0" applyAlignment="0" applyProtection="0"/>
    <xf numFmtId="0" fontId="28" fillId="80" borderId="0" applyNumberFormat="0" applyBorder="0" applyAlignment="0" applyProtection="0"/>
    <xf numFmtId="0" fontId="2" fillId="80" borderId="0" applyNumberFormat="0" applyBorder="0" applyAlignment="0" applyProtection="0"/>
    <xf numFmtId="0" fontId="29" fillId="80" borderId="0" applyNumberFormat="0" applyBorder="0" applyAlignment="0" applyProtection="0"/>
    <xf numFmtId="0" fontId="28" fillId="80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9" fillId="57" borderId="0" applyNumberFormat="0" applyBorder="0" applyAlignment="0" applyProtection="0"/>
    <xf numFmtId="179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" fillId="32" borderId="0" applyNumberFormat="0" applyBorder="0" applyAlignment="0" applyProtection="0"/>
    <xf numFmtId="0" fontId="29" fillId="57" borderId="0" applyNumberFormat="0" applyBorder="0" applyAlignment="0" applyProtection="0"/>
    <xf numFmtId="0" fontId="28" fillId="80" borderId="0" applyNumberFormat="0" applyBorder="0" applyAlignment="0" applyProtection="0"/>
    <xf numFmtId="179" fontId="29" fillId="57" borderId="0" applyNumberFormat="0" applyBorder="0" applyAlignment="0" applyProtection="0"/>
    <xf numFmtId="179" fontId="2" fillId="32" borderId="0" applyNumberFormat="0" applyBorder="0" applyAlignment="0" applyProtection="0"/>
    <xf numFmtId="179" fontId="86" fillId="32" borderId="0" applyNumberFormat="0" applyBorder="0" applyAlignment="0" applyProtection="0"/>
    <xf numFmtId="0" fontId="86" fillId="32" borderId="0" applyNumberFormat="0" applyBorder="0" applyAlignment="0" applyProtection="0"/>
    <xf numFmtId="179" fontId="2" fillId="32" borderId="0" applyNumberFormat="0" applyBorder="0" applyAlignment="0" applyProtection="0"/>
    <xf numFmtId="179" fontId="86" fillId="32" borderId="0" applyNumberFormat="0" applyBorder="0" applyAlignment="0" applyProtection="0"/>
    <xf numFmtId="0" fontId="86" fillId="32" borderId="0" applyNumberFormat="0" applyBorder="0" applyAlignment="0" applyProtection="0"/>
    <xf numFmtId="179" fontId="2" fillId="32" borderId="0" applyNumberFormat="0" applyBorder="0" applyAlignment="0" applyProtection="0"/>
    <xf numFmtId="0" fontId="2" fillId="80" borderId="0" applyNumberFormat="0" applyBorder="0" applyAlignment="0" applyProtection="0"/>
    <xf numFmtId="179" fontId="29" fillId="57" borderId="0" applyNumberFormat="0" applyBorder="0" applyAlignment="0" applyProtection="0"/>
    <xf numFmtId="179" fontId="2" fillId="32" borderId="0" applyNumberFormat="0" applyBorder="0" applyAlignment="0" applyProtection="0"/>
    <xf numFmtId="179" fontId="29" fillId="57" borderId="0" applyNumberFormat="0" applyBorder="0" applyAlignment="0" applyProtection="0"/>
    <xf numFmtId="0" fontId="2" fillId="32" borderId="0" applyNumberFormat="0" applyBorder="0" applyAlignment="0" applyProtection="0"/>
    <xf numFmtId="0" fontId="29" fillId="80" borderId="0" applyNumberFormat="0" applyBorder="0" applyAlignment="0" applyProtection="0"/>
    <xf numFmtId="0" fontId="2" fillId="32" borderId="0" applyNumberFormat="0" applyBorder="0" applyAlignment="0" applyProtection="0"/>
    <xf numFmtId="0" fontId="29" fillId="80" borderId="0" applyNumberFormat="0" applyBorder="0" applyAlignment="0" applyProtection="0"/>
    <xf numFmtId="0" fontId="2" fillId="32" borderId="0" applyNumberFormat="0" applyBorder="0" applyAlignment="0" applyProtection="0"/>
    <xf numFmtId="0" fontId="29" fillId="80" borderId="0" applyNumberFormat="0" applyBorder="0" applyAlignment="0" applyProtection="0"/>
    <xf numFmtId="0" fontId="2" fillId="32" borderId="0" applyNumberFormat="0" applyBorder="0" applyAlignment="0" applyProtection="0"/>
    <xf numFmtId="0" fontId="29" fillId="80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9" fontId="2" fillId="36" borderId="0" applyNumberFormat="0" applyBorder="0" applyAlignment="0" applyProtection="0"/>
    <xf numFmtId="179" fontId="2" fillId="36" borderId="0" applyNumberFormat="0" applyBorder="0" applyAlignment="0" applyProtection="0"/>
    <xf numFmtId="179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8" fillId="74" borderId="0" applyNumberFormat="0" applyBorder="0" applyAlignment="0" applyProtection="0"/>
    <xf numFmtId="0" fontId="2" fillId="36" borderId="0" applyNumberFormat="0" applyBorder="0" applyAlignment="0" applyProtection="0"/>
    <xf numFmtId="0" fontId="29" fillId="75" borderId="0" applyNumberFormat="0" applyBorder="0" applyAlignment="0" applyProtection="0"/>
    <xf numFmtId="0" fontId="28" fillId="74" borderId="0" applyNumberFormat="0" applyBorder="0" applyAlignment="0" applyProtection="0"/>
    <xf numFmtId="0" fontId="2" fillId="36" borderId="0" applyNumberFormat="0" applyBorder="0" applyAlignment="0" applyProtection="0"/>
    <xf numFmtId="0" fontId="29" fillId="75" borderId="0" applyNumberFormat="0" applyBorder="0" applyAlignment="0" applyProtection="0"/>
    <xf numFmtId="0" fontId="2" fillId="36" borderId="0" applyNumberFormat="0" applyBorder="0" applyAlignment="0" applyProtection="0"/>
    <xf numFmtId="0" fontId="29" fillId="74" borderId="0" applyNumberFormat="0" applyBorder="0" applyAlignment="0" applyProtection="0"/>
    <xf numFmtId="0" fontId="29" fillId="75" borderId="0" applyNumberFormat="0" applyBorder="0" applyAlignment="0" applyProtection="0"/>
    <xf numFmtId="179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9" fillId="75" borderId="0" applyNumberFormat="0" applyBorder="0" applyAlignment="0" applyProtection="0"/>
    <xf numFmtId="0" fontId="29" fillId="7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9" fontId="2" fillId="36" borderId="0" applyNumberFormat="0" applyBorder="0" applyAlignment="0" applyProtection="0"/>
    <xf numFmtId="179" fontId="2" fillId="36" borderId="0" applyNumberFormat="0" applyBorder="0" applyAlignment="0" applyProtection="0"/>
    <xf numFmtId="0" fontId="28" fillId="74" borderId="0" applyNumberFormat="0" applyBorder="0" applyAlignment="0" applyProtection="0"/>
    <xf numFmtId="0" fontId="2" fillId="36" borderId="0" applyNumberFormat="0" applyBorder="0" applyAlignment="0" applyProtection="0"/>
    <xf numFmtId="0" fontId="29" fillId="74" borderId="0" applyNumberFormat="0" applyBorder="0" applyAlignment="0" applyProtection="0"/>
    <xf numFmtId="179" fontId="2" fillId="36" borderId="0" applyNumberFormat="0" applyBorder="0" applyAlignment="0" applyProtection="0"/>
    <xf numFmtId="0" fontId="28" fillId="74" borderId="0" applyNumberFormat="0" applyBorder="0" applyAlignment="0" applyProtection="0"/>
    <xf numFmtId="0" fontId="29" fillId="74" borderId="0" applyNumberFormat="0" applyBorder="0" applyAlignment="0" applyProtection="0"/>
    <xf numFmtId="0" fontId="28" fillId="74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9" fillId="56" borderId="0" applyNumberFormat="0" applyBorder="0" applyAlignment="0" applyProtection="0"/>
    <xf numFmtId="179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9" fillId="56" borderId="0" applyNumberFormat="0" applyBorder="0" applyAlignment="0" applyProtection="0"/>
    <xf numFmtId="0" fontId="28" fillId="74" borderId="0" applyNumberFormat="0" applyBorder="0" applyAlignment="0" applyProtection="0"/>
    <xf numFmtId="179" fontId="29" fillId="56" borderId="0" applyNumberFormat="0" applyBorder="0" applyAlignment="0" applyProtection="0"/>
    <xf numFmtId="179" fontId="2" fillId="36" borderId="0" applyNumberFormat="0" applyBorder="0" applyAlignment="0" applyProtection="0"/>
    <xf numFmtId="179" fontId="86" fillId="36" borderId="0" applyNumberFormat="0" applyBorder="0" applyAlignment="0" applyProtection="0"/>
    <xf numFmtId="0" fontId="86" fillId="36" borderId="0" applyNumberFormat="0" applyBorder="0" applyAlignment="0" applyProtection="0"/>
    <xf numFmtId="179" fontId="2" fillId="36" borderId="0" applyNumberFormat="0" applyBorder="0" applyAlignment="0" applyProtection="0"/>
    <xf numFmtId="179" fontId="86" fillId="36" borderId="0" applyNumberFormat="0" applyBorder="0" applyAlignment="0" applyProtection="0"/>
    <xf numFmtId="0" fontId="86" fillId="36" borderId="0" applyNumberFormat="0" applyBorder="0" applyAlignment="0" applyProtection="0"/>
    <xf numFmtId="179" fontId="2" fillId="36" borderId="0" applyNumberFormat="0" applyBorder="0" applyAlignment="0" applyProtection="0"/>
    <xf numFmtId="179" fontId="29" fillId="56" borderId="0" applyNumberFormat="0" applyBorder="0" applyAlignment="0" applyProtection="0"/>
    <xf numFmtId="179" fontId="2" fillId="36" borderId="0" applyNumberFormat="0" applyBorder="0" applyAlignment="0" applyProtection="0"/>
    <xf numFmtId="179" fontId="29" fillId="5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179" fontId="2" fillId="40" borderId="0" applyNumberFormat="0" applyBorder="0" applyAlignment="0" applyProtection="0"/>
    <xf numFmtId="179" fontId="2" fillId="40" borderId="0" applyNumberFormat="0" applyBorder="0" applyAlignment="0" applyProtection="0"/>
    <xf numFmtId="179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8" fillId="58" borderId="0" applyNumberFormat="0" applyBorder="0" applyAlignment="0" applyProtection="0"/>
    <xf numFmtId="0" fontId="2" fillId="40" borderId="0" applyNumberFormat="0" applyBorder="0" applyAlignment="0" applyProtection="0"/>
    <xf numFmtId="0" fontId="29" fillId="78" borderId="0" applyNumberFormat="0" applyBorder="0" applyAlignment="0" applyProtection="0"/>
    <xf numFmtId="0" fontId="28" fillId="58" borderId="0" applyNumberFormat="0" applyBorder="0" applyAlignment="0" applyProtection="0"/>
    <xf numFmtId="0" fontId="2" fillId="40" borderId="0" applyNumberFormat="0" applyBorder="0" applyAlignment="0" applyProtection="0"/>
    <xf numFmtId="0" fontId="29" fillId="78" borderId="0" applyNumberFormat="0" applyBorder="0" applyAlignment="0" applyProtection="0"/>
    <xf numFmtId="0" fontId="2" fillId="40" borderId="0" applyNumberFormat="0" applyBorder="0" applyAlignment="0" applyProtection="0"/>
    <xf numFmtId="0" fontId="29" fillId="58" borderId="0" applyNumberFormat="0" applyBorder="0" applyAlignment="0" applyProtection="0"/>
    <xf numFmtId="0" fontId="29" fillId="78" borderId="0" applyNumberFormat="0" applyBorder="0" applyAlignment="0" applyProtection="0"/>
    <xf numFmtId="179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9" fillId="78" borderId="0" applyNumberFormat="0" applyBorder="0" applyAlignment="0" applyProtection="0"/>
    <xf numFmtId="0" fontId="29" fillId="78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179" fontId="2" fillId="40" borderId="0" applyNumberFormat="0" applyBorder="0" applyAlignment="0" applyProtection="0"/>
    <xf numFmtId="179" fontId="2" fillId="40" borderId="0" applyNumberFormat="0" applyBorder="0" applyAlignment="0" applyProtection="0"/>
    <xf numFmtId="0" fontId="28" fillId="58" borderId="0" applyNumberFormat="0" applyBorder="0" applyAlignment="0" applyProtection="0"/>
    <xf numFmtId="0" fontId="2" fillId="40" borderId="0" applyNumberFormat="0" applyBorder="0" applyAlignment="0" applyProtection="0"/>
    <xf numFmtId="0" fontId="29" fillId="58" borderId="0" applyNumberFormat="0" applyBorder="0" applyAlignment="0" applyProtection="0"/>
    <xf numFmtId="179" fontId="2" fillId="40" borderId="0" applyNumberFormat="0" applyBorder="0" applyAlignment="0" applyProtection="0"/>
    <xf numFmtId="0" fontId="28" fillId="58" borderId="0" applyNumberFormat="0" applyBorder="0" applyAlignment="0" applyProtection="0"/>
    <xf numFmtId="0" fontId="29" fillId="58" borderId="0" applyNumberFormat="0" applyBorder="0" applyAlignment="0" applyProtection="0"/>
    <xf numFmtId="0" fontId="28" fillId="58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179" fontId="29" fillId="58" borderId="0" applyNumberFormat="0" applyBorder="0" applyAlignment="0" applyProtection="0"/>
    <xf numFmtId="0" fontId="28" fillId="58" borderId="0" applyNumberFormat="0" applyBorder="0" applyAlignment="0" applyProtection="0"/>
    <xf numFmtId="179" fontId="29" fillId="58" borderId="0" applyNumberFormat="0" applyBorder="0" applyAlignment="0" applyProtection="0"/>
    <xf numFmtId="179" fontId="2" fillId="40" borderId="0" applyNumberFormat="0" applyBorder="0" applyAlignment="0" applyProtection="0"/>
    <xf numFmtId="179" fontId="86" fillId="40" borderId="0" applyNumberFormat="0" applyBorder="0" applyAlignment="0" applyProtection="0"/>
    <xf numFmtId="0" fontId="86" fillId="40" borderId="0" applyNumberFormat="0" applyBorder="0" applyAlignment="0" applyProtection="0"/>
    <xf numFmtId="179" fontId="2" fillId="40" borderId="0" applyNumberFormat="0" applyBorder="0" applyAlignment="0" applyProtection="0"/>
    <xf numFmtId="179" fontId="86" fillId="40" borderId="0" applyNumberFormat="0" applyBorder="0" applyAlignment="0" applyProtection="0"/>
    <xf numFmtId="0" fontId="86" fillId="40" borderId="0" applyNumberFormat="0" applyBorder="0" applyAlignment="0" applyProtection="0"/>
    <xf numFmtId="179" fontId="2" fillId="40" borderId="0" applyNumberFormat="0" applyBorder="0" applyAlignment="0" applyProtection="0"/>
    <xf numFmtId="179" fontId="29" fillId="58" borderId="0" applyNumberFormat="0" applyBorder="0" applyAlignment="0" applyProtection="0"/>
    <xf numFmtId="179" fontId="2" fillId="40" borderId="0" applyNumberFormat="0" applyBorder="0" applyAlignment="0" applyProtection="0"/>
    <xf numFmtId="179" fontId="29" fillId="58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179" fontId="2" fillId="44" borderId="0" applyNumberFormat="0" applyBorder="0" applyAlignment="0" applyProtection="0"/>
    <xf numFmtId="179" fontId="2" fillId="44" borderId="0" applyNumberFormat="0" applyBorder="0" applyAlignment="0" applyProtection="0"/>
    <xf numFmtId="179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8" fillId="82" borderId="0" applyNumberFormat="0" applyBorder="0" applyAlignment="0" applyProtection="0"/>
    <xf numFmtId="0" fontId="2" fillId="44" borderId="0" applyNumberFormat="0" applyBorder="0" applyAlignment="0" applyProtection="0"/>
    <xf numFmtId="0" fontId="29" fillId="83" borderId="0" applyNumberFormat="0" applyBorder="0" applyAlignment="0" applyProtection="0"/>
    <xf numFmtId="0" fontId="28" fillId="82" borderId="0" applyNumberFormat="0" applyBorder="0" applyAlignment="0" applyProtection="0"/>
    <xf numFmtId="0" fontId="2" fillId="44" borderId="0" applyNumberFormat="0" applyBorder="0" applyAlignment="0" applyProtection="0"/>
    <xf numFmtId="0" fontId="29" fillId="83" borderId="0" applyNumberFormat="0" applyBorder="0" applyAlignment="0" applyProtection="0"/>
    <xf numFmtId="0" fontId="2" fillId="44" borderId="0" applyNumberFormat="0" applyBorder="0" applyAlignment="0" applyProtection="0"/>
    <xf numFmtId="0" fontId="29" fillId="82" borderId="0" applyNumberFormat="0" applyBorder="0" applyAlignment="0" applyProtection="0"/>
    <xf numFmtId="0" fontId="29" fillId="83" borderId="0" applyNumberFormat="0" applyBorder="0" applyAlignment="0" applyProtection="0"/>
    <xf numFmtId="179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9" fillId="83" borderId="0" applyNumberFormat="0" applyBorder="0" applyAlignment="0" applyProtection="0"/>
    <xf numFmtId="0" fontId="29" fillId="83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179" fontId="2" fillId="44" borderId="0" applyNumberFormat="0" applyBorder="0" applyAlignment="0" applyProtection="0"/>
    <xf numFmtId="179" fontId="2" fillId="44" borderId="0" applyNumberFormat="0" applyBorder="0" applyAlignment="0" applyProtection="0"/>
    <xf numFmtId="0" fontId="28" fillId="82" borderId="0" applyNumberFormat="0" applyBorder="0" applyAlignment="0" applyProtection="0"/>
    <xf numFmtId="0" fontId="2" fillId="44" borderId="0" applyNumberFormat="0" applyBorder="0" applyAlignment="0" applyProtection="0"/>
    <xf numFmtId="0" fontId="29" fillId="82" borderId="0" applyNumberFormat="0" applyBorder="0" applyAlignment="0" applyProtection="0"/>
    <xf numFmtId="179" fontId="2" fillId="44" borderId="0" applyNumberFormat="0" applyBorder="0" applyAlignment="0" applyProtection="0"/>
    <xf numFmtId="0" fontId="28" fillId="82" borderId="0" applyNumberFormat="0" applyBorder="0" applyAlignment="0" applyProtection="0"/>
    <xf numFmtId="0" fontId="29" fillId="82" borderId="0" applyNumberFormat="0" applyBorder="0" applyAlignment="0" applyProtection="0"/>
    <xf numFmtId="0" fontId="28" fillId="82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9" fillId="57" borderId="0" applyNumberFormat="0" applyBorder="0" applyAlignment="0" applyProtection="0"/>
    <xf numFmtId="179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8" fillId="82" borderId="0" applyNumberFormat="0" applyBorder="0" applyAlignment="0" applyProtection="0"/>
    <xf numFmtId="179" fontId="29" fillId="57" borderId="0" applyNumberFormat="0" applyBorder="0" applyAlignment="0" applyProtection="0"/>
    <xf numFmtId="179" fontId="2" fillId="44" borderId="0" applyNumberFormat="0" applyBorder="0" applyAlignment="0" applyProtection="0"/>
    <xf numFmtId="179" fontId="86" fillId="44" borderId="0" applyNumberFormat="0" applyBorder="0" applyAlignment="0" applyProtection="0"/>
    <xf numFmtId="0" fontId="86" fillId="44" borderId="0" applyNumberFormat="0" applyBorder="0" applyAlignment="0" applyProtection="0"/>
    <xf numFmtId="179" fontId="2" fillId="44" borderId="0" applyNumberFormat="0" applyBorder="0" applyAlignment="0" applyProtection="0"/>
    <xf numFmtId="179" fontId="86" fillId="44" borderId="0" applyNumberFormat="0" applyBorder="0" applyAlignment="0" applyProtection="0"/>
    <xf numFmtId="0" fontId="86" fillId="44" borderId="0" applyNumberFormat="0" applyBorder="0" applyAlignment="0" applyProtection="0"/>
    <xf numFmtId="179" fontId="2" fillId="44" borderId="0" applyNumberFormat="0" applyBorder="0" applyAlignment="0" applyProtection="0"/>
    <xf numFmtId="179" fontId="29" fillId="57" borderId="0" applyNumberFormat="0" applyBorder="0" applyAlignment="0" applyProtection="0"/>
    <xf numFmtId="179" fontId="2" fillId="44" borderId="0" applyNumberFormat="0" applyBorder="0" applyAlignment="0" applyProtection="0"/>
    <xf numFmtId="179" fontId="29" fillId="57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139" fillId="84" borderId="0" applyNumberFormat="0" applyBorder="0" applyAlignment="0" applyProtection="0"/>
    <xf numFmtId="0" fontId="139" fillId="53" borderId="0" applyNumberFormat="0" applyBorder="0" applyAlignment="0" applyProtection="0"/>
    <xf numFmtId="0" fontId="139" fillId="80" borderId="0" applyNumberFormat="0" applyBorder="0" applyAlignment="0" applyProtection="0"/>
    <xf numFmtId="0" fontId="139" fillId="86" borderId="0" applyNumberFormat="0" applyBorder="0" applyAlignment="0" applyProtection="0"/>
    <xf numFmtId="0" fontId="139" fillId="59" borderId="0" applyNumberFormat="0" applyBorder="0" applyAlignment="0" applyProtection="0"/>
    <xf numFmtId="0" fontId="139" fillId="8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179" fontId="27" fillId="25" borderId="0" applyNumberFormat="0" applyBorder="0" applyAlignment="0" applyProtection="0"/>
    <xf numFmtId="179" fontId="27" fillId="25" borderId="0" applyNumberFormat="0" applyBorder="0" applyAlignment="0" applyProtection="0"/>
    <xf numFmtId="179" fontId="27" fillId="25" borderId="0" applyNumberFormat="0" applyBorder="0" applyAlignment="0" applyProtection="0"/>
    <xf numFmtId="179" fontId="27" fillId="25" borderId="0" applyNumberFormat="0" applyBorder="0" applyAlignment="0" applyProtection="0"/>
    <xf numFmtId="0" fontId="92" fillId="85" borderId="0" applyNumberFormat="0" applyBorder="0" applyAlignment="0" applyProtection="0"/>
    <xf numFmtId="179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92" fillId="84" borderId="0" applyNumberFormat="0" applyBorder="0" applyAlignment="0" applyProtection="0"/>
    <xf numFmtId="0" fontId="28" fillId="84" borderId="0" applyNumberFormat="0" applyBorder="0" applyAlignment="0" applyProtection="0"/>
    <xf numFmtId="179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92" fillId="84" borderId="0" applyNumberFormat="0" applyBorder="0" applyAlignment="0" applyProtection="0"/>
    <xf numFmtId="0" fontId="28" fillId="84" borderId="0" applyNumberFormat="0" applyBorder="0" applyAlignment="0" applyProtection="0"/>
    <xf numFmtId="179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92" fillId="84" borderId="0" applyNumberFormat="0" applyBorder="0" applyAlignment="0" applyProtection="0"/>
    <xf numFmtId="0" fontId="28" fillId="84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179" fontId="92" fillId="59" borderId="0" applyNumberFormat="0" applyBorder="0" applyAlignment="0" applyProtection="0"/>
    <xf numFmtId="0" fontId="28" fillId="84" borderId="0" applyNumberFormat="0" applyBorder="0" applyAlignment="0" applyProtection="0"/>
    <xf numFmtId="179" fontId="27" fillId="25" borderId="0" applyNumberFormat="0" applyBorder="0" applyAlignment="0" applyProtection="0"/>
    <xf numFmtId="179" fontId="140" fillId="25" borderId="0" applyNumberFormat="0" applyBorder="0" applyAlignment="0" applyProtection="0"/>
    <xf numFmtId="0" fontId="140" fillId="25" borderId="0" applyNumberFormat="0" applyBorder="0" applyAlignment="0" applyProtection="0"/>
    <xf numFmtId="179" fontId="27" fillId="25" borderId="0" applyNumberFormat="0" applyBorder="0" applyAlignment="0" applyProtection="0"/>
    <xf numFmtId="179" fontId="140" fillId="25" borderId="0" applyNumberFormat="0" applyBorder="0" applyAlignment="0" applyProtection="0"/>
    <xf numFmtId="0" fontId="140" fillId="25" borderId="0" applyNumberFormat="0" applyBorder="0" applyAlignment="0" applyProtection="0"/>
    <xf numFmtId="179" fontId="27" fillId="25" borderId="0" applyNumberFormat="0" applyBorder="0" applyAlignment="0" applyProtection="0"/>
    <xf numFmtId="179" fontId="27" fillId="25" borderId="0" applyNumberFormat="0" applyBorder="0" applyAlignment="0" applyProtection="0"/>
    <xf numFmtId="179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179" fontId="27" fillId="29" borderId="0" applyNumberFormat="0" applyBorder="0" applyAlignment="0" applyProtection="0"/>
    <xf numFmtId="179" fontId="27" fillId="29" borderId="0" applyNumberFormat="0" applyBorder="0" applyAlignment="0" applyProtection="0"/>
    <xf numFmtId="179" fontId="27" fillId="29" borderId="0" applyNumberFormat="0" applyBorder="0" applyAlignment="0" applyProtection="0"/>
    <xf numFmtId="179" fontId="27" fillId="29" borderId="0" applyNumberFormat="0" applyBorder="0" applyAlignment="0" applyProtection="0"/>
    <xf numFmtId="0" fontId="92" fillId="79" borderId="0" applyNumberFormat="0" applyBorder="0" applyAlignment="0" applyProtection="0"/>
    <xf numFmtId="179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92" fillId="53" borderId="0" applyNumberFormat="0" applyBorder="0" applyAlignment="0" applyProtection="0"/>
    <xf numFmtId="0" fontId="28" fillId="53" borderId="0" applyNumberFormat="0" applyBorder="0" applyAlignment="0" applyProtection="0"/>
    <xf numFmtId="179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92" fillId="53" borderId="0" applyNumberFormat="0" applyBorder="0" applyAlignment="0" applyProtection="0"/>
    <xf numFmtId="0" fontId="28" fillId="53" borderId="0" applyNumberFormat="0" applyBorder="0" applyAlignment="0" applyProtection="0"/>
    <xf numFmtId="179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92" fillId="53" borderId="0" applyNumberFormat="0" applyBorder="0" applyAlignment="0" applyProtection="0"/>
    <xf numFmtId="0" fontId="28" fillId="53" borderId="0" applyNumberFormat="0" applyBorder="0" applyAlignment="0" applyProtection="0"/>
    <xf numFmtId="179" fontId="92" fillId="53" borderId="0" applyNumberFormat="0" applyBorder="0" applyAlignment="0" applyProtection="0"/>
    <xf numFmtId="0" fontId="28" fillId="53" borderId="0" applyNumberFormat="0" applyBorder="0" applyAlignment="0" applyProtection="0"/>
    <xf numFmtId="179" fontId="27" fillId="29" borderId="0" applyNumberFormat="0" applyBorder="0" applyAlignment="0" applyProtection="0"/>
    <xf numFmtId="179" fontId="140" fillId="29" borderId="0" applyNumberFormat="0" applyBorder="0" applyAlignment="0" applyProtection="0"/>
    <xf numFmtId="0" fontId="140" fillId="29" borderId="0" applyNumberFormat="0" applyBorder="0" applyAlignment="0" applyProtection="0"/>
    <xf numFmtId="179" fontId="27" fillId="29" borderId="0" applyNumberFormat="0" applyBorder="0" applyAlignment="0" applyProtection="0"/>
    <xf numFmtId="179" fontId="140" fillId="29" borderId="0" applyNumberFormat="0" applyBorder="0" applyAlignment="0" applyProtection="0"/>
    <xf numFmtId="0" fontId="140" fillId="29" borderId="0" applyNumberFormat="0" applyBorder="0" applyAlignment="0" applyProtection="0"/>
    <xf numFmtId="179" fontId="27" fillId="29" borderId="0" applyNumberFormat="0" applyBorder="0" applyAlignment="0" applyProtection="0"/>
    <xf numFmtId="179" fontId="27" fillId="29" borderId="0" applyNumberFormat="0" applyBorder="0" applyAlignment="0" applyProtection="0"/>
    <xf numFmtId="179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179" fontId="27" fillId="33" borderId="0" applyNumberFormat="0" applyBorder="0" applyAlignment="0" applyProtection="0"/>
    <xf numFmtId="179" fontId="27" fillId="33" borderId="0" applyNumberFormat="0" applyBorder="0" applyAlignment="0" applyProtection="0"/>
    <xf numFmtId="179" fontId="27" fillId="33" borderId="0" applyNumberFormat="0" applyBorder="0" applyAlignment="0" applyProtection="0"/>
    <xf numFmtId="179" fontId="27" fillId="33" borderId="0" applyNumberFormat="0" applyBorder="0" applyAlignment="0" applyProtection="0"/>
    <xf numFmtId="0" fontId="92" fillId="81" borderId="0" applyNumberFormat="0" applyBorder="0" applyAlignment="0" applyProtection="0"/>
    <xf numFmtId="179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92" fillId="80" borderId="0" applyNumberFormat="0" applyBorder="0" applyAlignment="0" applyProtection="0"/>
    <xf numFmtId="0" fontId="28" fillId="80" borderId="0" applyNumberFormat="0" applyBorder="0" applyAlignment="0" applyProtection="0"/>
    <xf numFmtId="179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80" borderId="0" applyNumberFormat="0" applyBorder="0" applyAlignment="0" applyProtection="0"/>
    <xf numFmtId="0" fontId="92" fillId="80" borderId="0" applyNumberFormat="0" applyBorder="0" applyAlignment="0" applyProtection="0"/>
    <xf numFmtId="0" fontId="28" fillId="80" borderId="0" applyNumberFormat="0" applyBorder="0" applyAlignment="0" applyProtection="0"/>
    <xf numFmtId="179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80" borderId="0" applyNumberFormat="0" applyBorder="0" applyAlignment="0" applyProtection="0"/>
    <xf numFmtId="0" fontId="92" fillId="80" borderId="0" applyNumberFormat="0" applyBorder="0" applyAlignment="0" applyProtection="0"/>
    <xf numFmtId="0" fontId="28" fillId="80" borderId="0" applyNumberFormat="0" applyBorder="0" applyAlignment="0" applyProtection="0"/>
    <xf numFmtId="0" fontId="92" fillId="57" borderId="0" applyNumberFormat="0" applyBorder="0" applyAlignment="0" applyProtection="0"/>
    <xf numFmtId="0" fontId="92" fillId="57" borderId="0" applyNumberFormat="0" applyBorder="0" applyAlignment="0" applyProtection="0"/>
    <xf numFmtId="0" fontId="27" fillId="33" borderId="0" applyNumberFormat="0" applyBorder="0" applyAlignment="0" applyProtection="0"/>
    <xf numFmtId="0" fontId="92" fillId="57" borderId="0" applyNumberFormat="0" applyBorder="0" applyAlignment="0" applyProtection="0"/>
    <xf numFmtId="179" fontId="92" fillId="57" borderId="0" applyNumberFormat="0" applyBorder="0" applyAlignment="0" applyProtection="0"/>
    <xf numFmtId="0" fontId="28" fillId="80" borderId="0" applyNumberFormat="0" applyBorder="0" applyAlignment="0" applyProtection="0"/>
    <xf numFmtId="179" fontId="27" fillId="33" borderId="0" applyNumberFormat="0" applyBorder="0" applyAlignment="0" applyProtection="0"/>
    <xf numFmtId="179" fontId="140" fillId="33" borderId="0" applyNumberFormat="0" applyBorder="0" applyAlignment="0" applyProtection="0"/>
    <xf numFmtId="0" fontId="140" fillId="33" borderId="0" applyNumberFormat="0" applyBorder="0" applyAlignment="0" applyProtection="0"/>
    <xf numFmtId="179" fontId="27" fillId="33" borderId="0" applyNumberFormat="0" applyBorder="0" applyAlignment="0" applyProtection="0"/>
    <xf numFmtId="179" fontId="140" fillId="33" borderId="0" applyNumberFormat="0" applyBorder="0" applyAlignment="0" applyProtection="0"/>
    <xf numFmtId="0" fontId="140" fillId="33" borderId="0" applyNumberFormat="0" applyBorder="0" applyAlignment="0" applyProtection="0"/>
    <xf numFmtId="179" fontId="27" fillId="33" borderId="0" applyNumberFormat="0" applyBorder="0" applyAlignment="0" applyProtection="0"/>
    <xf numFmtId="0" fontId="27" fillId="80" borderId="0" applyNumberFormat="0" applyBorder="0" applyAlignment="0" applyProtection="0"/>
    <xf numFmtId="0" fontId="27" fillId="80" borderId="0" applyNumberFormat="0" applyBorder="0" applyAlignment="0" applyProtection="0"/>
    <xf numFmtId="179" fontId="27" fillId="33" borderId="0" applyNumberFormat="0" applyBorder="0" applyAlignment="0" applyProtection="0"/>
    <xf numFmtId="179" fontId="92" fillId="57" borderId="0" applyNumberFormat="0" applyBorder="0" applyAlignment="0" applyProtection="0"/>
    <xf numFmtId="0" fontId="92" fillId="57" borderId="0" applyNumberFormat="0" applyBorder="0" applyAlignment="0" applyProtection="0"/>
    <xf numFmtId="0" fontId="27" fillId="33" borderId="0" applyNumberFormat="0" applyBorder="0" applyAlignment="0" applyProtection="0"/>
    <xf numFmtId="0" fontId="92" fillId="80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179" fontId="27" fillId="37" borderId="0" applyNumberFormat="0" applyBorder="0" applyAlignment="0" applyProtection="0"/>
    <xf numFmtId="179" fontId="27" fillId="37" borderId="0" applyNumberFormat="0" applyBorder="0" applyAlignment="0" applyProtection="0"/>
    <xf numFmtId="179" fontId="27" fillId="37" borderId="0" applyNumberFormat="0" applyBorder="0" applyAlignment="0" applyProtection="0"/>
    <xf numFmtId="179" fontId="27" fillId="37" borderId="0" applyNumberFormat="0" applyBorder="0" applyAlignment="0" applyProtection="0"/>
    <xf numFmtId="0" fontId="92" fillId="87" borderId="0" applyNumberFormat="0" applyBorder="0" applyAlignment="0" applyProtection="0"/>
    <xf numFmtId="179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92" fillId="86" borderId="0" applyNumberFormat="0" applyBorder="0" applyAlignment="0" applyProtection="0"/>
    <xf numFmtId="0" fontId="28" fillId="86" borderId="0" applyNumberFormat="0" applyBorder="0" applyAlignment="0" applyProtection="0"/>
    <xf numFmtId="179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86" borderId="0" applyNumberFormat="0" applyBorder="0" applyAlignment="0" applyProtection="0"/>
    <xf numFmtId="0" fontId="92" fillId="86" borderId="0" applyNumberFormat="0" applyBorder="0" applyAlignment="0" applyProtection="0"/>
    <xf numFmtId="0" fontId="28" fillId="86" borderId="0" applyNumberFormat="0" applyBorder="0" applyAlignment="0" applyProtection="0"/>
    <xf numFmtId="179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86" borderId="0" applyNumberFormat="0" applyBorder="0" applyAlignment="0" applyProtection="0"/>
    <xf numFmtId="0" fontId="92" fillId="86" borderId="0" applyNumberFormat="0" applyBorder="0" applyAlignment="0" applyProtection="0"/>
    <xf numFmtId="0" fontId="28" fillId="86" borderId="0" applyNumberFormat="0" applyBorder="0" applyAlignment="0" applyProtection="0"/>
    <xf numFmtId="0" fontId="92" fillId="56" borderId="0" applyNumberFormat="0" applyBorder="0" applyAlignment="0" applyProtection="0"/>
    <xf numFmtId="0" fontId="92" fillId="56" borderId="0" applyNumberFormat="0" applyBorder="0" applyAlignment="0" applyProtection="0"/>
    <xf numFmtId="0" fontId="27" fillId="37" borderId="0" applyNumberFormat="0" applyBorder="0" applyAlignment="0" applyProtection="0"/>
    <xf numFmtId="0" fontId="92" fillId="56" borderId="0" applyNumberFormat="0" applyBorder="0" applyAlignment="0" applyProtection="0"/>
    <xf numFmtId="179" fontId="92" fillId="56" borderId="0" applyNumberFormat="0" applyBorder="0" applyAlignment="0" applyProtection="0"/>
    <xf numFmtId="0" fontId="28" fillId="86" borderId="0" applyNumberFormat="0" applyBorder="0" applyAlignment="0" applyProtection="0"/>
    <xf numFmtId="179" fontId="27" fillId="37" borderId="0" applyNumberFormat="0" applyBorder="0" applyAlignment="0" applyProtection="0"/>
    <xf numFmtId="179" fontId="140" fillId="37" borderId="0" applyNumberFormat="0" applyBorder="0" applyAlignment="0" applyProtection="0"/>
    <xf numFmtId="0" fontId="140" fillId="37" borderId="0" applyNumberFormat="0" applyBorder="0" applyAlignment="0" applyProtection="0"/>
    <xf numFmtId="179" fontId="27" fillId="37" borderId="0" applyNumberFormat="0" applyBorder="0" applyAlignment="0" applyProtection="0"/>
    <xf numFmtId="179" fontId="140" fillId="37" borderId="0" applyNumberFormat="0" applyBorder="0" applyAlignment="0" applyProtection="0"/>
    <xf numFmtId="0" fontId="140" fillId="37" borderId="0" applyNumberFormat="0" applyBorder="0" applyAlignment="0" applyProtection="0"/>
    <xf numFmtId="179" fontId="27" fillId="37" borderId="0" applyNumberFormat="0" applyBorder="0" applyAlignment="0" applyProtection="0"/>
    <xf numFmtId="0" fontId="27" fillId="86" borderId="0" applyNumberFormat="0" applyBorder="0" applyAlignment="0" applyProtection="0"/>
    <xf numFmtId="0" fontId="27" fillId="86" borderId="0" applyNumberFormat="0" applyBorder="0" applyAlignment="0" applyProtection="0"/>
    <xf numFmtId="179" fontId="27" fillId="37" borderId="0" applyNumberFormat="0" applyBorder="0" applyAlignment="0" applyProtection="0"/>
    <xf numFmtId="179" fontId="92" fillId="56" borderId="0" applyNumberFormat="0" applyBorder="0" applyAlignment="0" applyProtection="0"/>
    <xf numFmtId="0" fontId="92" fillId="56" borderId="0" applyNumberFormat="0" applyBorder="0" applyAlignment="0" applyProtection="0"/>
    <xf numFmtId="0" fontId="27" fillId="37" borderId="0" applyNumberFormat="0" applyBorder="0" applyAlignment="0" applyProtection="0"/>
    <xf numFmtId="0" fontId="92" fillId="86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179" fontId="27" fillId="41" borderId="0" applyNumberFormat="0" applyBorder="0" applyAlignment="0" applyProtection="0"/>
    <xf numFmtId="179" fontId="27" fillId="41" borderId="0" applyNumberFormat="0" applyBorder="0" applyAlignment="0" applyProtection="0"/>
    <xf numFmtId="179" fontId="27" fillId="41" borderId="0" applyNumberFormat="0" applyBorder="0" applyAlignment="0" applyProtection="0"/>
    <xf numFmtId="179" fontId="27" fillId="41" borderId="0" applyNumberFormat="0" applyBorder="0" applyAlignment="0" applyProtection="0"/>
    <xf numFmtId="0" fontId="92" fillId="88" borderId="0" applyNumberFormat="0" applyBorder="0" applyAlignment="0" applyProtection="0"/>
    <xf numFmtId="179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92" fillId="59" borderId="0" applyNumberFormat="0" applyBorder="0" applyAlignment="0" applyProtection="0"/>
    <xf numFmtId="0" fontId="28" fillId="59" borderId="0" applyNumberFormat="0" applyBorder="0" applyAlignment="0" applyProtection="0"/>
    <xf numFmtId="179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92" fillId="59" borderId="0" applyNumberFormat="0" applyBorder="0" applyAlignment="0" applyProtection="0"/>
    <xf numFmtId="0" fontId="28" fillId="59" borderId="0" applyNumberFormat="0" applyBorder="0" applyAlignment="0" applyProtection="0"/>
    <xf numFmtId="179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92" fillId="59" borderId="0" applyNumberFormat="0" applyBorder="0" applyAlignment="0" applyProtection="0"/>
    <xf numFmtId="0" fontId="28" fillId="59" borderId="0" applyNumberFormat="0" applyBorder="0" applyAlignment="0" applyProtection="0"/>
    <xf numFmtId="179" fontId="92" fillId="59" borderId="0" applyNumberFormat="0" applyBorder="0" applyAlignment="0" applyProtection="0"/>
    <xf numFmtId="0" fontId="28" fillId="59" borderId="0" applyNumberFormat="0" applyBorder="0" applyAlignment="0" applyProtection="0"/>
    <xf numFmtId="179" fontId="140" fillId="41" borderId="0" applyNumberFormat="0" applyBorder="0" applyAlignment="0" applyProtection="0"/>
    <xf numFmtId="179" fontId="27" fillId="41" borderId="0" applyNumberFormat="0" applyBorder="0" applyAlignment="0" applyProtection="0"/>
    <xf numFmtId="0" fontId="140" fillId="41" borderId="0" applyNumberFormat="0" applyBorder="0" applyAlignment="0" applyProtection="0"/>
    <xf numFmtId="179" fontId="140" fillId="41" borderId="0" applyNumberFormat="0" applyBorder="0" applyAlignment="0" applyProtection="0"/>
    <xf numFmtId="179" fontId="27" fillId="41" borderId="0" applyNumberFormat="0" applyBorder="0" applyAlignment="0" applyProtection="0"/>
    <xf numFmtId="0" fontId="140" fillId="41" borderId="0" applyNumberFormat="0" applyBorder="0" applyAlignment="0" applyProtection="0"/>
    <xf numFmtId="179" fontId="27" fillId="41" borderId="0" applyNumberFormat="0" applyBorder="0" applyAlignment="0" applyProtection="0"/>
    <xf numFmtId="179" fontId="92" fillId="59" borderId="0" applyNumberFormat="0" applyBorder="0" applyAlignment="0" applyProtection="0"/>
    <xf numFmtId="179" fontId="27" fillId="41" borderId="0" applyNumberFormat="0" applyBorder="0" applyAlignment="0" applyProtection="0"/>
    <xf numFmtId="0" fontId="92" fillId="59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179" fontId="27" fillId="45" borderId="0" applyNumberFormat="0" applyBorder="0" applyAlignment="0" applyProtection="0"/>
    <xf numFmtId="179" fontId="27" fillId="45" borderId="0" applyNumberFormat="0" applyBorder="0" applyAlignment="0" applyProtection="0"/>
    <xf numFmtId="179" fontId="27" fillId="45" borderId="0" applyNumberFormat="0" applyBorder="0" applyAlignment="0" applyProtection="0"/>
    <xf numFmtId="179" fontId="27" fillId="45" borderId="0" applyNumberFormat="0" applyBorder="0" applyAlignment="0" applyProtection="0"/>
    <xf numFmtId="0" fontId="92" fillId="90" borderId="0" applyNumberFormat="0" applyBorder="0" applyAlignment="0" applyProtection="0"/>
    <xf numFmtId="179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92" fillId="89" borderId="0" applyNumberFormat="0" applyBorder="0" applyAlignment="0" applyProtection="0"/>
    <xf numFmtId="179" fontId="27" fillId="45" borderId="0" applyNumberFormat="0" applyBorder="0" applyAlignment="0" applyProtection="0"/>
    <xf numFmtId="0" fontId="28" fillId="89" borderId="0" applyNumberFormat="0" applyBorder="0" applyAlignment="0" applyProtection="0"/>
    <xf numFmtId="0" fontId="27" fillId="45" borderId="0" applyNumberFormat="0" applyBorder="0" applyAlignment="0" applyProtection="0"/>
    <xf numFmtId="0" fontId="27" fillId="89" borderId="0" applyNumberFormat="0" applyBorder="0" applyAlignment="0" applyProtection="0"/>
    <xf numFmtId="0" fontId="92" fillId="89" borderId="0" applyNumberFormat="0" applyBorder="0" applyAlignment="0" applyProtection="0"/>
    <xf numFmtId="179" fontId="27" fillId="45" borderId="0" applyNumberFormat="0" applyBorder="0" applyAlignment="0" applyProtection="0"/>
    <xf numFmtId="0" fontId="28" fillId="89" borderId="0" applyNumberFormat="0" applyBorder="0" applyAlignment="0" applyProtection="0"/>
    <xf numFmtId="0" fontId="27" fillId="45" borderId="0" applyNumberFormat="0" applyBorder="0" applyAlignment="0" applyProtection="0"/>
    <xf numFmtId="0" fontId="27" fillId="89" borderId="0" applyNumberFormat="0" applyBorder="0" applyAlignment="0" applyProtection="0"/>
    <xf numFmtId="0" fontId="92" fillId="89" borderId="0" applyNumberFormat="0" applyBorder="0" applyAlignment="0" applyProtection="0"/>
    <xf numFmtId="0" fontId="28" fillId="89" borderId="0" applyNumberFormat="0" applyBorder="0" applyAlignment="0" applyProtection="0"/>
    <xf numFmtId="0" fontId="92" fillId="53" borderId="0" applyNumberFormat="0" applyBorder="0" applyAlignment="0" applyProtection="0"/>
    <xf numFmtId="0" fontId="92" fillId="53" borderId="0" applyNumberFormat="0" applyBorder="0" applyAlignment="0" applyProtection="0"/>
    <xf numFmtId="0" fontId="27" fillId="45" borderId="0" applyNumberFormat="0" applyBorder="0" applyAlignment="0" applyProtection="0"/>
    <xf numFmtId="0" fontId="92" fillId="53" borderId="0" applyNumberFormat="0" applyBorder="0" applyAlignment="0" applyProtection="0"/>
    <xf numFmtId="179" fontId="92" fillId="53" borderId="0" applyNumberFormat="0" applyBorder="0" applyAlignment="0" applyProtection="0"/>
    <xf numFmtId="0" fontId="28" fillId="89" borderId="0" applyNumberFormat="0" applyBorder="0" applyAlignment="0" applyProtection="0"/>
    <xf numFmtId="179" fontId="140" fillId="45" borderId="0" applyNumberFormat="0" applyBorder="0" applyAlignment="0" applyProtection="0"/>
    <xf numFmtId="179" fontId="27" fillId="45" borderId="0" applyNumberFormat="0" applyBorder="0" applyAlignment="0" applyProtection="0"/>
    <xf numFmtId="0" fontId="140" fillId="45" borderId="0" applyNumberFormat="0" applyBorder="0" applyAlignment="0" applyProtection="0"/>
    <xf numFmtId="179" fontId="140" fillId="45" borderId="0" applyNumberFormat="0" applyBorder="0" applyAlignment="0" applyProtection="0"/>
    <xf numFmtId="179" fontId="27" fillId="45" borderId="0" applyNumberFormat="0" applyBorder="0" applyAlignment="0" applyProtection="0"/>
    <xf numFmtId="0" fontId="140" fillId="45" borderId="0" applyNumberFormat="0" applyBorder="0" applyAlignment="0" applyProtection="0"/>
    <xf numFmtId="179" fontId="27" fillId="45" borderId="0" applyNumberFormat="0" applyBorder="0" applyAlignment="0" applyProtection="0"/>
    <xf numFmtId="0" fontId="27" fillId="89" borderId="0" applyNumberFormat="0" applyBorder="0" applyAlignment="0" applyProtection="0"/>
    <xf numFmtId="0" fontId="27" fillId="89" borderId="0" applyNumberFormat="0" applyBorder="0" applyAlignment="0" applyProtection="0"/>
    <xf numFmtId="179" fontId="92" fillId="53" borderId="0" applyNumberFormat="0" applyBorder="0" applyAlignment="0" applyProtection="0"/>
    <xf numFmtId="179" fontId="27" fillId="45" borderId="0" applyNumberFormat="0" applyBorder="0" applyAlignment="0" applyProtection="0"/>
    <xf numFmtId="0" fontId="92" fillId="53" borderId="0" applyNumberFormat="0" applyBorder="0" applyAlignment="0" applyProtection="0"/>
    <xf numFmtId="0" fontId="27" fillId="45" borderId="0" applyNumberFormat="0" applyBorder="0" applyAlignment="0" applyProtection="0"/>
    <xf numFmtId="0" fontId="92" fillId="89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179" fontId="27" fillId="22" borderId="0" applyNumberFormat="0" applyBorder="0" applyAlignment="0" applyProtection="0"/>
    <xf numFmtId="179" fontId="27" fillId="22" borderId="0" applyNumberFormat="0" applyBorder="0" applyAlignment="0" applyProtection="0"/>
    <xf numFmtId="179" fontId="27" fillId="22" borderId="0" applyNumberFormat="0" applyBorder="0" applyAlignment="0" applyProtection="0"/>
    <xf numFmtId="179" fontId="27" fillId="22" borderId="0" applyNumberFormat="0" applyBorder="0" applyAlignment="0" applyProtection="0"/>
    <xf numFmtId="0" fontId="92" fillId="92" borderId="0" applyNumberFormat="0" applyBorder="0" applyAlignment="0" applyProtection="0"/>
    <xf numFmtId="179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92" fillId="91" borderId="0" applyNumberFormat="0" applyBorder="0" applyAlignment="0" applyProtection="0"/>
    <xf numFmtId="179" fontId="27" fillId="22" borderId="0" applyNumberFormat="0" applyBorder="0" applyAlignment="0" applyProtection="0"/>
    <xf numFmtId="0" fontId="28" fillId="91" borderId="0" applyNumberFormat="0" applyBorder="0" applyAlignment="0" applyProtection="0"/>
    <xf numFmtId="0" fontId="27" fillId="22" borderId="0" applyNumberFormat="0" applyBorder="0" applyAlignment="0" applyProtection="0"/>
    <xf numFmtId="0" fontId="92" fillId="91" borderId="0" applyNumberFormat="0" applyBorder="0" applyAlignment="0" applyProtection="0"/>
    <xf numFmtId="179" fontId="27" fillId="22" borderId="0" applyNumberFormat="0" applyBorder="0" applyAlignment="0" applyProtection="0"/>
    <xf numFmtId="0" fontId="28" fillId="91" borderId="0" applyNumberFormat="0" applyBorder="0" applyAlignment="0" applyProtection="0"/>
    <xf numFmtId="0" fontId="27" fillId="22" borderId="0" applyNumberFormat="0" applyBorder="0" applyAlignment="0" applyProtection="0"/>
    <xf numFmtId="0" fontId="92" fillId="91" borderId="0" applyNumberFormat="0" applyBorder="0" applyAlignment="0" applyProtection="0"/>
    <xf numFmtId="0" fontId="28" fillId="91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0" fontId="92" fillId="59" borderId="0" applyNumberFormat="0" applyBorder="0" applyAlignment="0" applyProtection="0"/>
    <xf numFmtId="179" fontId="92" fillId="59" borderId="0" applyNumberFormat="0" applyBorder="0" applyAlignment="0" applyProtection="0"/>
    <xf numFmtId="0" fontId="28" fillId="91" borderId="0" applyNumberFormat="0" applyBorder="0" applyAlignment="0" applyProtection="0"/>
    <xf numFmtId="179" fontId="140" fillId="22" borderId="0" applyNumberFormat="0" applyBorder="0" applyAlignment="0" applyProtection="0"/>
    <xf numFmtId="179" fontId="27" fillId="22" borderId="0" applyNumberFormat="0" applyBorder="0" applyAlignment="0" applyProtection="0"/>
    <xf numFmtId="0" fontId="140" fillId="22" borderId="0" applyNumberFormat="0" applyBorder="0" applyAlignment="0" applyProtection="0"/>
    <xf numFmtId="179" fontId="140" fillId="22" borderId="0" applyNumberFormat="0" applyBorder="0" applyAlignment="0" applyProtection="0"/>
    <xf numFmtId="179" fontId="27" fillId="22" borderId="0" applyNumberFormat="0" applyBorder="0" applyAlignment="0" applyProtection="0"/>
    <xf numFmtId="0" fontId="140" fillId="22" borderId="0" applyNumberFormat="0" applyBorder="0" applyAlignment="0" applyProtection="0"/>
    <xf numFmtId="179" fontId="27" fillId="22" borderId="0" applyNumberFormat="0" applyBorder="0" applyAlignment="0" applyProtection="0"/>
    <xf numFmtId="179" fontId="92" fillId="59" borderId="0" applyNumberFormat="0" applyBorder="0" applyAlignment="0" applyProtection="0"/>
    <xf numFmtId="179" fontId="27" fillId="22" borderId="0" applyNumberFormat="0" applyBorder="0" applyAlignment="0" applyProtection="0"/>
    <xf numFmtId="0" fontId="92" fillId="59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179" fontId="27" fillId="26" borderId="0" applyNumberFormat="0" applyBorder="0" applyAlignment="0" applyProtection="0"/>
    <xf numFmtId="179" fontId="27" fillId="26" borderId="0" applyNumberFormat="0" applyBorder="0" applyAlignment="0" applyProtection="0"/>
    <xf numFmtId="179" fontId="27" fillId="26" borderId="0" applyNumberFormat="0" applyBorder="0" applyAlignment="0" applyProtection="0"/>
    <xf numFmtId="179" fontId="27" fillId="26" borderId="0" applyNumberFormat="0" applyBorder="0" applyAlignment="0" applyProtection="0"/>
    <xf numFmtId="0" fontId="92" fillId="93" borderId="0" applyNumberFormat="0" applyBorder="0" applyAlignment="0" applyProtection="0"/>
    <xf numFmtId="179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92" fillId="60" borderId="0" applyNumberFormat="0" applyBorder="0" applyAlignment="0" applyProtection="0"/>
    <xf numFmtId="179" fontId="27" fillId="26" borderId="0" applyNumberFormat="0" applyBorder="0" applyAlignment="0" applyProtection="0"/>
    <xf numFmtId="0" fontId="28" fillId="60" borderId="0" applyNumberFormat="0" applyBorder="0" applyAlignment="0" applyProtection="0"/>
    <xf numFmtId="0" fontId="27" fillId="26" borderId="0" applyNumberFormat="0" applyBorder="0" applyAlignment="0" applyProtection="0"/>
    <xf numFmtId="0" fontId="92" fillId="60" borderId="0" applyNumberFormat="0" applyBorder="0" applyAlignment="0" applyProtection="0"/>
    <xf numFmtId="179" fontId="27" fillId="26" borderId="0" applyNumberFormat="0" applyBorder="0" applyAlignment="0" applyProtection="0"/>
    <xf numFmtId="0" fontId="28" fillId="60" borderId="0" applyNumberFormat="0" applyBorder="0" applyAlignment="0" applyProtection="0"/>
    <xf numFmtId="0" fontId="27" fillId="26" borderId="0" applyNumberFormat="0" applyBorder="0" applyAlignment="0" applyProtection="0"/>
    <xf numFmtId="0" fontId="92" fillId="60" borderId="0" applyNumberFormat="0" applyBorder="0" applyAlignment="0" applyProtection="0"/>
    <xf numFmtId="0" fontId="28" fillId="60" borderId="0" applyNumberFormat="0" applyBorder="0" applyAlignment="0" applyProtection="0"/>
    <xf numFmtId="179" fontId="92" fillId="60" borderId="0" applyNumberFormat="0" applyBorder="0" applyAlignment="0" applyProtection="0"/>
    <xf numFmtId="0" fontId="28" fillId="60" borderId="0" applyNumberFormat="0" applyBorder="0" applyAlignment="0" applyProtection="0"/>
    <xf numFmtId="179" fontId="140" fillId="26" borderId="0" applyNumberFormat="0" applyBorder="0" applyAlignment="0" applyProtection="0"/>
    <xf numFmtId="179" fontId="27" fillId="26" borderId="0" applyNumberFormat="0" applyBorder="0" applyAlignment="0" applyProtection="0"/>
    <xf numFmtId="0" fontId="140" fillId="26" borderId="0" applyNumberFormat="0" applyBorder="0" applyAlignment="0" applyProtection="0"/>
    <xf numFmtId="179" fontId="140" fillId="26" borderId="0" applyNumberFormat="0" applyBorder="0" applyAlignment="0" applyProtection="0"/>
    <xf numFmtId="179" fontId="27" fillId="26" borderId="0" applyNumberFormat="0" applyBorder="0" applyAlignment="0" applyProtection="0"/>
    <xf numFmtId="0" fontId="140" fillId="26" borderId="0" applyNumberFormat="0" applyBorder="0" applyAlignment="0" applyProtection="0"/>
    <xf numFmtId="179" fontId="27" fillId="26" borderId="0" applyNumberFormat="0" applyBorder="0" applyAlignment="0" applyProtection="0"/>
    <xf numFmtId="179" fontId="92" fillId="60" borderId="0" applyNumberFormat="0" applyBorder="0" applyAlignment="0" applyProtection="0"/>
    <xf numFmtId="179" fontId="27" fillId="26" borderId="0" applyNumberFormat="0" applyBorder="0" applyAlignment="0" applyProtection="0"/>
    <xf numFmtId="0" fontId="92" fillId="60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179" fontId="27" fillId="30" borderId="0" applyNumberFormat="0" applyBorder="0" applyAlignment="0" applyProtection="0"/>
    <xf numFmtId="179" fontId="27" fillId="30" borderId="0" applyNumberFormat="0" applyBorder="0" applyAlignment="0" applyProtection="0"/>
    <xf numFmtId="179" fontId="27" fillId="30" borderId="0" applyNumberFormat="0" applyBorder="0" applyAlignment="0" applyProtection="0"/>
    <xf numFmtId="179" fontId="27" fillId="30" borderId="0" applyNumberFormat="0" applyBorder="0" applyAlignment="0" applyProtection="0"/>
    <xf numFmtId="0" fontId="92" fillId="94" borderId="0" applyNumberFormat="0" applyBorder="0" applyAlignment="0" applyProtection="0"/>
    <xf numFmtId="179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92" fillId="61" borderId="0" applyNumberFormat="0" applyBorder="0" applyAlignment="0" applyProtection="0"/>
    <xf numFmtId="179" fontId="27" fillId="30" borderId="0" applyNumberFormat="0" applyBorder="0" applyAlignment="0" applyProtection="0"/>
    <xf numFmtId="0" fontId="28" fillId="61" borderId="0" applyNumberFormat="0" applyBorder="0" applyAlignment="0" applyProtection="0"/>
    <xf numFmtId="0" fontId="27" fillId="30" borderId="0" applyNumberFormat="0" applyBorder="0" applyAlignment="0" applyProtection="0"/>
    <xf numFmtId="0" fontId="92" fillId="61" borderId="0" applyNumberFormat="0" applyBorder="0" applyAlignment="0" applyProtection="0"/>
    <xf numFmtId="179" fontId="27" fillId="30" borderId="0" applyNumberFormat="0" applyBorder="0" applyAlignment="0" applyProtection="0"/>
    <xf numFmtId="0" fontId="28" fillId="61" borderId="0" applyNumberFormat="0" applyBorder="0" applyAlignment="0" applyProtection="0"/>
    <xf numFmtId="0" fontId="27" fillId="30" borderId="0" applyNumberFormat="0" applyBorder="0" applyAlignment="0" applyProtection="0"/>
    <xf numFmtId="0" fontId="92" fillId="61" borderId="0" applyNumberFormat="0" applyBorder="0" applyAlignment="0" applyProtection="0"/>
    <xf numFmtId="0" fontId="28" fillId="61" borderId="0" applyNumberFormat="0" applyBorder="0" applyAlignment="0" applyProtection="0"/>
    <xf numFmtId="179" fontId="92" fillId="61" borderId="0" applyNumberFormat="0" applyBorder="0" applyAlignment="0" applyProtection="0"/>
    <xf numFmtId="0" fontId="28" fillId="61" borderId="0" applyNumberFormat="0" applyBorder="0" applyAlignment="0" applyProtection="0"/>
    <xf numFmtId="179" fontId="140" fillId="30" borderId="0" applyNumberFormat="0" applyBorder="0" applyAlignment="0" applyProtection="0"/>
    <xf numFmtId="179" fontId="27" fillId="30" borderId="0" applyNumberFormat="0" applyBorder="0" applyAlignment="0" applyProtection="0"/>
    <xf numFmtId="0" fontId="140" fillId="30" borderId="0" applyNumberFormat="0" applyBorder="0" applyAlignment="0" applyProtection="0"/>
    <xf numFmtId="179" fontId="140" fillId="30" borderId="0" applyNumberFormat="0" applyBorder="0" applyAlignment="0" applyProtection="0"/>
    <xf numFmtId="179" fontId="27" fillId="30" borderId="0" applyNumberFormat="0" applyBorder="0" applyAlignment="0" applyProtection="0"/>
    <xf numFmtId="0" fontId="140" fillId="30" borderId="0" applyNumberFormat="0" applyBorder="0" applyAlignment="0" applyProtection="0"/>
    <xf numFmtId="179" fontId="27" fillId="30" borderId="0" applyNumberFormat="0" applyBorder="0" applyAlignment="0" applyProtection="0"/>
    <xf numFmtId="179" fontId="92" fillId="61" borderId="0" applyNumberFormat="0" applyBorder="0" applyAlignment="0" applyProtection="0"/>
    <xf numFmtId="179" fontId="27" fillId="30" borderId="0" applyNumberFormat="0" applyBorder="0" applyAlignment="0" applyProtection="0"/>
    <xf numFmtId="0" fontId="92" fillId="61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179" fontId="27" fillId="34" borderId="0" applyNumberFormat="0" applyBorder="0" applyAlignment="0" applyProtection="0"/>
    <xf numFmtId="179" fontId="27" fillId="34" borderId="0" applyNumberFormat="0" applyBorder="0" applyAlignment="0" applyProtection="0"/>
    <xf numFmtId="179" fontId="27" fillId="34" borderId="0" applyNumberFormat="0" applyBorder="0" applyAlignment="0" applyProtection="0"/>
    <xf numFmtId="179" fontId="27" fillId="34" borderId="0" applyNumberFormat="0" applyBorder="0" applyAlignment="0" applyProtection="0"/>
    <xf numFmtId="0" fontId="92" fillId="87" borderId="0" applyNumberFormat="0" applyBorder="0" applyAlignment="0" applyProtection="0"/>
    <xf numFmtId="179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92" fillId="86" borderId="0" applyNumberFormat="0" applyBorder="0" applyAlignment="0" applyProtection="0"/>
    <xf numFmtId="179" fontId="27" fillId="34" borderId="0" applyNumberFormat="0" applyBorder="0" applyAlignment="0" applyProtection="0"/>
    <xf numFmtId="0" fontId="28" fillId="86" borderId="0" applyNumberFormat="0" applyBorder="0" applyAlignment="0" applyProtection="0"/>
    <xf numFmtId="0" fontId="27" fillId="34" borderId="0" applyNumberFormat="0" applyBorder="0" applyAlignment="0" applyProtection="0"/>
    <xf numFmtId="0" fontId="92" fillId="86" borderId="0" applyNumberFormat="0" applyBorder="0" applyAlignment="0" applyProtection="0"/>
    <xf numFmtId="179" fontId="27" fillId="34" borderId="0" applyNumberFormat="0" applyBorder="0" applyAlignment="0" applyProtection="0"/>
    <xf numFmtId="0" fontId="28" fillId="86" borderId="0" applyNumberFormat="0" applyBorder="0" applyAlignment="0" applyProtection="0"/>
    <xf numFmtId="0" fontId="27" fillId="34" borderId="0" applyNumberFormat="0" applyBorder="0" applyAlignment="0" applyProtection="0"/>
    <xf numFmtId="0" fontId="92" fillId="86" borderId="0" applyNumberFormat="0" applyBorder="0" applyAlignment="0" applyProtection="0"/>
    <xf numFmtId="0" fontId="28" fillId="86" borderId="0" applyNumberFormat="0" applyBorder="0" applyAlignment="0" applyProtection="0"/>
    <xf numFmtId="0" fontId="92" fillId="62" borderId="0" applyNumberFormat="0" applyBorder="0" applyAlignment="0" applyProtection="0"/>
    <xf numFmtId="0" fontId="92" fillId="62" borderId="0" applyNumberFormat="0" applyBorder="0" applyAlignment="0" applyProtection="0"/>
    <xf numFmtId="0" fontId="92" fillId="62" borderId="0" applyNumberFormat="0" applyBorder="0" applyAlignment="0" applyProtection="0"/>
    <xf numFmtId="179" fontId="92" fillId="62" borderId="0" applyNumberFormat="0" applyBorder="0" applyAlignment="0" applyProtection="0"/>
    <xf numFmtId="0" fontId="28" fillId="86" borderId="0" applyNumberFormat="0" applyBorder="0" applyAlignment="0" applyProtection="0"/>
    <xf numFmtId="179" fontId="140" fillId="34" borderId="0" applyNumberFormat="0" applyBorder="0" applyAlignment="0" applyProtection="0"/>
    <xf numFmtId="179" fontId="27" fillId="34" borderId="0" applyNumberFormat="0" applyBorder="0" applyAlignment="0" applyProtection="0"/>
    <xf numFmtId="0" fontId="140" fillId="34" borderId="0" applyNumberFormat="0" applyBorder="0" applyAlignment="0" applyProtection="0"/>
    <xf numFmtId="179" fontId="140" fillId="34" borderId="0" applyNumberFormat="0" applyBorder="0" applyAlignment="0" applyProtection="0"/>
    <xf numFmtId="179" fontId="27" fillId="34" borderId="0" applyNumberFormat="0" applyBorder="0" applyAlignment="0" applyProtection="0"/>
    <xf numFmtId="0" fontId="140" fillId="34" borderId="0" applyNumberFormat="0" applyBorder="0" applyAlignment="0" applyProtection="0"/>
    <xf numFmtId="179" fontId="27" fillId="34" borderId="0" applyNumberFormat="0" applyBorder="0" applyAlignment="0" applyProtection="0"/>
    <xf numFmtId="179" fontId="92" fillId="62" borderId="0" applyNumberFormat="0" applyBorder="0" applyAlignment="0" applyProtection="0"/>
    <xf numFmtId="179" fontId="27" fillId="34" borderId="0" applyNumberFormat="0" applyBorder="0" applyAlignment="0" applyProtection="0"/>
    <xf numFmtId="0" fontId="92" fillId="62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179" fontId="27" fillId="38" borderId="0" applyNumberFormat="0" applyBorder="0" applyAlignment="0" applyProtection="0"/>
    <xf numFmtId="179" fontId="27" fillId="38" borderId="0" applyNumberFormat="0" applyBorder="0" applyAlignment="0" applyProtection="0"/>
    <xf numFmtId="179" fontId="27" fillId="38" borderId="0" applyNumberFormat="0" applyBorder="0" applyAlignment="0" applyProtection="0"/>
    <xf numFmtId="179" fontId="27" fillId="38" borderId="0" applyNumberFormat="0" applyBorder="0" applyAlignment="0" applyProtection="0"/>
    <xf numFmtId="0" fontId="92" fillId="88" borderId="0" applyNumberFormat="0" applyBorder="0" applyAlignment="0" applyProtection="0"/>
    <xf numFmtId="179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92" fillId="59" borderId="0" applyNumberFormat="0" applyBorder="0" applyAlignment="0" applyProtection="0"/>
    <xf numFmtId="179" fontId="27" fillId="38" borderId="0" applyNumberFormat="0" applyBorder="0" applyAlignment="0" applyProtection="0"/>
    <xf numFmtId="0" fontId="28" fillId="59" borderId="0" applyNumberFormat="0" applyBorder="0" applyAlignment="0" applyProtection="0"/>
    <xf numFmtId="0" fontId="27" fillId="38" borderId="0" applyNumberFormat="0" applyBorder="0" applyAlignment="0" applyProtection="0"/>
    <xf numFmtId="0" fontId="92" fillId="59" borderId="0" applyNumberFormat="0" applyBorder="0" applyAlignment="0" applyProtection="0"/>
    <xf numFmtId="179" fontId="27" fillId="38" borderId="0" applyNumberFormat="0" applyBorder="0" applyAlignment="0" applyProtection="0"/>
    <xf numFmtId="0" fontId="28" fillId="59" borderId="0" applyNumberFormat="0" applyBorder="0" applyAlignment="0" applyProtection="0"/>
    <xf numFmtId="0" fontId="27" fillId="38" borderId="0" applyNumberFormat="0" applyBorder="0" applyAlignment="0" applyProtection="0"/>
    <xf numFmtId="0" fontId="92" fillId="59" borderId="0" applyNumberFormat="0" applyBorder="0" applyAlignment="0" applyProtection="0"/>
    <xf numFmtId="0" fontId="28" fillId="59" borderId="0" applyNumberFormat="0" applyBorder="0" applyAlignment="0" applyProtection="0"/>
    <xf numFmtId="179" fontId="92" fillId="59" borderId="0" applyNumberFormat="0" applyBorder="0" applyAlignment="0" applyProtection="0"/>
    <xf numFmtId="0" fontId="28" fillId="59" borderId="0" applyNumberFormat="0" applyBorder="0" applyAlignment="0" applyProtection="0"/>
    <xf numFmtId="179" fontId="140" fillId="38" borderId="0" applyNumberFormat="0" applyBorder="0" applyAlignment="0" applyProtection="0"/>
    <xf numFmtId="179" fontId="27" fillId="38" borderId="0" applyNumberFormat="0" applyBorder="0" applyAlignment="0" applyProtection="0"/>
    <xf numFmtId="0" fontId="140" fillId="38" borderId="0" applyNumberFormat="0" applyBorder="0" applyAlignment="0" applyProtection="0"/>
    <xf numFmtId="179" fontId="140" fillId="38" borderId="0" applyNumberFormat="0" applyBorder="0" applyAlignment="0" applyProtection="0"/>
    <xf numFmtId="179" fontId="27" fillId="38" borderId="0" applyNumberFormat="0" applyBorder="0" applyAlignment="0" applyProtection="0"/>
    <xf numFmtId="0" fontId="140" fillId="38" borderId="0" applyNumberFormat="0" applyBorder="0" applyAlignment="0" applyProtection="0"/>
    <xf numFmtId="179" fontId="27" fillId="38" borderId="0" applyNumberFormat="0" applyBorder="0" applyAlignment="0" applyProtection="0"/>
    <xf numFmtId="179" fontId="92" fillId="59" borderId="0" applyNumberFormat="0" applyBorder="0" applyAlignment="0" applyProtection="0"/>
    <xf numFmtId="179" fontId="27" fillId="38" borderId="0" applyNumberFormat="0" applyBorder="0" applyAlignment="0" applyProtection="0"/>
    <xf numFmtId="0" fontId="92" fillId="59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179" fontId="27" fillId="42" borderId="0" applyNumberFormat="0" applyBorder="0" applyAlignment="0" applyProtection="0"/>
    <xf numFmtId="179" fontId="27" fillId="42" borderId="0" applyNumberFormat="0" applyBorder="0" applyAlignment="0" applyProtection="0"/>
    <xf numFmtId="179" fontId="27" fillId="42" borderId="0" applyNumberFormat="0" applyBorder="0" applyAlignment="0" applyProtection="0"/>
    <xf numFmtId="179" fontId="27" fillId="42" borderId="0" applyNumberFormat="0" applyBorder="0" applyAlignment="0" applyProtection="0"/>
    <xf numFmtId="0" fontId="92" fillId="95" borderId="0" applyNumberFormat="0" applyBorder="0" applyAlignment="0" applyProtection="0"/>
    <xf numFmtId="179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92" fillId="63" borderId="0" applyNumberFormat="0" applyBorder="0" applyAlignment="0" applyProtection="0"/>
    <xf numFmtId="179" fontId="27" fillId="42" borderId="0" applyNumberFormat="0" applyBorder="0" applyAlignment="0" applyProtection="0"/>
    <xf numFmtId="0" fontId="28" fillId="63" borderId="0" applyNumberFormat="0" applyBorder="0" applyAlignment="0" applyProtection="0"/>
    <xf numFmtId="0" fontId="27" fillId="42" borderId="0" applyNumberFormat="0" applyBorder="0" applyAlignment="0" applyProtection="0"/>
    <xf numFmtId="0" fontId="92" fillId="63" borderId="0" applyNumberFormat="0" applyBorder="0" applyAlignment="0" applyProtection="0"/>
    <xf numFmtId="179" fontId="27" fillId="42" borderId="0" applyNumberFormat="0" applyBorder="0" applyAlignment="0" applyProtection="0"/>
    <xf numFmtId="0" fontId="28" fillId="63" borderId="0" applyNumberFormat="0" applyBorder="0" applyAlignment="0" applyProtection="0"/>
    <xf numFmtId="0" fontId="27" fillId="42" borderId="0" applyNumberFormat="0" applyBorder="0" applyAlignment="0" applyProtection="0"/>
    <xf numFmtId="0" fontId="92" fillId="63" borderId="0" applyNumberFormat="0" applyBorder="0" applyAlignment="0" applyProtection="0"/>
    <xf numFmtId="0" fontId="28" fillId="63" borderId="0" applyNumberFormat="0" applyBorder="0" applyAlignment="0" applyProtection="0"/>
    <xf numFmtId="179" fontId="92" fillId="63" borderId="0" applyNumberFormat="0" applyBorder="0" applyAlignment="0" applyProtection="0"/>
    <xf numFmtId="0" fontId="28" fillId="63" borderId="0" applyNumberFormat="0" applyBorder="0" applyAlignment="0" applyProtection="0"/>
    <xf numFmtId="179" fontId="140" fillId="42" borderId="0" applyNumberFormat="0" applyBorder="0" applyAlignment="0" applyProtection="0"/>
    <xf numFmtId="179" fontId="27" fillId="42" borderId="0" applyNumberFormat="0" applyBorder="0" applyAlignment="0" applyProtection="0"/>
    <xf numFmtId="0" fontId="140" fillId="42" borderId="0" applyNumberFormat="0" applyBorder="0" applyAlignment="0" applyProtection="0"/>
    <xf numFmtId="179" fontId="140" fillId="42" borderId="0" applyNumberFormat="0" applyBorder="0" applyAlignment="0" applyProtection="0"/>
    <xf numFmtId="179" fontId="27" fillId="42" borderId="0" applyNumberFormat="0" applyBorder="0" applyAlignment="0" applyProtection="0"/>
    <xf numFmtId="0" fontId="140" fillId="42" borderId="0" applyNumberFormat="0" applyBorder="0" applyAlignment="0" applyProtection="0"/>
    <xf numFmtId="179" fontId="27" fillId="42" borderId="0" applyNumberFormat="0" applyBorder="0" applyAlignment="0" applyProtection="0"/>
    <xf numFmtId="179" fontId="92" fillId="63" borderId="0" applyNumberFormat="0" applyBorder="0" applyAlignment="0" applyProtection="0"/>
    <xf numFmtId="179" fontId="27" fillId="42" borderId="0" applyNumberFormat="0" applyBorder="0" applyAlignment="0" applyProtection="0"/>
    <xf numFmtId="0" fontId="92" fillId="63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111" fillId="0" borderId="0" applyNumberFormat="0" applyFill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179" fontId="20" fillId="16" borderId="0" applyNumberFormat="0" applyBorder="0" applyAlignment="0" applyProtection="0"/>
    <xf numFmtId="179" fontId="20" fillId="16" borderId="0" applyNumberFormat="0" applyBorder="0" applyAlignment="0" applyProtection="0"/>
    <xf numFmtId="179" fontId="20" fillId="16" borderId="0" applyNumberFormat="0" applyBorder="0" applyAlignment="0" applyProtection="0"/>
    <xf numFmtId="179" fontId="20" fillId="16" borderId="0" applyNumberFormat="0" applyBorder="0" applyAlignment="0" applyProtection="0"/>
    <xf numFmtId="0" fontId="93" fillId="72" borderId="0" applyNumberFormat="0" applyBorder="0" applyAlignment="0" applyProtection="0"/>
    <xf numFmtId="179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93" fillId="46" borderId="0" applyNumberFormat="0" applyBorder="0" applyAlignment="0" applyProtection="0"/>
    <xf numFmtId="179" fontId="20" fillId="16" borderId="0" applyNumberFormat="0" applyBorder="0" applyAlignment="0" applyProtection="0"/>
    <xf numFmtId="0" fontId="28" fillId="46" borderId="0" applyNumberFormat="0" applyBorder="0" applyAlignment="0" applyProtection="0"/>
    <xf numFmtId="0" fontId="20" fillId="16" borderId="0" applyNumberFormat="0" applyBorder="0" applyAlignment="0" applyProtection="0"/>
    <xf numFmtId="0" fontId="93" fillId="46" borderId="0" applyNumberFormat="0" applyBorder="0" applyAlignment="0" applyProtection="0"/>
    <xf numFmtId="179" fontId="20" fillId="16" borderId="0" applyNumberFormat="0" applyBorder="0" applyAlignment="0" applyProtection="0"/>
    <xf numFmtId="0" fontId="28" fillId="46" borderId="0" applyNumberFormat="0" applyBorder="0" applyAlignment="0" applyProtection="0"/>
    <xf numFmtId="0" fontId="20" fillId="16" borderId="0" applyNumberFormat="0" applyBorder="0" applyAlignment="0" applyProtection="0"/>
    <xf numFmtId="0" fontId="93" fillId="46" borderId="0" applyNumberFormat="0" applyBorder="0" applyAlignment="0" applyProtection="0"/>
    <xf numFmtId="0" fontId="28" fillId="46" borderId="0" applyNumberFormat="0" applyBorder="0" applyAlignment="0" applyProtection="0"/>
    <xf numFmtId="179" fontId="93" fillId="46" borderId="0" applyNumberFormat="0" applyBorder="0" applyAlignment="0" applyProtection="0"/>
    <xf numFmtId="0" fontId="28" fillId="46" borderId="0" applyNumberFormat="0" applyBorder="0" applyAlignment="0" applyProtection="0"/>
    <xf numFmtId="179" fontId="141" fillId="16" borderId="0" applyNumberFormat="0" applyBorder="0" applyAlignment="0" applyProtection="0"/>
    <xf numFmtId="179" fontId="20" fillId="16" borderId="0" applyNumberFormat="0" applyBorder="0" applyAlignment="0" applyProtection="0"/>
    <xf numFmtId="0" fontId="141" fillId="16" borderId="0" applyNumberFormat="0" applyBorder="0" applyAlignment="0" applyProtection="0"/>
    <xf numFmtId="179" fontId="141" fillId="16" borderId="0" applyNumberFormat="0" applyBorder="0" applyAlignment="0" applyProtection="0"/>
    <xf numFmtId="179" fontId="20" fillId="16" borderId="0" applyNumberFormat="0" applyBorder="0" applyAlignment="0" applyProtection="0"/>
    <xf numFmtId="0" fontId="141" fillId="16" borderId="0" applyNumberFormat="0" applyBorder="0" applyAlignment="0" applyProtection="0"/>
    <xf numFmtId="179" fontId="20" fillId="16" borderId="0" applyNumberFormat="0" applyBorder="0" applyAlignment="0" applyProtection="0"/>
    <xf numFmtId="179" fontId="93" fillId="46" borderId="0" applyNumberFormat="0" applyBorder="0" applyAlignment="0" applyProtection="0"/>
    <xf numFmtId="179" fontId="20" fillId="16" borderId="0" applyNumberFormat="0" applyBorder="0" applyAlignment="0" applyProtection="0"/>
    <xf numFmtId="0" fontId="93" fillId="4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142" fillId="0" borderId="0" applyNumberFormat="0" applyFill="0" applyBorder="0" applyAlignment="0" applyProtection="0"/>
    <xf numFmtId="199" fontId="4" fillId="0" borderId="0" applyFill="0" applyBorder="0" applyAlignment="0"/>
    <xf numFmtId="0" fontId="143" fillId="56" borderId="114" applyNumberFormat="0" applyAlignment="0" applyProtection="0"/>
    <xf numFmtId="0" fontId="24" fillId="19" borderId="47" applyNumberFormat="0" applyAlignment="0" applyProtection="0"/>
    <xf numFmtId="0" fontId="24" fillId="19" borderId="47" applyNumberFormat="0" applyAlignment="0" applyProtection="0"/>
    <xf numFmtId="0" fontId="24" fillId="19" borderId="47" applyNumberFormat="0" applyAlignment="0" applyProtection="0"/>
    <xf numFmtId="0" fontId="24" fillId="19" borderId="47" applyNumberFormat="0" applyAlignment="0" applyProtection="0"/>
    <xf numFmtId="0" fontId="24" fillId="19" borderId="47" applyNumberFormat="0" applyAlignment="0" applyProtection="0"/>
    <xf numFmtId="179" fontId="24" fillId="19" borderId="47" applyNumberFormat="0" applyAlignment="0" applyProtection="0"/>
    <xf numFmtId="179" fontId="24" fillId="19" borderId="47" applyNumberFormat="0" applyAlignment="0" applyProtection="0"/>
    <xf numFmtId="179" fontId="24" fillId="19" borderId="47" applyNumberFormat="0" applyAlignment="0" applyProtection="0"/>
    <xf numFmtId="179" fontId="24" fillId="19" borderId="47" applyNumberFormat="0" applyAlignment="0" applyProtection="0"/>
    <xf numFmtId="0" fontId="94" fillId="68" borderId="114" applyNumberFormat="0" applyAlignment="0" applyProtection="0"/>
    <xf numFmtId="179" fontId="24" fillId="19" borderId="47" applyNumberFormat="0" applyAlignment="0" applyProtection="0"/>
    <xf numFmtId="0" fontId="24" fillId="19" borderId="47" applyNumberFormat="0" applyAlignment="0" applyProtection="0"/>
    <xf numFmtId="0" fontId="94" fillId="56" borderId="114" applyNumberFormat="0" applyAlignment="0" applyProtection="0"/>
    <xf numFmtId="179" fontId="24" fillId="19" borderId="47" applyNumberFormat="0" applyAlignment="0" applyProtection="0"/>
    <xf numFmtId="0" fontId="28" fillId="56" borderId="114" applyNumberFormat="0" applyAlignment="0" applyProtection="0"/>
    <xf numFmtId="0" fontId="24" fillId="19" borderId="47" applyNumberFormat="0" applyAlignment="0" applyProtection="0"/>
    <xf numFmtId="0" fontId="94" fillId="56" borderId="114" applyNumberFormat="0" applyAlignment="0" applyProtection="0"/>
    <xf numFmtId="179" fontId="24" fillId="19" borderId="47" applyNumberFormat="0" applyAlignment="0" applyProtection="0"/>
    <xf numFmtId="0" fontId="28" fillId="56" borderId="114" applyNumberFormat="0" applyAlignment="0" applyProtection="0"/>
    <xf numFmtId="0" fontId="24" fillId="19" borderId="47" applyNumberFormat="0" applyAlignment="0" applyProtection="0"/>
    <xf numFmtId="0" fontId="94" fillId="56" borderId="114" applyNumberFormat="0" applyAlignment="0" applyProtection="0"/>
    <xf numFmtId="0" fontId="28" fillId="56" borderId="114" applyNumberFormat="0" applyAlignment="0" applyProtection="0"/>
    <xf numFmtId="0" fontId="94" fillId="65" borderId="114" applyNumberFormat="0" applyAlignment="0" applyProtection="0"/>
    <xf numFmtId="0" fontId="144" fillId="19" borderId="47" applyNumberFormat="0" applyAlignment="0" applyProtection="0"/>
    <xf numFmtId="0" fontId="144" fillId="19" borderId="47" applyNumberFormat="0" applyAlignment="0" applyProtection="0"/>
    <xf numFmtId="179" fontId="94" fillId="65" borderId="114" applyNumberFormat="0" applyAlignment="0" applyProtection="0"/>
    <xf numFmtId="0" fontId="28" fillId="56" borderId="114" applyNumberFormat="0" applyAlignment="0" applyProtection="0"/>
    <xf numFmtId="179" fontId="145" fillId="19" borderId="47" applyNumberFormat="0" applyAlignment="0" applyProtection="0"/>
    <xf numFmtId="179" fontId="24" fillId="19" borderId="47" applyNumberFormat="0" applyAlignment="0" applyProtection="0"/>
    <xf numFmtId="0" fontId="145" fillId="19" borderId="47" applyNumberFormat="0" applyAlignment="0" applyProtection="0"/>
    <xf numFmtId="179" fontId="145" fillId="19" borderId="47" applyNumberFormat="0" applyAlignment="0" applyProtection="0"/>
    <xf numFmtId="179" fontId="24" fillId="19" borderId="47" applyNumberFormat="0" applyAlignment="0" applyProtection="0"/>
    <xf numFmtId="0" fontId="145" fillId="19" borderId="47" applyNumberFormat="0" applyAlignment="0" applyProtection="0"/>
    <xf numFmtId="179" fontId="24" fillId="19" borderId="47" applyNumberFormat="0" applyAlignment="0" applyProtection="0"/>
    <xf numFmtId="179" fontId="94" fillId="65" borderId="114" applyNumberFormat="0" applyAlignment="0" applyProtection="0"/>
    <xf numFmtId="179" fontId="24" fillId="19" borderId="47" applyNumberFormat="0" applyAlignment="0" applyProtection="0"/>
    <xf numFmtId="0" fontId="94" fillId="65" borderId="114" applyNumberFormat="0" applyAlignment="0" applyProtection="0"/>
    <xf numFmtId="0" fontId="24" fillId="19" borderId="47" applyNumberFormat="0" applyAlignment="0" applyProtection="0"/>
    <xf numFmtId="0" fontId="24" fillId="19" borderId="47" applyNumberFormat="0" applyAlignment="0" applyProtection="0"/>
    <xf numFmtId="0" fontId="24" fillId="19" borderId="47" applyNumberFormat="0" applyAlignment="0" applyProtection="0"/>
    <xf numFmtId="0" fontId="24" fillId="19" borderId="47" applyNumberFormat="0" applyAlignment="0" applyProtection="0"/>
    <xf numFmtId="0" fontId="146" fillId="0" borderId="119" applyNumberFormat="0" applyFill="0" applyAlignment="0" applyProtection="0"/>
    <xf numFmtId="0" fontId="7" fillId="20" borderId="50" applyNumberFormat="0" applyAlignment="0" applyProtection="0"/>
    <xf numFmtId="0" fontId="7" fillId="20" borderId="50" applyNumberFormat="0" applyAlignment="0" applyProtection="0"/>
    <xf numFmtId="0" fontId="7" fillId="20" borderId="50" applyNumberFormat="0" applyAlignment="0" applyProtection="0"/>
    <xf numFmtId="0" fontId="7" fillId="20" borderId="50" applyNumberFormat="0" applyAlignment="0" applyProtection="0"/>
    <xf numFmtId="0" fontId="7" fillId="20" borderId="50" applyNumberFormat="0" applyAlignment="0" applyProtection="0"/>
    <xf numFmtId="179" fontId="7" fillId="20" borderId="50" applyNumberFormat="0" applyAlignment="0" applyProtection="0"/>
    <xf numFmtId="179" fontId="7" fillId="20" borderId="50" applyNumberFormat="0" applyAlignment="0" applyProtection="0"/>
    <xf numFmtId="179" fontId="7" fillId="20" borderId="50" applyNumberFormat="0" applyAlignment="0" applyProtection="0"/>
    <xf numFmtId="179" fontId="7" fillId="20" borderId="50" applyNumberFormat="0" applyAlignment="0" applyProtection="0"/>
    <xf numFmtId="0" fontId="95" fillId="96" borderId="115" applyNumberFormat="0" applyAlignment="0" applyProtection="0"/>
    <xf numFmtId="179" fontId="7" fillId="20" borderId="50" applyNumberFormat="0" applyAlignment="0" applyProtection="0"/>
    <xf numFmtId="0" fontId="7" fillId="20" borderId="50" applyNumberFormat="0" applyAlignment="0" applyProtection="0"/>
    <xf numFmtId="0" fontId="95" fillId="66" borderId="115" applyNumberFormat="0" applyAlignment="0" applyProtection="0"/>
    <xf numFmtId="179" fontId="7" fillId="20" borderId="50" applyNumberFormat="0" applyAlignment="0" applyProtection="0"/>
    <xf numFmtId="0" fontId="28" fillId="66" borderId="115" applyNumberFormat="0" applyAlignment="0" applyProtection="0"/>
    <xf numFmtId="0" fontId="7" fillId="20" borderId="50" applyNumberFormat="0" applyAlignment="0" applyProtection="0"/>
    <xf numFmtId="0" fontId="95" fillId="66" borderId="115" applyNumberFormat="0" applyAlignment="0" applyProtection="0"/>
    <xf numFmtId="179" fontId="7" fillId="20" borderId="50" applyNumberFormat="0" applyAlignment="0" applyProtection="0"/>
    <xf numFmtId="0" fontId="28" fillId="66" borderId="115" applyNumberFormat="0" applyAlignment="0" applyProtection="0"/>
    <xf numFmtId="0" fontId="7" fillId="20" borderId="50" applyNumberFormat="0" applyAlignment="0" applyProtection="0"/>
    <xf numFmtId="0" fontId="95" fillId="66" borderId="115" applyNumberFormat="0" applyAlignment="0" applyProtection="0"/>
    <xf numFmtId="0" fontId="28" fillId="66" borderId="115" applyNumberFormat="0" applyAlignment="0" applyProtection="0"/>
    <xf numFmtId="179" fontId="95" fillId="66" borderId="115" applyNumberFormat="0" applyAlignment="0" applyProtection="0"/>
    <xf numFmtId="0" fontId="28" fillId="66" borderId="115" applyNumberFormat="0" applyAlignment="0" applyProtection="0"/>
    <xf numFmtId="179" fontId="147" fillId="20" borderId="50" applyNumberFormat="0" applyAlignment="0" applyProtection="0"/>
    <xf numFmtId="179" fontId="7" fillId="20" borderId="50" applyNumberFormat="0" applyAlignment="0" applyProtection="0"/>
    <xf numFmtId="0" fontId="147" fillId="20" borderId="50" applyNumberFormat="0" applyAlignment="0" applyProtection="0"/>
    <xf numFmtId="179" fontId="147" fillId="20" borderId="50" applyNumberFormat="0" applyAlignment="0" applyProtection="0"/>
    <xf numFmtId="179" fontId="7" fillId="20" borderId="50" applyNumberFormat="0" applyAlignment="0" applyProtection="0"/>
    <xf numFmtId="0" fontId="147" fillId="20" borderId="50" applyNumberFormat="0" applyAlignment="0" applyProtection="0"/>
    <xf numFmtId="179" fontId="7" fillId="20" borderId="50" applyNumberFormat="0" applyAlignment="0" applyProtection="0"/>
    <xf numFmtId="179" fontId="95" fillId="66" borderId="115" applyNumberFormat="0" applyAlignment="0" applyProtection="0"/>
    <xf numFmtId="179" fontId="7" fillId="20" borderId="50" applyNumberFormat="0" applyAlignment="0" applyProtection="0"/>
    <xf numFmtId="0" fontId="95" fillId="66" borderId="115" applyNumberFormat="0" applyAlignment="0" applyProtection="0"/>
    <xf numFmtId="0" fontId="7" fillId="20" borderId="50" applyNumberFormat="0" applyAlignment="0" applyProtection="0"/>
    <xf numFmtId="0" fontId="7" fillId="20" borderId="50" applyNumberFormat="0" applyAlignment="0" applyProtection="0"/>
    <xf numFmtId="0" fontId="7" fillId="20" borderId="50" applyNumberFormat="0" applyAlignment="0" applyProtection="0"/>
    <xf numFmtId="0" fontId="7" fillId="20" borderId="50" applyNumberFormat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9" fontId="4" fillId="0" borderId="0" applyFill="0" applyBorder="0" applyAlignment="0" applyProtection="0"/>
    <xf numFmtId="43" fontId="5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4" fillId="0" borderId="0" applyFill="0" applyBorder="0" applyAlignment="0" applyProtection="0"/>
    <xf numFmtId="43" fontId="1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9" fillId="0" borderId="0" applyNumberFormat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4" fillId="0" borderId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4" fontId="132" fillId="0" borderId="0" applyFont="0" applyFill="0" applyBorder="0" applyAlignment="0" applyProtection="0"/>
    <xf numFmtId="16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26" fillId="0" borderId="0" applyFont="0" applyFill="0" applyBorder="0" applyAlignment="0" applyProtection="0"/>
    <xf numFmtId="165" fontId="4" fillId="0" borderId="0" applyFill="0" applyBorder="0" applyAlignment="0" applyProtection="0"/>
    <xf numFmtId="43" fontId="4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11" fillId="0" borderId="0"/>
    <xf numFmtId="0" fontId="125" fillId="0" borderId="0" applyNumberFormat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" fillId="0" borderId="0" applyFont="0" applyFill="0" applyBorder="0" applyAlignment="0" applyProtection="0"/>
    <xf numFmtId="42" fontId="89" fillId="0" borderId="0"/>
    <xf numFmtId="43" fontId="4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4" fillId="0" borderId="0" applyFont="0" applyFill="0" applyBorder="0" applyAlignment="0" applyProtection="0"/>
    <xf numFmtId="42" fontId="89" fillId="0" borderId="0"/>
    <xf numFmtId="165" fontId="4" fillId="0" borderId="0" applyFill="0" applyBorder="0" applyAlignment="0" applyProtection="0"/>
    <xf numFmtId="200" fontId="4" fillId="0" borderId="0" applyFill="0" applyBorder="0" applyAlignment="0" applyProtection="0"/>
    <xf numFmtId="43" fontId="126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4" fillId="0" borderId="0" applyFont="0" applyFill="0" applyBorder="0" applyAlignment="0" applyProtection="0"/>
    <xf numFmtId="198" fontId="88" fillId="0" borderId="0" applyFont="0" applyFill="0" applyBorder="0" applyAlignment="0" applyProtection="0"/>
    <xf numFmtId="43" fontId="126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4" fillId="0" borderId="0" applyFill="0" applyBorder="0" applyAlignment="0" applyProtection="0"/>
    <xf numFmtId="43" fontId="7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" fillId="0" borderId="0" applyFont="0" applyFill="0" applyBorder="0" applyAlignment="0" applyProtection="0"/>
    <xf numFmtId="200" fontId="4" fillId="0" borderId="0" applyFill="0" applyBorder="0" applyAlignment="0" applyProtection="0"/>
    <xf numFmtId="43" fontId="2" fillId="0" borderId="0" applyFont="0" applyFill="0" applyBorder="0" applyAlignment="0" applyProtection="0"/>
    <xf numFmtId="43" fontId="148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4" fillId="0" borderId="0" applyFill="0" applyBorder="0" applyAlignment="0" applyProtection="0"/>
    <xf numFmtId="43" fontId="2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9" fillId="0" borderId="0" applyFont="0" applyFill="0" applyBorder="0" applyAlignment="0" applyProtection="0"/>
    <xf numFmtId="201" fontId="4" fillId="0" borderId="0" applyFill="0" applyBorder="0" applyAlignment="0" applyProtection="0"/>
    <xf numFmtId="164" fontId="132" fillId="0" borderId="0" applyFont="0" applyFill="0" applyBorder="0" applyAlignment="0" applyProtection="0"/>
    <xf numFmtId="164" fontId="13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9" fillId="0" borderId="0" applyFont="0" applyFill="0" applyBorder="0" applyAlignment="0" applyProtection="0"/>
    <xf numFmtId="202" fontId="4" fillId="0" borderId="0" applyFill="0" applyBorder="0" applyAlignment="0" applyProtection="0"/>
    <xf numFmtId="43" fontId="4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48" fillId="0" borderId="0" applyFont="0" applyFill="0" applyBorder="0" applyAlignment="0" applyProtection="0"/>
    <xf numFmtId="165" fontId="4" fillId="0" borderId="0" applyFill="0" applyBorder="0" applyAlignment="0" applyProtection="0"/>
    <xf numFmtId="43" fontId="2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ill="0" applyBorder="0" applyAlignment="0" applyProtection="0"/>
    <xf numFmtId="43" fontId="1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9" fillId="0" borderId="0" applyFont="0" applyFill="0" applyBorder="0" applyAlignment="0" applyProtection="0"/>
    <xf numFmtId="43" fontId="126" fillId="0" borderId="0" applyFont="0" applyFill="0" applyBorder="0" applyAlignment="0" applyProtection="0"/>
    <xf numFmtId="165" fontId="4" fillId="0" borderId="0" applyFill="0" applyBorder="0" applyAlignment="0" applyProtection="0"/>
    <xf numFmtId="200" fontId="4" fillId="0" borderId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9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4" fillId="0" borderId="0" applyFill="0" applyBorder="0" applyAlignment="0" applyProtection="0"/>
    <xf numFmtId="43" fontId="109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32" fillId="0" borderId="0" applyFont="0" applyFill="0" applyBorder="0" applyAlignment="0" applyProtection="0"/>
    <xf numFmtId="164" fontId="132" fillId="0" borderId="0" applyFont="0" applyFill="0" applyBorder="0" applyAlignment="0" applyProtection="0"/>
    <xf numFmtId="164" fontId="89" fillId="0" borderId="0" applyFont="0" applyFill="0" applyBorder="0" applyAlignment="0" applyProtection="0"/>
    <xf numFmtId="0" fontId="29" fillId="0" borderId="0" applyNumberFormat="0" applyFont="0" applyFill="0" applyBorder="0" applyAlignment="0" applyProtection="0"/>
    <xf numFmtId="200" fontId="4" fillId="0" borderId="0" applyFill="0" applyBorder="0" applyAlignment="0" applyProtection="0"/>
    <xf numFmtId="164" fontId="132" fillId="0" borderId="0" applyFont="0" applyFill="0" applyBorder="0" applyAlignment="0" applyProtection="0"/>
    <xf numFmtId="164" fontId="132" fillId="0" borderId="0" applyFont="0" applyFill="0" applyBorder="0" applyAlignment="0" applyProtection="0"/>
    <xf numFmtId="164" fontId="132" fillId="0" borderId="0" applyFont="0" applyFill="0" applyBorder="0" applyAlignment="0" applyProtection="0"/>
    <xf numFmtId="0" fontId="11" fillId="0" borderId="0"/>
    <xf numFmtId="41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109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126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1" fillId="0" borderId="0"/>
    <xf numFmtId="183" fontId="4" fillId="0" borderId="0" applyFill="0" applyBorder="0" applyAlignment="0" applyProtection="0"/>
    <xf numFmtId="41" fontId="1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29" fillId="0" borderId="0" applyFont="0" applyFill="0" applyBorder="0" applyAlignment="0" applyProtection="0"/>
    <xf numFmtId="197" fontId="4" fillId="0" borderId="0" applyFill="0" applyBorder="0" applyAlignment="0" applyProtection="0"/>
    <xf numFmtId="43" fontId="77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4" fillId="0" borderId="0" applyFont="0" applyFill="0" applyBorder="0" applyAlignment="0" applyProtection="0"/>
    <xf numFmtId="182" fontId="4" fillId="0" borderId="0" applyFill="0" applyBorder="0" applyAlignment="0" applyProtection="0"/>
    <xf numFmtId="41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200" fontId="4" fillId="0" borderId="0" applyFill="0" applyBorder="0" applyAlignment="0" applyProtection="0"/>
    <xf numFmtId="43" fontId="132" fillId="0" borderId="0" applyFont="0" applyFill="0" applyBorder="0" applyAlignment="0" applyProtection="0"/>
    <xf numFmtId="43" fontId="2" fillId="0" borderId="0" applyFont="0" applyFill="0" applyBorder="0" applyAlignment="0" applyProtection="0"/>
    <xf numFmtId="183" fontId="4" fillId="0" borderId="0" applyFill="0" applyBorder="0" applyAlignment="0" applyProtection="0"/>
    <xf numFmtId="41" fontId="1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77" fillId="0" borderId="0" applyFont="0" applyFill="0" applyBorder="0" applyAlignment="0" applyProtection="0"/>
    <xf numFmtId="165" fontId="4" fillId="0" borderId="0" applyFill="0" applyBorder="0" applyAlignment="0" applyProtection="0"/>
    <xf numFmtId="43" fontId="7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29" fillId="0" borderId="0" applyNumberFormat="0" applyFont="0" applyFill="0" applyBorder="0" applyAlignment="0" applyProtection="0"/>
    <xf numFmtId="43" fontId="29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29" fillId="0" borderId="0" applyNumberFormat="0" applyFont="0" applyFill="0" applyBorder="0" applyAlignment="0" applyProtection="0"/>
    <xf numFmtId="43" fontId="77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89" fillId="54" borderId="120" applyNumberFormat="0" applyFont="0" applyAlignment="0" applyProtection="0"/>
    <xf numFmtId="0" fontId="150" fillId="0" borderId="0" applyNumberFormat="0" applyAlignment="0">
      <alignment horizontal="left"/>
    </xf>
    <xf numFmtId="42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203" fontId="4" fillId="0" borderId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51" fillId="0" borderId="0" applyNumberFormat="0" applyAlignment="0">
      <alignment horizontal="left"/>
    </xf>
    <xf numFmtId="0" fontId="152" fillId="52" borderId="114" applyNumberFormat="0" applyAlignment="0" applyProtection="0"/>
    <xf numFmtId="204" fontId="4" fillId="0" borderId="0" applyFont="0" applyFill="0" applyBorder="0" applyAlignment="0" applyProtection="0"/>
    <xf numFmtId="205" fontId="153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9" fontId="26" fillId="0" borderId="0" applyNumberFormat="0" applyFill="0" applyBorder="0" applyAlignment="0" applyProtection="0"/>
    <xf numFmtId="179" fontId="26" fillId="0" borderId="0" applyNumberFormat="0" applyFill="0" applyBorder="0" applyAlignment="0" applyProtection="0"/>
    <xf numFmtId="179" fontId="26" fillId="0" borderId="0" applyNumberFormat="0" applyFill="0" applyBorder="0" applyAlignment="0" applyProtection="0"/>
    <xf numFmtId="179" fontId="26" fillId="0" borderId="0" applyNumberFormat="0" applyFill="0" applyBorder="0" applyAlignment="0" applyProtection="0"/>
    <xf numFmtId="179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9" fontId="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179" fontId="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9" fontId="9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9" fontId="154" fillId="0" borderId="0" applyNumberFormat="0" applyFill="0" applyBorder="0" applyAlignment="0" applyProtection="0"/>
    <xf numFmtId="179" fontId="26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179" fontId="154" fillId="0" borderId="0" applyNumberFormat="0" applyFill="0" applyBorder="0" applyAlignment="0" applyProtection="0"/>
    <xf numFmtId="179" fontId="26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179" fontId="26" fillId="0" borderId="0" applyNumberFormat="0" applyFill="0" applyBorder="0" applyAlignment="0" applyProtection="0"/>
    <xf numFmtId="179" fontId="96" fillId="0" borderId="0" applyNumberFormat="0" applyFill="0" applyBorder="0" applyAlignment="0" applyProtection="0"/>
    <xf numFmtId="179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179" fontId="19" fillId="15" borderId="0" applyNumberFormat="0" applyBorder="0" applyAlignment="0" applyProtection="0"/>
    <xf numFmtId="179" fontId="19" fillId="15" borderId="0" applyNumberFormat="0" applyBorder="0" applyAlignment="0" applyProtection="0"/>
    <xf numFmtId="179" fontId="19" fillId="15" borderId="0" applyNumberFormat="0" applyBorder="0" applyAlignment="0" applyProtection="0"/>
    <xf numFmtId="179" fontId="19" fillId="15" borderId="0" applyNumberFormat="0" applyBorder="0" applyAlignment="0" applyProtection="0"/>
    <xf numFmtId="0" fontId="97" fillId="73" borderId="0" applyNumberFormat="0" applyBorder="0" applyAlignment="0" applyProtection="0"/>
    <xf numFmtId="179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97" fillId="67" borderId="0" applyNumberFormat="0" applyBorder="0" applyAlignment="0" applyProtection="0"/>
    <xf numFmtId="179" fontId="19" fillId="15" borderId="0" applyNumberFormat="0" applyBorder="0" applyAlignment="0" applyProtection="0"/>
    <xf numFmtId="0" fontId="28" fillId="67" borderId="0" applyNumberFormat="0" applyBorder="0" applyAlignment="0" applyProtection="0"/>
    <xf numFmtId="0" fontId="19" fillId="15" borderId="0" applyNumberFormat="0" applyBorder="0" applyAlignment="0" applyProtection="0"/>
    <xf numFmtId="0" fontId="97" fillId="67" borderId="0" applyNumberFormat="0" applyBorder="0" applyAlignment="0" applyProtection="0"/>
    <xf numFmtId="179" fontId="19" fillId="15" borderId="0" applyNumberFormat="0" applyBorder="0" applyAlignment="0" applyProtection="0"/>
    <xf numFmtId="0" fontId="28" fillId="67" borderId="0" applyNumberFormat="0" applyBorder="0" applyAlignment="0" applyProtection="0"/>
    <xf numFmtId="0" fontId="19" fillId="15" borderId="0" applyNumberFormat="0" applyBorder="0" applyAlignment="0" applyProtection="0"/>
    <xf numFmtId="0" fontId="97" fillId="67" borderId="0" applyNumberFormat="0" applyBorder="0" applyAlignment="0" applyProtection="0"/>
    <xf numFmtId="0" fontId="28" fillId="67" borderId="0" applyNumberFormat="0" applyBorder="0" applyAlignment="0" applyProtection="0"/>
    <xf numFmtId="179" fontId="97" fillId="67" borderId="0" applyNumberFormat="0" applyBorder="0" applyAlignment="0" applyProtection="0"/>
    <xf numFmtId="0" fontId="28" fillId="67" borderId="0" applyNumberFormat="0" applyBorder="0" applyAlignment="0" applyProtection="0"/>
    <xf numFmtId="179" fontId="155" fillId="15" borderId="0" applyNumberFormat="0" applyBorder="0" applyAlignment="0" applyProtection="0"/>
    <xf numFmtId="179" fontId="19" fillId="15" borderId="0" applyNumberFormat="0" applyBorder="0" applyAlignment="0" applyProtection="0"/>
    <xf numFmtId="0" fontId="155" fillId="15" borderId="0" applyNumberFormat="0" applyBorder="0" applyAlignment="0" applyProtection="0"/>
    <xf numFmtId="179" fontId="155" fillId="15" borderId="0" applyNumberFormat="0" applyBorder="0" applyAlignment="0" applyProtection="0"/>
    <xf numFmtId="179" fontId="19" fillId="15" borderId="0" applyNumberFormat="0" applyBorder="0" applyAlignment="0" applyProtection="0"/>
    <xf numFmtId="0" fontId="155" fillId="15" borderId="0" applyNumberFormat="0" applyBorder="0" applyAlignment="0" applyProtection="0"/>
    <xf numFmtId="179" fontId="19" fillId="15" borderId="0" applyNumberFormat="0" applyBorder="0" applyAlignment="0" applyProtection="0"/>
    <xf numFmtId="179" fontId="97" fillId="67" borderId="0" applyNumberFormat="0" applyBorder="0" applyAlignment="0" applyProtection="0"/>
    <xf numFmtId="179" fontId="19" fillId="15" borderId="0" applyNumberFormat="0" applyBorder="0" applyAlignment="0" applyProtection="0"/>
    <xf numFmtId="0" fontId="97" fillId="67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90" fillId="2" borderId="0" applyNumberFormat="0" applyBorder="0" applyAlignment="0" applyProtection="0"/>
    <xf numFmtId="0" fontId="91" fillId="0" borderId="77" applyNumberFormat="0" applyAlignment="0" applyProtection="0">
      <alignment horizontal="left" vertical="center"/>
    </xf>
    <xf numFmtId="0" fontId="91" fillId="0" borderId="11">
      <alignment horizontal="left" vertical="center"/>
    </xf>
    <xf numFmtId="0" fontId="156" fillId="0" borderId="0">
      <alignment horizontal="center"/>
    </xf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179" fontId="16" fillId="0" borderId="44" applyNumberFormat="0" applyFill="0" applyAlignment="0" applyProtection="0"/>
    <xf numFmtId="179" fontId="16" fillId="0" borderId="44" applyNumberFormat="0" applyFill="0" applyAlignment="0" applyProtection="0"/>
    <xf numFmtId="179" fontId="16" fillId="0" borderId="44" applyNumberFormat="0" applyFill="0" applyAlignment="0" applyProtection="0"/>
    <xf numFmtId="179" fontId="16" fillId="0" borderId="44" applyNumberFormat="0" applyFill="0" applyAlignment="0" applyProtection="0"/>
    <xf numFmtId="179" fontId="16" fillId="0" borderId="44" applyNumberFormat="0" applyFill="0" applyAlignment="0" applyProtection="0"/>
    <xf numFmtId="0" fontId="16" fillId="0" borderId="44" applyNumberFormat="0" applyFill="0" applyAlignment="0" applyProtection="0"/>
    <xf numFmtId="179" fontId="16" fillId="0" borderId="44" applyNumberFormat="0" applyFill="0" applyAlignment="0" applyProtection="0"/>
    <xf numFmtId="0" fontId="28" fillId="0" borderId="123" applyNumberFormat="0" applyFill="0" applyAlignment="0" applyProtection="0"/>
    <xf numFmtId="0" fontId="16" fillId="0" borderId="44" applyNumberFormat="0" applyFill="0" applyAlignment="0" applyProtection="0"/>
    <xf numFmtId="0" fontId="127" fillId="0" borderId="123" applyNumberFormat="0" applyFill="0" applyAlignment="0" applyProtection="0"/>
    <xf numFmtId="179" fontId="16" fillId="0" borderId="44" applyNumberFormat="0" applyFill="0" applyAlignment="0" applyProtection="0"/>
    <xf numFmtId="0" fontId="28" fillId="0" borderId="123" applyNumberFormat="0" applyFill="0" applyAlignment="0" applyProtection="0"/>
    <xf numFmtId="0" fontId="16" fillId="0" borderId="44" applyNumberFormat="0" applyFill="0" applyAlignment="0" applyProtection="0"/>
    <xf numFmtId="0" fontId="127" fillId="0" borderId="123" applyNumberFormat="0" applyFill="0" applyAlignment="0" applyProtection="0"/>
    <xf numFmtId="0" fontId="28" fillId="0" borderId="123" applyNumberFormat="0" applyFill="0" applyAlignment="0" applyProtection="0"/>
    <xf numFmtId="0" fontId="98" fillId="0" borderId="116" applyNumberFormat="0" applyFill="0" applyAlignment="0" applyProtection="0"/>
    <xf numFmtId="0" fontId="98" fillId="0" borderId="116" applyNumberFormat="0" applyFill="0" applyAlignment="0" applyProtection="0"/>
    <xf numFmtId="0" fontId="98" fillId="0" borderId="116" applyNumberFormat="0" applyFill="0" applyAlignment="0" applyProtection="0"/>
    <xf numFmtId="179" fontId="98" fillId="0" borderId="116" applyNumberFormat="0" applyFill="0" applyAlignment="0" applyProtection="0"/>
    <xf numFmtId="0" fontId="28" fillId="0" borderId="123" applyNumberFormat="0" applyFill="0" applyAlignment="0" applyProtection="0"/>
    <xf numFmtId="179" fontId="157" fillId="0" borderId="44" applyNumberFormat="0" applyFill="0" applyAlignment="0" applyProtection="0"/>
    <xf numFmtId="179" fontId="16" fillId="0" borderId="44" applyNumberFormat="0" applyFill="0" applyAlignment="0" applyProtection="0"/>
    <xf numFmtId="0" fontId="157" fillId="0" borderId="44" applyNumberFormat="0" applyFill="0" applyAlignment="0" applyProtection="0"/>
    <xf numFmtId="179" fontId="157" fillId="0" borderId="44" applyNumberFormat="0" applyFill="0" applyAlignment="0" applyProtection="0"/>
    <xf numFmtId="179" fontId="16" fillId="0" borderId="44" applyNumberFormat="0" applyFill="0" applyAlignment="0" applyProtection="0"/>
    <xf numFmtId="0" fontId="157" fillId="0" borderId="44" applyNumberFormat="0" applyFill="0" applyAlignment="0" applyProtection="0"/>
    <xf numFmtId="179" fontId="16" fillId="0" borderId="44" applyNumberFormat="0" applyFill="0" applyAlignment="0" applyProtection="0"/>
    <xf numFmtId="179" fontId="98" fillId="0" borderId="116" applyNumberFormat="0" applyFill="0" applyAlignment="0" applyProtection="0"/>
    <xf numFmtId="179" fontId="16" fillId="0" borderId="44" applyNumberFormat="0" applyFill="0" applyAlignment="0" applyProtection="0"/>
    <xf numFmtId="0" fontId="98" fillId="0" borderId="116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7" fillId="0" borderId="45" applyNumberFormat="0" applyFill="0" applyAlignment="0" applyProtection="0"/>
    <xf numFmtId="0" fontId="17" fillId="0" borderId="45" applyNumberFormat="0" applyFill="0" applyAlignment="0" applyProtection="0"/>
    <xf numFmtId="0" fontId="17" fillId="0" borderId="45" applyNumberFormat="0" applyFill="0" applyAlignment="0" applyProtection="0"/>
    <xf numFmtId="0" fontId="17" fillId="0" borderId="45" applyNumberFormat="0" applyFill="0" applyAlignment="0" applyProtection="0"/>
    <xf numFmtId="0" fontId="17" fillId="0" borderId="45" applyNumberFormat="0" applyFill="0" applyAlignment="0" applyProtection="0"/>
    <xf numFmtId="179" fontId="17" fillId="0" borderId="45" applyNumberFormat="0" applyFill="0" applyAlignment="0" applyProtection="0"/>
    <xf numFmtId="179" fontId="17" fillId="0" borderId="45" applyNumberFormat="0" applyFill="0" applyAlignment="0" applyProtection="0"/>
    <xf numFmtId="179" fontId="17" fillId="0" borderId="45" applyNumberFormat="0" applyFill="0" applyAlignment="0" applyProtection="0"/>
    <xf numFmtId="179" fontId="17" fillId="0" borderId="45" applyNumberFormat="0" applyFill="0" applyAlignment="0" applyProtection="0"/>
    <xf numFmtId="179" fontId="17" fillId="0" borderId="45" applyNumberFormat="0" applyFill="0" applyAlignment="0" applyProtection="0"/>
    <xf numFmtId="0" fontId="17" fillId="0" borderId="45" applyNumberFormat="0" applyFill="0" applyAlignment="0" applyProtection="0"/>
    <xf numFmtId="179" fontId="17" fillId="0" borderId="45" applyNumberFormat="0" applyFill="0" applyAlignment="0" applyProtection="0"/>
    <xf numFmtId="0" fontId="28" fillId="0" borderId="117" applyNumberFormat="0" applyFill="0" applyAlignment="0" applyProtection="0"/>
    <xf numFmtId="0" fontId="17" fillId="0" borderId="45" applyNumberFormat="0" applyFill="0" applyAlignment="0" applyProtection="0"/>
    <xf numFmtId="0" fontId="128" fillId="0" borderId="117" applyNumberFormat="0" applyFill="0" applyAlignment="0" applyProtection="0"/>
    <xf numFmtId="179" fontId="17" fillId="0" borderId="45" applyNumberFormat="0" applyFill="0" applyAlignment="0" applyProtection="0"/>
    <xf numFmtId="0" fontId="28" fillId="0" borderId="117" applyNumberFormat="0" applyFill="0" applyAlignment="0" applyProtection="0"/>
    <xf numFmtId="0" fontId="17" fillId="0" borderId="45" applyNumberFormat="0" applyFill="0" applyAlignment="0" applyProtection="0"/>
    <xf numFmtId="0" fontId="128" fillId="0" borderId="117" applyNumberFormat="0" applyFill="0" applyAlignment="0" applyProtection="0"/>
    <xf numFmtId="0" fontId="28" fillId="0" borderId="117" applyNumberFormat="0" applyFill="0" applyAlignment="0" applyProtection="0"/>
    <xf numFmtId="0" fontId="99" fillId="0" borderId="117" applyNumberFormat="0" applyFill="0" applyAlignment="0" applyProtection="0"/>
    <xf numFmtId="0" fontId="99" fillId="0" borderId="117" applyNumberFormat="0" applyFill="0" applyAlignment="0" applyProtection="0"/>
    <xf numFmtId="0" fontId="99" fillId="0" borderId="117" applyNumberFormat="0" applyFill="0" applyAlignment="0" applyProtection="0"/>
    <xf numFmtId="179" fontId="99" fillId="0" borderId="117" applyNumberFormat="0" applyFill="0" applyAlignment="0" applyProtection="0"/>
    <xf numFmtId="0" fontId="28" fillId="0" borderId="117" applyNumberFormat="0" applyFill="0" applyAlignment="0" applyProtection="0"/>
    <xf numFmtId="179" fontId="158" fillId="0" borderId="45" applyNumberFormat="0" applyFill="0" applyAlignment="0" applyProtection="0"/>
    <xf numFmtId="179" fontId="17" fillId="0" borderId="45" applyNumberFormat="0" applyFill="0" applyAlignment="0" applyProtection="0"/>
    <xf numFmtId="0" fontId="158" fillId="0" borderId="45" applyNumberFormat="0" applyFill="0" applyAlignment="0" applyProtection="0"/>
    <xf numFmtId="179" fontId="158" fillId="0" borderId="45" applyNumberFormat="0" applyFill="0" applyAlignment="0" applyProtection="0"/>
    <xf numFmtId="179" fontId="17" fillId="0" borderId="45" applyNumberFormat="0" applyFill="0" applyAlignment="0" applyProtection="0"/>
    <xf numFmtId="0" fontId="158" fillId="0" borderId="45" applyNumberFormat="0" applyFill="0" applyAlignment="0" applyProtection="0"/>
    <xf numFmtId="179" fontId="17" fillId="0" borderId="45" applyNumberFormat="0" applyFill="0" applyAlignment="0" applyProtection="0"/>
    <xf numFmtId="179" fontId="99" fillId="0" borderId="117" applyNumberFormat="0" applyFill="0" applyAlignment="0" applyProtection="0"/>
    <xf numFmtId="179" fontId="17" fillId="0" borderId="45" applyNumberFormat="0" applyFill="0" applyAlignment="0" applyProtection="0"/>
    <xf numFmtId="0" fontId="99" fillId="0" borderId="117" applyNumberFormat="0" applyFill="0" applyAlignment="0" applyProtection="0"/>
    <xf numFmtId="0" fontId="17" fillId="0" borderId="45" applyNumberFormat="0" applyFill="0" applyAlignment="0" applyProtection="0"/>
    <xf numFmtId="0" fontId="17" fillId="0" borderId="45" applyNumberFormat="0" applyFill="0" applyAlignment="0" applyProtection="0"/>
    <xf numFmtId="0" fontId="17" fillId="0" borderId="45" applyNumberFormat="0" applyFill="0" applyAlignment="0" applyProtection="0"/>
    <xf numFmtId="0" fontId="17" fillId="0" borderId="45" applyNumberFormat="0" applyFill="0" applyAlignment="0" applyProtection="0"/>
    <xf numFmtId="0" fontId="18" fillId="0" borderId="46" applyNumberFormat="0" applyFill="0" applyAlignment="0" applyProtection="0"/>
    <xf numFmtId="0" fontId="18" fillId="0" borderId="46" applyNumberFormat="0" applyFill="0" applyAlignment="0" applyProtection="0"/>
    <xf numFmtId="0" fontId="18" fillId="0" borderId="46" applyNumberFormat="0" applyFill="0" applyAlignment="0" applyProtection="0"/>
    <xf numFmtId="0" fontId="18" fillId="0" borderId="46" applyNumberFormat="0" applyFill="0" applyAlignment="0" applyProtection="0"/>
    <xf numFmtId="0" fontId="18" fillId="0" borderId="46" applyNumberFormat="0" applyFill="0" applyAlignment="0" applyProtection="0"/>
    <xf numFmtId="179" fontId="18" fillId="0" borderId="46" applyNumberFormat="0" applyFill="0" applyAlignment="0" applyProtection="0"/>
    <xf numFmtId="179" fontId="18" fillId="0" borderId="46" applyNumberFormat="0" applyFill="0" applyAlignment="0" applyProtection="0"/>
    <xf numFmtId="179" fontId="18" fillId="0" borderId="46" applyNumberFormat="0" applyFill="0" applyAlignment="0" applyProtection="0"/>
    <xf numFmtId="179" fontId="18" fillId="0" borderId="46" applyNumberFormat="0" applyFill="0" applyAlignment="0" applyProtection="0"/>
    <xf numFmtId="179" fontId="18" fillId="0" borderId="46" applyNumberFormat="0" applyFill="0" applyAlignment="0" applyProtection="0"/>
    <xf numFmtId="0" fontId="18" fillId="0" borderId="46" applyNumberFormat="0" applyFill="0" applyAlignment="0" applyProtection="0"/>
    <xf numFmtId="179" fontId="18" fillId="0" borderId="46" applyNumberFormat="0" applyFill="0" applyAlignment="0" applyProtection="0"/>
    <xf numFmtId="0" fontId="28" fillId="0" borderId="124" applyNumberFormat="0" applyFill="0" applyAlignment="0" applyProtection="0"/>
    <xf numFmtId="0" fontId="18" fillId="0" borderId="46" applyNumberFormat="0" applyFill="0" applyAlignment="0" applyProtection="0"/>
    <xf numFmtId="0" fontId="129" fillId="0" borderId="124" applyNumberFormat="0" applyFill="0" applyAlignment="0" applyProtection="0"/>
    <xf numFmtId="179" fontId="18" fillId="0" borderId="46" applyNumberFormat="0" applyFill="0" applyAlignment="0" applyProtection="0"/>
    <xf numFmtId="0" fontId="28" fillId="0" borderId="124" applyNumberFormat="0" applyFill="0" applyAlignment="0" applyProtection="0"/>
    <xf numFmtId="0" fontId="18" fillId="0" borderId="46" applyNumberFormat="0" applyFill="0" applyAlignment="0" applyProtection="0"/>
    <xf numFmtId="0" fontId="129" fillId="0" borderId="124" applyNumberFormat="0" applyFill="0" applyAlignment="0" applyProtection="0"/>
    <xf numFmtId="0" fontId="28" fillId="0" borderId="124" applyNumberFormat="0" applyFill="0" applyAlignment="0" applyProtection="0"/>
    <xf numFmtId="0" fontId="100" fillId="0" borderId="118" applyNumberFormat="0" applyFill="0" applyAlignment="0" applyProtection="0"/>
    <xf numFmtId="0" fontId="100" fillId="0" borderId="118" applyNumberFormat="0" applyFill="0" applyAlignment="0" applyProtection="0"/>
    <xf numFmtId="0" fontId="100" fillId="0" borderId="118" applyNumberFormat="0" applyFill="0" applyAlignment="0" applyProtection="0"/>
    <xf numFmtId="179" fontId="100" fillId="0" borderId="118" applyNumberFormat="0" applyFill="0" applyAlignment="0" applyProtection="0"/>
    <xf numFmtId="0" fontId="28" fillId="0" borderId="124" applyNumberFormat="0" applyFill="0" applyAlignment="0" applyProtection="0"/>
    <xf numFmtId="179" fontId="159" fillId="0" borderId="46" applyNumberFormat="0" applyFill="0" applyAlignment="0" applyProtection="0"/>
    <xf numFmtId="179" fontId="18" fillId="0" borderId="46" applyNumberFormat="0" applyFill="0" applyAlignment="0" applyProtection="0"/>
    <xf numFmtId="0" fontId="159" fillId="0" borderId="46" applyNumberFormat="0" applyFill="0" applyAlignment="0" applyProtection="0"/>
    <xf numFmtId="179" fontId="159" fillId="0" borderId="46" applyNumberFormat="0" applyFill="0" applyAlignment="0" applyProtection="0"/>
    <xf numFmtId="179" fontId="18" fillId="0" borderId="46" applyNumberFormat="0" applyFill="0" applyAlignment="0" applyProtection="0"/>
    <xf numFmtId="0" fontId="159" fillId="0" borderId="46" applyNumberFormat="0" applyFill="0" applyAlignment="0" applyProtection="0"/>
    <xf numFmtId="179" fontId="18" fillId="0" borderId="46" applyNumberFormat="0" applyFill="0" applyAlignment="0" applyProtection="0"/>
    <xf numFmtId="179" fontId="100" fillId="0" borderId="118" applyNumberFormat="0" applyFill="0" applyAlignment="0" applyProtection="0"/>
    <xf numFmtId="179" fontId="18" fillId="0" borderId="46" applyNumberFormat="0" applyFill="0" applyAlignment="0" applyProtection="0"/>
    <xf numFmtId="0" fontId="100" fillId="0" borderId="118" applyNumberFormat="0" applyFill="0" applyAlignment="0" applyProtection="0"/>
    <xf numFmtId="0" fontId="18" fillId="0" borderId="46" applyNumberFormat="0" applyFill="0" applyAlignment="0" applyProtection="0"/>
    <xf numFmtId="0" fontId="18" fillId="0" borderId="46" applyNumberFormat="0" applyFill="0" applyAlignment="0" applyProtection="0"/>
    <xf numFmtId="0" fontId="18" fillId="0" borderId="46" applyNumberFormat="0" applyFill="0" applyAlignment="0" applyProtection="0"/>
    <xf numFmtId="0" fontId="18" fillId="0" borderId="46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9" fontId="18" fillId="0" borderId="0" applyNumberFormat="0" applyFill="0" applyBorder="0" applyAlignment="0" applyProtection="0"/>
    <xf numFmtId="179" fontId="18" fillId="0" borderId="0" applyNumberFormat="0" applyFill="0" applyBorder="0" applyAlignment="0" applyProtection="0"/>
    <xf numFmtId="179" fontId="18" fillId="0" borderId="0" applyNumberFormat="0" applyFill="0" applyBorder="0" applyAlignment="0" applyProtection="0"/>
    <xf numFmtId="179" fontId="18" fillId="0" borderId="0" applyNumberFormat="0" applyFill="0" applyBorder="0" applyAlignment="0" applyProtection="0"/>
    <xf numFmtId="179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9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179" fontId="1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79" fontId="100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9" fontId="159" fillId="0" borderId="0" applyNumberFormat="0" applyFill="0" applyBorder="0" applyAlignment="0" applyProtection="0"/>
    <xf numFmtId="179" fontId="18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179" fontId="159" fillId="0" borderId="0" applyNumberFormat="0" applyFill="0" applyBorder="0" applyAlignment="0" applyProtection="0"/>
    <xf numFmtId="179" fontId="18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179" fontId="18" fillId="0" borderId="0" applyNumberFormat="0" applyFill="0" applyBorder="0" applyAlignment="0" applyProtection="0"/>
    <xf numFmtId="179" fontId="100" fillId="0" borderId="0" applyNumberFormat="0" applyFill="0" applyBorder="0" applyAlignment="0" applyProtection="0"/>
    <xf numFmtId="179" fontId="18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6" fillId="0" borderId="0">
      <alignment horizontal="center" textRotation="90"/>
    </xf>
    <xf numFmtId="0" fontId="90" fillId="99" borderId="17" applyNumberFormat="0" applyBorder="0" applyAlignment="0" applyProtection="0"/>
    <xf numFmtId="0" fontId="22" fillId="18" borderId="47" applyNumberFormat="0" applyAlignment="0" applyProtection="0"/>
    <xf numFmtId="0" fontId="22" fillId="18" borderId="47" applyNumberFormat="0" applyAlignment="0" applyProtection="0"/>
    <xf numFmtId="0" fontId="22" fillId="18" borderId="47" applyNumberFormat="0" applyAlignment="0" applyProtection="0"/>
    <xf numFmtId="0" fontId="22" fillId="18" borderId="47" applyNumberFormat="0" applyAlignment="0" applyProtection="0"/>
    <xf numFmtId="0" fontId="22" fillId="18" borderId="47" applyNumberFormat="0" applyAlignment="0" applyProtection="0"/>
    <xf numFmtId="179" fontId="22" fillId="18" borderId="47" applyNumberFormat="0" applyAlignment="0" applyProtection="0"/>
    <xf numFmtId="179" fontId="22" fillId="18" borderId="47" applyNumberFormat="0" applyAlignment="0" applyProtection="0"/>
    <xf numFmtId="179" fontId="22" fillId="18" borderId="47" applyNumberFormat="0" applyAlignment="0" applyProtection="0"/>
    <xf numFmtId="179" fontId="22" fillId="18" borderId="47" applyNumberFormat="0" applyAlignment="0" applyProtection="0"/>
    <xf numFmtId="0" fontId="101" fillId="77" borderId="114" applyNumberFormat="0" applyAlignment="0" applyProtection="0"/>
    <xf numFmtId="179" fontId="22" fillId="18" borderId="47" applyNumberFormat="0" applyAlignment="0" applyProtection="0"/>
    <xf numFmtId="0" fontId="22" fillId="18" borderId="47" applyNumberFormat="0" applyAlignment="0" applyProtection="0"/>
    <xf numFmtId="0" fontId="101" fillId="52" borderId="114" applyNumberFormat="0" applyAlignment="0" applyProtection="0"/>
    <xf numFmtId="179" fontId="22" fillId="18" borderId="47" applyNumberFormat="0" applyAlignment="0" applyProtection="0"/>
    <xf numFmtId="0" fontId="28" fillId="52" borderId="114" applyNumberFormat="0" applyAlignment="0" applyProtection="0"/>
    <xf numFmtId="0" fontId="22" fillId="18" borderId="47" applyNumberFormat="0" applyAlignment="0" applyProtection="0"/>
    <xf numFmtId="0" fontId="101" fillId="52" borderId="114" applyNumberFormat="0" applyAlignment="0" applyProtection="0"/>
    <xf numFmtId="179" fontId="22" fillId="18" borderId="47" applyNumberFormat="0" applyAlignment="0" applyProtection="0"/>
    <xf numFmtId="0" fontId="28" fillId="52" borderId="114" applyNumberFormat="0" applyAlignment="0" applyProtection="0"/>
    <xf numFmtId="0" fontId="22" fillId="18" borderId="47" applyNumberFormat="0" applyAlignment="0" applyProtection="0"/>
    <xf numFmtId="0" fontId="101" fillId="52" borderId="114" applyNumberFormat="0" applyAlignment="0" applyProtection="0"/>
    <xf numFmtId="0" fontId="28" fillId="52" borderId="114" applyNumberFormat="0" applyAlignment="0" applyProtection="0"/>
    <xf numFmtId="0" fontId="101" fillId="57" borderId="114" applyNumberFormat="0" applyAlignment="0" applyProtection="0"/>
    <xf numFmtId="0" fontId="160" fillId="18" borderId="47" applyNumberFormat="0" applyAlignment="0" applyProtection="0"/>
    <xf numFmtId="0" fontId="160" fillId="18" borderId="47" applyNumberFormat="0" applyAlignment="0" applyProtection="0"/>
    <xf numFmtId="179" fontId="101" fillId="57" borderId="114" applyNumberFormat="0" applyAlignment="0" applyProtection="0"/>
    <xf numFmtId="0" fontId="28" fillId="52" borderId="114" applyNumberFormat="0" applyAlignment="0" applyProtection="0"/>
    <xf numFmtId="179" fontId="161" fillId="18" borderId="47" applyNumberFormat="0" applyAlignment="0" applyProtection="0"/>
    <xf numFmtId="179" fontId="22" fillId="18" borderId="47" applyNumberFormat="0" applyAlignment="0" applyProtection="0"/>
    <xf numFmtId="0" fontId="161" fillId="18" borderId="47" applyNumberFormat="0" applyAlignment="0" applyProtection="0"/>
    <xf numFmtId="179" fontId="161" fillId="18" borderId="47" applyNumberFormat="0" applyAlignment="0" applyProtection="0"/>
    <xf numFmtId="179" fontId="22" fillId="18" borderId="47" applyNumberFormat="0" applyAlignment="0" applyProtection="0"/>
    <xf numFmtId="0" fontId="161" fillId="18" borderId="47" applyNumberFormat="0" applyAlignment="0" applyProtection="0"/>
    <xf numFmtId="0" fontId="22" fillId="18" borderId="47" applyNumberFormat="0" applyAlignment="0" applyProtection="0"/>
    <xf numFmtId="179" fontId="22" fillId="18" borderId="47" applyNumberFormat="0" applyAlignment="0" applyProtection="0"/>
    <xf numFmtId="0" fontId="22" fillId="18" borderId="47" applyNumberFormat="0" applyAlignment="0" applyProtection="0"/>
    <xf numFmtId="0" fontId="22" fillId="18" borderId="47" applyNumberFormat="0" applyAlignment="0" applyProtection="0"/>
    <xf numFmtId="179" fontId="101" fillId="57" borderId="114" applyNumberFormat="0" applyAlignment="0" applyProtection="0"/>
    <xf numFmtId="179" fontId="22" fillId="18" borderId="47" applyNumberFormat="0" applyAlignment="0" applyProtection="0"/>
    <xf numFmtId="0" fontId="101" fillId="57" borderId="114" applyNumberFormat="0" applyAlignment="0" applyProtection="0"/>
    <xf numFmtId="0" fontId="22" fillId="18" borderId="47" applyNumberFormat="0" applyAlignment="0" applyProtection="0"/>
    <xf numFmtId="0" fontId="22" fillId="18" borderId="47" applyNumberFormat="0" applyAlignment="0" applyProtection="0"/>
    <xf numFmtId="0" fontId="22" fillId="18" borderId="47" applyNumberFormat="0" applyAlignment="0" applyProtection="0"/>
    <xf numFmtId="0" fontId="22" fillId="18" borderId="47" applyNumberFormat="0" applyAlignment="0" applyProtection="0"/>
    <xf numFmtId="0" fontId="162" fillId="46" borderId="0" applyNumberFormat="0" applyBorder="0" applyAlignment="0" applyProtection="0"/>
    <xf numFmtId="0" fontId="25" fillId="0" borderId="49" applyNumberFormat="0" applyFill="0" applyAlignment="0" applyProtection="0"/>
    <xf numFmtId="0" fontId="25" fillId="0" borderId="49" applyNumberFormat="0" applyFill="0" applyAlignment="0" applyProtection="0"/>
    <xf numFmtId="0" fontId="25" fillId="0" borderId="49" applyNumberFormat="0" applyFill="0" applyAlignment="0" applyProtection="0"/>
    <xf numFmtId="0" fontId="25" fillId="0" borderId="49" applyNumberFormat="0" applyFill="0" applyAlignment="0" applyProtection="0"/>
    <xf numFmtId="0" fontId="25" fillId="0" borderId="49" applyNumberFormat="0" applyFill="0" applyAlignment="0" applyProtection="0"/>
    <xf numFmtId="179" fontId="25" fillId="0" borderId="49" applyNumberFormat="0" applyFill="0" applyAlignment="0" applyProtection="0"/>
    <xf numFmtId="179" fontId="25" fillId="0" borderId="49" applyNumberFormat="0" applyFill="0" applyAlignment="0" applyProtection="0"/>
    <xf numFmtId="179" fontId="25" fillId="0" borderId="49" applyNumberFormat="0" applyFill="0" applyAlignment="0" applyProtection="0"/>
    <xf numFmtId="179" fontId="25" fillId="0" borderId="49" applyNumberFormat="0" applyFill="0" applyAlignment="0" applyProtection="0"/>
    <xf numFmtId="179" fontId="25" fillId="0" borderId="49" applyNumberFormat="0" applyFill="0" applyAlignment="0" applyProtection="0"/>
    <xf numFmtId="0" fontId="25" fillId="0" borderId="49" applyNumberFormat="0" applyFill="0" applyAlignment="0" applyProtection="0"/>
    <xf numFmtId="179" fontId="25" fillId="0" borderId="49" applyNumberFormat="0" applyFill="0" applyAlignment="0" applyProtection="0"/>
    <xf numFmtId="0" fontId="28" fillId="0" borderId="119" applyNumberFormat="0" applyFill="0" applyAlignment="0" applyProtection="0"/>
    <xf numFmtId="0" fontId="25" fillId="0" borderId="49" applyNumberFormat="0" applyFill="0" applyAlignment="0" applyProtection="0"/>
    <xf numFmtId="0" fontId="102" fillId="0" borderId="119" applyNumberFormat="0" applyFill="0" applyAlignment="0" applyProtection="0"/>
    <xf numFmtId="179" fontId="25" fillId="0" borderId="49" applyNumberFormat="0" applyFill="0" applyAlignment="0" applyProtection="0"/>
    <xf numFmtId="0" fontId="28" fillId="0" borderId="119" applyNumberFormat="0" applyFill="0" applyAlignment="0" applyProtection="0"/>
    <xf numFmtId="0" fontId="25" fillId="0" borderId="49" applyNumberFormat="0" applyFill="0" applyAlignment="0" applyProtection="0"/>
    <xf numFmtId="0" fontId="102" fillId="0" borderId="119" applyNumberFormat="0" applyFill="0" applyAlignment="0" applyProtection="0"/>
    <xf numFmtId="0" fontId="28" fillId="0" borderId="119" applyNumberFormat="0" applyFill="0" applyAlignment="0" applyProtection="0"/>
    <xf numFmtId="179" fontId="102" fillId="0" borderId="119" applyNumberFormat="0" applyFill="0" applyAlignment="0" applyProtection="0"/>
    <xf numFmtId="0" fontId="28" fillId="0" borderId="119" applyNumberFormat="0" applyFill="0" applyAlignment="0" applyProtection="0"/>
    <xf numFmtId="179" fontId="163" fillId="0" borderId="49" applyNumberFormat="0" applyFill="0" applyAlignment="0" applyProtection="0"/>
    <xf numFmtId="179" fontId="25" fillId="0" borderId="49" applyNumberFormat="0" applyFill="0" applyAlignment="0" applyProtection="0"/>
    <xf numFmtId="0" fontId="163" fillId="0" borderId="49" applyNumberFormat="0" applyFill="0" applyAlignment="0" applyProtection="0"/>
    <xf numFmtId="179" fontId="163" fillId="0" borderId="49" applyNumberFormat="0" applyFill="0" applyAlignment="0" applyProtection="0"/>
    <xf numFmtId="179" fontId="25" fillId="0" borderId="49" applyNumberFormat="0" applyFill="0" applyAlignment="0" applyProtection="0"/>
    <xf numFmtId="0" fontId="163" fillId="0" borderId="49" applyNumberFormat="0" applyFill="0" applyAlignment="0" applyProtection="0"/>
    <xf numFmtId="179" fontId="25" fillId="0" borderId="49" applyNumberFormat="0" applyFill="0" applyAlignment="0" applyProtection="0"/>
    <xf numFmtId="179" fontId="102" fillId="0" borderId="119" applyNumberFormat="0" applyFill="0" applyAlignment="0" applyProtection="0"/>
    <xf numFmtId="179" fontId="25" fillId="0" borderId="49" applyNumberFormat="0" applyFill="0" applyAlignment="0" applyProtection="0"/>
    <xf numFmtId="0" fontId="25" fillId="0" borderId="49" applyNumberFormat="0" applyFill="0" applyAlignment="0" applyProtection="0"/>
    <xf numFmtId="0" fontId="25" fillId="0" borderId="49" applyNumberFormat="0" applyFill="0" applyAlignment="0" applyProtection="0"/>
    <xf numFmtId="0" fontId="25" fillId="0" borderId="49" applyNumberFormat="0" applyFill="0" applyAlignment="0" applyProtection="0"/>
    <xf numFmtId="0" fontId="25" fillId="0" borderId="49" applyNumberFormat="0" applyFill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179" fontId="21" fillId="17" borderId="0" applyNumberFormat="0" applyBorder="0" applyAlignment="0" applyProtection="0"/>
    <xf numFmtId="179" fontId="21" fillId="17" borderId="0" applyNumberFormat="0" applyBorder="0" applyAlignment="0" applyProtection="0"/>
    <xf numFmtId="179" fontId="21" fillId="17" borderId="0" applyNumberFormat="0" applyBorder="0" applyAlignment="0" applyProtection="0"/>
    <xf numFmtId="179" fontId="21" fillId="17" borderId="0" applyNumberFormat="0" applyBorder="0" applyAlignment="0" applyProtection="0"/>
    <xf numFmtId="0" fontId="103" fillId="69" borderId="0" applyNumberFormat="0" applyBorder="0" applyAlignment="0" applyProtection="0"/>
    <xf numFmtId="179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103" fillId="57" borderId="0" applyNumberFormat="0" applyBorder="0" applyAlignment="0" applyProtection="0"/>
    <xf numFmtId="179" fontId="21" fillId="17" borderId="0" applyNumberFormat="0" applyBorder="0" applyAlignment="0" applyProtection="0"/>
    <xf numFmtId="0" fontId="28" fillId="57" borderId="0" applyNumberFormat="0" applyBorder="0" applyAlignment="0" applyProtection="0"/>
    <xf numFmtId="0" fontId="21" fillId="17" borderId="0" applyNumberFormat="0" applyBorder="0" applyAlignment="0" applyProtection="0"/>
    <xf numFmtId="0" fontId="103" fillId="57" borderId="0" applyNumberFormat="0" applyBorder="0" applyAlignment="0" applyProtection="0"/>
    <xf numFmtId="179" fontId="21" fillId="17" borderId="0" applyNumberFormat="0" applyBorder="0" applyAlignment="0" applyProtection="0"/>
    <xf numFmtId="0" fontId="28" fillId="57" borderId="0" applyNumberFormat="0" applyBorder="0" applyAlignment="0" applyProtection="0"/>
    <xf numFmtId="0" fontId="21" fillId="17" borderId="0" applyNumberFormat="0" applyBorder="0" applyAlignment="0" applyProtection="0"/>
    <xf numFmtId="0" fontId="103" fillId="57" borderId="0" applyNumberFormat="0" applyBorder="0" applyAlignment="0" applyProtection="0"/>
    <xf numFmtId="0" fontId="28" fillId="57" borderId="0" applyNumberFormat="0" applyBorder="0" applyAlignment="0" applyProtection="0"/>
    <xf numFmtId="179" fontId="103" fillId="57" borderId="0" applyNumberFormat="0" applyBorder="0" applyAlignment="0" applyProtection="0"/>
    <xf numFmtId="0" fontId="28" fillId="57" borderId="0" applyNumberFormat="0" applyBorder="0" applyAlignment="0" applyProtection="0"/>
    <xf numFmtId="179" fontId="164" fillId="17" borderId="0" applyNumberFormat="0" applyBorder="0" applyAlignment="0" applyProtection="0"/>
    <xf numFmtId="179" fontId="21" fillId="17" borderId="0" applyNumberFormat="0" applyBorder="0" applyAlignment="0" applyProtection="0"/>
    <xf numFmtId="0" fontId="164" fillId="17" borderId="0" applyNumberFormat="0" applyBorder="0" applyAlignment="0" applyProtection="0"/>
    <xf numFmtId="179" fontId="164" fillId="17" borderId="0" applyNumberFormat="0" applyBorder="0" applyAlignment="0" applyProtection="0"/>
    <xf numFmtId="179" fontId="21" fillId="17" borderId="0" applyNumberFormat="0" applyBorder="0" applyAlignment="0" applyProtection="0"/>
    <xf numFmtId="0" fontId="164" fillId="17" borderId="0" applyNumberFormat="0" applyBorder="0" applyAlignment="0" applyProtection="0"/>
    <xf numFmtId="179" fontId="21" fillId="17" borderId="0" applyNumberFormat="0" applyBorder="0" applyAlignment="0" applyProtection="0"/>
    <xf numFmtId="179" fontId="103" fillId="57" borderId="0" applyNumberFormat="0" applyBorder="0" applyAlignment="0" applyProtection="0"/>
    <xf numFmtId="179" fontId="21" fillId="17" borderId="0" applyNumberFormat="0" applyBorder="0" applyAlignment="0" applyProtection="0"/>
    <xf numFmtId="0" fontId="103" fillId="5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165" fillId="57" borderId="0" applyNumberFormat="0" applyBorder="0" applyAlignment="0" applyProtection="0"/>
    <xf numFmtId="206" fontId="166" fillId="0" borderId="0"/>
    <xf numFmtId="176" fontId="2" fillId="0" borderId="0"/>
    <xf numFmtId="0" fontId="2" fillId="0" borderId="0"/>
    <xf numFmtId="0" fontId="11" fillId="0" borderId="0"/>
    <xf numFmtId="0" fontId="4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9" fontId="4" fillId="0" borderId="0"/>
    <xf numFmtId="0" fontId="4" fillId="0" borderId="0"/>
    <xf numFmtId="0" fontId="4" fillId="0" borderId="0"/>
    <xf numFmtId="0" fontId="4" fillId="0" borderId="0"/>
    <xf numFmtId="179" fontId="4" fillId="0" borderId="0"/>
    <xf numFmtId="0" fontId="4" fillId="0" borderId="0"/>
    <xf numFmtId="0" fontId="2" fillId="0" borderId="0"/>
    <xf numFmtId="0" fontId="29" fillId="0" borderId="0"/>
    <xf numFmtId="179" fontId="2" fillId="0" borderId="0"/>
    <xf numFmtId="0" fontId="2" fillId="0" borderId="0"/>
    <xf numFmtId="0" fontId="77" fillId="0" borderId="0"/>
    <xf numFmtId="179" fontId="77" fillId="0" borderId="0"/>
    <xf numFmtId="0" fontId="77" fillId="0" borderId="0"/>
    <xf numFmtId="0" fontId="2" fillId="0" borderId="0"/>
    <xf numFmtId="0" fontId="29" fillId="0" borderId="0"/>
    <xf numFmtId="179" fontId="2" fillId="0" borderId="0"/>
    <xf numFmtId="0" fontId="2" fillId="0" borderId="0"/>
    <xf numFmtId="179" fontId="77" fillId="0" borderId="0"/>
    <xf numFmtId="179" fontId="2" fillId="0" borderId="0"/>
    <xf numFmtId="179" fontId="2" fillId="0" borderId="0"/>
    <xf numFmtId="179" fontId="29" fillId="0" borderId="0"/>
    <xf numFmtId="179" fontId="2" fillId="0" borderId="0"/>
    <xf numFmtId="179" fontId="29" fillId="0" borderId="0"/>
    <xf numFmtId="0" fontId="28" fillId="0" borderId="0"/>
    <xf numFmtId="179" fontId="2" fillId="0" borderId="0"/>
    <xf numFmtId="0" fontId="28" fillId="0" borderId="0"/>
    <xf numFmtId="179" fontId="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28" fillId="0" borderId="0"/>
    <xf numFmtId="0" fontId="2" fillId="0" borderId="0"/>
    <xf numFmtId="0" fontId="4" fillId="0" borderId="0" applyNumberFormat="0" applyFont="0" applyFill="0" applyBorder="0" applyAlignment="0" applyProtection="0"/>
    <xf numFmtId="0" fontId="2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4" fillId="0" borderId="0" applyNumberFormat="0" applyFont="0" applyFill="0" applyBorder="0" applyAlignment="0" applyProtection="0"/>
    <xf numFmtId="0" fontId="2" fillId="0" borderId="0"/>
    <xf numFmtId="0" fontId="2" fillId="0" borderId="0"/>
    <xf numFmtId="0" fontId="29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9" fontId="2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176" fontId="2" fillId="0" borderId="0"/>
    <xf numFmtId="179" fontId="2" fillId="0" borderId="0"/>
    <xf numFmtId="0" fontId="2" fillId="0" borderId="0"/>
    <xf numFmtId="179" fontId="4" fillId="0" borderId="0"/>
    <xf numFmtId="0" fontId="4" fillId="0" borderId="0"/>
    <xf numFmtId="0" fontId="2" fillId="0" borderId="0"/>
    <xf numFmtId="179" fontId="4" fillId="0" borderId="0"/>
    <xf numFmtId="0" fontId="29" fillId="0" borderId="0"/>
    <xf numFmtId="0" fontId="2" fillId="0" borderId="0"/>
    <xf numFmtId="0" fontId="4" fillId="0" borderId="0"/>
    <xf numFmtId="0" fontId="29" fillId="0" borderId="0"/>
    <xf numFmtId="0" fontId="2" fillId="0" borderId="0"/>
    <xf numFmtId="179" fontId="29" fillId="0" borderId="0"/>
    <xf numFmtId="179" fontId="29" fillId="0" borderId="0"/>
    <xf numFmtId="0" fontId="4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ont="0" applyFill="0" applyBorder="0" applyAlignment="0" applyProtection="0"/>
    <xf numFmtId="0" fontId="2" fillId="0" borderId="0"/>
    <xf numFmtId="179" fontId="2" fillId="0" borderId="0"/>
    <xf numFmtId="0" fontId="2" fillId="0" borderId="0"/>
    <xf numFmtId="179" fontId="2" fillId="0" borderId="0"/>
    <xf numFmtId="0" fontId="2" fillId="0" borderId="0"/>
    <xf numFmtId="179" fontId="2" fillId="0" borderId="0"/>
    <xf numFmtId="0" fontId="2" fillId="0" borderId="0"/>
    <xf numFmtId="179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2" fillId="0" borderId="0"/>
    <xf numFmtId="0" fontId="2" fillId="0" borderId="0"/>
    <xf numFmtId="0" fontId="4" fillId="0" borderId="0"/>
    <xf numFmtId="0" fontId="2" fillId="0" borderId="0"/>
    <xf numFmtId="179" fontId="4" fillId="0" borderId="0"/>
    <xf numFmtId="0" fontId="4" fillId="0" borderId="0"/>
    <xf numFmtId="0" fontId="2" fillId="0" borderId="0"/>
    <xf numFmtId="179" fontId="4" fillId="0" borderId="0"/>
    <xf numFmtId="0" fontId="29" fillId="0" borderId="0"/>
    <xf numFmtId="179" fontId="2" fillId="0" borderId="0"/>
    <xf numFmtId="0" fontId="2" fillId="0" borderId="0"/>
    <xf numFmtId="0" fontId="29" fillId="0" borderId="0"/>
    <xf numFmtId="0" fontId="2" fillId="0" borderId="0"/>
    <xf numFmtId="179" fontId="29" fillId="0" borderId="0"/>
    <xf numFmtId="179" fontId="29" fillId="0" borderId="0"/>
    <xf numFmtId="179" fontId="2" fillId="0" borderId="0"/>
    <xf numFmtId="0" fontId="2" fillId="0" borderId="0"/>
    <xf numFmtId="179" fontId="2" fillId="0" borderId="0"/>
    <xf numFmtId="0" fontId="2" fillId="0" borderId="0"/>
    <xf numFmtId="0" fontId="2" fillId="0" borderId="0"/>
    <xf numFmtId="179" fontId="2" fillId="0" borderId="0"/>
    <xf numFmtId="179" fontId="2" fillId="0" borderId="0"/>
    <xf numFmtId="179" fontId="2" fillId="0" borderId="0"/>
    <xf numFmtId="0" fontId="2" fillId="0" borderId="0"/>
    <xf numFmtId="179" fontId="2" fillId="0" borderId="0"/>
    <xf numFmtId="179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9" fontId="2" fillId="0" borderId="0"/>
    <xf numFmtId="176" fontId="2" fillId="0" borderId="0"/>
    <xf numFmtId="0" fontId="2" fillId="0" borderId="0"/>
    <xf numFmtId="0" fontId="4" fillId="0" borderId="0"/>
    <xf numFmtId="0" fontId="2" fillId="0" borderId="0"/>
    <xf numFmtId="179" fontId="4" fillId="0" borderId="0"/>
    <xf numFmtId="0" fontId="4" fillId="0" borderId="0"/>
    <xf numFmtId="0" fontId="2" fillId="0" borderId="0"/>
    <xf numFmtId="179" fontId="4" fillId="0" borderId="0"/>
    <xf numFmtId="0" fontId="29" fillId="0" borderId="0"/>
    <xf numFmtId="179" fontId="2" fillId="0" borderId="0"/>
    <xf numFmtId="0" fontId="2" fillId="0" borderId="0"/>
    <xf numFmtId="0" fontId="29" fillId="0" borderId="0"/>
    <xf numFmtId="0" fontId="2" fillId="0" borderId="0"/>
    <xf numFmtId="179" fontId="29" fillId="0" borderId="0"/>
    <xf numFmtId="179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0" fontId="2" fillId="0" borderId="0"/>
    <xf numFmtId="0" fontId="4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76" fontId="2" fillId="0" borderId="0"/>
    <xf numFmtId="0" fontId="2" fillId="0" borderId="0"/>
    <xf numFmtId="0" fontId="4" fillId="0" borderId="0"/>
    <xf numFmtId="0" fontId="2" fillId="0" borderId="0"/>
    <xf numFmtId="179" fontId="4" fillId="0" borderId="0"/>
    <xf numFmtId="0" fontId="4" fillId="0" borderId="0"/>
    <xf numFmtId="0" fontId="2" fillId="0" borderId="0"/>
    <xf numFmtId="179" fontId="4" fillId="0" borderId="0"/>
    <xf numFmtId="0" fontId="29" fillId="0" borderId="0"/>
    <xf numFmtId="179" fontId="2" fillId="0" borderId="0"/>
    <xf numFmtId="0" fontId="2" fillId="0" borderId="0"/>
    <xf numFmtId="0" fontId="2" fillId="0" borderId="0"/>
    <xf numFmtId="179" fontId="29" fillId="0" borderId="0"/>
    <xf numFmtId="179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2" fillId="0" borderId="0"/>
    <xf numFmtId="179" fontId="29" fillId="0" borderId="0"/>
    <xf numFmtId="0" fontId="2" fillId="0" borderId="0"/>
    <xf numFmtId="179" fontId="4" fillId="0" borderId="0"/>
    <xf numFmtId="0" fontId="4" fillId="0" borderId="0"/>
    <xf numFmtId="0" fontId="2" fillId="0" borderId="0"/>
    <xf numFmtId="179" fontId="4" fillId="0" borderId="0"/>
    <xf numFmtId="179" fontId="29" fillId="0" borderId="0"/>
    <xf numFmtId="0" fontId="2" fillId="0" borderId="0"/>
    <xf numFmtId="0" fontId="4" fillId="0" borderId="0"/>
    <xf numFmtId="0" fontId="2" fillId="0" borderId="0"/>
    <xf numFmtId="179" fontId="29" fillId="0" borderId="0"/>
    <xf numFmtId="179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2" fillId="0" borderId="0"/>
    <xf numFmtId="0" fontId="4" fillId="0" borderId="0"/>
    <xf numFmtId="179" fontId="29" fillId="0" borderId="0"/>
    <xf numFmtId="179" fontId="29" fillId="0" borderId="0"/>
    <xf numFmtId="0" fontId="2" fillId="0" borderId="0"/>
    <xf numFmtId="179" fontId="29" fillId="0" borderId="0"/>
    <xf numFmtId="0" fontId="2" fillId="0" borderId="0"/>
    <xf numFmtId="179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176" fontId="2" fillId="0" borderId="0"/>
    <xf numFmtId="0" fontId="4" fillId="0" borderId="0"/>
    <xf numFmtId="179" fontId="29" fillId="0" borderId="0"/>
    <xf numFmtId="179" fontId="29" fillId="0" borderId="0"/>
    <xf numFmtId="0" fontId="2" fillId="0" borderId="0"/>
    <xf numFmtId="179" fontId="29" fillId="0" borderId="0"/>
    <xf numFmtId="0" fontId="2" fillId="0" borderId="0"/>
    <xf numFmtId="179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2" fillId="0" borderId="0"/>
    <xf numFmtId="179" fontId="29" fillId="0" borderId="0"/>
    <xf numFmtId="0" fontId="29" fillId="0" borderId="0"/>
    <xf numFmtId="0" fontId="2" fillId="0" borderId="0"/>
    <xf numFmtId="179" fontId="29" fillId="0" borderId="0"/>
    <xf numFmtId="179" fontId="29" fillId="0" borderId="0"/>
    <xf numFmtId="179" fontId="29" fillId="0" borderId="0"/>
    <xf numFmtId="0" fontId="2" fillId="0" borderId="0"/>
    <xf numFmtId="0" fontId="29" fillId="0" borderId="0"/>
    <xf numFmtId="0" fontId="2" fillId="0" borderId="0"/>
    <xf numFmtId="179" fontId="29" fillId="0" borderId="0"/>
    <xf numFmtId="179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2" fillId="0" borderId="0"/>
    <xf numFmtId="179" fontId="29" fillId="0" borderId="0"/>
    <xf numFmtId="179" fontId="29" fillId="0" borderId="0"/>
    <xf numFmtId="0" fontId="2" fillId="0" borderId="0"/>
    <xf numFmtId="179" fontId="29" fillId="0" borderId="0"/>
    <xf numFmtId="0" fontId="2" fillId="0" borderId="0"/>
    <xf numFmtId="179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9" fontId="89" fillId="0" borderId="0"/>
    <xf numFmtId="0" fontId="89" fillId="0" borderId="0"/>
    <xf numFmtId="0" fontId="29" fillId="0" borderId="0"/>
    <xf numFmtId="179" fontId="89" fillId="0" borderId="0"/>
    <xf numFmtId="0" fontId="89" fillId="0" borderId="0"/>
    <xf numFmtId="0" fontId="29" fillId="0" borderId="0"/>
    <xf numFmtId="179" fontId="77" fillId="0" borderId="0"/>
    <xf numFmtId="0" fontId="77" fillId="0" borderId="0"/>
    <xf numFmtId="0" fontId="29" fillId="0" borderId="0"/>
    <xf numFmtId="179" fontId="77" fillId="0" borderId="0"/>
    <xf numFmtId="0" fontId="77" fillId="0" borderId="0"/>
    <xf numFmtId="0" fontId="29" fillId="0" borderId="0"/>
    <xf numFmtId="0" fontId="29" fillId="0" borderId="0"/>
    <xf numFmtId="179" fontId="2" fillId="0" borderId="0"/>
    <xf numFmtId="0" fontId="29" fillId="0" borderId="0"/>
    <xf numFmtId="179" fontId="2" fillId="0" borderId="0"/>
    <xf numFmtId="179" fontId="4" fillId="0" borderId="0"/>
    <xf numFmtId="0" fontId="29" fillId="0" borderId="0"/>
    <xf numFmtId="179" fontId="86" fillId="0" borderId="0"/>
    <xf numFmtId="0" fontId="29" fillId="0" borderId="0"/>
    <xf numFmtId="0" fontId="29" fillId="0" borderId="0"/>
    <xf numFmtId="0" fontId="29" fillId="0" borderId="0"/>
    <xf numFmtId="179" fontId="11" fillId="0" borderId="0"/>
    <xf numFmtId="0" fontId="2" fillId="0" borderId="0"/>
    <xf numFmtId="176" fontId="4" fillId="0" borderId="0"/>
    <xf numFmtId="0" fontId="2" fillId="0" borderId="0"/>
    <xf numFmtId="179" fontId="2" fillId="0" borderId="0"/>
    <xf numFmtId="0" fontId="2" fillId="0" borderId="0"/>
    <xf numFmtId="179" fontId="29" fillId="0" borderId="0"/>
    <xf numFmtId="0" fontId="4" fillId="0" borderId="0"/>
    <xf numFmtId="0" fontId="29" fillId="0" borderId="0"/>
    <xf numFmtId="0" fontId="2" fillId="0" borderId="0"/>
    <xf numFmtId="0" fontId="2" fillId="0" borderId="0"/>
    <xf numFmtId="0" fontId="2" fillId="0" borderId="0"/>
    <xf numFmtId="179" fontId="4" fillId="0" borderId="0"/>
    <xf numFmtId="0" fontId="89" fillId="0" borderId="0"/>
    <xf numFmtId="0" fontId="2" fillId="0" borderId="0"/>
    <xf numFmtId="179" fontId="29" fillId="0" borderId="0"/>
    <xf numFmtId="0" fontId="28" fillId="0" borderId="0"/>
    <xf numFmtId="179" fontId="4" fillId="0" borderId="0"/>
    <xf numFmtId="179" fontId="29" fillId="0" borderId="0"/>
    <xf numFmtId="179" fontId="29" fillId="0" borderId="0"/>
    <xf numFmtId="179" fontId="29" fillId="0" borderId="0"/>
    <xf numFmtId="179" fontId="29" fillId="0" borderId="0"/>
    <xf numFmtId="179" fontId="4" fillId="0" borderId="0"/>
    <xf numFmtId="179" fontId="4" fillId="0" borderId="0"/>
    <xf numFmtId="179" fontId="29" fillId="0" borderId="0"/>
    <xf numFmtId="0" fontId="2" fillId="0" borderId="0"/>
    <xf numFmtId="179" fontId="29" fillId="0" borderId="0"/>
    <xf numFmtId="179" fontId="29" fillId="0" borderId="0"/>
    <xf numFmtId="0" fontId="2" fillId="0" borderId="0"/>
    <xf numFmtId="179" fontId="29" fillId="0" borderId="0"/>
    <xf numFmtId="0" fontId="2" fillId="0" borderId="0"/>
    <xf numFmtId="0" fontId="133" fillId="0" borderId="0" applyNumberFormat="0" applyFill="0" applyBorder="0" applyAlignment="0" applyProtection="0"/>
    <xf numFmtId="179" fontId="29" fillId="0" borderId="0"/>
    <xf numFmtId="179" fontId="29" fillId="0" borderId="0"/>
    <xf numFmtId="179" fontId="29" fillId="0" borderId="0"/>
    <xf numFmtId="0" fontId="2" fillId="0" borderId="0"/>
    <xf numFmtId="179" fontId="29" fillId="0" borderId="0"/>
    <xf numFmtId="0" fontId="2" fillId="0" borderId="0"/>
    <xf numFmtId="179" fontId="4" fillId="0" borderId="0"/>
    <xf numFmtId="179" fontId="29" fillId="0" borderId="0"/>
    <xf numFmtId="179" fontId="89" fillId="0" borderId="0"/>
    <xf numFmtId="0" fontId="4" fillId="0" borderId="0"/>
    <xf numFmtId="179" fontId="4" fillId="0" borderId="0"/>
    <xf numFmtId="0" fontId="4" fillId="0" borderId="0"/>
    <xf numFmtId="179" fontId="4" fillId="0" borderId="0"/>
    <xf numFmtId="179" fontId="29" fillId="0" borderId="0"/>
    <xf numFmtId="0" fontId="4" fillId="0" borderId="0"/>
    <xf numFmtId="179" fontId="29" fillId="0" borderId="0"/>
    <xf numFmtId="0" fontId="29" fillId="0" borderId="0"/>
    <xf numFmtId="0" fontId="4" fillId="0" borderId="0"/>
    <xf numFmtId="0" fontId="29" fillId="0" borderId="0"/>
    <xf numFmtId="0" fontId="2" fillId="0" borderId="0"/>
    <xf numFmtId="0" fontId="29" fillId="0" borderId="0"/>
    <xf numFmtId="0" fontId="2" fillId="0" borderId="0"/>
    <xf numFmtId="0" fontId="2" fillId="0" borderId="0"/>
    <xf numFmtId="179" fontId="2" fillId="0" borderId="0"/>
    <xf numFmtId="0" fontId="29" fillId="0" borderId="0"/>
    <xf numFmtId="0" fontId="11" fillId="0" borderId="0"/>
    <xf numFmtId="0" fontId="2" fillId="0" borderId="0"/>
    <xf numFmtId="179" fontId="11" fillId="0" borderId="0"/>
    <xf numFmtId="179" fontId="167" fillId="0" borderId="0"/>
    <xf numFmtId="0" fontId="29" fillId="0" borderId="0"/>
    <xf numFmtId="179" fontId="2" fillId="0" borderId="0"/>
    <xf numFmtId="0" fontId="11" fillId="0" borderId="0"/>
    <xf numFmtId="0" fontId="4" fillId="0" borderId="0"/>
    <xf numFmtId="0" fontId="29" fillId="0" borderId="0"/>
    <xf numFmtId="179" fontId="2" fillId="0" borderId="0"/>
    <xf numFmtId="0" fontId="11" fillId="0" borderId="0"/>
    <xf numFmtId="0" fontId="4" fillId="0" borderId="0"/>
    <xf numFmtId="179" fontId="4" fillId="0" borderId="0"/>
    <xf numFmtId="0" fontId="11" fillId="0" borderId="0"/>
    <xf numFmtId="0" fontId="4" fillId="0" borderId="0"/>
    <xf numFmtId="0" fontId="11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9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9" fillId="0" borderId="0"/>
    <xf numFmtId="179" fontId="4" fillId="0" borderId="0"/>
    <xf numFmtId="0" fontId="2" fillId="0" borderId="0"/>
    <xf numFmtId="0" fontId="29" fillId="0" borderId="0"/>
    <xf numFmtId="179" fontId="2" fillId="0" borderId="0"/>
    <xf numFmtId="0" fontId="29" fillId="0" borderId="0"/>
    <xf numFmtId="179" fontId="2" fillId="0" borderId="0"/>
    <xf numFmtId="0" fontId="89" fillId="0" borderId="0"/>
    <xf numFmtId="0" fontId="2" fillId="0" borderId="0"/>
    <xf numFmtId="179" fontId="4" fillId="0" borderId="0"/>
    <xf numFmtId="179" fontId="4" fillId="0" borderId="0"/>
    <xf numFmtId="179" fontId="11" fillId="0" borderId="0"/>
    <xf numFmtId="0" fontId="29" fillId="0" borderId="0"/>
    <xf numFmtId="0" fontId="11" fillId="0" borderId="0"/>
    <xf numFmtId="179" fontId="89" fillId="0" borderId="0"/>
    <xf numFmtId="0" fontId="29" fillId="0" borderId="0"/>
    <xf numFmtId="0" fontId="89" fillId="0" borderId="0"/>
    <xf numFmtId="179" fontId="11" fillId="0" borderId="0"/>
    <xf numFmtId="0" fontId="29" fillId="0" borderId="0"/>
    <xf numFmtId="0" fontId="11" fillId="0" borderId="0"/>
    <xf numFmtId="0" fontId="29" fillId="0" borderId="0"/>
    <xf numFmtId="0" fontId="11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" fillId="0" borderId="0"/>
    <xf numFmtId="0" fontId="29" fillId="0" borderId="0"/>
    <xf numFmtId="0" fontId="2" fillId="0" borderId="0"/>
    <xf numFmtId="176" fontId="4" fillId="0" borderId="0"/>
    <xf numFmtId="0" fontId="29" fillId="0" borderId="0"/>
    <xf numFmtId="176" fontId="4" fillId="0" borderId="0"/>
    <xf numFmtId="179" fontId="2" fillId="0" borderId="0"/>
    <xf numFmtId="0" fontId="2" fillId="0" borderId="0"/>
    <xf numFmtId="179" fontId="89" fillId="0" borderId="0"/>
    <xf numFmtId="0" fontId="4" fillId="0" borderId="0"/>
    <xf numFmtId="0" fontId="89" fillId="0" borderId="0"/>
    <xf numFmtId="0" fontId="29" fillId="0" borderId="0"/>
    <xf numFmtId="179" fontId="29" fillId="0" borderId="0"/>
    <xf numFmtId="179" fontId="29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89" fillId="0" borderId="0"/>
    <xf numFmtId="0" fontId="2" fillId="0" borderId="0"/>
    <xf numFmtId="179" fontId="89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2" fillId="0" borderId="0"/>
    <xf numFmtId="176" fontId="4" fillId="0" borderId="0"/>
    <xf numFmtId="0" fontId="2" fillId="0" borderId="0"/>
    <xf numFmtId="176" fontId="2" fillId="0" borderId="0"/>
    <xf numFmtId="0" fontId="4" fillId="0" borderId="0"/>
    <xf numFmtId="176" fontId="4" fillId="0" borderId="0"/>
    <xf numFmtId="176" fontId="4" fillId="0" borderId="0"/>
    <xf numFmtId="0" fontId="2" fillId="0" borderId="0"/>
    <xf numFmtId="0" fontId="4" fillId="0" borderId="0"/>
    <xf numFmtId="0" fontId="2" fillId="0" borderId="0"/>
    <xf numFmtId="179" fontId="89" fillId="0" borderId="0"/>
    <xf numFmtId="0" fontId="89" fillId="0" borderId="0"/>
    <xf numFmtId="0" fontId="29" fillId="0" borderId="0"/>
    <xf numFmtId="0" fontId="2" fillId="0" borderId="0"/>
    <xf numFmtId="0" fontId="148" fillId="0" borderId="0"/>
    <xf numFmtId="0" fontId="168" fillId="0" borderId="0">
      <alignment vertical="center"/>
    </xf>
    <xf numFmtId="0" fontId="86" fillId="0" borderId="0"/>
    <xf numFmtId="0" fontId="4" fillId="0" borderId="0"/>
    <xf numFmtId="0" fontId="4" fillId="0" borderId="0"/>
    <xf numFmtId="179" fontId="89" fillId="0" borderId="0"/>
    <xf numFmtId="0" fontId="29" fillId="0" borderId="0"/>
    <xf numFmtId="0" fontId="89" fillId="0" borderId="0"/>
    <xf numFmtId="0" fontId="148" fillId="0" borderId="0"/>
    <xf numFmtId="179" fontId="89" fillId="0" borderId="0"/>
    <xf numFmtId="0" fontId="89" fillId="0" borderId="0"/>
    <xf numFmtId="0" fontId="29" fillId="0" borderId="0"/>
    <xf numFmtId="179" fontId="89" fillId="0" borderId="0"/>
    <xf numFmtId="0" fontId="89" fillId="0" borderId="0"/>
    <xf numFmtId="0" fontId="29" fillId="0" borderId="0"/>
    <xf numFmtId="176" fontId="2" fillId="0" borderId="0"/>
    <xf numFmtId="179" fontId="29" fillId="0" borderId="0"/>
    <xf numFmtId="0" fontId="29" fillId="0" borderId="0"/>
    <xf numFmtId="0" fontId="2" fillId="0" borderId="0"/>
    <xf numFmtId="179" fontId="29" fillId="0" borderId="0"/>
    <xf numFmtId="179" fontId="29" fillId="0" borderId="0"/>
    <xf numFmtId="179" fontId="29" fillId="0" borderId="0"/>
    <xf numFmtId="0" fontId="2" fillId="0" borderId="0"/>
    <xf numFmtId="0" fontId="29" fillId="0" borderId="0"/>
    <xf numFmtId="0" fontId="2" fillId="0" borderId="0"/>
    <xf numFmtId="179" fontId="29" fillId="0" borderId="0"/>
    <xf numFmtId="179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2" fillId="0" borderId="0"/>
    <xf numFmtId="179" fontId="29" fillId="0" borderId="0"/>
    <xf numFmtId="179" fontId="29" fillId="0" borderId="0"/>
    <xf numFmtId="0" fontId="2" fillId="0" borderId="0"/>
    <xf numFmtId="179" fontId="29" fillId="0" borderId="0"/>
    <xf numFmtId="0" fontId="2" fillId="0" borderId="0"/>
    <xf numFmtId="179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2" fillId="0" borderId="0"/>
    <xf numFmtId="179" fontId="110" fillId="0" borderId="0"/>
    <xf numFmtId="0" fontId="28" fillId="0" borderId="0"/>
    <xf numFmtId="179" fontId="110" fillId="0" borderId="0"/>
    <xf numFmtId="0" fontId="28" fillId="0" borderId="0"/>
    <xf numFmtId="179" fontId="11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2" fillId="0" borderId="0"/>
    <xf numFmtId="179" fontId="29" fillId="0" borderId="0"/>
    <xf numFmtId="179" fontId="29" fillId="0" borderId="0"/>
    <xf numFmtId="179" fontId="29" fillId="0" borderId="0"/>
    <xf numFmtId="179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2" fillId="0" borderId="0"/>
    <xf numFmtId="179" fontId="29" fillId="0" borderId="0"/>
    <xf numFmtId="179" fontId="29" fillId="0" borderId="0"/>
    <xf numFmtId="179" fontId="29" fillId="0" borderId="0"/>
    <xf numFmtId="179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2" fillId="0" borderId="0"/>
    <xf numFmtId="179" fontId="110" fillId="0" borderId="0"/>
    <xf numFmtId="179" fontId="110" fillId="0" borderId="0"/>
    <xf numFmtId="0" fontId="2" fillId="0" borderId="0"/>
    <xf numFmtId="0" fontId="2" fillId="0" borderId="0"/>
    <xf numFmtId="179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9" fontId="2" fillId="0" borderId="0"/>
    <xf numFmtId="0" fontId="2" fillId="0" borderId="0"/>
    <xf numFmtId="176" fontId="2" fillId="0" borderId="0"/>
    <xf numFmtId="179" fontId="29" fillId="0" borderId="0"/>
    <xf numFmtId="0" fontId="11" fillId="0" borderId="0"/>
    <xf numFmtId="0" fontId="29" fillId="0" borderId="0"/>
    <xf numFmtId="179" fontId="11" fillId="0" borderId="0"/>
    <xf numFmtId="0" fontId="2" fillId="0" borderId="0"/>
    <xf numFmtId="179" fontId="29" fillId="0" borderId="0"/>
    <xf numFmtId="0" fontId="11" fillId="0" borderId="0"/>
    <xf numFmtId="179" fontId="29" fillId="0" borderId="0"/>
    <xf numFmtId="0" fontId="4" fillId="0" borderId="0"/>
    <xf numFmtId="0" fontId="2" fillId="0" borderId="0"/>
    <xf numFmtId="179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2" fillId="0" borderId="0"/>
    <xf numFmtId="179" fontId="29" fillId="0" borderId="0"/>
    <xf numFmtId="179" fontId="4" fillId="0" borderId="0"/>
    <xf numFmtId="0" fontId="4" fillId="0" borderId="0"/>
    <xf numFmtId="0" fontId="2" fillId="0" borderId="0"/>
    <xf numFmtId="179" fontId="4" fillId="0" borderId="0"/>
    <xf numFmtId="0" fontId="2" fillId="0" borderId="0"/>
    <xf numFmtId="179" fontId="29" fillId="0" borderId="0"/>
    <xf numFmtId="179" fontId="29" fillId="0" borderId="0"/>
    <xf numFmtId="0" fontId="4" fillId="0" borderId="0"/>
    <xf numFmtId="0" fontId="2" fillId="0" borderId="0"/>
    <xf numFmtId="179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29" fillId="0" borderId="0"/>
    <xf numFmtId="179" fontId="29" fillId="0" borderId="0"/>
    <xf numFmtId="0" fontId="4" fillId="0" borderId="0"/>
    <xf numFmtId="0" fontId="11" fillId="0" borderId="0"/>
    <xf numFmtId="0" fontId="2" fillId="0" borderId="0"/>
    <xf numFmtId="179" fontId="11" fillId="0" borderId="0"/>
    <xf numFmtId="176" fontId="29" fillId="0" borderId="0"/>
    <xf numFmtId="176" fontId="29" fillId="0" borderId="0"/>
    <xf numFmtId="179" fontId="29" fillId="0" borderId="0"/>
    <xf numFmtId="179" fontId="4" fillId="0" borderId="0"/>
    <xf numFmtId="0" fontId="4" fillId="0" borderId="0"/>
    <xf numFmtId="0" fontId="2" fillId="0" borderId="0"/>
    <xf numFmtId="179" fontId="4" fillId="0" borderId="0"/>
    <xf numFmtId="176" fontId="2" fillId="0" borderId="0"/>
    <xf numFmtId="179" fontId="29" fillId="0" borderId="0"/>
    <xf numFmtId="0" fontId="89" fillId="0" borderId="0"/>
    <xf numFmtId="179" fontId="29" fillId="0" borderId="0"/>
    <xf numFmtId="179" fontId="89" fillId="0" borderId="0"/>
    <xf numFmtId="0" fontId="124" fillId="0" borderId="0"/>
    <xf numFmtId="0" fontId="2" fillId="0" borderId="0"/>
    <xf numFmtId="0" fontId="2" fillId="0" borderId="0"/>
    <xf numFmtId="0" fontId="2" fillId="0" borderId="0"/>
    <xf numFmtId="176" fontId="29" fillId="0" borderId="0"/>
    <xf numFmtId="176" fontId="2" fillId="0" borderId="0"/>
    <xf numFmtId="0" fontId="29" fillId="0" borderId="0"/>
    <xf numFmtId="0" fontId="2" fillId="0" borderId="0"/>
    <xf numFmtId="179" fontId="4" fillId="0" borderId="0"/>
    <xf numFmtId="0" fontId="2" fillId="0" borderId="0"/>
    <xf numFmtId="176" fontId="29" fillId="0" borderId="0"/>
    <xf numFmtId="0" fontId="2" fillId="0" borderId="0"/>
    <xf numFmtId="179" fontId="2" fillId="0" borderId="0"/>
    <xf numFmtId="0" fontId="89" fillId="0" borderId="0"/>
    <xf numFmtId="0" fontId="4" fillId="0" borderId="0"/>
    <xf numFmtId="0" fontId="86" fillId="0" borderId="0"/>
    <xf numFmtId="0" fontId="2" fillId="0" borderId="0"/>
    <xf numFmtId="179" fontId="89" fillId="0" borderId="0"/>
    <xf numFmtId="0" fontId="86" fillId="0" borderId="0"/>
    <xf numFmtId="0" fontId="86" fillId="0" borderId="0"/>
    <xf numFmtId="0" fontId="89" fillId="0" borderId="0"/>
    <xf numFmtId="0" fontId="2" fillId="0" borderId="0"/>
    <xf numFmtId="179" fontId="89" fillId="0" borderId="0"/>
    <xf numFmtId="0" fontId="2" fillId="0" borderId="0"/>
    <xf numFmtId="0" fontId="2" fillId="0" borderId="0"/>
    <xf numFmtId="0" fontId="29" fillId="0" borderId="0"/>
    <xf numFmtId="179" fontId="77" fillId="0" borderId="0"/>
    <xf numFmtId="0" fontId="77" fillId="0" borderId="0"/>
    <xf numFmtId="0" fontId="2" fillId="0" borderId="0"/>
    <xf numFmtId="179" fontId="77" fillId="0" borderId="0"/>
    <xf numFmtId="179" fontId="4" fillId="0" borderId="0"/>
    <xf numFmtId="0" fontId="132" fillId="0" borderId="0"/>
    <xf numFmtId="0" fontId="132" fillId="0" borderId="0"/>
    <xf numFmtId="0" fontId="4" fillId="0" borderId="0"/>
    <xf numFmtId="0" fontId="132" fillId="0" borderId="0"/>
    <xf numFmtId="179" fontId="86" fillId="0" borderId="0"/>
    <xf numFmtId="179" fontId="132" fillId="0" borderId="0"/>
    <xf numFmtId="179" fontId="132" fillId="0" borderId="0"/>
    <xf numFmtId="179" fontId="4" fillId="0" borderId="0"/>
    <xf numFmtId="0" fontId="2" fillId="0" borderId="0"/>
    <xf numFmtId="176" fontId="2" fillId="0" borderId="0"/>
    <xf numFmtId="0" fontId="2" fillId="0" borderId="0"/>
    <xf numFmtId="179" fontId="29" fillId="0" borderId="0"/>
    <xf numFmtId="0" fontId="29" fillId="0" borderId="0"/>
    <xf numFmtId="0" fontId="89" fillId="0" borderId="0"/>
    <xf numFmtId="0" fontId="2" fillId="0" borderId="0"/>
    <xf numFmtId="0" fontId="2" fillId="0" borderId="0"/>
    <xf numFmtId="179" fontId="29" fillId="0" borderId="0"/>
    <xf numFmtId="179" fontId="89" fillId="0" borderId="0"/>
    <xf numFmtId="0" fontId="29" fillId="0" borderId="0"/>
    <xf numFmtId="0" fontId="2" fillId="0" borderId="0"/>
    <xf numFmtId="0" fontId="29" fillId="0" borderId="0"/>
    <xf numFmtId="0" fontId="2" fillId="0" borderId="0"/>
    <xf numFmtId="0" fontId="2" fillId="0" borderId="0"/>
    <xf numFmtId="0" fontId="89" fillId="0" borderId="0"/>
    <xf numFmtId="0" fontId="2" fillId="0" borderId="0"/>
    <xf numFmtId="0" fontId="2" fillId="0" borderId="0"/>
    <xf numFmtId="0" fontId="2" fillId="0" borderId="0"/>
    <xf numFmtId="0" fontId="29" fillId="0" borderId="0"/>
    <xf numFmtId="176" fontId="2" fillId="0" borderId="0"/>
    <xf numFmtId="179" fontId="29" fillId="0" borderId="0"/>
    <xf numFmtId="179" fontId="29" fillId="0" borderId="0"/>
    <xf numFmtId="179" fontId="2" fillId="0" borderId="0"/>
    <xf numFmtId="0" fontId="132" fillId="0" borderId="0"/>
    <xf numFmtId="176" fontId="2" fillId="0" borderId="0"/>
    <xf numFmtId="179" fontId="29" fillId="0" borderId="0"/>
    <xf numFmtId="0" fontId="89" fillId="0" borderId="0"/>
    <xf numFmtId="179" fontId="29" fillId="0" borderId="0"/>
    <xf numFmtId="179" fontId="89" fillId="0" borderId="0"/>
    <xf numFmtId="0" fontId="89" fillId="0" borderId="0"/>
    <xf numFmtId="0" fontId="4" fillId="0" borderId="0"/>
    <xf numFmtId="179" fontId="29" fillId="0" borderId="0"/>
    <xf numFmtId="179" fontId="29" fillId="0" borderId="0"/>
    <xf numFmtId="179" fontId="4" fillId="0" borderId="0"/>
    <xf numFmtId="0" fontId="131" fillId="0" borderId="0"/>
    <xf numFmtId="179" fontId="4" fillId="0" borderId="0"/>
    <xf numFmtId="184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9" fontId="29" fillId="0" borderId="0"/>
    <xf numFmtId="0" fontId="77" fillId="0" borderId="0"/>
    <xf numFmtId="179" fontId="29" fillId="0" borderId="0"/>
    <xf numFmtId="179" fontId="77" fillId="0" borderId="0"/>
    <xf numFmtId="0" fontId="77" fillId="0" borderId="0"/>
    <xf numFmtId="0" fontId="2" fillId="0" borderId="0"/>
    <xf numFmtId="179" fontId="29" fillId="0" borderId="0"/>
    <xf numFmtId="0" fontId="86" fillId="0" borderId="0"/>
    <xf numFmtId="0" fontId="86" fillId="0" borderId="0"/>
    <xf numFmtId="179" fontId="29" fillId="0" borderId="0"/>
    <xf numFmtId="179" fontId="86" fillId="0" borderId="0"/>
    <xf numFmtId="0" fontId="86" fillId="0" borderId="0"/>
    <xf numFmtId="0" fontId="2" fillId="0" borderId="0"/>
    <xf numFmtId="179" fontId="29" fillId="0" borderId="0"/>
    <xf numFmtId="179" fontId="29" fillId="0" borderId="0"/>
    <xf numFmtId="179" fontId="2" fillId="0" borderId="0"/>
    <xf numFmtId="179" fontId="29" fillId="0" borderId="0"/>
    <xf numFmtId="179" fontId="29" fillId="0" borderId="0"/>
    <xf numFmtId="179" fontId="2" fillId="0" borderId="0"/>
    <xf numFmtId="0" fontId="29" fillId="0" borderId="0"/>
    <xf numFmtId="179" fontId="29" fillId="0" borderId="0"/>
    <xf numFmtId="179" fontId="29" fillId="0" borderId="0"/>
    <xf numFmtId="179" fontId="4" fillId="0" borderId="0"/>
    <xf numFmtId="0" fontId="13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179" fontId="29" fillId="0" borderId="0"/>
    <xf numFmtId="0" fontId="29" fillId="0" borderId="0"/>
    <xf numFmtId="0" fontId="2" fillId="0" borderId="0"/>
    <xf numFmtId="0" fontId="2" fillId="0" borderId="0"/>
    <xf numFmtId="179" fontId="29" fillId="0" borderId="0"/>
    <xf numFmtId="179" fontId="2" fillId="0" borderId="0"/>
    <xf numFmtId="0" fontId="4" fillId="0" borderId="0"/>
    <xf numFmtId="0" fontId="2" fillId="0" borderId="0"/>
    <xf numFmtId="0" fontId="29" fillId="0" borderId="0"/>
    <xf numFmtId="0" fontId="2" fillId="0" borderId="0"/>
    <xf numFmtId="176" fontId="29" fillId="0" borderId="0"/>
    <xf numFmtId="176" fontId="2" fillId="0" borderId="0"/>
    <xf numFmtId="0" fontId="2" fillId="0" borderId="0"/>
    <xf numFmtId="0" fontId="132" fillId="0" borderId="0"/>
    <xf numFmtId="0" fontId="132" fillId="0" borderId="0"/>
    <xf numFmtId="0" fontId="132" fillId="0" borderId="0"/>
    <xf numFmtId="0" fontId="2" fillId="0" borderId="0"/>
    <xf numFmtId="176" fontId="29" fillId="0" borderId="0"/>
    <xf numFmtId="179" fontId="2" fillId="0" borderId="0"/>
    <xf numFmtId="0" fontId="89" fillId="0" borderId="0"/>
    <xf numFmtId="179" fontId="77" fillId="0" borderId="0"/>
    <xf numFmtId="179" fontId="89" fillId="0" borderId="0"/>
    <xf numFmtId="0" fontId="29" fillId="0" borderId="0"/>
    <xf numFmtId="0" fontId="2" fillId="0" borderId="0"/>
    <xf numFmtId="0" fontId="29" fillId="0" borderId="0"/>
    <xf numFmtId="179" fontId="2" fillId="0" borderId="0"/>
    <xf numFmtId="0" fontId="77" fillId="0" borderId="0"/>
    <xf numFmtId="179" fontId="77" fillId="0" borderId="0"/>
    <xf numFmtId="0" fontId="29" fillId="0" borderId="0"/>
    <xf numFmtId="0" fontId="2" fillId="0" borderId="0"/>
    <xf numFmtId="179" fontId="4" fillId="0" borderId="0"/>
    <xf numFmtId="179" fontId="4" fillId="0" borderId="0"/>
    <xf numFmtId="0" fontId="132" fillId="0" borderId="0"/>
    <xf numFmtId="0" fontId="132" fillId="0" borderId="0"/>
    <xf numFmtId="0" fontId="4" fillId="0" borderId="0"/>
    <xf numFmtId="0" fontId="89" fillId="0" borderId="0"/>
    <xf numFmtId="179" fontId="29" fillId="0" borderId="0"/>
    <xf numFmtId="179" fontId="29" fillId="0" borderId="0"/>
    <xf numFmtId="179" fontId="4" fillId="0" borderId="0"/>
    <xf numFmtId="0" fontId="2" fillId="0" borderId="0"/>
    <xf numFmtId="0" fontId="2" fillId="0" borderId="0"/>
    <xf numFmtId="179" fontId="29" fillId="0" borderId="0"/>
    <xf numFmtId="0" fontId="29" fillId="0" borderId="0"/>
    <xf numFmtId="0" fontId="2" fillId="0" borderId="0"/>
    <xf numFmtId="0" fontId="2" fillId="0" borderId="0"/>
    <xf numFmtId="179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179" fontId="29" fillId="0" borderId="0"/>
    <xf numFmtId="179" fontId="29" fillId="0" borderId="0"/>
    <xf numFmtId="179" fontId="29" fillId="0" borderId="0"/>
    <xf numFmtId="179" fontId="29" fillId="0" borderId="0"/>
    <xf numFmtId="179" fontId="29" fillId="0" borderId="0"/>
    <xf numFmtId="179" fontId="29" fillId="0" borderId="0"/>
    <xf numFmtId="0" fontId="2" fillId="0" borderId="0"/>
    <xf numFmtId="0" fontId="2" fillId="0" borderId="0"/>
    <xf numFmtId="179" fontId="29" fillId="0" borderId="0"/>
    <xf numFmtId="0" fontId="29" fillId="0" borderId="0"/>
    <xf numFmtId="0" fontId="2" fillId="0" borderId="0"/>
    <xf numFmtId="0" fontId="2" fillId="0" borderId="0"/>
    <xf numFmtId="179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179" fontId="29" fillId="0" borderId="0"/>
    <xf numFmtId="0" fontId="2" fillId="0" borderId="0"/>
    <xf numFmtId="179" fontId="29" fillId="0" borderId="0"/>
    <xf numFmtId="0" fontId="28" fillId="0" borderId="0"/>
    <xf numFmtId="0" fontId="2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79" fontId="29" fillId="0" borderId="0"/>
    <xf numFmtId="179" fontId="29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9" fontId="29" fillId="0" borderId="0"/>
    <xf numFmtId="0" fontId="29" fillId="0" borderId="0"/>
    <xf numFmtId="0" fontId="2" fillId="0" borderId="0"/>
    <xf numFmtId="0" fontId="2" fillId="0" borderId="0"/>
    <xf numFmtId="179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179" fontId="29" fillId="0" borderId="0"/>
    <xf numFmtId="179" fontId="29" fillId="0" borderId="0"/>
    <xf numFmtId="176" fontId="29" fillId="0" borderId="0"/>
    <xf numFmtId="176" fontId="2" fillId="0" borderId="0"/>
    <xf numFmtId="179" fontId="2" fillId="0" borderId="0"/>
    <xf numFmtId="0" fontId="4" fillId="0" borderId="0"/>
    <xf numFmtId="176" fontId="29" fillId="0" borderId="0"/>
    <xf numFmtId="0" fontId="29" fillId="0" borderId="0"/>
    <xf numFmtId="179" fontId="2" fillId="0" borderId="0"/>
    <xf numFmtId="0" fontId="2" fillId="0" borderId="0"/>
    <xf numFmtId="179" fontId="77" fillId="0" borderId="0"/>
    <xf numFmtId="179" fontId="29" fillId="0" borderId="0"/>
    <xf numFmtId="0" fontId="29" fillId="0" borderId="0"/>
    <xf numFmtId="0" fontId="2" fillId="0" borderId="0"/>
    <xf numFmtId="179" fontId="29" fillId="0" borderId="0"/>
    <xf numFmtId="0" fontId="89" fillId="0" borderId="0"/>
    <xf numFmtId="179" fontId="77" fillId="0" borderId="0"/>
    <xf numFmtId="179" fontId="89" fillId="0" borderId="0"/>
    <xf numFmtId="0" fontId="29" fillId="0" borderId="0"/>
    <xf numFmtId="0" fontId="2" fillId="0" borderId="0"/>
    <xf numFmtId="0" fontId="29" fillId="0" borderId="0"/>
    <xf numFmtId="179" fontId="2" fillId="0" borderId="0"/>
    <xf numFmtId="0" fontId="2" fillId="0" borderId="0"/>
    <xf numFmtId="179" fontId="2" fillId="0" borderId="0"/>
    <xf numFmtId="0" fontId="4" fillId="0" borderId="0"/>
    <xf numFmtId="0" fontId="2" fillId="0" borderId="0"/>
    <xf numFmtId="179" fontId="29" fillId="0" borderId="0"/>
    <xf numFmtId="179" fontId="29" fillId="0" borderId="0"/>
    <xf numFmtId="179" fontId="29" fillId="0" borderId="0"/>
    <xf numFmtId="179" fontId="29" fillId="0" borderId="0"/>
    <xf numFmtId="0" fontId="1" fillId="0" borderId="0"/>
    <xf numFmtId="179" fontId="29" fillId="0" borderId="0"/>
    <xf numFmtId="179" fontId="29" fillId="0" borderId="0"/>
    <xf numFmtId="0" fontId="1" fillId="0" borderId="0"/>
    <xf numFmtId="176" fontId="2" fillId="0" borderId="0"/>
    <xf numFmtId="0" fontId="1" fillId="0" borderId="0"/>
    <xf numFmtId="176" fontId="2" fillId="0" borderId="0"/>
    <xf numFmtId="0" fontId="2" fillId="0" borderId="0"/>
    <xf numFmtId="176" fontId="2" fillId="0" borderId="0"/>
    <xf numFmtId="176" fontId="2" fillId="0" borderId="0"/>
    <xf numFmtId="0" fontId="1" fillId="0" borderId="0"/>
    <xf numFmtId="0" fontId="2" fillId="0" borderId="0"/>
    <xf numFmtId="0" fontId="1" fillId="0" borderId="0"/>
    <xf numFmtId="179" fontId="29" fillId="0" borderId="0"/>
    <xf numFmtId="0" fontId="4" fillId="0" borderId="0"/>
    <xf numFmtId="0" fontId="2" fillId="0" borderId="0"/>
    <xf numFmtId="0" fontId="4" fillId="0" borderId="0"/>
    <xf numFmtId="179" fontId="29" fillId="0" borderId="0"/>
    <xf numFmtId="0" fontId="4" fillId="0" borderId="0"/>
    <xf numFmtId="0" fontId="4" fillId="0" borderId="0"/>
    <xf numFmtId="0" fontId="4" fillId="0" borderId="0"/>
    <xf numFmtId="0" fontId="2" fillId="0" borderId="0"/>
    <xf numFmtId="179" fontId="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2" fillId="0" borderId="0"/>
    <xf numFmtId="0" fontId="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179" fontId="29" fillId="0" borderId="0"/>
    <xf numFmtId="0" fontId="4" fillId="0" borderId="0"/>
    <xf numFmtId="0" fontId="4" fillId="0" borderId="0"/>
    <xf numFmtId="179" fontId="29" fillId="0" borderId="0"/>
    <xf numFmtId="0" fontId="4" fillId="0" borderId="0"/>
    <xf numFmtId="0" fontId="2" fillId="0" borderId="0"/>
    <xf numFmtId="0" fontId="2" fillId="0" borderId="0"/>
    <xf numFmtId="179" fontId="29" fillId="0" borderId="0"/>
    <xf numFmtId="0" fontId="4" fillId="0" borderId="0"/>
    <xf numFmtId="0" fontId="4" fillId="0" borderId="0"/>
    <xf numFmtId="179" fontId="29" fillId="0" borderId="0"/>
    <xf numFmtId="0" fontId="4" fillId="0" borderId="0"/>
    <xf numFmtId="0" fontId="2" fillId="0" borderId="0"/>
    <xf numFmtId="179" fontId="29" fillId="0" borderId="0"/>
    <xf numFmtId="0" fontId="4" fillId="0" borderId="0"/>
    <xf numFmtId="0" fontId="2" fillId="0" borderId="0"/>
    <xf numFmtId="0" fontId="4" fillId="0" borderId="0"/>
    <xf numFmtId="179" fontId="29" fillId="0" borderId="0"/>
    <xf numFmtId="0" fontId="2" fillId="0" borderId="0"/>
    <xf numFmtId="0" fontId="4" fillId="0" borderId="0"/>
    <xf numFmtId="179" fontId="29" fillId="0" borderId="0"/>
    <xf numFmtId="0" fontId="4" fillId="0" borderId="0"/>
    <xf numFmtId="0" fontId="4" fillId="0" borderId="0"/>
    <xf numFmtId="179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9" fontId="29" fillId="0" borderId="0"/>
    <xf numFmtId="0" fontId="29" fillId="0" borderId="0"/>
    <xf numFmtId="0" fontId="4" fillId="0" borderId="0"/>
    <xf numFmtId="0" fontId="2" fillId="0" borderId="0"/>
    <xf numFmtId="0" fontId="2" fillId="0" borderId="0"/>
    <xf numFmtId="179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" fillId="0" borderId="0"/>
    <xf numFmtId="179" fontId="29" fillId="0" borderId="0"/>
    <xf numFmtId="179" fontId="29" fillId="0" borderId="0"/>
    <xf numFmtId="176" fontId="29" fillId="0" borderId="0"/>
    <xf numFmtId="0" fontId="2" fillId="0" borderId="0"/>
    <xf numFmtId="179" fontId="2" fillId="0" borderId="0"/>
    <xf numFmtId="0" fontId="2" fillId="0" borderId="0"/>
    <xf numFmtId="0" fontId="89" fillId="0" borderId="0"/>
    <xf numFmtId="179" fontId="77" fillId="0" borderId="0"/>
    <xf numFmtId="0" fontId="77" fillId="0" borderId="0"/>
    <xf numFmtId="0" fontId="77" fillId="0" borderId="0"/>
    <xf numFmtId="0" fontId="2" fillId="0" borderId="0"/>
    <xf numFmtId="0" fontId="77" fillId="0" borderId="0"/>
    <xf numFmtId="179" fontId="89" fillId="0" borderId="0"/>
    <xf numFmtId="0" fontId="89" fillId="0" borderId="0"/>
    <xf numFmtId="0" fontId="2" fillId="0" borderId="0"/>
    <xf numFmtId="176" fontId="29" fillId="0" borderId="0"/>
    <xf numFmtId="176" fontId="29" fillId="0" borderId="0"/>
    <xf numFmtId="0" fontId="29" fillId="0" borderId="0"/>
    <xf numFmtId="0" fontId="77" fillId="0" borderId="0"/>
    <xf numFmtId="179" fontId="77" fillId="0" borderId="0"/>
    <xf numFmtId="0" fontId="77" fillId="0" borderId="0"/>
    <xf numFmtId="0" fontId="2" fillId="0" borderId="0"/>
    <xf numFmtId="0" fontId="29" fillId="0" borderId="0"/>
    <xf numFmtId="179" fontId="2" fillId="0" borderId="0"/>
    <xf numFmtId="0" fontId="2" fillId="0" borderId="0"/>
    <xf numFmtId="179" fontId="4" fillId="0" borderId="0"/>
    <xf numFmtId="0" fontId="4" fillId="0" borderId="0"/>
    <xf numFmtId="179" fontId="4" fillId="0" borderId="0"/>
    <xf numFmtId="179" fontId="29" fillId="0" borderId="0"/>
    <xf numFmtId="0" fontId="4" fillId="0" borderId="0"/>
    <xf numFmtId="0" fontId="4" fillId="0" borderId="0"/>
    <xf numFmtId="179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179" fontId="29" fillId="0" borderId="0"/>
    <xf numFmtId="179" fontId="29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179" fontId="29" fillId="0" borderId="0"/>
    <xf numFmtId="0" fontId="4" fillId="0" borderId="0"/>
    <xf numFmtId="179" fontId="29" fillId="0" borderId="0"/>
    <xf numFmtId="0" fontId="4" fillId="0" borderId="0"/>
    <xf numFmtId="0" fontId="2" fillId="0" borderId="0"/>
    <xf numFmtId="0" fontId="2" fillId="0" borderId="0"/>
    <xf numFmtId="179" fontId="29" fillId="0" borderId="0"/>
    <xf numFmtId="0" fontId="4" fillId="0" borderId="0"/>
    <xf numFmtId="179" fontId="29" fillId="0" borderId="0"/>
    <xf numFmtId="0" fontId="4" fillId="0" borderId="0"/>
    <xf numFmtId="0" fontId="2" fillId="0" borderId="0"/>
    <xf numFmtId="179" fontId="29" fillId="0" borderId="0"/>
    <xf numFmtId="0" fontId="4" fillId="0" borderId="0"/>
    <xf numFmtId="0" fontId="2" fillId="0" borderId="0"/>
    <xf numFmtId="0" fontId="4" fillId="0" borderId="0"/>
    <xf numFmtId="179" fontId="29" fillId="0" borderId="0"/>
    <xf numFmtId="0" fontId="4" fillId="0" borderId="0"/>
    <xf numFmtId="0" fontId="4" fillId="0" borderId="0"/>
    <xf numFmtId="179" fontId="29" fillId="0" borderId="0"/>
    <xf numFmtId="179" fontId="2" fillId="0" borderId="0"/>
    <xf numFmtId="0" fontId="4" fillId="0" borderId="0"/>
    <xf numFmtId="179" fontId="29" fillId="0" borderId="0"/>
    <xf numFmtId="0" fontId="4" fillId="0" borderId="0"/>
    <xf numFmtId="0" fontId="2" fillId="0" borderId="0"/>
    <xf numFmtId="179" fontId="29" fillId="0" borderId="0"/>
    <xf numFmtId="0" fontId="1" fillId="0" borderId="0"/>
    <xf numFmtId="179" fontId="29" fillId="0" borderId="0"/>
    <xf numFmtId="0" fontId="2" fillId="0" borderId="0"/>
    <xf numFmtId="0" fontId="2" fillId="0" borderId="0"/>
    <xf numFmtId="179" fontId="29" fillId="0" borderId="0"/>
    <xf numFmtId="0" fontId="1" fillId="0" borderId="0"/>
    <xf numFmtId="0" fontId="28" fillId="0" borderId="0"/>
    <xf numFmtId="179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179" fontId="29" fillId="0" borderId="0"/>
    <xf numFmtId="179" fontId="29" fillId="0" borderId="0"/>
    <xf numFmtId="179" fontId="29" fillId="0" borderId="0"/>
    <xf numFmtId="179" fontId="29" fillId="0" borderId="0"/>
    <xf numFmtId="176" fontId="29" fillId="0" borderId="0"/>
    <xf numFmtId="179" fontId="2" fillId="0" borderId="0"/>
    <xf numFmtId="0" fontId="89" fillId="0" borderId="0"/>
    <xf numFmtId="0" fontId="2" fillId="0" borderId="0"/>
    <xf numFmtId="0" fontId="77" fillId="0" borderId="0"/>
    <xf numFmtId="179" fontId="77" fillId="0" borderId="0"/>
    <xf numFmtId="0" fontId="77" fillId="0" borderId="0"/>
    <xf numFmtId="0" fontId="2" fillId="0" borderId="0"/>
    <xf numFmtId="176" fontId="29" fillId="0" borderId="0"/>
    <xf numFmtId="176" fontId="29" fillId="0" borderId="0"/>
    <xf numFmtId="179" fontId="2" fillId="0" borderId="0"/>
    <xf numFmtId="179" fontId="77" fillId="0" borderId="0"/>
    <xf numFmtId="0" fontId="77" fillId="0" borderId="0"/>
    <xf numFmtId="0" fontId="2" fillId="0" borderId="0"/>
    <xf numFmtId="179" fontId="2" fillId="0" borderId="0"/>
    <xf numFmtId="0" fontId="2" fillId="0" borderId="0"/>
    <xf numFmtId="0" fontId="77" fillId="0" borderId="0"/>
    <xf numFmtId="179" fontId="89" fillId="0" borderId="0"/>
    <xf numFmtId="179" fontId="29" fillId="0" borderId="0"/>
    <xf numFmtId="179" fontId="29" fillId="0" borderId="0"/>
    <xf numFmtId="0" fontId="2" fillId="0" borderId="0"/>
    <xf numFmtId="0" fontId="2" fillId="0" borderId="0"/>
    <xf numFmtId="0" fontId="2" fillId="0" borderId="0"/>
    <xf numFmtId="179" fontId="29" fillId="0" borderId="0"/>
    <xf numFmtId="179" fontId="29" fillId="0" borderId="0"/>
    <xf numFmtId="0" fontId="2" fillId="0" borderId="0"/>
    <xf numFmtId="179" fontId="29" fillId="0" borderId="0"/>
    <xf numFmtId="179" fontId="29" fillId="0" borderId="0"/>
    <xf numFmtId="0" fontId="2" fillId="0" borderId="0"/>
    <xf numFmtId="0" fontId="2" fillId="0" borderId="0"/>
    <xf numFmtId="179" fontId="29" fillId="0" borderId="0"/>
    <xf numFmtId="0" fontId="28" fillId="0" borderId="0"/>
    <xf numFmtId="179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179" fontId="29" fillId="0" borderId="0"/>
    <xf numFmtId="0" fontId="2" fillId="0" borderId="0"/>
    <xf numFmtId="179" fontId="29" fillId="0" borderId="0"/>
    <xf numFmtId="0" fontId="28" fillId="0" borderId="0"/>
    <xf numFmtId="0" fontId="2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179" fontId="29" fillId="0" borderId="0"/>
    <xf numFmtId="179" fontId="29" fillId="0" borderId="0"/>
    <xf numFmtId="0" fontId="2" fillId="0" borderId="0"/>
    <xf numFmtId="0" fontId="2" fillId="0" borderId="0"/>
    <xf numFmtId="179" fontId="2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" fillId="0" borderId="0"/>
    <xf numFmtId="0" fontId="2" fillId="0" borderId="0"/>
    <xf numFmtId="179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11" fillId="0" borderId="0"/>
    <xf numFmtId="0" fontId="2" fillId="0" borderId="0"/>
    <xf numFmtId="0" fontId="1" fillId="0" borderId="0"/>
    <xf numFmtId="0" fontId="29" fillId="0" borderId="0"/>
    <xf numFmtId="179" fontId="2" fillId="0" borderId="0"/>
    <xf numFmtId="0" fontId="2" fillId="0" borderId="0"/>
    <xf numFmtId="0" fontId="1" fillId="0" borderId="0"/>
    <xf numFmtId="0" fontId="29" fillId="0" borderId="0"/>
    <xf numFmtId="179" fontId="2" fillId="0" borderId="0"/>
    <xf numFmtId="0" fontId="2" fillId="0" borderId="0"/>
    <xf numFmtId="0" fontId="2" fillId="0" borderId="0"/>
    <xf numFmtId="176" fontId="4" fillId="0" borderId="0"/>
    <xf numFmtId="0" fontId="2" fillId="0" borderId="0"/>
    <xf numFmtId="179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179" fontId="4" fillId="0" borderId="0"/>
    <xf numFmtId="0" fontId="4" fillId="0" borderId="0"/>
    <xf numFmtId="0" fontId="2" fillId="0" borderId="0"/>
    <xf numFmtId="179" fontId="2" fillId="0" borderId="0"/>
    <xf numFmtId="0" fontId="4" fillId="0" borderId="0"/>
    <xf numFmtId="0" fontId="77" fillId="0" borderId="0"/>
    <xf numFmtId="179" fontId="77" fillId="0" borderId="0"/>
    <xf numFmtId="0" fontId="77" fillId="0" borderId="0"/>
    <xf numFmtId="0" fontId="77" fillId="0" borderId="0"/>
    <xf numFmtId="0" fontId="2" fillId="0" borderId="0"/>
    <xf numFmtId="179" fontId="77" fillId="0" borderId="0"/>
    <xf numFmtId="179" fontId="29" fillId="0" borderId="0"/>
    <xf numFmtId="179" fontId="29" fillId="0" borderId="0"/>
    <xf numFmtId="0" fontId="4" fillId="0" borderId="0"/>
    <xf numFmtId="179" fontId="4" fillId="0" borderId="0"/>
    <xf numFmtId="0" fontId="29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8" fillId="0" borderId="0"/>
    <xf numFmtId="0" fontId="2" fillId="0" borderId="0"/>
    <xf numFmtId="0" fontId="1" fillId="0" borderId="0"/>
    <xf numFmtId="0" fontId="29" fillId="0" borderId="0"/>
    <xf numFmtId="179" fontId="2" fillId="0" borderId="0"/>
    <xf numFmtId="0" fontId="28" fillId="0" borderId="0"/>
    <xf numFmtId="0" fontId="2" fillId="0" borderId="0"/>
    <xf numFmtId="0" fontId="1" fillId="0" borderId="0"/>
    <xf numFmtId="0" fontId="29" fillId="0" borderId="0"/>
    <xf numFmtId="179" fontId="2" fillId="0" borderId="0"/>
    <xf numFmtId="0" fontId="28" fillId="0" borderId="0"/>
    <xf numFmtId="0" fontId="2" fillId="0" borderId="0"/>
    <xf numFmtId="0" fontId="1" fillId="0" borderId="0"/>
    <xf numFmtId="0" fontId="29" fillId="0" borderId="0"/>
    <xf numFmtId="0" fontId="4" fillId="0" borderId="0" applyNumberFormat="0" applyFont="0" applyFill="0" applyBorder="0" applyAlignment="0" applyProtection="0"/>
    <xf numFmtId="179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1" fillId="0" borderId="0"/>
    <xf numFmtId="0" fontId="29" fillId="0" borderId="0"/>
    <xf numFmtId="179" fontId="2" fillId="0" borderId="0"/>
    <xf numFmtId="0" fontId="2" fillId="0" borderId="0"/>
    <xf numFmtId="0" fontId="28" fillId="0" borderId="0"/>
    <xf numFmtId="0" fontId="2" fillId="0" borderId="0"/>
    <xf numFmtId="179" fontId="2" fillId="0" borderId="0"/>
    <xf numFmtId="0" fontId="2" fillId="0" borderId="0"/>
    <xf numFmtId="0" fontId="28" fillId="0" borderId="0"/>
    <xf numFmtId="0" fontId="2" fillId="0" borderId="0"/>
    <xf numFmtId="179" fontId="2" fillId="0" borderId="0"/>
    <xf numFmtId="0" fontId="2" fillId="0" borderId="0"/>
    <xf numFmtId="0" fontId="28" fillId="0" borderId="0"/>
    <xf numFmtId="0" fontId="2" fillId="0" borderId="0"/>
    <xf numFmtId="179" fontId="2" fillId="0" borderId="0"/>
    <xf numFmtId="0" fontId="2" fillId="0" borderId="0"/>
    <xf numFmtId="0" fontId="2" fillId="0" borderId="0"/>
    <xf numFmtId="0" fontId="28" fillId="0" borderId="0"/>
    <xf numFmtId="179" fontId="2" fillId="0" borderId="0"/>
    <xf numFmtId="0" fontId="4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8" fillId="0" borderId="0"/>
    <xf numFmtId="179" fontId="2" fillId="0" borderId="0"/>
    <xf numFmtId="0" fontId="2" fillId="0" borderId="0"/>
    <xf numFmtId="0" fontId="2" fillId="0" borderId="0"/>
    <xf numFmtId="176" fontId="2" fillId="0" borderId="0"/>
    <xf numFmtId="0" fontId="2" fillId="0" borderId="0"/>
    <xf numFmtId="0" fontId="4" fillId="0" borderId="0"/>
    <xf numFmtId="179" fontId="4" fillId="0" borderId="0"/>
    <xf numFmtId="0" fontId="4" fillId="0" borderId="0"/>
    <xf numFmtId="0" fontId="2" fillId="0" borderId="0"/>
    <xf numFmtId="179" fontId="4" fillId="0" borderId="0"/>
    <xf numFmtId="0" fontId="4" fillId="0" borderId="0"/>
    <xf numFmtId="0" fontId="2" fillId="0" borderId="0"/>
    <xf numFmtId="0" fontId="29" fillId="0" borderId="0"/>
    <xf numFmtId="179" fontId="2" fillId="0" borderId="0"/>
    <xf numFmtId="0" fontId="2" fillId="0" borderId="0"/>
    <xf numFmtId="0" fontId="77" fillId="0" borderId="0"/>
    <xf numFmtId="179" fontId="77" fillId="0" borderId="0"/>
    <xf numFmtId="0" fontId="77" fillId="0" borderId="0"/>
    <xf numFmtId="0" fontId="2" fillId="0" borderId="0"/>
    <xf numFmtId="0" fontId="29" fillId="0" borderId="0"/>
    <xf numFmtId="179" fontId="2" fillId="0" borderId="0"/>
    <xf numFmtId="0" fontId="2" fillId="0" borderId="0"/>
    <xf numFmtId="179" fontId="77" fillId="0" borderId="0"/>
    <xf numFmtId="179" fontId="29" fillId="0" borderId="0"/>
    <xf numFmtId="179" fontId="29" fillId="0" borderId="0"/>
    <xf numFmtId="0" fontId="28" fillId="0" borderId="0"/>
    <xf numFmtId="179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179" fontId="2" fillId="0" borderId="0"/>
    <xf numFmtId="0" fontId="2" fillId="0" borderId="0"/>
    <xf numFmtId="179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179" fontId="2" fillId="0" borderId="0"/>
    <xf numFmtId="0" fontId="2" fillId="0" borderId="0"/>
    <xf numFmtId="179" fontId="2" fillId="0" borderId="0"/>
    <xf numFmtId="0" fontId="28" fillId="0" borderId="0"/>
    <xf numFmtId="0" fontId="2" fillId="0" borderId="0"/>
    <xf numFmtId="179" fontId="2" fillId="0" borderId="0"/>
    <xf numFmtId="0" fontId="2" fillId="0" borderId="0"/>
    <xf numFmtId="179" fontId="2" fillId="0" borderId="0"/>
    <xf numFmtId="0" fontId="28" fillId="0" borderId="0"/>
    <xf numFmtId="0" fontId="2" fillId="0" borderId="0"/>
    <xf numFmtId="179" fontId="2" fillId="0" borderId="0"/>
    <xf numFmtId="0" fontId="2" fillId="0" borderId="0"/>
    <xf numFmtId="0" fontId="28" fillId="0" borderId="0"/>
    <xf numFmtId="0" fontId="2" fillId="0" borderId="0"/>
    <xf numFmtId="0" fontId="28" fillId="0" borderId="0"/>
    <xf numFmtId="179" fontId="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28" fillId="0" borderId="0"/>
    <xf numFmtId="0" fontId="2" fillId="0" borderId="0"/>
    <xf numFmtId="179" fontId="2" fillId="0" borderId="0"/>
    <xf numFmtId="0" fontId="4" fillId="0" borderId="0" applyNumberFormat="0" applyFont="0" applyFill="0" applyBorder="0" applyAlignment="0" applyProtection="0"/>
    <xf numFmtId="0" fontId="2" fillId="0" borderId="0"/>
    <xf numFmtId="179" fontId="2" fillId="0" borderId="0"/>
    <xf numFmtId="0" fontId="28" fillId="0" borderId="0"/>
    <xf numFmtId="179" fontId="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28" fillId="0" borderId="0"/>
    <xf numFmtId="0" fontId="2" fillId="0" borderId="0"/>
    <xf numFmtId="0" fontId="2" fillId="0" borderId="0"/>
    <xf numFmtId="179" fontId="2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4" fillId="97" borderId="120" applyNumberFormat="0" applyAlignment="0" applyProtection="0"/>
    <xf numFmtId="179" fontId="104" fillId="54" borderId="120" applyNumberFormat="0" applyFont="0" applyAlignment="0" applyProtection="0"/>
    <xf numFmtId="0" fontId="4" fillId="97" borderId="120" applyNumberFormat="0" applyAlignment="0" applyProtection="0"/>
    <xf numFmtId="0" fontId="4" fillId="97" borderId="120" applyNumberFormat="0" applyAlignment="0" applyProtection="0"/>
    <xf numFmtId="179" fontId="2" fillId="21" borderId="51" applyNumberFormat="0" applyFont="0" applyAlignment="0" applyProtection="0"/>
    <xf numFmtId="0" fontId="104" fillId="54" borderId="120" applyNumberFormat="0" applyFont="0" applyAlignment="0" applyProtection="0"/>
    <xf numFmtId="0" fontId="4" fillId="54" borderId="120" applyNumberFormat="0" applyFont="0" applyAlignment="0" applyProtection="0"/>
    <xf numFmtId="0" fontId="4" fillId="97" borderId="120" applyNumberFormat="0" applyAlignment="0" applyProtection="0"/>
    <xf numFmtId="0" fontId="4" fillId="97" borderId="120" applyNumberFormat="0" applyAlignment="0" applyProtection="0"/>
    <xf numFmtId="0" fontId="4" fillId="97" borderId="120" applyNumberFormat="0" applyAlignment="0" applyProtection="0"/>
    <xf numFmtId="179" fontId="2" fillId="21" borderId="51" applyNumberFormat="0" applyFont="0" applyAlignment="0" applyProtection="0"/>
    <xf numFmtId="0" fontId="2" fillId="21" borderId="51" applyNumberFormat="0" applyFont="0" applyAlignment="0" applyProtection="0"/>
    <xf numFmtId="0" fontId="4" fillId="54" borderId="120" applyNumberFormat="0" applyFont="0" applyAlignment="0" applyProtection="0"/>
    <xf numFmtId="0" fontId="4" fillId="97" borderId="120" applyNumberFormat="0" applyAlignment="0" applyProtection="0"/>
    <xf numFmtId="0" fontId="4" fillId="97" borderId="120" applyNumberFormat="0" applyAlignment="0" applyProtection="0"/>
    <xf numFmtId="0" fontId="4" fillId="97" borderId="120" applyNumberFormat="0" applyAlignment="0" applyProtection="0"/>
    <xf numFmtId="0" fontId="2" fillId="21" borderId="51" applyNumberFormat="0" applyFont="0" applyAlignment="0" applyProtection="0"/>
    <xf numFmtId="0" fontId="4" fillId="97" borderId="120" applyNumberFormat="0" applyAlignment="0" applyProtection="0"/>
    <xf numFmtId="0" fontId="4" fillId="97" borderId="120" applyNumberFormat="0" applyAlignment="0" applyProtection="0"/>
    <xf numFmtId="0" fontId="2" fillId="21" borderId="51" applyNumberFormat="0" applyFont="0" applyAlignment="0" applyProtection="0"/>
    <xf numFmtId="0" fontId="4" fillId="97" borderId="120" applyNumberFormat="0" applyAlignment="0" applyProtection="0"/>
    <xf numFmtId="0" fontId="2" fillId="21" borderId="51" applyNumberFormat="0" applyFont="0" applyAlignment="0" applyProtection="0"/>
    <xf numFmtId="0" fontId="4" fillId="97" borderId="120" applyNumberFormat="0" applyAlignment="0" applyProtection="0"/>
    <xf numFmtId="0" fontId="2" fillId="21" borderId="51" applyNumberFormat="0" applyFont="0" applyAlignment="0" applyProtection="0"/>
    <xf numFmtId="0" fontId="2" fillId="21" borderId="51" applyNumberFormat="0" applyFont="0" applyAlignment="0" applyProtection="0"/>
    <xf numFmtId="0" fontId="2" fillId="21" borderId="51" applyNumberFormat="0" applyFont="0" applyAlignment="0" applyProtection="0"/>
    <xf numFmtId="0" fontId="2" fillId="21" borderId="51" applyNumberFormat="0" applyFont="0" applyAlignment="0" applyProtection="0"/>
    <xf numFmtId="0" fontId="2" fillId="21" borderId="51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179" fontId="29" fillId="54" borderId="120" applyNumberFormat="0" applyFont="0" applyAlignment="0" applyProtection="0"/>
    <xf numFmtId="0" fontId="29" fillId="54" borderId="120" applyNumberFormat="0" applyFont="0" applyAlignment="0" applyProtection="0"/>
    <xf numFmtId="179" fontId="29" fillId="54" borderId="120" applyNumberFormat="0" applyFont="0" applyAlignment="0" applyProtection="0"/>
    <xf numFmtId="0" fontId="126" fillId="54" borderId="120" applyNumberFormat="0" applyFont="0" applyAlignment="0" applyProtection="0"/>
    <xf numFmtId="0" fontId="2" fillId="21" borderId="51" applyNumberFormat="0" applyFont="0" applyAlignment="0" applyProtection="0"/>
    <xf numFmtId="0" fontId="126" fillId="54" borderId="120" applyNumberFormat="0" applyFont="0" applyAlignment="0" applyProtection="0"/>
    <xf numFmtId="0" fontId="2" fillId="21" borderId="51" applyNumberFormat="0" applyFont="0" applyAlignment="0" applyProtection="0"/>
    <xf numFmtId="176" fontId="29" fillId="21" borderId="51" applyNumberFormat="0" applyFont="0" applyAlignment="0" applyProtection="0"/>
    <xf numFmtId="0" fontId="4" fillId="97" borderId="120" applyNumberFormat="0" applyAlignment="0" applyProtection="0"/>
    <xf numFmtId="0" fontId="2" fillId="21" borderId="51" applyNumberFormat="0" applyFont="0" applyAlignment="0" applyProtection="0"/>
    <xf numFmtId="179" fontId="29" fillId="54" borderId="120" applyNumberFormat="0" applyFont="0" applyAlignment="0" applyProtection="0"/>
    <xf numFmtId="0" fontId="2" fillId="21" borderId="51" applyNumberFormat="0" applyFont="0" applyAlignment="0" applyProtection="0"/>
    <xf numFmtId="0" fontId="126" fillId="54" borderId="120" applyNumberFormat="0" applyFont="0" applyAlignment="0" applyProtection="0"/>
    <xf numFmtId="0" fontId="126" fillId="54" borderId="120" applyNumberFormat="0" applyFont="0" applyAlignment="0" applyProtection="0"/>
    <xf numFmtId="179" fontId="29" fillId="21" borderId="51" applyNumberFormat="0" applyFont="0" applyAlignment="0" applyProtection="0"/>
    <xf numFmtId="179" fontId="29" fillId="21" borderId="51" applyNumberFormat="0" applyFont="0" applyAlignment="0" applyProtection="0"/>
    <xf numFmtId="0" fontId="4" fillId="54" borderId="120" applyNumberFormat="0" applyFont="0" applyAlignment="0" applyProtection="0"/>
    <xf numFmtId="0" fontId="2" fillId="21" borderId="51" applyNumberFormat="0" applyFont="0" applyAlignment="0" applyProtection="0"/>
    <xf numFmtId="0" fontId="4" fillId="97" borderId="120" applyNumberFormat="0" applyAlignment="0" applyProtection="0"/>
    <xf numFmtId="0" fontId="2" fillId="21" borderId="51" applyNumberFormat="0" applyFont="0" applyAlignment="0" applyProtection="0"/>
    <xf numFmtId="0" fontId="29" fillId="54" borderId="120" applyNumberFormat="0" applyFont="0" applyAlignment="0" applyProtection="0"/>
    <xf numFmtId="0" fontId="29" fillId="21" borderId="51" applyNumberFormat="0" applyFont="0" applyAlignment="0" applyProtection="0"/>
    <xf numFmtId="0" fontId="2" fillId="21" borderId="51" applyNumberFormat="0" applyFont="0" applyAlignment="0" applyProtection="0"/>
    <xf numFmtId="179" fontId="29" fillId="21" borderId="51" applyNumberFormat="0" applyFont="0" applyAlignment="0" applyProtection="0"/>
    <xf numFmtId="179" fontId="29" fillId="21" borderId="51" applyNumberFormat="0" applyFont="0" applyAlignment="0" applyProtection="0"/>
    <xf numFmtId="0" fontId="4" fillId="97" borderId="120" applyNumberFormat="0" applyAlignment="0" applyProtection="0"/>
    <xf numFmtId="0" fontId="29" fillId="54" borderId="120" applyNumberFormat="0" applyFont="0" applyAlignment="0" applyProtection="0"/>
    <xf numFmtId="0" fontId="2" fillId="21" borderId="51" applyNumberFormat="0" applyFont="0" applyAlignment="0" applyProtection="0"/>
    <xf numFmtId="176" fontId="29" fillId="21" borderId="51" applyNumberFormat="0" applyFont="0" applyAlignment="0" applyProtection="0"/>
    <xf numFmtId="0" fontId="4" fillId="97" borderId="120" applyNumberFormat="0" applyAlignment="0" applyProtection="0"/>
    <xf numFmtId="0" fontId="2" fillId="21" borderId="51" applyNumberFormat="0" applyFont="0" applyAlignment="0" applyProtection="0"/>
    <xf numFmtId="179" fontId="29" fillId="54" borderId="120" applyNumberFormat="0" applyFont="0" applyAlignment="0" applyProtection="0"/>
    <xf numFmtId="0" fontId="2" fillId="21" borderId="51" applyNumberFormat="0" applyFont="0" applyAlignment="0" applyProtection="0"/>
    <xf numFmtId="179" fontId="29" fillId="54" borderId="120" applyNumberFormat="0" applyFont="0" applyAlignment="0" applyProtection="0"/>
    <xf numFmtId="179" fontId="29" fillId="54" borderId="120" applyNumberFormat="0" applyFont="0" applyAlignment="0" applyProtection="0"/>
    <xf numFmtId="0" fontId="2" fillId="21" borderId="51" applyNumberFormat="0" applyFont="0" applyAlignment="0" applyProtection="0"/>
    <xf numFmtId="0" fontId="29" fillId="54" borderId="120" applyNumberFormat="0" applyFont="0" applyAlignment="0" applyProtection="0"/>
    <xf numFmtId="0" fontId="2" fillId="21" borderId="51" applyNumberFormat="0" applyFont="0" applyAlignment="0" applyProtection="0"/>
    <xf numFmtId="179" fontId="2" fillId="21" borderId="51" applyNumberFormat="0" applyFont="0" applyAlignment="0" applyProtection="0"/>
    <xf numFmtId="179" fontId="2" fillId="21" borderId="51" applyNumberFormat="0" applyFont="0" applyAlignment="0" applyProtection="0"/>
    <xf numFmtId="179" fontId="2" fillId="21" borderId="51" applyNumberFormat="0" applyFont="0" applyAlignment="0" applyProtection="0"/>
    <xf numFmtId="0" fontId="4" fillId="97" borderId="120" applyNumberFormat="0" applyAlignment="0" applyProtection="0"/>
    <xf numFmtId="179" fontId="29" fillId="54" borderId="120" applyNumberFormat="0" applyFont="0" applyAlignment="0" applyProtection="0"/>
    <xf numFmtId="0" fontId="4" fillId="97" borderId="120" applyNumberFormat="0" applyAlignment="0" applyProtection="0"/>
    <xf numFmtId="179" fontId="29" fillId="54" borderId="120" applyNumberFormat="0" applyFont="0" applyAlignment="0" applyProtection="0"/>
    <xf numFmtId="0" fontId="4" fillId="97" borderId="120" applyNumberFormat="0" applyAlignment="0" applyProtection="0"/>
    <xf numFmtId="0" fontId="4" fillId="97" borderId="120" applyNumberFormat="0" applyAlignment="0" applyProtection="0"/>
    <xf numFmtId="179" fontId="29" fillId="54" borderId="120" applyNumberFormat="0" applyFont="0" applyAlignment="0" applyProtection="0"/>
    <xf numFmtId="0" fontId="4" fillId="97" borderId="120" applyNumberFormat="0" applyAlignment="0" applyProtection="0"/>
    <xf numFmtId="179" fontId="29" fillId="54" borderId="120" applyNumberFormat="0" applyFont="0" applyAlignment="0" applyProtection="0"/>
    <xf numFmtId="0" fontId="4" fillId="97" borderId="120" applyNumberFormat="0" applyAlignment="0" applyProtection="0"/>
    <xf numFmtId="179" fontId="29" fillId="54" borderId="120" applyNumberFormat="0" applyFont="0" applyAlignment="0" applyProtection="0"/>
    <xf numFmtId="0" fontId="4" fillId="97" borderId="120" applyNumberFormat="0" applyAlignment="0" applyProtection="0"/>
    <xf numFmtId="179" fontId="29" fillId="54" borderId="120" applyNumberFormat="0" applyFont="0" applyAlignment="0" applyProtection="0"/>
    <xf numFmtId="0" fontId="4" fillId="97" borderId="120" applyNumberFormat="0" applyAlignment="0" applyProtection="0"/>
    <xf numFmtId="179" fontId="29" fillId="54" borderId="120" applyNumberFormat="0" applyFont="0" applyAlignment="0" applyProtection="0"/>
    <xf numFmtId="0" fontId="4" fillId="97" borderId="120" applyNumberFormat="0" applyAlignment="0" applyProtection="0"/>
    <xf numFmtId="179" fontId="29" fillId="54" borderId="120" applyNumberFormat="0" applyFont="0" applyAlignment="0" applyProtection="0"/>
    <xf numFmtId="0" fontId="4" fillId="97" borderId="120" applyNumberFormat="0" applyAlignment="0" applyProtection="0"/>
    <xf numFmtId="179" fontId="29" fillId="54" borderId="120" applyNumberFormat="0" applyFont="0" applyAlignment="0" applyProtection="0"/>
    <xf numFmtId="179" fontId="2" fillId="21" borderId="51" applyNumberFormat="0" applyFont="0" applyAlignment="0" applyProtection="0"/>
    <xf numFmtId="179" fontId="29" fillId="54" borderId="120" applyNumberFormat="0" applyFont="0" applyAlignment="0" applyProtection="0"/>
    <xf numFmtId="179" fontId="29" fillId="54" borderId="120" applyNumberFormat="0" applyFont="0" applyAlignment="0" applyProtection="0"/>
    <xf numFmtId="179" fontId="29" fillId="54" borderId="120" applyNumberFormat="0" applyFont="0" applyAlignment="0" applyProtection="0"/>
    <xf numFmtId="0" fontId="29" fillId="54" borderId="120" applyNumberFormat="0" applyFont="0" applyAlignment="0" applyProtection="0"/>
    <xf numFmtId="179" fontId="29" fillId="21" borderId="51" applyNumberFormat="0" applyFont="0" applyAlignment="0" applyProtection="0"/>
    <xf numFmtId="179" fontId="29" fillId="21" borderId="51" applyNumberFormat="0" applyFont="0" applyAlignment="0" applyProtection="0"/>
    <xf numFmtId="0" fontId="4" fillId="97" borderId="120" applyNumberFormat="0" applyAlignment="0" applyProtection="0"/>
    <xf numFmtId="0" fontId="29" fillId="21" borderId="51" applyNumberFormat="0" applyFont="0" applyAlignment="0" applyProtection="0"/>
    <xf numFmtId="0" fontId="126" fillId="54" borderId="120" applyNumberFormat="0" applyFont="0" applyAlignment="0" applyProtection="0"/>
    <xf numFmtId="0" fontId="4" fillId="97" borderId="120" applyNumberFormat="0" applyAlignment="0" applyProtection="0"/>
    <xf numFmtId="179" fontId="29" fillId="54" borderId="120" applyNumberFormat="0" applyFont="0" applyAlignment="0" applyProtection="0"/>
    <xf numFmtId="179" fontId="29" fillId="54" borderId="120" applyNumberFormat="0" applyFont="0" applyAlignment="0" applyProtection="0"/>
    <xf numFmtId="179" fontId="2" fillId="21" borderId="51" applyNumberFormat="0" applyFont="0" applyAlignment="0" applyProtection="0"/>
    <xf numFmtId="0" fontId="29" fillId="54" borderId="120" applyNumberFormat="0" applyFont="0" applyAlignment="0" applyProtection="0"/>
    <xf numFmtId="0" fontId="126" fillId="54" borderId="120" applyNumberFormat="0" applyFont="0" applyAlignment="0" applyProtection="0"/>
    <xf numFmtId="179" fontId="29" fillId="21" borderId="51" applyNumberFormat="0" applyFont="0" applyAlignment="0" applyProtection="0"/>
    <xf numFmtId="179" fontId="29" fillId="21" borderId="51" applyNumberFormat="0" applyFont="0" applyAlignment="0" applyProtection="0"/>
    <xf numFmtId="0" fontId="4" fillId="97" borderId="120" applyNumberFormat="0" applyAlignment="0" applyProtection="0"/>
    <xf numFmtId="179" fontId="2" fillId="21" borderId="51" applyNumberFormat="0" applyFont="0" applyAlignment="0" applyProtection="0"/>
    <xf numFmtId="0" fontId="29" fillId="21" borderId="51" applyNumberFormat="0" applyFont="0" applyAlignment="0" applyProtection="0"/>
    <xf numFmtId="0" fontId="4" fillId="97" borderId="120" applyNumberFormat="0" applyAlignment="0" applyProtection="0"/>
    <xf numFmtId="179" fontId="29" fillId="54" borderId="120" applyNumberFormat="0" applyFont="0" applyAlignment="0" applyProtection="0"/>
    <xf numFmtId="179" fontId="29" fillId="54" borderId="120" applyNumberFormat="0" applyFont="0" applyAlignment="0" applyProtection="0"/>
    <xf numFmtId="0" fontId="2" fillId="21" borderId="51" applyNumberFormat="0" applyFont="0" applyAlignment="0" applyProtection="0"/>
    <xf numFmtId="0" fontId="104" fillId="54" borderId="120" applyNumberFormat="0" applyFont="0" applyAlignment="0" applyProtection="0"/>
    <xf numFmtId="179" fontId="29" fillId="21" borderId="51" applyNumberFormat="0" applyFont="0" applyAlignment="0" applyProtection="0"/>
    <xf numFmtId="179" fontId="29" fillId="21" borderId="51" applyNumberFormat="0" applyFont="0" applyAlignment="0" applyProtection="0"/>
    <xf numFmtId="0" fontId="4" fillId="97" borderId="120" applyNumberFormat="0" applyAlignment="0" applyProtection="0"/>
    <xf numFmtId="0" fontId="29" fillId="21" borderId="51" applyNumberFormat="0" applyFont="0" applyAlignment="0" applyProtection="0"/>
    <xf numFmtId="0" fontId="126" fillId="54" borderId="120" applyNumberFormat="0" applyFont="0" applyAlignment="0" applyProtection="0"/>
    <xf numFmtId="0" fontId="4" fillId="97" borderId="120" applyNumberFormat="0" applyAlignment="0" applyProtection="0"/>
    <xf numFmtId="179" fontId="104" fillId="54" borderId="120" applyNumberFormat="0" applyFont="0" applyAlignment="0" applyProtection="0"/>
    <xf numFmtId="179" fontId="2" fillId="21" borderId="51" applyNumberFormat="0" applyFont="0" applyAlignment="0" applyProtection="0"/>
    <xf numFmtId="0" fontId="23" fillId="19" borderId="48" applyNumberFormat="0" applyAlignment="0" applyProtection="0"/>
    <xf numFmtId="0" fontId="23" fillId="19" borderId="48" applyNumberFormat="0" applyAlignment="0" applyProtection="0"/>
    <xf numFmtId="0" fontId="23" fillId="19" borderId="48" applyNumberFormat="0" applyAlignment="0" applyProtection="0"/>
    <xf numFmtId="0" fontId="23" fillId="19" borderId="48" applyNumberFormat="0" applyAlignment="0" applyProtection="0"/>
    <xf numFmtId="0" fontId="23" fillId="19" borderId="48" applyNumberFormat="0" applyAlignment="0" applyProtection="0"/>
    <xf numFmtId="179" fontId="23" fillId="19" borderId="48" applyNumberFormat="0" applyAlignment="0" applyProtection="0"/>
    <xf numFmtId="179" fontId="23" fillId="19" borderId="48" applyNumberFormat="0" applyAlignment="0" applyProtection="0"/>
    <xf numFmtId="179" fontId="23" fillId="19" borderId="48" applyNumberFormat="0" applyAlignment="0" applyProtection="0"/>
    <xf numFmtId="179" fontId="23" fillId="19" borderId="48" applyNumberFormat="0" applyAlignment="0" applyProtection="0"/>
    <xf numFmtId="0" fontId="105" fillId="68" borderId="121" applyNumberFormat="0" applyAlignment="0" applyProtection="0"/>
    <xf numFmtId="179" fontId="23" fillId="19" borderId="48" applyNumberFormat="0" applyAlignment="0" applyProtection="0"/>
    <xf numFmtId="0" fontId="23" fillId="19" borderId="48" applyNumberFormat="0" applyAlignment="0" applyProtection="0"/>
    <xf numFmtId="0" fontId="105" fillId="56" borderId="121" applyNumberFormat="0" applyAlignment="0" applyProtection="0"/>
    <xf numFmtId="179" fontId="23" fillId="19" borderId="48" applyNumberFormat="0" applyAlignment="0" applyProtection="0"/>
    <xf numFmtId="0" fontId="23" fillId="19" borderId="48" applyNumberFormat="0" applyAlignment="0" applyProtection="0"/>
    <xf numFmtId="0" fontId="105" fillId="56" borderId="121" applyNumberFormat="0" applyAlignment="0" applyProtection="0"/>
    <xf numFmtId="179" fontId="23" fillId="19" borderId="48" applyNumberFormat="0" applyAlignment="0" applyProtection="0"/>
    <xf numFmtId="0" fontId="28" fillId="56" borderId="121" applyNumberFormat="0" applyAlignment="0" applyProtection="0"/>
    <xf numFmtId="0" fontId="23" fillId="19" borderId="48" applyNumberFormat="0" applyAlignment="0" applyProtection="0"/>
    <xf numFmtId="0" fontId="105" fillId="56" borderId="121" applyNumberFormat="0" applyAlignment="0" applyProtection="0"/>
    <xf numFmtId="0" fontId="28" fillId="56" borderId="121" applyNumberFormat="0" applyAlignment="0" applyProtection="0"/>
    <xf numFmtId="0" fontId="105" fillId="65" borderId="121" applyNumberFormat="0" applyAlignment="0" applyProtection="0"/>
    <xf numFmtId="0" fontId="105" fillId="65" borderId="121" applyNumberFormat="0" applyAlignment="0" applyProtection="0"/>
    <xf numFmtId="0" fontId="105" fillId="65" borderId="121" applyNumberFormat="0" applyAlignment="0" applyProtection="0"/>
    <xf numFmtId="0" fontId="28" fillId="56" borderId="121" applyNumberFormat="0" applyAlignment="0" applyProtection="0"/>
    <xf numFmtId="179" fontId="105" fillId="65" borderId="121" applyNumberFormat="0" applyAlignment="0" applyProtection="0"/>
    <xf numFmtId="0" fontId="28" fillId="56" borderId="121" applyNumberFormat="0" applyAlignment="0" applyProtection="0"/>
    <xf numFmtId="179" fontId="169" fillId="19" borderId="48" applyNumberFormat="0" applyAlignment="0" applyProtection="0"/>
    <xf numFmtId="179" fontId="23" fillId="19" borderId="48" applyNumberFormat="0" applyAlignment="0" applyProtection="0"/>
    <xf numFmtId="0" fontId="169" fillId="19" borderId="48" applyNumberFormat="0" applyAlignment="0" applyProtection="0"/>
    <xf numFmtId="179" fontId="169" fillId="19" borderId="48" applyNumberFormat="0" applyAlignment="0" applyProtection="0"/>
    <xf numFmtId="179" fontId="23" fillId="19" borderId="48" applyNumberFormat="0" applyAlignment="0" applyProtection="0"/>
    <xf numFmtId="0" fontId="169" fillId="19" borderId="48" applyNumberFormat="0" applyAlignment="0" applyProtection="0"/>
    <xf numFmtId="179" fontId="23" fillId="19" borderId="48" applyNumberFormat="0" applyAlignment="0" applyProtection="0"/>
    <xf numFmtId="179" fontId="105" fillId="65" borderId="121" applyNumberFormat="0" applyAlignment="0" applyProtection="0"/>
    <xf numFmtId="179" fontId="23" fillId="19" borderId="48" applyNumberFormat="0" applyAlignment="0" applyProtection="0"/>
    <xf numFmtId="0" fontId="105" fillId="65" borderId="121" applyNumberFormat="0" applyAlignment="0" applyProtection="0"/>
    <xf numFmtId="0" fontId="23" fillId="19" borderId="48" applyNumberFormat="0" applyAlignment="0" applyProtection="0"/>
    <xf numFmtId="0" fontId="23" fillId="19" borderId="48" applyNumberFormat="0" applyAlignment="0" applyProtection="0"/>
    <xf numFmtId="0" fontId="23" fillId="19" borderId="48" applyNumberFormat="0" applyAlignment="0" applyProtection="0"/>
    <xf numFmtId="0" fontId="23" fillId="19" borderId="48" applyNumberFormat="0" applyAlignment="0" applyProtection="0"/>
    <xf numFmtId="0" fontId="4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9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89" fillId="0" borderId="0" applyFont="0" applyFill="0" applyBorder="0" applyAlignment="0" applyProtection="0"/>
    <xf numFmtId="0" fontId="4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ill="0" applyBorder="0" applyAlignment="0" applyProtection="0"/>
    <xf numFmtId="0" fontId="4" fillId="0" borderId="0" applyFont="0" applyFill="0" applyBorder="0" applyAlignment="0" applyProtection="0"/>
    <xf numFmtId="0" fontId="4" fillId="0" borderId="0" applyFill="0" applyBorder="0" applyAlignment="0" applyProtection="0"/>
    <xf numFmtId="0" fontId="4" fillId="0" borderId="0" applyFont="0" applyFill="0" applyBorder="0" applyAlignment="0" applyProtection="0"/>
    <xf numFmtId="0" fontId="4" fillId="0" borderId="0" applyFill="0" applyBorder="0" applyAlignment="0" applyProtection="0"/>
    <xf numFmtId="0" fontId="4" fillId="0" borderId="0" applyFont="0" applyFill="0" applyBorder="0" applyAlignment="0" applyProtection="0"/>
    <xf numFmtId="0" fontId="4" fillId="0" borderId="0" applyFill="0" applyBorder="0" applyAlignment="0" applyProtection="0"/>
    <xf numFmtId="0" fontId="4" fillId="0" borderId="0" applyFont="0" applyFill="0" applyBorder="0" applyAlignment="0" applyProtection="0"/>
    <xf numFmtId="0" fontId="4" fillId="0" borderId="0" applyFill="0" applyBorder="0" applyAlignment="0" applyProtection="0"/>
    <xf numFmtId="0" fontId="89" fillId="0" borderId="0" applyFont="0" applyFill="0" applyBorder="0" applyAlignment="0" applyProtection="0"/>
    <xf numFmtId="0" fontId="4" fillId="0" borderId="0" applyFill="0" applyBorder="0" applyAlignment="0" applyProtection="0"/>
    <xf numFmtId="0" fontId="14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4" fillId="0" borderId="0"/>
    <xf numFmtId="0" fontId="29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4" fillId="0" borderId="0" applyFill="0" applyBorder="0" applyAlignment="0" applyProtection="0"/>
    <xf numFmtId="0" fontId="89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4" fillId="0" borderId="0" applyFill="0" applyBorder="0" applyAlignment="0" applyProtection="0"/>
    <xf numFmtId="0" fontId="4" fillId="0" borderId="0" applyFont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ont="0" applyFill="0" applyBorder="0" applyAlignment="0" applyProtection="0"/>
    <xf numFmtId="0" fontId="4" fillId="0" borderId="0" applyFill="0" applyBorder="0" applyAlignment="0" applyProtection="0"/>
    <xf numFmtId="0" fontId="132" fillId="0" borderId="0" applyFont="0" applyFill="0" applyBorder="0" applyAlignment="0" applyProtection="0"/>
    <xf numFmtId="0" fontId="132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ill="0" applyBorder="0" applyAlignment="0" applyProtection="0"/>
    <xf numFmtId="0" fontId="119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29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1" fillId="0" borderId="0"/>
    <xf numFmtId="0" fontId="2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4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5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4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4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70" fillId="0" borderId="0"/>
    <xf numFmtId="207" fontId="170" fillId="0" borderId="0"/>
    <xf numFmtId="0" fontId="171" fillId="0" borderId="0" applyNumberFormat="0" applyFill="0" applyBorder="0" applyAlignment="0" applyProtection="0">
      <alignment horizontal="left"/>
    </xf>
    <xf numFmtId="0" fontId="172" fillId="67" borderId="0" applyNumberFormat="0" applyBorder="0" applyAlignment="0" applyProtection="0"/>
    <xf numFmtId="0" fontId="173" fillId="56" borderId="121" applyNumberFormat="0" applyAlignment="0" applyProtection="0"/>
    <xf numFmtId="0" fontId="28" fillId="0" borderId="0">
      <alignment vertical="top"/>
    </xf>
    <xf numFmtId="179" fontId="89" fillId="0" borderId="0">
      <alignment vertical="top"/>
    </xf>
    <xf numFmtId="179" fontId="89" fillId="0" borderId="0">
      <alignment vertical="top"/>
    </xf>
    <xf numFmtId="0" fontId="174" fillId="0" borderId="0" applyBorder="0">
      <alignment horizontal="right"/>
    </xf>
    <xf numFmtId="0" fontId="17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9" fontId="28" fillId="0" borderId="0" applyNumberFormat="0" applyFill="0" applyBorder="0" applyAlignment="0" applyProtection="0"/>
    <xf numFmtId="179" fontId="28" fillId="0" borderId="0" applyNumberFormat="0" applyFill="0" applyBorder="0" applyAlignment="0" applyProtection="0"/>
    <xf numFmtId="179" fontId="28" fillId="0" borderId="0" applyNumberFormat="0" applyFill="0" applyBorder="0" applyAlignment="0" applyProtection="0"/>
    <xf numFmtId="179" fontId="28" fillId="0" borderId="0" applyNumberFormat="0" applyFill="0" applyBorder="0" applyAlignment="0" applyProtection="0"/>
    <xf numFmtId="179" fontId="28" fillId="0" borderId="0" applyNumberFormat="0" applyFill="0" applyBorder="0" applyAlignment="0" applyProtection="0"/>
    <xf numFmtId="179" fontId="10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9" fontId="28" fillId="0" borderId="0" applyNumberFormat="0" applyFill="0" applyBorder="0" applyAlignment="0" applyProtection="0"/>
    <xf numFmtId="179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9" fontId="28" fillId="0" borderId="0" applyNumberFormat="0" applyFill="0" applyBorder="0" applyAlignment="0" applyProtection="0"/>
    <xf numFmtId="179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9" fontId="28" fillId="0" borderId="0" applyNumberFormat="0" applyFill="0" applyBorder="0" applyAlignment="0" applyProtection="0"/>
    <xf numFmtId="179" fontId="28" fillId="0" borderId="0" applyNumberFormat="0" applyFill="0" applyBorder="0" applyAlignment="0" applyProtection="0"/>
    <xf numFmtId="179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9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179" fontId="10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177" fillId="0" borderId="123" applyNumberFormat="0" applyFill="0" applyAlignment="0" applyProtection="0"/>
    <xf numFmtId="0" fontId="178" fillId="0" borderId="117" applyNumberFormat="0" applyFill="0" applyAlignment="0" applyProtection="0"/>
    <xf numFmtId="0" fontId="179" fillId="0" borderId="124" applyNumberFormat="0" applyFill="0" applyAlignment="0" applyProtection="0"/>
    <xf numFmtId="0" fontId="179" fillId="0" borderId="0" applyNumberFormat="0" applyFill="0" applyBorder="0" applyAlignment="0" applyProtection="0"/>
    <xf numFmtId="0" fontId="5" fillId="0" borderId="52" applyNumberFormat="0" applyFill="0" applyAlignment="0" applyProtection="0"/>
    <xf numFmtId="0" fontId="5" fillId="0" borderId="52" applyNumberFormat="0" applyFill="0" applyAlignment="0" applyProtection="0"/>
    <xf numFmtId="0" fontId="5" fillId="0" borderId="52" applyNumberFormat="0" applyFill="0" applyAlignment="0" applyProtection="0"/>
    <xf numFmtId="0" fontId="5" fillId="0" borderId="52" applyNumberFormat="0" applyFill="0" applyAlignment="0" applyProtection="0"/>
    <xf numFmtId="0" fontId="5" fillId="0" borderId="52" applyNumberFormat="0" applyFill="0" applyAlignment="0" applyProtection="0"/>
    <xf numFmtId="179" fontId="5" fillId="0" borderId="52" applyNumberFormat="0" applyFill="0" applyAlignment="0" applyProtection="0"/>
    <xf numFmtId="179" fontId="5" fillId="0" borderId="52" applyNumberFormat="0" applyFill="0" applyAlignment="0" applyProtection="0"/>
    <xf numFmtId="179" fontId="5" fillId="0" borderId="52" applyNumberFormat="0" applyFill="0" applyAlignment="0" applyProtection="0"/>
    <xf numFmtId="179" fontId="5" fillId="0" borderId="52" applyNumberFormat="0" applyFill="0" applyAlignment="0" applyProtection="0"/>
    <xf numFmtId="179" fontId="5" fillId="0" borderId="52" applyNumberFormat="0" applyFill="0" applyAlignment="0" applyProtection="0"/>
    <xf numFmtId="0" fontId="5" fillId="0" borderId="52" applyNumberFormat="0" applyFill="0" applyAlignment="0" applyProtection="0"/>
    <xf numFmtId="179" fontId="5" fillId="0" borderId="52" applyNumberFormat="0" applyFill="0" applyAlignment="0" applyProtection="0"/>
    <xf numFmtId="0" fontId="5" fillId="0" borderId="52" applyNumberFormat="0" applyFill="0" applyAlignment="0" applyProtection="0"/>
    <xf numFmtId="0" fontId="107" fillId="0" borderId="125" applyNumberFormat="0" applyFill="0" applyAlignment="0" applyProtection="0"/>
    <xf numFmtId="179" fontId="5" fillId="0" borderId="52" applyNumberFormat="0" applyFill="0" applyAlignment="0" applyProtection="0"/>
    <xf numFmtId="0" fontId="28" fillId="0" borderId="125" applyNumberFormat="0" applyFill="0" applyAlignment="0" applyProtection="0"/>
    <xf numFmtId="0" fontId="5" fillId="0" borderId="52" applyNumberFormat="0" applyFill="0" applyAlignment="0" applyProtection="0"/>
    <xf numFmtId="0" fontId="107" fillId="0" borderId="125" applyNumberFormat="0" applyFill="0" applyAlignment="0" applyProtection="0"/>
    <xf numFmtId="0" fontId="28" fillId="0" borderId="125" applyNumberFormat="0" applyFill="0" applyAlignment="0" applyProtection="0"/>
    <xf numFmtId="0" fontId="107" fillId="0" borderId="122" applyNumberFormat="0" applyFill="0" applyAlignment="0" applyProtection="0"/>
    <xf numFmtId="0" fontId="107" fillId="0" borderId="122" applyNumberFormat="0" applyFill="0" applyAlignment="0" applyProtection="0"/>
    <xf numFmtId="0" fontId="107" fillId="0" borderId="122" applyNumberFormat="0" applyFill="0" applyAlignment="0" applyProtection="0"/>
    <xf numFmtId="0" fontId="28" fillId="0" borderId="125" applyNumberFormat="0" applyFill="0" applyAlignment="0" applyProtection="0"/>
    <xf numFmtId="179" fontId="107" fillId="0" borderId="122" applyNumberFormat="0" applyFill="0" applyAlignment="0" applyProtection="0"/>
    <xf numFmtId="0" fontId="28" fillId="0" borderId="125" applyNumberFormat="0" applyFill="0" applyAlignment="0" applyProtection="0"/>
    <xf numFmtId="179" fontId="87" fillId="0" borderId="52" applyNumberFormat="0" applyFill="0" applyAlignment="0" applyProtection="0"/>
    <xf numFmtId="179" fontId="5" fillId="0" borderId="52" applyNumberFormat="0" applyFill="0" applyAlignment="0" applyProtection="0"/>
    <xf numFmtId="0" fontId="87" fillId="0" borderId="52" applyNumberFormat="0" applyFill="0" applyAlignment="0" applyProtection="0"/>
    <xf numFmtId="179" fontId="87" fillId="0" borderId="52" applyNumberFormat="0" applyFill="0" applyAlignment="0" applyProtection="0"/>
    <xf numFmtId="179" fontId="5" fillId="0" borderId="52" applyNumberFormat="0" applyFill="0" applyAlignment="0" applyProtection="0"/>
    <xf numFmtId="0" fontId="87" fillId="0" borderId="52" applyNumberFormat="0" applyFill="0" applyAlignment="0" applyProtection="0"/>
    <xf numFmtId="179" fontId="5" fillId="0" borderId="52" applyNumberFormat="0" applyFill="0" applyAlignment="0" applyProtection="0"/>
    <xf numFmtId="179" fontId="107" fillId="0" borderId="122" applyNumberFormat="0" applyFill="0" applyAlignment="0" applyProtection="0"/>
    <xf numFmtId="179" fontId="5" fillId="0" borderId="52" applyNumberFormat="0" applyFill="0" applyAlignment="0" applyProtection="0"/>
    <xf numFmtId="0" fontId="107" fillId="0" borderId="122" applyNumberFormat="0" applyFill="0" applyAlignment="0" applyProtection="0"/>
    <xf numFmtId="0" fontId="5" fillId="0" borderId="52" applyNumberFormat="0" applyFill="0" applyAlignment="0" applyProtection="0"/>
    <xf numFmtId="0" fontId="5" fillId="0" borderId="52" applyNumberFormat="0" applyFill="0" applyAlignment="0" applyProtection="0"/>
    <xf numFmtId="0" fontId="5" fillId="0" borderId="52" applyNumberFormat="0" applyFill="0" applyAlignment="0" applyProtection="0"/>
    <xf numFmtId="0" fontId="5" fillId="0" borderId="52" applyNumberFormat="0" applyFill="0" applyAlignment="0" applyProtection="0"/>
    <xf numFmtId="0" fontId="180" fillId="66" borderId="115" applyNumberFormat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79" fontId="6" fillId="0" borderId="0" applyNumberFormat="0" applyFill="0" applyBorder="0" applyAlignment="0" applyProtection="0"/>
    <xf numFmtId="179" fontId="6" fillId="0" borderId="0" applyNumberFormat="0" applyFill="0" applyBorder="0" applyAlignment="0" applyProtection="0"/>
    <xf numFmtId="179" fontId="6" fillId="0" borderId="0" applyNumberFormat="0" applyFill="0" applyBorder="0" applyAlignment="0" applyProtection="0"/>
    <xf numFmtId="179" fontId="6" fillId="0" borderId="0" applyNumberFormat="0" applyFill="0" applyBorder="0" applyAlignment="0" applyProtection="0"/>
    <xf numFmtId="179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79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79" fontId="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9" fontId="10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9" fontId="181" fillId="0" borderId="0" applyNumberFormat="0" applyFill="0" applyBorder="0" applyAlignment="0" applyProtection="0"/>
    <xf numFmtId="179" fontId="6" fillId="0" borderId="0" applyNumberFormat="0" applyFill="0" applyBorder="0" applyAlignment="0" applyProtection="0"/>
    <xf numFmtId="0" fontId="181" fillId="0" borderId="0" applyNumberFormat="0" applyFill="0" applyBorder="0" applyAlignment="0" applyProtection="0"/>
    <xf numFmtId="179" fontId="181" fillId="0" borderId="0" applyNumberFormat="0" applyFill="0" applyBorder="0" applyAlignment="0" applyProtection="0"/>
    <xf numFmtId="179" fontId="6" fillId="0" borderId="0" applyNumberFormat="0" applyFill="0" applyBorder="0" applyAlignment="0" applyProtection="0"/>
    <xf numFmtId="0" fontId="181" fillId="0" borderId="0" applyNumberFormat="0" applyFill="0" applyBorder="0" applyAlignment="0" applyProtection="0"/>
    <xf numFmtId="179" fontId="6" fillId="0" borderId="0" applyNumberFormat="0" applyFill="0" applyBorder="0" applyAlignment="0" applyProtection="0"/>
    <xf numFmtId="179" fontId="108" fillId="0" borderId="0" applyNumberFormat="0" applyFill="0" applyBorder="0" applyAlignment="0" applyProtection="0"/>
    <xf numFmtId="179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9" fillId="5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9" fillId="5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9" fillId="54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9" fillId="52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107" fillId="0" borderId="122" applyNumberFormat="0" applyFill="0" applyAlignment="0" applyProtection="0"/>
    <xf numFmtId="0" fontId="29" fillId="54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9" fillId="56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106" fillId="0" borderId="0" applyNumberFormat="0" applyFill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9" fillId="57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9" fillId="5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9" fillId="57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92" fillId="59" borderId="0" applyNumberFormat="0" applyBorder="0" applyAlignment="0" applyProtection="0"/>
    <xf numFmtId="0" fontId="4" fillId="0" borderId="0" applyFont="0" applyFill="0" applyBorder="0" applyAlignment="0" applyProtection="0"/>
    <xf numFmtId="0" fontId="92" fillId="57" borderId="0" applyNumberFormat="0" applyBorder="0" applyAlignment="0" applyProtection="0"/>
    <xf numFmtId="0" fontId="105" fillId="65" borderId="121" applyNumberFormat="0" applyAlignment="0" applyProtection="0"/>
    <xf numFmtId="0" fontId="92" fillId="56" borderId="0" applyNumberFormat="0" applyBorder="0" applyAlignment="0" applyProtection="0"/>
    <xf numFmtId="0" fontId="92" fillId="53" borderId="0" applyNumberFormat="0" applyBorder="0" applyAlignment="0" applyProtection="0"/>
    <xf numFmtId="0" fontId="92" fillId="59" borderId="0" applyNumberFormat="0" applyBorder="0" applyAlignment="0" applyProtection="0"/>
    <xf numFmtId="0" fontId="92" fillId="62" borderId="0" applyNumberFormat="0" applyBorder="0" applyAlignment="0" applyProtection="0"/>
    <xf numFmtId="0" fontId="94" fillId="65" borderId="114" applyNumberFormat="0" applyAlignment="0" applyProtection="0"/>
    <xf numFmtId="43" fontId="109" fillId="0" borderId="0" applyFont="0" applyFill="0" applyBorder="0" applyAlignment="0" applyProtection="0"/>
    <xf numFmtId="0" fontId="101" fillId="57" borderId="114" applyNumberFormat="0" applyAlignment="0" applyProtection="0"/>
    <xf numFmtId="0" fontId="100" fillId="0" borderId="118" applyNumberFormat="0" applyFill="0" applyAlignment="0" applyProtection="0"/>
    <xf numFmtId="43" fontId="2" fillId="0" borderId="0" applyFont="0" applyFill="0" applyBorder="0" applyAlignment="0" applyProtection="0"/>
    <xf numFmtId="0" fontId="99" fillId="0" borderId="117" applyNumberFormat="0" applyFill="0" applyAlignment="0" applyProtection="0"/>
    <xf numFmtId="0" fontId="98" fillId="0" borderId="116" applyNumberFormat="0" applyFill="0" applyAlignment="0" applyProtection="0"/>
    <xf numFmtId="0" fontId="98" fillId="0" borderId="116" applyNumberFormat="0" applyFill="0" applyAlignment="0" applyProtection="0"/>
    <xf numFmtId="0" fontId="99" fillId="0" borderId="117" applyNumberFormat="0" applyFill="0" applyAlignment="0" applyProtection="0"/>
    <xf numFmtId="0" fontId="100" fillId="0" borderId="118" applyNumberFormat="0" applyFill="0" applyAlignment="0" applyProtection="0"/>
    <xf numFmtId="0" fontId="100" fillId="0" borderId="0" applyNumberFormat="0" applyFill="0" applyBorder="0" applyAlignment="0" applyProtection="0"/>
    <xf numFmtId="0" fontId="101" fillId="57" borderId="114" applyNumberFormat="0" applyAlignment="0" applyProtection="0"/>
    <xf numFmtId="0" fontId="2" fillId="0" borderId="0"/>
    <xf numFmtId="0" fontId="2" fillId="0" borderId="0"/>
    <xf numFmtId="0" fontId="2" fillId="0" borderId="0"/>
    <xf numFmtId="0" fontId="92" fillId="62" borderId="0" applyNumberFormat="0" applyBorder="0" applyAlignment="0" applyProtection="0"/>
    <xf numFmtId="0" fontId="11" fillId="0" borderId="0"/>
    <xf numFmtId="0" fontId="110" fillId="0" borderId="0"/>
    <xf numFmtId="0" fontId="92" fillId="59" borderId="0" applyNumberFormat="0" applyBorder="0" applyAlignment="0" applyProtection="0"/>
    <xf numFmtId="0" fontId="2" fillId="0" borderId="0"/>
    <xf numFmtId="0" fontId="92" fillId="56" borderId="0" applyNumberFormat="0" applyBorder="0" applyAlignment="0" applyProtection="0"/>
    <xf numFmtId="0" fontId="77" fillId="0" borderId="0"/>
    <xf numFmtId="0" fontId="92" fillId="57" borderId="0" applyNumberFormat="0" applyBorder="0" applyAlignment="0" applyProtection="0"/>
    <xf numFmtId="0" fontId="4" fillId="0" borderId="0"/>
    <xf numFmtId="0" fontId="92" fillId="59" borderId="0" applyNumberFormat="0" applyBorder="0" applyAlignment="0" applyProtection="0"/>
    <xf numFmtId="0" fontId="29" fillId="57" borderId="0" applyNumberFormat="0" applyBorder="0" applyAlignment="0" applyProtection="0"/>
    <xf numFmtId="0" fontId="105" fillId="65" borderId="121" applyNumberFormat="0" applyAlignment="0" applyProtection="0"/>
    <xf numFmtId="0" fontId="29" fillId="56" borderId="0" applyNumberFormat="0" applyBorder="0" applyAlignment="0" applyProtection="0"/>
    <xf numFmtId="0" fontId="4" fillId="0" borderId="0" applyFont="0" applyFill="0" applyBorder="0" applyAlignment="0" applyProtection="0"/>
    <xf numFmtId="0" fontId="29" fillId="57" borderId="0" applyNumberFormat="0" applyBorder="0" applyAlignment="0" applyProtection="0"/>
    <xf numFmtId="0" fontId="29" fillId="56" borderId="0" applyNumberFormat="0" applyBorder="0" applyAlignment="0" applyProtection="0"/>
    <xf numFmtId="0" fontId="29" fillId="52" borderId="0" applyNumberFormat="0" applyBorder="0" applyAlignment="0" applyProtection="0"/>
    <xf numFmtId="0" fontId="106" fillId="0" borderId="0" applyNumberFormat="0" applyFill="0" applyBorder="0" applyAlignment="0" applyProtection="0"/>
    <xf numFmtId="0" fontId="29" fillId="54" borderId="0" applyNumberFormat="0" applyBorder="0" applyAlignment="0" applyProtection="0"/>
    <xf numFmtId="0" fontId="107" fillId="0" borderId="122" applyNumberFormat="0" applyFill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4" fillId="0" borderId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100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2" fillId="0" borderId="0"/>
    <xf numFmtId="0" fontId="92" fillId="53" borderId="0" applyNumberFormat="0" applyBorder="0" applyAlignment="0" applyProtection="0"/>
    <xf numFmtId="0" fontId="2" fillId="0" borderId="0"/>
    <xf numFmtId="0" fontId="4" fillId="0" borderId="0"/>
    <xf numFmtId="0" fontId="29" fillId="5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9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4" fillId="0" borderId="0" applyFont="0" applyFill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4" fillId="0" borderId="0" applyFont="0" applyFill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0" borderId="0" applyNumberFormat="0" applyBorder="0" applyAlignment="0" applyProtection="0"/>
    <xf numFmtId="0" fontId="4" fillId="0" borderId="0"/>
    <xf numFmtId="0" fontId="2" fillId="40" borderId="0" applyNumberFormat="0" applyBorder="0" applyAlignment="0" applyProtection="0"/>
    <xf numFmtId="0" fontId="4" fillId="0" borderId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4" fillId="65" borderId="11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43" borderId="0" applyNumberFormat="0" applyBorder="0" applyAlignment="0" applyProtection="0"/>
    <xf numFmtId="0" fontId="4" fillId="0" borderId="0" applyFont="0" applyFill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44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40" borderId="0" applyNumberFormat="0" applyBorder="0" applyAlignment="0" applyProtection="0"/>
    <xf numFmtId="0" fontId="2" fillId="24" borderId="0" applyNumberFormat="0" applyBorder="0" applyAlignment="0" applyProtection="0"/>
    <xf numFmtId="0" fontId="2" fillId="43" borderId="0" applyNumberFormat="0" applyBorder="0" applyAlignment="0" applyProtection="0"/>
    <xf numFmtId="0" fontId="2" fillId="3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18" borderId="47" applyNumberFormat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0" borderId="0"/>
    <xf numFmtId="0" fontId="85" fillId="0" borderId="0" applyNumberFormat="0" applyFill="0" applyBorder="0" applyAlignment="0" applyProtection="0"/>
    <xf numFmtId="0" fontId="2" fillId="21" borderId="51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18" borderId="47" applyNumberFormat="0" applyAlignment="0" applyProtection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" fillId="0" borderId="0"/>
    <xf numFmtId="164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91" fillId="0" borderId="0" applyNumberFormat="0" applyFill="0" applyBorder="0" applyAlignment="0" applyProtection="0"/>
    <xf numFmtId="0" fontId="197" fillId="0" borderId="0"/>
    <xf numFmtId="0" fontId="18" fillId="102" borderId="0" applyNumberFormat="0" applyAlignment="0">
      <alignment horizontal="center" vertical="center"/>
    </xf>
    <xf numFmtId="0" fontId="135" fillId="103" borderId="143" applyNumberFormat="0" applyFont="0" applyAlignment="0">
      <alignment horizontal="left"/>
    </xf>
    <xf numFmtId="210" fontId="135" fillId="0" borderId="143" applyNumberFormat="0" applyFont="0" applyAlignment="0">
      <alignment horizontal="left"/>
    </xf>
    <xf numFmtId="210" fontId="18" fillId="0" borderId="144" applyNumberFormat="0" applyAlignment="0">
      <alignment horizontal="left"/>
    </xf>
    <xf numFmtId="0" fontId="4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632">
    <xf numFmtId="0" fontId="0" fillId="0" borderId="0" xfId="0"/>
    <xf numFmtId="0" fontId="5" fillId="0" borderId="0" xfId="0" applyFont="1"/>
    <xf numFmtId="0" fontId="8" fillId="0" borderId="0" xfId="0" applyFont="1"/>
    <xf numFmtId="0" fontId="5" fillId="0" borderId="0" xfId="0" applyFont="1" applyAlignment="1">
      <alignment horizontal="center" vertical="center"/>
    </xf>
    <xf numFmtId="0" fontId="0" fillId="0" borderId="0" xfId="2" applyFont="1"/>
    <xf numFmtId="171" fontId="0" fillId="0" borderId="0" xfId="2" applyNumberFormat="1" applyFont="1"/>
    <xf numFmtId="170" fontId="5" fillId="13" borderId="43" xfId="1" applyNumberFormat="1" applyFont="1" applyFill="1" applyBorder="1"/>
    <xf numFmtId="0" fontId="12" fillId="13" borderId="0" xfId="0" applyFont="1" applyFill="1"/>
    <xf numFmtId="0" fontId="12" fillId="13" borderId="0" xfId="2" applyFont="1" applyFill="1" applyBorder="1"/>
    <xf numFmtId="166" fontId="5" fillId="13" borderId="0" xfId="0" applyNumberFormat="1" applyFont="1" applyFill="1"/>
    <xf numFmtId="170" fontId="0" fillId="13" borderId="0" xfId="1" applyNumberFormat="1" applyFont="1" applyFill="1" applyBorder="1"/>
    <xf numFmtId="170" fontId="8" fillId="13" borderId="0" xfId="1" applyNumberFormat="1" applyFont="1" applyFill="1" applyBorder="1"/>
    <xf numFmtId="0" fontId="15" fillId="13" borderId="0" xfId="0" applyFont="1" applyFill="1"/>
    <xf numFmtId="0" fontId="8" fillId="13" borderId="0" xfId="0" applyFont="1" applyFill="1"/>
    <xf numFmtId="0" fontId="15" fillId="13" borderId="0" xfId="2" applyFont="1" applyFill="1" applyBorder="1"/>
    <xf numFmtId="170" fontId="5" fillId="13" borderId="0" xfId="1" applyNumberFormat="1" applyFont="1" applyFill="1" applyBorder="1"/>
    <xf numFmtId="171" fontId="15" fillId="13" borderId="0" xfId="0" applyNumberFormat="1" applyFont="1" applyFill="1"/>
    <xf numFmtId="166" fontId="0" fillId="13" borderId="0" xfId="0" applyNumberFormat="1" applyFill="1"/>
    <xf numFmtId="0" fontId="32" fillId="3" borderId="2" xfId="0" applyFont="1" applyFill="1" applyBorder="1"/>
    <xf numFmtId="0" fontId="32" fillId="3" borderId="2" xfId="0" applyFont="1" applyFill="1" applyBorder="1" applyAlignment="1">
      <alignment horizontal="right"/>
    </xf>
    <xf numFmtId="0" fontId="34" fillId="3" borderId="2" xfId="0" applyFont="1" applyFill="1" applyBorder="1" applyAlignment="1">
      <alignment horizontal="left"/>
    </xf>
    <xf numFmtId="0" fontId="32" fillId="3" borderId="2" xfId="0" applyFont="1" applyFill="1" applyBorder="1" applyAlignment="1">
      <alignment horizontal="center"/>
    </xf>
    <xf numFmtId="0" fontId="32" fillId="3" borderId="2" xfId="2" applyFont="1" applyFill="1" applyBorder="1" applyAlignment="1">
      <alignment horizontal="center"/>
    </xf>
    <xf numFmtId="0" fontId="34" fillId="0" borderId="3" xfId="0" applyFont="1" applyBorder="1" applyAlignment="1">
      <alignment horizontal="justify"/>
    </xf>
    <xf numFmtId="166" fontId="34" fillId="0" borderId="7" xfId="3" applyNumberFormat="1" applyFont="1" applyFill="1" applyBorder="1" applyAlignment="1" applyProtection="1">
      <alignment horizontal="justify"/>
    </xf>
    <xf numFmtId="166" fontId="34" fillId="0" borderId="8" xfId="3" applyNumberFormat="1" applyFont="1" applyFill="1" applyBorder="1" applyAlignment="1" applyProtection="1">
      <alignment horizontal="justify"/>
    </xf>
    <xf numFmtId="0" fontId="34" fillId="0" borderId="8" xfId="2" applyFont="1" applyFill="1" applyBorder="1" applyAlignment="1" applyProtection="1">
      <alignment horizontal="right"/>
    </xf>
    <xf numFmtId="0" fontId="34" fillId="0" borderId="4" xfId="0" applyFont="1" applyBorder="1" applyAlignment="1">
      <alignment horizontal="justify"/>
    </xf>
    <xf numFmtId="166" fontId="34" fillId="0" borderId="8" xfId="4" applyNumberFormat="1" applyFont="1" applyFill="1" applyBorder="1" applyAlignment="1" applyProtection="1">
      <alignment horizontal="justify"/>
    </xf>
    <xf numFmtId="0" fontId="32" fillId="2" borderId="4" xfId="0" applyFont="1" applyFill="1" applyBorder="1" applyAlignment="1">
      <alignment horizontal="justify"/>
    </xf>
    <xf numFmtId="166" fontId="32" fillId="2" borderId="9" xfId="3" applyNumberFormat="1" applyFont="1" applyFill="1" applyBorder="1" applyAlignment="1" applyProtection="1">
      <alignment horizontal="justify"/>
    </xf>
    <xf numFmtId="0" fontId="32" fillId="0" borderId="4" xfId="0" applyFont="1" applyBorder="1" applyAlignment="1">
      <alignment horizontal="justify"/>
    </xf>
    <xf numFmtId="166" fontId="32" fillId="0" borderId="7" xfId="3" applyNumberFormat="1" applyFont="1" applyFill="1" applyBorder="1" applyAlignment="1" applyProtection="1">
      <alignment horizontal="justify"/>
    </xf>
    <xf numFmtId="0" fontId="34" fillId="0" borderId="7" xfId="2" applyFont="1" applyFill="1" applyBorder="1" applyAlignment="1" applyProtection="1">
      <alignment horizontal="right"/>
    </xf>
    <xf numFmtId="0" fontId="32" fillId="0" borderId="5" xfId="0" applyFont="1" applyBorder="1" applyAlignment="1">
      <alignment horizontal="justify"/>
    </xf>
    <xf numFmtId="166" fontId="32" fillId="4" borderId="10" xfId="3" applyNumberFormat="1" applyFont="1" applyFill="1" applyBorder="1" applyAlignment="1" applyProtection="1">
      <alignment horizontal="justify"/>
    </xf>
    <xf numFmtId="0" fontId="32" fillId="3" borderId="2" xfId="0" applyFont="1" applyFill="1" applyBorder="1" applyAlignment="1">
      <alignment horizontal="justify"/>
    </xf>
    <xf numFmtId="0" fontId="32" fillId="0" borderId="6" xfId="0" applyFont="1" applyBorder="1" applyAlignment="1">
      <alignment horizontal="justify"/>
    </xf>
    <xf numFmtId="167" fontId="32" fillId="0" borderId="8" xfId="0" applyNumberFormat="1" applyFont="1" applyBorder="1" applyAlignment="1">
      <alignment horizontal="justify"/>
    </xf>
    <xf numFmtId="166" fontId="32" fillId="2" borderId="7" xfId="3" applyNumberFormat="1" applyFont="1" applyFill="1" applyBorder="1" applyAlignment="1" applyProtection="1">
      <alignment horizontal="justify"/>
    </xf>
    <xf numFmtId="166" fontId="32" fillId="4" borderId="7" xfId="3" applyNumberFormat="1" applyFont="1" applyFill="1" applyBorder="1" applyAlignment="1" applyProtection="1">
      <alignment horizontal="justify"/>
    </xf>
    <xf numFmtId="166" fontId="34" fillId="4" borderId="7" xfId="3" applyNumberFormat="1" applyFont="1" applyFill="1" applyBorder="1" applyAlignment="1" applyProtection="1">
      <alignment horizontal="justify"/>
    </xf>
    <xf numFmtId="166" fontId="32" fillId="4" borderId="9" xfId="3" applyNumberFormat="1" applyFont="1" applyFill="1" applyBorder="1" applyAlignment="1" applyProtection="1">
      <alignment horizontal="justify"/>
    </xf>
    <xf numFmtId="166" fontId="34" fillId="4" borderId="9" xfId="3" applyNumberFormat="1" applyFont="1" applyFill="1" applyBorder="1" applyAlignment="1" applyProtection="1">
      <alignment horizontal="justify"/>
    </xf>
    <xf numFmtId="166" fontId="34" fillId="48" borderId="9" xfId="3" applyNumberFormat="1" applyFont="1" applyFill="1" applyBorder="1" applyAlignment="1" applyProtection="1">
      <alignment horizontal="justify"/>
    </xf>
    <xf numFmtId="0" fontId="34" fillId="48" borderId="7" xfId="2" applyFont="1" applyFill="1" applyBorder="1" applyAlignment="1" applyProtection="1">
      <alignment horizontal="right"/>
    </xf>
    <xf numFmtId="166" fontId="32" fillId="0" borderId="9" xfId="3" applyNumberFormat="1" applyFont="1" applyFill="1" applyBorder="1" applyAlignment="1" applyProtection="1">
      <alignment horizontal="justify"/>
    </xf>
    <xf numFmtId="0" fontId="32" fillId="10" borderId="4" xfId="0" applyFont="1" applyFill="1" applyBorder="1" applyAlignment="1">
      <alignment horizontal="justify"/>
    </xf>
    <xf numFmtId="166" fontId="32" fillId="10" borderId="9" xfId="3" applyNumberFormat="1" applyFont="1" applyFill="1" applyBorder="1" applyAlignment="1" applyProtection="1">
      <alignment horizontal="justify"/>
    </xf>
    <xf numFmtId="0" fontId="34" fillId="3" borderId="2" xfId="0" applyFont="1" applyFill="1" applyBorder="1" applyAlignment="1">
      <alignment horizontal="justify"/>
    </xf>
    <xf numFmtId="0" fontId="34" fillId="2" borderId="0" xfId="0" applyFont="1" applyFill="1"/>
    <xf numFmtId="0" fontId="36" fillId="2" borderId="0" xfId="0" applyFont="1" applyFill="1"/>
    <xf numFmtId="0" fontId="37" fillId="0" borderId="0" xfId="0" applyFont="1"/>
    <xf numFmtId="0" fontId="35" fillId="0" borderId="0" xfId="0" applyFont="1"/>
    <xf numFmtId="170" fontId="35" fillId="0" borderId="0" xfId="1" applyNumberFormat="1" applyFont="1"/>
    <xf numFmtId="166" fontId="37" fillId="0" borderId="0" xfId="0" applyNumberFormat="1" applyFont="1"/>
    <xf numFmtId="0" fontId="34" fillId="0" borderId="0" xfId="0" applyFont="1" applyAlignment="1">
      <alignment horizontal="right"/>
    </xf>
    <xf numFmtId="0" fontId="32" fillId="9" borderId="38" xfId="0" applyFont="1" applyFill="1" applyBorder="1" applyAlignment="1">
      <alignment horizontal="left"/>
    </xf>
    <xf numFmtId="0" fontId="32" fillId="3" borderId="2" xfId="2" applyFont="1" applyFill="1" applyBorder="1" applyAlignment="1">
      <alignment horizontal="right"/>
    </xf>
    <xf numFmtId="166" fontId="34" fillId="4" borderId="8" xfId="3" applyNumberFormat="1" applyFont="1" applyFill="1" applyBorder="1" applyAlignment="1" applyProtection="1">
      <alignment horizontal="justify"/>
    </xf>
    <xf numFmtId="166" fontId="32" fillId="4" borderId="8" xfId="3" applyNumberFormat="1" applyFont="1" applyFill="1" applyBorder="1" applyAlignment="1" applyProtection="1">
      <alignment horizontal="justify"/>
    </xf>
    <xf numFmtId="166" fontId="32" fillId="4" borderId="15" xfId="3" applyNumberFormat="1" applyFont="1" applyFill="1" applyBorder="1" applyAlignment="1" applyProtection="1">
      <alignment horizontal="justify"/>
    </xf>
    <xf numFmtId="168" fontId="32" fillId="0" borderId="8" xfId="0" applyNumberFormat="1" applyFont="1" applyBorder="1" applyAlignment="1">
      <alignment horizontal="justify"/>
    </xf>
    <xf numFmtId="0" fontId="32" fillId="0" borderId="8" xfId="2" applyFont="1" applyFill="1" applyBorder="1" applyAlignment="1">
      <alignment horizontal="right"/>
    </xf>
    <xf numFmtId="0" fontId="34" fillId="4" borderId="7" xfId="2" applyFont="1" applyFill="1" applyBorder="1" applyAlignment="1" applyProtection="1">
      <alignment horizontal="right"/>
    </xf>
    <xf numFmtId="166" fontId="32" fillId="2" borderId="12" xfId="3" applyNumberFormat="1" applyFont="1" applyFill="1" applyBorder="1" applyAlignment="1" applyProtection="1">
      <alignment horizontal="justify"/>
    </xf>
    <xf numFmtId="166" fontId="32" fillId="2" borderId="33" xfId="3" applyNumberFormat="1" applyFont="1" applyFill="1" applyBorder="1" applyAlignment="1" applyProtection="1">
      <alignment horizontal="justify"/>
    </xf>
    <xf numFmtId="166" fontId="32" fillId="2" borderId="14" xfId="0" applyNumberFormat="1" applyFont="1" applyFill="1" applyBorder="1"/>
    <xf numFmtId="0" fontId="36" fillId="2" borderId="0" xfId="2" applyFont="1" applyFill="1" applyBorder="1" applyAlignment="1">
      <alignment horizontal="right"/>
    </xf>
    <xf numFmtId="0" fontId="37" fillId="13" borderId="0" xfId="0" applyFont="1" applyFill="1"/>
    <xf numFmtId="43" fontId="37" fillId="0" borderId="0" xfId="1" applyFont="1"/>
    <xf numFmtId="43" fontId="37" fillId="0" borderId="0" xfId="0" applyNumberFormat="1" applyFont="1"/>
    <xf numFmtId="166" fontId="40" fillId="0" borderId="0" xfId="0" applyNumberFormat="1" applyFont="1"/>
    <xf numFmtId="0" fontId="37" fillId="0" borderId="0" xfId="0" applyFont="1" applyAlignment="1">
      <alignment horizontal="right"/>
    </xf>
    <xf numFmtId="43" fontId="35" fillId="0" borderId="0" xfId="1" applyFont="1"/>
    <xf numFmtId="166" fontId="34" fillId="0" borderId="32" xfId="3" applyNumberFormat="1" applyFont="1" applyFill="1" applyBorder="1" applyAlignment="1" applyProtection="1">
      <alignment horizontal="justify"/>
    </xf>
    <xf numFmtId="166" fontId="32" fillId="0" borderId="8" xfId="3" applyNumberFormat="1" applyFont="1" applyFill="1" applyBorder="1" applyAlignment="1" applyProtection="1">
      <alignment horizontal="justify"/>
    </xf>
    <xf numFmtId="0" fontId="32" fillId="5" borderId="25" xfId="0" applyFont="1" applyFill="1" applyBorder="1" applyAlignment="1">
      <alignment horizontal="justify"/>
    </xf>
    <xf numFmtId="166" fontId="32" fillId="5" borderId="0" xfId="3" applyNumberFormat="1" applyFont="1" applyFill="1" applyBorder="1" applyAlignment="1" applyProtection="1">
      <alignment horizontal="justify"/>
    </xf>
    <xf numFmtId="0" fontId="32" fillId="5" borderId="0" xfId="2" applyFont="1" applyFill="1" applyBorder="1" applyAlignment="1" applyProtection="1">
      <alignment horizontal="right"/>
    </xf>
    <xf numFmtId="0" fontId="32" fillId="0" borderId="0" xfId="0" applyFont="1" applyAlignment="1">
      <alignment horizontal="justify"/>
    </xf>
    <xf numFmtId="166" fontId="34" fillId="0" borderId="9" xfId="3" applyNumberFormat="1" applyFont="1" applyFill="1" applyBorder="1" applyAlignment="1" applyProtection="1">
      <alignment horizontal="justify"/>
    </xf>
    <xf numFmtId="170" fontId="34" fillId="4" borderId="9" xfId="3" applyNumberFormat="1" applyFont="1" applyFill="1" applyBorder="1" applyAlignment="1" applyProtection="1">
      <alignment horizontal="justify"/>
    </xf>
    <xf numFmtId="0" fontId="32" fillId="9" borderId="38" xfId="0" applyFont="1" applyFill="1" applyBorder="1" applyAlignment="1">
      <alignment horizontal="right"/>
    </xf>
    <xf numFmtId="0" fontId="32" fillId="9" borderId="2" xfId="0" applyFont="1" applyFill="1" applyBorder="1" applyAlignment="1">
      <alignment horizontal="right"/>
    </xf>
    <xf numFmtId="0" fontId="32" fillId="9" borderId="18" xfId="0" applyFont="1" applyFill="1" applyBorder="1" applyAlignment="1">
      <alignment horizontal="center"/>
    </xf>
    <xf numFmtId="0" fontId="32" fillId="9" borderId="2" xfId="0" applyFont="1" applyFill="1" applyBorder="1" applyAlignment="1">
      <alignment horizontal="center"/>
    </xf>
    <xf numFmtId="166" fontId="34" fillId="47" borderId="9" xfId="3" applyNumberFormat="1" applyFont="1" applyFill="1" applyBorder="1" applyAlignment="1" applyProtection="1">
      <alignment horizontal="justify"/>
    </xf>
    <xf numFmtId="0" fontId="42" fillId="0" borderId="0" xfId="0" applyFont="1"/>
    <xf numFmtId="166" fontId="42" fillId="0" borderId="0" xfId="0" applyNumberFormat="1" applyFont="1"/>
    <xf numFmtId="0" fontId="41" fillId="2" borderId="25" xfId="0" applyFont="1" applyFill="1" applyBorder="1" applyAlignment="1">
      <alignment horizontal="justify"/>
    </xf>
    <xf numFmtId="166" fontId="41" fillId="2" borderId="0" xfId="3" applyNumberFormat="1" applyFont="1" applyFill="1" applyBorder="1" applyAlignment="1" applyProtection="1">
      <alignment horizontal="justify"/>
    </xf>
    <xf numFmtId="0" fontId="43" fillId="2" borderId="0" xfId="0" applyFont="1" applyFill="1"/>
    <xf numFmtId="0" fontId="32" fillId="3" borderId="1" xfId="0" applyFont="1" applyFill="1" applyBorder="1" applyAlignment="1">
      <alignment horizontal="center" wrapText="1"/>
    </xf>
    <xf numFmtId="166" fontId="32" fillId="2" borderId="55" xfId="3" applyNumberFormat="1" applyFont="1" applyFill="1" applyBorder="1" applyAlignment="1" applyProtection="1">
      <alignment horizontal="justify"/>
    </xf>
    <xf numFmtId="0" fontId="32" fillId="2" borderId="54" xfId="0" applyFont="1" applyFill="1" applyBorder="1" applyAlignment="1">
      <alignment horizontal="justify"/>
    </xf>
    <xf numFmtId="0" fontId="32" fillId="10" borderId="54" xfId="0" applyFont="1" applyFill="1" applyBorder="1" applyAlignment="1">
      <alignment horizontal="justify"/>
    </xf>
    <xf numFmtId="0" fontId="43" fillId="0" borderId="0" xfId="0" applyFont="1"/>
    <xf numFmtId="0" fontId="43" fillId="2" borderId="0" xfId="2" applyFont="1" applyFill="1" applyBorder="1" applyAlignment="1">
      <alignment horizontal="right"/>
    </xf>
    <xf numFmtId="0" fontId="32" fillId="3" borderId="1" xfId="2" applyFont="1" applyFill="1" applyBorder="1" applyAlignment="1">
      <alignment horizontal="right" wrapText="1"/>
    </xf>
    <xf numFmtId="165" fontId="34" fillId="5" borderId="7" xfId="3" applyFont="1" applyFill="1" applyBorder="1" applyAlignment="1" applyProtection="1">
      <alignment horizontal="justify"/>
    </xf>
    <xf numFmtId="0" fontId="32" fillId="3" borderId="1" xfId="2" applyFont="1" applyFill="1" applyBorder="1" applyAlignment="1">
      <alignment horizontal="center" wrapText="1"/>
    </xf>
    <xf numFmtId="0" fontId="34" fillId="0" borderId="0" xfId="0" applyFont="1"/>
    <xf numFmtId="166" fontId="34" fillId="0" borderId="0" xfId="0" applyNumberFormat="1" applyFont="1"/>
    <xf numFmtId="0" fontId="34" fillId="0" borderId="0" xfId="2" applyFont="1"/>
    <xf numFmtId="0" fontId="32" fillId="0" borderId="0" xfId="0" applyFont="1"/>
    <xf numFmtId="172" fontId="34" fillId="0" borderId="0" xfId="0" applyNumberFormat="1" applyFont="1"/>
    <xf numFmtId="0" fontId="34" fillId="2" borderId="0" xfId="2" applyFont="1" applyFill="1" applyBorder="1" applyAlignment="1">
      <alignment horizontal="center"/>
    </xf>
    <xf numFmtId="0" fontId="44" fillId="3" borderId="1" xfId="0" applyFont="1" applyFill="1" applyBorder="1" applyAlignment="1">
      <alignment horizontal="left" wrapText="1"/>
    </xf>
    <xf numFmtId="0" fontId="34" fillId="0" borderId="29" xfId="0" applyFont="1" applyBorder="1"/>
    <xf numFmtId="0" fontId="34" fillId="0" borderId="53" xfId="0" applyFont="1" applyBorder="1"/>
    <xf numFmtId="0" fontId="34" fillId="3" borderId="25" xfId="0" applyFont="1" applyFill="1" applyBorder="1" applyAlignment="1">
      <alignment horizontal="left"/>
    </xf>
    <xf numFmtId="0" fontId="32" fillId="6" borderId="30" xfId="0" applyFont="1" applyFill="1" applyBorder="1" applyAlignment="1">
      <alignment horizontal="right" vertical="center" wrapText="1"/>
    </xf>
    <xf numFmtId="0" fontId="32" fillId="6" borderId="25" xfId="0" applyFont="1" applyFill="1" applyBorder="1" applyAlignment="1">
      <alignment vertical="center"/>
    </xf>
    <xf numFmtId="0" fontId="34" fillId="0" borderId="60" xfId="0" applyFont="1" applyBorder="1" applyAlignment="1">
      <alignment horizontal="justify" vertical="center"/>
    </xf>
    <xf numFmtId="170" fontId="34" fillId="0" borderId="32" xfId="1" applyNumberFormat="1" applyFont="1" applyFill="1" applyBorder="1" applyAlignment="1" applyProtection="1">
      <alignment horizontal="justify"/>
    </xf>
    <xf numFmtId="166" fontId="34" fillId="0" borderId="16" xfId="3" applyNumberFormat="1" applyFont="1" applyFill="1" applyBorder="1" applyAlignment="1" applyProtection="1">
      <alignment horizontal="justify"/>
    </xf>
    <xf numFmtId="0" fontId="34" fillId="0" borderId="33" xfId="2" applyFont="1" applyFill="1" applyBorder="1" applyAlignment="1" applyProtection="1">
      <alignment horizontal="right"/>
    </xf>
    <xf numFmtId="0" fontId="34" fillId="0" borderId="0" xfId="0" applyFont="1" applyAlignment="1">
      <alignment vertical="top"/>
    </xf>
    <xf numFmtId="0" fontId="32" fillId="7" borderId="34" xfId="0" applyFont="1" applyFill="1" applyBorder="1" applyAlignment="1">
      <alignment horizontal="justify" vertical="center"/>
    </xf>
    <xf numFmtId="166" fontId="32" fillId="7" borderId="35" xfId="3" applyNumberFormat="1" applyFont="1" applyFill="1" applyBorder="1" applyAlignment="1" applyProtection="1">
      <alignment horizontal="justify" vertical="center"/>
    </xf>
    <xf numFmtId="0" fontId="34" fillId="0" borderId="0" xfId="0" applyFont="1" applyAlignment="1">
      <alignment vertical="center"/>
    </xf>
    <xf numFmtId="0" fontId="34" fillId="0" borderId="25" xfId="0" applyFont="1" applyBorder="1"/>
    <xf numFmtId="0" fontId="32" fillId="6" borderId="35" xfId="0" applyFont="1" applyFill="1" applyBorder="1" applyAlignment="1">
      <alignment horizontal="left" vertical="center" wrapText="1"/>
    </xf>
    <xf numFmtId="0" fontId="32" fillId="6" borderId="35" xfId="0" applyFont="1" applyFill="1" applyBorder="1" applyAlignment="1">
      <alignment horizontal="center" vertical="center" wrapText="1"/>
    </xf>
    <xf numFmtId="0" fontId="34" fillId="0" borderId="62" xfId="0" applyFont="1" applyBorder="1" applyAlignment="1">
      <alignment horizontal="justify" vertical="center"/>
    </xf>
    <xf numFmtId="173" fontId="34" fillId="4" borderId="7" xfId="238" applyNumberFormat="1" applyFont="1" applyFill="1" applyBorder="1" applyAlignment="1" applyProtection="1">
      <alignment horizontal="justify"/>
    </xf>
    <xf numFmtId="0" fontId="34" fillId="0" borderId="63" xfId="0" applyFont="1" applyBorder="1" applyAlignment="1">
      <alignment horizontal="justify" vertical="center"/>
    </xf>
    <xf numFmtId="0" fontId="32" fillId="7" borderId="35" xfId="0" applyFont="1" applyFill="1" applyBorder="1" applyAlignment="1">
      <alignment horizontal="justify" vertical="center"/>
    </xf>
    <xf numFmtId="166" fontId="32" fillId="7" borderId="36" xfId="3" applyNumberFormat="1" applyFont="1" applyFill="1" applyBorder="1" applyAlignment="1" applyProtection="1">
      <alignment horizontal="justify" vertical="center"/>
    </xf>
    <xf numFmtId="0" fontId="34" fillId="0" borderId="25" xfId="0" applyFont="1" applyBorder="1" applyAlignment="1">
      <alignment horizontal="justify" vertical="center"/>
    </xf>
    <xf numFmtId="0" fontId="34" fillId="0" borderId="63" xfId="0" applyFont="1" applyBorder="1" applyAlignment="1">
      <alignment horizontal="justify" vertical="top"/>
    </xf>
    <xf numFmtId="0" fontId="32" fillId="7" borderId="13" xfId="0" applyFont="1" applyFill="1" applyBorder="1" applyAlignment="1">
      <alignment horizontal="justify" vertical="center"/>
    </xf>
    <xf numFmtId="166" fontId="32" fillId="7" borderId="9" xfId="3" applyNumberFormat="1" applyFont="1" applyFill="1" applyBorder="1" applyAlignment="1" applyProtection="1">
      <alignment horizontal="justify"/>
    </xf>
    <xf numFmtId="166" fontId="32" fillId="7" borderId="17" xfId="3" applyNumberFormat="1" applyFont="1" applyFill="1" applyBorder="1" applyAlignment="1" applyProtection="1">
      <alignment horizontal="justify" vertical="center"/>
    </xf>
    <xf numFmtId="0" fontId="34" fillId="0" borderId="13" xfId="0" applyFont="1" applyBorder="1" applyAlignment="1">
      <alignment horizontal="justify" vertical="center"/>
    </xf>
    <xf numFmtId="0" fontId="32" fillId="7" borderId="14" xfId="0" applyFont="1" applyFill="1" applyBorder="1" applyAlignment="1">
      <alignment horizontal="justify"/>
    </xf>
    <xf numFmtId="166" fontId="32" fillId="7" borderId="66" xfId="3" applyNumberFormat="1" applyFont="1" applyFill="1" applyBorder="1" applyAlignment="1" applyProtection="1">
      <alignment horizontal="justify"/>
    </xf>
    <xf numFmtId="0" fontId="34" fillId="0" borderId="37" xfId="0" applyFont="1" applyBorder="1"/>
    <xf numFmtId="0" fontId="32" fillId="0" borderId="0" xfId="0" applyFont="1" applyAlignment="1">
      <alignment horizontal="justify" vertical="center"/>
    </xf>
    <xf numFmtId="166" fontId="32" fillId="0" borderId="0" xfId="3" applyNumberFormat="1" applyFont="1" applyFill="1" applyBorder="1" applyAlignment="1" applyProtection="1">
      <alignment horizontal="justify"/>
    </xf>
    <xf numFmtId="0" fontId="32" fillId="0" borderId="29" xfId="0" applyFont="1" applyBorder="1" applyAlignment="1">
      <alignment horizontal="justify" vertical="center"/>
    </xf>
    <xf numFmtId="0" fontId="32" fillId="6" borderId="27" xfId="0" applyFont="1" applyFill="1" applyBorder="1" applyAlignment="1">
      <alignment vertical="center"/>
    </xf>
    <xf numFmtId="43" fontId="34" fillId="0" borderId="0" xfId="1" applyFont="1"/>
    <xf numFmtId="166" fontId="32" fillId="7" borderId="7" xfId="3" applyNumberFormat="1" applyFont="1" applyFill="1" applyBorder="1" applyAlignment="1" applyProtection="1">
      <alignment horizontal="justify"/>
    </xf>
    <xf numFmtId="166" fontId="32" fillId="7" borderId="58" xfId="3" applyNumberFormat="1" applyFont="1" applyFill="1" applyBorder="1" applyAlignment="1" applyProtection="1">
      <alignment horizontal="justify"/>
    </xf>
    <xf numFmtId="166" fontId="32" fillId="7" borderId="40" xfId="3" applyNumberFormat="1" applyFont="1" applyFill="1" applyBorder="1" applyAlignment="1" applyProtection="1">
      <alignment horizontal="justify"/>
    </xf>
    <xf numFmtId="171" fontId="34" fillId="14" borderId="0" xfId="2" applyNumberFormat="1" applyFont="1" applyFill="1"/>
    <xf numFmtId="167" fontId="34" fillId="5" borderId="8" xfId="0" applyNumberFormat="1" applyFont="1" applyFill="1" applyBorder="1" applyAlignment="1">
      <alignment horizontal="justify"/>
    </xf>
    <xf numFmtId="171" fontId="34" fillId="0" borderId="0" xfId="2" applyNumberFormat="1" applyFont="1"/>
    <xf numFmtId="0" fontId="32" fillId="3" borderId="1" xfId="2" applyFont="1" applyFill="1" applyBorder="1" applyAlignment="1">
      <alignment horizontal="right"/>
    </xf>
    <xf numFmtId="166" fontId="32" fillId="10" borderId="58" xfId="3" applyNumberFormat="1" applyFont="1" applyFill="1" applyBorder="1" applyAlignment="1" applyProtection="1">
      <alignment horizontal="justify"/>
    </xf>
    <xf numFmtId="166" fontId="32" fillId="7" borderId="33" xfId="3" applyNumberFormat="1" applyFont="1" applyFill="1" applyBorder="1" applyAlignment="1" applyProtection="1">
      <alignment horizontal="justify"/>
    </xf>
    <xf numFmtId="0" fontId="32" fillId="3" borderId="1" xfId="0" applyFont="1" applyFill="1" applyBorder="1" applyAlignment="1">
      <alignment horizontal="center"/>
    </xf>
    <xf numFmtId="0" fontId="34" fillId="2" borderId="0" xfId="2" applyFont="1" applyFill="1" applyBorder="1" applyAlignment="1">
      <alignment horizontal="right"/>
    </xf>
    <xf numFmtId="0" fontId="32" fillId="3" borderId="2" xfId="0" applyFont="1" applyFill="1" applyBorder="1" applyAlignment="1">
      <alignment horizontal="left" indent="1"/>
    </xf>
    <xf numFmtId="166" fontId="32" fillId="2" borderId="58" xfId="3" applyNumberFormat="1" applyFont="1" applyFill="1" applyBorder="1" applyAlignment="1" applyProtection="1">
      <alignment horizontal="justify"/>
    </xf>
    <xf numFmtId="0" fontId="32" fillId="9" borderId="2" xfId="0" applyFont="1" applyFill="1" applyBorder="1" applyAlignment="1">
      <alignment horizontal="justify"/>
    </xf>
    <xf numFmtId="0" fontId="32" fillId="9" borderId="2" xfId="2" applyFont="1" applyFill="1" applyBorder="1" applyAlignment="1">
      <alignment horizontal="right"/>
    </xf>
    <xf numFmtId="0" fontId="34" fillId="0" borderId="5" xfId="0" applyFont="1" applyBorder="1" applyAlignment="1">
      <alignment horizontal="justify"/>
    </xf>
    <xf numFmtId="0" fontId="32" fillId="2" borderId="69" xfId="0" applyFont="1" applyFill="1" applyBorder="1" applyAlignment="1">
      <alignment horizontal="justify"/>
    </xf>
    <xf numFmtId="0" fontId="45" fillId="3" borderId="1" xfId="0" applyFont="1" applyFill="1" applyBorder="1" applyAlignment="1">
      <alignment horizontal="center" wrapText="1"/>
    </xf>
    <xf numFmtId="166" fontId="32" fillId="4" borderId="7" xfId="4" applyNumberFormat="1" applyFont="1" applyFill="1" applyBorder="1" applyAlignment="1" applyProtection="1">
      <alignment horizontal="justify"/>
    </xf>
    <xf numFmtId="166" fontId="34" fillId="4" borderId="7" xfId="4" applyNumberFormat="1" applyFont="1" applyFill="1" applyBorder="1" applyAlignment="1" applyProtection="1">
      <alignment horizontal="right"/>
    </xf>
    <xf numFmtId="165" fontId="46" fillId="4" borderId="56" xfId="3" applyFont="1" applyFill="1" applyBorder="1" applyAlignment="1">
      <alignment horizontal="justify"/>
    </xf>
    <xf numFmtId="166" fontId="34" fillId="4" borderId="7" xfId="4" applyNumberFormat="1" applyFont="1" applyFill="1" applyBorder="1" applyAlignment="1" applyProtection="1">
      <alignment horizontal="justify"/>
    </xf>
    <xf numFmtId="0" fontId="47" fillId="0" borderId="0" xfId="0" applyFont="1"/>
    <xf numFmtId="166" fontId="48" fillId="4" borderId="17" xfId="6" applyNumberFormat="1" applyFont="1" applyFill="1" applyBorder="1" applyAlignment="1" applyProtection="1">
      <alignment horizontal="justify"/>
    </xf>
    <xf numFmtId="166" fontId="49" fillId="2" borderId="17" xfId="6" applyNumberFormat="1" applyFont="1" applyFill="1" applyBorder="1" applyAlignment="1" applyProtection="1">
      <alignment horizontal="justify"/>
    </xf>
    <xf numFmtId="165" fontId="34" fillId="2" borderId="0" xfId="3" applyFont="1" applyFill="1" applyBorder="1"/>
    <xf numFmtId="165" fontId="34" fillId="4" borderId="15" xfId="3" applyFont="1" applyFill="1" applyBorder="1" applyAlignment="1" applyProtection="1">
      <alignment horizontal="justify"/>
    </xf>
    <xf numFmtId="166" fontId="46" fillId="4" borderId="56" xfId="3" applyNumberFormat="1" applyFont="1" applyFill="1" applyBorder="1" applyAlignment="1">
      <alignment horizontal="justify"/>
    </xf>
    <xf numFmtId="0" fontId="46" fillId="4" borderId="68" xfId="2" applyFont="1" applyFill="1" applyBorder="1" applyAlignment="1">
      <alignment horizontal="right"/>
    </xf>
    <xf numFmtId="0" fontId="32" fillId="2" borderId="63" xfId="0" applyFont="1" applyFill="1" applyBorder="1" applyAlignment="1">
      <alignment horizontal="justify"/>
    </xf>
    <xf numFmtId="166" fontId="32" fillId="2" borderId="17" xfId="3" applyNumberFormat="1" applyFont="1" applyFill="1" applyBorder="1" applyAlignment="1" applyProtection="1">
      <alignment horizontal="justify"/>
    </xf>
    <xf numFmtId="166" fontId="32" fillId="2" borderId="66" xfId="3" applyNumberFormat="1" applyFont="1" applyFill="1" applyBorder="1" applyAlignment="1" applyProtection="1">
      <alignment horizontal="justify"/>
    </xf>
    <xf numFmtId="0" fontId="38" fillId="11" borderId="0" xfId="0" applyFont="1" applyFill="1" applyAlignment="1">
      <alignment horizontal="center"/>
    </xf>
    <xf numFmtId="170" fontId="37" fillId="0" borderId="0" xfId="1" applyNumberFormat="1" applyFont="1"/>
    <xf numFmtId="0" fontId="38" fillId="0" borderId="0" xfId="0" applyFont="1"/>
    <xf numFmtId="170" fontId="37" fillId="0" borderId="0" xfId="0" applyNumberFormat="1" applyFont="1"/>
    <xf numFmtId="168" fontId="32" fillId="0" borderId="8" xfId="0" applyNumberFormat="1" applyFont="1" applyBorder="1" applyAlignment="1">
      <alignment horizontal="right"/>
    </xf>
    <xf numFmtId="166" fontId="32" fillId="2" borderId="7" xfId="3" applyNumberFormat="1" applyFont="1" applyFill="1" applyBorder="1" applyAlignment="1" applyProtection="1">
      <alignment horizontal="right"/>
    </xf>
    <xf numFmtId="169" fontId="32" fillId="0" borderId="7" xfId="3" applyNumberFormat="1" applyFont="1" applyFill="1" applyBorder="1" applyAlignment="1" applyProtection="1">
      <alignment horizontal="right"/>
    </xf>
    <xf numFmtId="0" fontId="49" fillId="3" borderId="70" xfId="2" applyFont="1" applyFill="1" applyBorder="1" applyAlignment="1">
      <alignment horizontal="left"/>
    </xf>
    <xf numFmtId="166" fontId="48" fillId="4" borderId="71" xfId="6" applyNumberFormat="1" applyFont="1" applyFill="1" applyBorder="1" applyAlignment="1" applyProtection="1">
      <alignment horizontal="justify"/>
    </xf>
    <xf numFmtId="166" fontId="49" fillId="2" borderId="71" xfId="6" applyNumberFormat="1" applyFont="1" applyFill="1" applyBorder="1" applyAlignment="1" applyProtection="1">
      <alignment horizontal="justify"/>
    </xf>
    <xf numFmtId="166" fontId="49" fillId="4" borderId="71" xfId="6" applyNumberFormat="1" applyFont="1" applyFill="1" applyBorder="1" applyAlignment="1" applyProtection="1">
      <alignment horizontal="justify"/>
    </xf>
    <xf numFmtId="0" fontId="32" fillId="2" borderId="73" xfId="0" applyFont="1" applyFill="1" applyBorder="1"/>
    <xf numFmtId="0" fontId="52" fillId="0" borderId="0" xfId="0" applyFont="1" applyAlignment="1">
      <alignment vertical="center"/>
    </xf>
    <xf numFmtId="166" fontId="32" fillId="2" borderId="9" xfId="3" applyNumberFormat="1" applyFont="1" applyFill="1" applyBorder="1" applyAlignment="1" applyProtection="1">
      <alignment horizontal="left"/>
    </xf>
    <xf numFmtId="166" fontId="32" fillId="4" borderId="15" xfId="3" applyNumberFormat="1" applyFont="1" applyFill="1" applyBorder="1" applyAlignment="1" applyProtection="1">
      <alignment horizontal="left"/>
    </xf>
    <xf numFmtId="166" fontId="32" fillId="0" borderId="0" xfId="3" applyNumberFormat="1" applyFont="1" applyFill="1" applyBorder="1" applyAlignment="1" applyProtection="1">
      <alignment horizontal="left"/>
    </xf>
    <xf numFmtId="0" fontId="32" fillId="0" borderId="0" xfId="2" applyFont="1" applyFill="1" applyBorder="1" applyAlignment="1" applyProtection="1">
      <alignment horizontal="right"/>
    </xf>
    <xf numFmtId="166" fontId="37" fillId="0" borderId="13" xfId="0" applyNumberFormat="1" applyFont="1" applyBorder="1"/>
    <xf numFmtId="0" fontId="48" fillId="0" borderId="0" xfId="0" applyFont="1"/>
    <xf numFmtId="0" fontId="49" fillId="11" borderId="0" xfId="0" applyFont="1" applyFill="1" applyAlignment="1">
      <alignment horizontal="center" vertical="center"/>
    </xf>
    <xf numFmtId="0" fontId="48" fillId="0" borderId="13" xfId="2" applyFont="1" applyFill="1" applyBorder="1" applyAlignment="1" applyProtection="1">
      <alignment horizontal="left"/>
    </xf>
    <xf numFmtId="166" fontId="34" fillId="48" borderId="7" xfId="3" applyNumberFormat="1" applyFont="1" applyFill="1" applyBorder="1" applyAlignment="1" applyProtection="1">
      <alignment horizontal="justify"/>
    </xf>
    <xf numFmtId="0" fontId="55" fillId="0" borderId="0" xfId="0" applyFont="1"/>
    <xf numFmtId="0" fontId="56" fillId="0" borderId="0" xfId="0" applyFont="1"/>
    <xf numFmtId="43" fontId="56" fillId="0" borderId="0" xfId="1" applyFont="1"/>
    <xf numFmtId="0" fontId="37" fillId="0" borderId="0" xfId="0" applyFont="1" applyAlignment="1">
      <alignment wrapText="1"/>
    </xf>
    <xf numFmtId="43" fontId="37" fillId="0" borderId="0" xfId="1" applyFont="1" applyFill="1"/>
    <xf numFmtId="0" fontId="56" fillId="0" borderId="0" xfId="0" applyFont="1" applyAlignment="1">
      <alignment wrapText="1"/>
    </xf>
    <xf numFmtId="166" fontId="34" fillId="0" borderId="76" xfId="3" applyNumberFormat="1" applyFont="1" applyFill="1" applyBorder="1" applyAlignment="1" applyProtection="1">
      <alignment horizontal="justify"/>
    </xf>
    <xf numFmtId="166" fontId="34" fillId="4" borderId="79" xfId="3" applyNumberFormat="1" applyFont="1" applyFill="1" applyBorder="1" applyAlignment="1" applyProtection="1">
      <alignment horizontal="justify"/>
    </xf>
    <xf numFmtId="166" fontId="34" fillId="4" borderId="13" xfId="3" applyNumberFormat="1" applyFont="1" applyFill="1" applyBorder="1" applyAlignment="1" applyProtection="1">
      <alignment horizontal="justify"/>
    </xf>
    <xf numFmtId="166" fontId="32" fillId="10" borderId="13" xfId="3" applyNumberFormat="1" applyFont="1" applyFill="1" applyBorder="1" applyAlignment="1" applyProtection="1">
      <alignment horizontal="justify"/>
    </xf>
    <xf numFmtId="0" fontId="34" fillId="0" borderId="13" xfId="0" applyFont="1" applyBorder="1"/>
    <xf numFmtId="166" fontId="32" fillId="2" borderId="13" xfId="3" applyNumberFormat="1" applyFont="1" applyFill="1" applyBorder="1" applyAlignment="1" applyProtection="1">
      <alignment horizontal="justify"/>
    </xf>
    <xf numFmtId="0" fontId="32" fillId="3" borderId="1" xfId="2" applyFont="1" applyFill="1" applyBorder="1" applyAlignment="1">
      <alignment horizontal="center"/>
    </xf>
    <xf numFmtId="0" fontId="34" fillId="0" borderId="80" xfId="2" applyFont="1" applyFill="1" applyBorder="1" applyAlignment="1" applyProtection="1">
      <alignment horizontal="right"/>
    </xf>
    <xf numFmtId="166" fontId="32" fillId="2" borderId="81" xfId="3" applyNumberFormat="1" applyFont="1" applyFill="1" applyBorder="1" applyAlignment="1" applyProtection="1">
      <alignment horizontal="left"/>
    </xf>
    <xf numFmtId="166" fontId="32" fillId="2" borderId="36" xfId="3" applyNumberFormat="1" applyFont="1" applyFill="1" applyBorder="1" applyAlignment="1" applyProtection="1">
      <alignment horizontal="left"/>
    </xf>
    <xf numFmtId="0" fontId="34" fillId="10" borderId="36" xfId="2" applyFont="1" applyFill="1" applyBorder="1" applyAlignment="1" applyProtection="1">
      <alignment horizontal="right"/>
    </xf>
    <xf numFmtId="166" fontId="34" fillId="0" borderId="82" xfId="3" applyNumberFormat="1" applyFont="1" applyFill="1" applyBorder="1" applyAlignment="1" applyProtection="1">
      <alignment horizontal="justify"/>
    </xf>
    <xf numFmtId="166" fontId="37" fillId="0" borderId="75" xfId="0" applyNumberFormat="1" applyFont="1" applyBorder="1"/>
    <xf numFmtId="166" fontId="34" fillId="0" borderId="83" xfId="3" applyNumberFormat="1" applyFont="1" applyFill="1" applyBorder="1" applyAlignment="1" applyProtection="1">
      <alignment horizontal="justify"/>
    </xf>
    <xf numFmtId="166" fontId="34" fillId="0" borderId="33" xfId="3" applyNumberFormat="1" applyFont="1" applyFill="1" applyBorder="1" applyAlignment="1" applyProtection="1">
      <alignment horizontal="justify"/>
    </xf>
    <xf numFmtId="166" fontId="34" fillId="0" borderId="15" xfId="3" applyNumberFormat="1" applyFont="1" applyFill="1" applyBorder="1" applyAlignment="1" applyProtection="1">
      <alignment horizontal="justify"/>
    </xf>
    <xf numFmtId="0" fontId="34" fillId="0" borderId="15" xfId="2" applyFont="1" applyFill="1" applyBorder="1" applyAlignment="1" applyProtection="1">
      <alignment horizontal="right"/>
    </xf>
    <xf numFmtId="166" fontId="32" fillId="2" borderId="35" xfId="3" applyNumberFormat="1" applyFont="1" applyFill="1" applyBorder="1" applyAlignment="1" applyProtection="1">
      <alignment horizontal="left"/>
    </xf>
    <xf numFmtId="166" fontId="32" fillId="2" borderId="77" xfId="3" applyNumberFormat="1" applyFont="1" applyFill="1" applyBorder="1" applyAlignment="1" applyProtection="1">
      <alignment horizontal="left"/>
    </xf>
    <xf numFmtId="0" fontId="34" fillId="48" borderId="36" xfId="2" applyFont="1" applyFill="1" applyBorder="1" applyAlignment="1" applyProtection="1">
      <alignment horizontal="right"/>
    </xf>
    <xf numFmtId="166" fontId="34" fillId="0" borderId="10" xfId="3" applyNumberFormat="1" applyFont="1" applyFill="1" applyBorder="1" applyAlignment="1" applyProtection="1">
      <alignment horizontal="justify"/>
    </xf>
    <xf numFmtId="166" fontId="32" fillId="48" borderId="36" xfId="3" applyNumberFormat="1" applyFont="1" applyFill="1" applyBorder="1" applyAlignment="1" applyProtection="1">
      <alignment horizontal="left"/>
    </xf>
    <xf numFmtId="166" fontId="37" fillId="0" borderId="26" xfId="0" applyNumberFormat="1" applyFont="1" applyBorder="1"/>
    <xf numFmtId="0" fontId="56" fillId="0" borderId="25" xfId="0" applyFont="1" applyBorder="1" applyAlignment="1">
      <alignment wrapText="1"/>
    </xf>
    <xf numFmtId="0" fontId="43" fillId="0" borderId="25" xfId="0" applyFont="1" applyBorder="1" applyAlignment="1">
      <alignment horizontal="justify" wrapText="1"/>
    </xf>
    <xf numFmtId="0" fontId="56" fillId="0" borderId="84" xfId="0" applyFont="1" applyBorder="1" applyAlignment="1">
      <alignment wrapText="1"/>
    </xf>
    <xf numFmtId="0" fontId="56" fillId="0" borderId="72" xfId="0" applyFont="1" applyBorder="1"/>
    <xf numFmtId="0" fontId="56" fillId="0" borderId="77" xfId="0" applyFont="1" applyBorder="1"/>
    <xf numFmtId="0" fontId="58" fillId="0" borderId="34" xfId="0" applyFont="1" applyBorder="1" applyAlignment="1">
      <alignment wrapText="1"/>
    </xf>
    <xf numFmtId="0" fontId="56" fillId="49" borderId="77" xfId="0" applyFont="1" applyFill="1" applyBorder="1"/>
    <xf numFmtId="0" fontId="56" fillId="49" borderId="72" xfId="0" applyFont="1" applyFill="1" applyBorder="1"/>
    <xf numFmtId="0" fontId="56" fillId="50" borderId="77" xfId="0" applyFont="1" applyFill="1" applyBorder="1"/>
    <xf numFmtId="0" fontId="56" fillId="50" borderId="72" xfId="0" applyFont="1" applyFill="1" applyBorder="1"/>
    <xf numFmtId="0" fontId="59" fillId="0" borderId="78" xfId="0" applyFont="1" applyBorder="1"/>
    <xf numFmtId="0" fontId="59" fillId="0" borderId="53" xfId="0" applyFont="1" applyBorder="1"/>
    <xf numFmtId="0" fontId="59" fillId="0" borderId="31" xfId="0" applyFont="1" applyBorder="1"/>
    <xf numFmtId="170" fontId="56" fillId="0" borderId="85" xfId="1" applyNumberFormat="1" applyFont="1" applyBorder="1"/>
    <xf numFmtId="43" fontId="56" fillId="0" borderId="42" xfId="1" applyFont="1" applyBorder="1"/>
    <xf numFmtId="0" fontId="60" fillId="0" borderId="0" xfId="0" applyFont="1"/>
    <xf numFmtId="166" fontId="48" fillId="0" borderId="0" xfId="0" applyNumberFormat="1" applyFont="1"/>
    <xf numFmtId="0" fontId="61" fillId="13" borderId="0" xfId="2" applyFont="1" applyFill="1" applyBorder="1"/>
    <xf numFmtId="0" fontId="5" fillId="13" borderId="0" xfId="2" applyFont="1" applyFill="1" applyBorder="1"/>
    <xf numFmtId="0" fontId="0" fillId="0" borderId="27" xfId="0" applyBorder="1"/>
    <xf numFmtId="0" fontId="5" fillId="13" borderId="61" xfId="0" applyFont="1" applyFill="1" applyBorder="1"/>
    <xf numFmtId="170" fontId="5" fillId="13" borderId="89" xfId="1" applyNumberFormat="1" applyFont="1" applyFill="1" applyBorder="1"/>
    <xf numFmtId="0" fontId="12" fillId="13" borderId="25" xfId="0" applyFont="1" applyFill="1" applyBorder="1"/>
    <xf numFmtId="0" fontId="12" fillId="13" borderId="53" xfId="0" applyFont="1" applyFill="1" applyBorder="1"/>
    <xf numFmtId="0" fontId="13" fillId="13" borderId="25" xfId="0" applyFont="1" applyFill="1" applyBorder="1"/>
    <xf numFmtId="0" fontId="5" fillId="13" borderId="25" xfId="0" applyFont="1" applyFill="1" applyBorder="1"/>
    <xf numFmtId="170" fontId="0" fillId="13" borderId="53" xfId="1" applyNumberFormat="1" applyFont="1" applyFill="1" applyBorder="1"/>
    <xf numFmtId="170" fontId="5" fillId="13" borderId="53" xfId="1" applyNumberFormat="1" applyFont="1" applyFill="1" applyBorder="1"/>
    <xf numFmtId="0" fontId="61" fillId="13" borderId="53" xfId="0" applyFont="1" applyFill="1" applyBorder="1"/>
    <xf numFmtId="0" fontId="15" fillId="13" borderId="25" xfId="0" applyFont="1" applyFill="1" applyBorder="1"/>
    <xf numFmtId="0" fontId="14" fillId="13" borderId="53" xfId="2" applyFont="1" applyFill="1" applyBorder="1"/>
    <xf numFmtId="0" fontId="9" fillId="13" borderId="25" xfId="0" applyFont="1" applyFill="1" applyBorder="1"/>
    <xf numFmtId="0" fontId="15" fillId="13" borderId="53" xfId="0" applyFont="1" applyFill="1" applyBorder="1"/>
    <xf numFmtId="0" fontId="8" fillId="13" borderId="25" xfId="0" applyFont="1" applyFill="1" applyBorder="1"/>
    <xf numFmtId="0" fontId="8" fillId="13" borderId="53" xfId="0" applyFont="1" applyFill="1" applyBorder="1"/>
    <xf numFmtId="171" fontId="15" fillId="13" borderId="53" xfId="2" applyNumberFormat="1" applyFont="1" applyFill="1" applyBorder="1"/>
    <xf numFmtId="0" fontId="8" fillId="0" borderId="25" xfId="0" applyFont="1" applyBorder="1"/>
    <xf numFmtId="0" fontId="8" fillId="0" borderId="53" xfId="0" applyFont="1" applyBorder="1"/>
    <xf numFmtId="0" fontId="9" fillId="0" borderId="25" xfId="0" applyFont="1" applyBorder="1"/>
    <xf numFmtId="166" fontId="34" fillId="4" borderId="90" xfId="3" applyNumberFormat="1" applyFont="1" applyFill="1" applyBorder="1" applyAlignment="1" applyProtection="1">
      <alignment horizontal="justify"/>
    </xf>
    <xf numFmtId="0" fontId="34" fillId="0" borderId="26" xfId="0" applyFont="1" applyBorder="1"/>
    <xf numFmtId="166" fontId="34" fillId="4" borderId="33" xfId="3" applyNumberFormat="1" applyFont="1" applyFill="1" applyBorder="1" applyAlignment="1" applyProtection="1">
      <alignment horizontal="justify"/>
    </xf>
    <xf numFmtId="0" fontId="32" fillId="9" borderId="91" xfId="0" applyFont="1" applyFill="1" applyBorder="1" applyAlignment="1">
      <alignment horizontal="right"/>
    </xf>
    <xf numFmtId="0" fontId="32" fillId="9" borderId="26" xfId="0" applyFont="1" applyFill="1" applyBorder="1" applyAlignment="1">
      <alignment horizontal="center"/>
    </xf>
    <xf numFmtId="0" fontId="32" fillId="7" borderId="60" xfId="0" applyFont="1" applyFill="1" applyBorder="1" applyAlignment="1">
      <alignment horizontal="justify" vertical="center"/>
    </xf>
    <xf numFmtId="0" fontId="34" fillId="0" borderId="60" xfId="0" applyFont="1" applyBorder="1" applyAlignment="1">
      <alignment horizontal="justify"/>
    </xf>
    <xf numFmtId="0" fontId="32" fillId="8" borderId="60" xfId="0" applyFont="1" applyFill="1" applyBorder="1" applyAlignment="1">
      <alignment horizontal="justify"/>
    </xf>
    <xf numFmtId="0" fontId="32" fillId="7" borderId="73" xfId="0" applyFont="1" applyFill="1" applyBorder="1" applyAlignment="1">
      <alignment horizontal="justify" vertical="center"/>
    </xf>
    <xf numFmtId="166" fontId="32" fillId="2" borderId="92" xfId="0" applyNumberFormat="1" applyFont="1" applyFill="1" applyBorder="1"/>
    <xf numFmtId="43" fontId="34" fillId="4" borderId="33" xfId="1" applyFont="1" applyFill="1" applyBorder="1" applyAlignment="1" applyProtection="1">
      <alignment horizontal="justify"/>
    </xf>
    <xf numFmtId="166" fontId="34" fillId="4" borderId="33" xfId="9" applyNumberFormat="1" applyFont="1" applyFill="1" applyBorder="1" applyAlignment="1">
      <alignment horizontal="justify"/>
    </xf>
    <xf numFmtId="170" fontId="34" fillId="0" borderId="33" xfId="1" applyNumberFormat="1" applyFont="1" applyFill="1" applyBorder="1" applyAlignment="1" applyProtection="1">
      <alignment horizontal="justify"/>
    </xf>
    <xf numFmtId="170" fontId="32" fillId="8" borderId="33" xfId="1" applyNumberFormat="1" applyFont="1" applyFill="1" applyBorder="1" applyAlignment="1" applyProtection="1">
      <alignment horizontal="justify"/>
    </xf>
    <xf numFmtId="170" fontId="34" fillId="4" borderId="33" xfId="1" applyNumberFormat="1" applyFont="1" applyFill="1" applyBorder="1" applyAlignment="1" applyProtection="1">
      <alignment horizontal="justify"/>
    </xf>
    <xf numFmtId="166" fontId="32" fillId="7" borderId="71" xfId="3" applyNumberFormat="1" applyFont="1" applyFill="1" applyBorder="1" applyAlignment="1" applyProtection="1">
      <alignment horizontal="justify"/>
    </xf>
    <xf numFmtId="166" fontId="32" fillId="7" borderId="93" xfId="3" applyNumberFormat="1" applyFont="1" applyFill="1" applyBorder="1" applyAlignment="1" applyProtection="1">
      <alignment horizontal="justify"/>
    </xf>
    <xf numFmtId="170" fontId="8" fillId="0" borderId="0" xfId="1" applyNumberFormat="1" applyFont="1" applyBorder="1"/>
    <xf numFmtId="166" fontId="62" fillId="0" borderId="0" xfId="480" applyNumberFormat="1" applyFont="1" applyFill="1" applyBorder="1" applyAlignment="1" applyProtection="1"/>
    <xf numFmtId="0" fontId="33" fillId="0" borderId="0" xfId="0" applyFont="1" applyAlignment="1">
      <alignment vertical="center"/>
    </xf>
    <xf numFmtId="0" fontId="33" fillId="0" borderId="0" xfId="0" applyFont="1" applyAlignment="1">
      <alignment vertical="top"/>
    </xf>
    <xf numFmtId="0" fontId="33" fillId="0" borderId="0" xfId="0" applyFont="1"/>
    <xf numFmtId="170" fontId="33" fillId="0" borderId="0" xfId="0" applyNumberFormat="1" applyFont="1"/>
    <xf numFmtId="43" fontId="33" fillId="0" borderId="0" xfId="0" applyNumberFormat="1" applyFont="1"/>
    <xf numFmtId="0" fontId="34" fillId="2" borderId="27" xfId="0" applyFont="1" applyFill="1" applyBorder="1" applyAlignment="1">
      <alignment wrapText="1"/>
    </xf>
    <xf numFmtId="0" fontId="32" fillId="3" borderId="2" xfId="0" applyFont="1" applyFill="1" applyBorder="1" applyAlignment="1">
      <alignment wrapText="1"/>
    </xf>
    <xf numFmtId="0" fontId="34" fillId="3" borderId="2" xfId="0" applyFont="1" applyFill="1" applyBorder="1" applyAlignment="1">
      <alignment horizontal="left" wrapText="1"/>
    </xf>
    <xf numFmtId="0" fontId="34" fillId="0" borderId="3" xfId="0" applyFont="1" applyBorder="1" applyAlignment="1">
      <alignment horizontal="justify" wrapText="1"/>
    </xf>
    <xf numFmtId="0" fontId="34" fillId="0" borderId="4" xfId="0" applyFont="1" applyBorder="1" applyAlignment="1">
      <alignment horizontal="justify" wrapText="1"/>
    </xf>
    <xf numFmtId="0" fontId="34" fillId="0" borderId="54" xfId="0" applyFont="1" applyBorder="1" applyAlignment="1">
      <alignment horizontal="justify" wrapText="1"/>
    </xf>
    <xf numFmtId="0" fontId="32" fillId="2" borderId="34" xfId="0" applyFont="1" applyFill="1" applyBorder="1" applyAlignment="1">
      <alignment horizontal="justify" wrapText="1"/>
    </xf>
    <xf numFmtId="0" fontId="32" fillId="0" borderId="3" xfId="0" applyFont="1" applyBorder="1" applyAlignment="1">
      <alignment horizontal="justify" wrapText="1"/>
    </xf>
    <xf numFmtId="0" fontId="32" fillId="0" borderId="4" xfId="0" applyFont="1" applyBorder="1" applyAlignment="1">
      <alignment horizontal="justify" wrapText="1"/>
    </xf>
    <xf numFmtId="0" fontId="34" fillId="0" borderId="5" xfId="0" applyFont="1" applyBorder="1" applyAlignment="1">
      <alignment horizontal="justify" wrapText="1"/>
    </xf>
    <xf numFmtId="0" fontId="32" fillId="0" borderId="25" xfId="0" applyFont="1" applyBorder="1" applyAlignment="1">
      <alignment horizontal="justify" wrapText="1"/>
    </xf>
    <xf numFmtId="0" fontId="32" fillId="3" borderId="2" xfId="0" applyFont="1" applyFill="1" applyBorder="1" applyAlignment="1">
      <alignment horizontal="justify" wrapText="1"/>
    </xf>
    <xf numFmtId="0" fontId="32" fillId="0" borderId="6" xfId="0" applyFont="1" applyBorder="1" applyAlignment="1">
      <alignment horizontal="justify" wrapText="1"/>
    </xf>
    <xf numFmtId="0" fontId="32" fillId="2" borderId="4" xfId="0" applyFont="1" applyFill="1" applyBorder="1" applyAlignment="1">
      <alignment horizontal="justify" wrapText="1"/>
    </xf>
    <xf numFmtId="0" fontId="34" fillId="2" borderId="0" xfId="0" applyFont="1" applyFill="1" applyAlignment="1">
      <alignment wrapText="1"/>
    </xf>
    <xf numFmtId="170" fontId="63" fillId="0" borderId="0" xfId="1" applyNumberFormat="1" applyFont="1" applyBorder="1"/>
    <xf numFmtId="0" fontId="63" fillId="0" borderId="0" xfId="0" applyFont="1"/>
    <xf numFmtId="170" fontId="63" fillId="0" borderId="0" xfId="1" applyNumberFormat="1" applyFont="1"/>
    <xf numFmtId="0" fontId="63" fillId="0" borderId="0" xfId="0" applyFont="1" applyAlignment="1">
      <alignment horizontal="left" vertical="top" wrapText="1"/>
    </xf>
    <xf numFmtId="166" fontId="63" fillId="0" borderId="0" xfId="0" applyNumberFormat="1" applyFont="1"/>
    <xf numFmtId="43" fontId="63" fillId="0" borderId="0" xfId="0" applyNumberFormat="1" applyFont="1"/>
    <xf numFmtId="170" fontId="63" fillId="0" borderId="0" xfId="0" applyNumberFormat="1" applyFont="1"/>
    <xf numFmtId="0" fontId="63" fillId="0" borderId="0" xfId="0" applyFont="1" applyAlignment="1">
      <alignment wrapText="1"/>
    </xf>
    <xf numFmtId="43" fontId="63" fillId="0" borderId="0" xfId="1" applyFont="1"/>
    <xf numFmtId="0" fontId="57" fillId="0" borderId="0" xfId="0" applyFont="1"/>
    <xf numFmtId="43" fontId="57" fillId="0" borderId="0" xfId="1" applyFont="1"/>
    <xf numFmtId="0" fontId="64" fillId="0" borderId="0" xfId="0" applyFont="1" applyAlignment="1">
      <alignment horizontal="center" vertical="center"/>
    </xf>
    <xf numFmtId="0" fontId="66" fillId="0" borderId="29" xfId="0" applyFont="1" applyBorder="1"/>
    <xf numFmtId="0" fontId="67" fillId="0" borderId="29" xfId="0" applyFont="1" applyBorder="1"/>
    <xf numFmtId="0" fontId="67" fillId="0" borderId="59" xfId="0" applyFont="1" applyBorder="1"/>
    <xf numFmtId="0" fontId="67" fillId="0" borderId="0" xfId="0" applyFont="1"/>
    <xf numFmtId="0" fontId="66" fillId="0" borderId="0" xfId="0" applyFont="1"/>
    <xf numFmtId="0" fontId="67" fillId="0" borderId="53" xfId="0" applyFont="1" applyBorder="1"/>
    <xf numFmtId="0" fontId="67" fillId="0" borderId="25" xfId="0" applyFont="1" applyBorder="1"/>
    <xf numFmtId="0" fontId="67" fillId="5" borderId="0" xfId="0" applyFont="1" applyFill="1"/>
    <xf numFmtId="0" fontId="67" fillId="0" borderId="98" xfId="0" applyFont="1" applyBorder="1"/>
    <xf numFmtId="170" fontId="69" fillId="0" borderId="0" xfId="1" applyNumberFormat="1" applyFont="1" applyBorder="1"/>
    <xf numFmtId="170" fontId="70" fillId="0" borderId="0" xfId="1" applyNumberFormat="1" applyFont="1" applyBorder="1"/>
    <xf numFmtId="0" fontId="71" fillId="0" borderId="25" xfId="0" applyFont="1" applyBorder="1"/>
    <xf numFmtId="0" fontId="69" fillId="0" borderId="0" xfId="0" applyFont="1"/>
    <xf numFmtId="0" fontId="70" fillId="0" borderId="0" xfId="0" applyFont="1"/>
    <xf numFmtId="171" fontId="72" fillId="0" borderId="0" xfId="2" applyNumberFormat="1" applyFont="1" applyBorder="1"/>
    <xf numFmtId="0" fontId="73" fillId="0" borderId="25" xfId="0" applyFont="1" applyBorder="1"/>
    <xf numFmtId="171" fontId="73" fillId="0" borderId="0" xfId="2" applyNumberFormat="1" applyFont="1" applyBorder="1"/>
    <xf numFmtId="0" fontId="74" fillId="0" borderId="0" xfId="0" applyFont="1"/>
    <xf numFmtId="0" fontId="75" fillId="0" borderId="25" xfId="0" applyFont="1" applyBorder="1"/>
    <xf numFmtId="171" fontId="75" fillId="0" borderId="0" xfId="2" applyNumberFormat="1" applyFont="1" applyBorder="1"/>
    <xf numFmtId="0" fontId="76" fillId="0" borderId="0" xfId="0" applyFont="1"/>
    <xf numFmtId="171" fontId="75" fillId="0" borderId="0" xfId="0" applyNumberFormat="1" applyFont="1"/>
    <xf numFmtId="0" fontId="67" fillId="0" borderId="84" xfId="0" applyFont="1" applyBorder="1"/>
    <xf numFmtId="0" fontId="66" fillId="0" borderId="72" xfId="0" applyFont="1" applyBorder="1"/>
    <xf numFmtId="0" fontId="67" fillId="0" borderId="72" xfId="0" applyFont="1" applyBorder="1"/>
    <xf numFmtId="0" fontId="69" fillId="0" borderId="72" xfId="0" applyFont="1" applyBorder="1"/>
    <xf numFmtId="0" fontId="67" fillId="0" borderId="31" xfId="0" applyFont="1" applyBorder="1"/>
    <xf numFmtId="0" fontId="77" fillId="0" borderId="0" xfId="0" applyFont="1" applyAlignment="1">
      <alignment vertical="center"/>
    </xf>
    <xf numFmtId="170" fontId="67" fillId="0" borderId="0" xfId="0" applyNumberFormat="1" applyFont="1"/>
    <xf numFmtId="166" fontId="48" fillId="0" borderId="13" xfId="2" applyNumberFormat="1" applyFont="1" applyFill="1" applyBorder="1" applyAlignment="1" applyProtection="1">
      <alignment horizontal="left"/>
    </xf>
    <xf numFmtId="0" fontId="48" fillId="0" borderId="13" xfId="2" applyFont="1" applyFill="1" applyBorder="1" applyAlignment="1" applyProtection="1">
      <alignment horizontal="left" wrapText="1"/>
    </xf>
    <xf numFmtId="0" fontId="57" fillId="0" borderId="0" xfId="0" applyFont="1" applyAlignment="1">
      <alignment wrapText="1"/>
    </xf>
    <xf numFmtId="166" fontId="57" fillId="0" borderId="0" xfId="0" applyNumberFormat="1" applyFont="1" applyAlignment="1">
      <alignment wrapText="1"/>
    </xf>
    <xf numFmtId="170" fontId="57" fillId="0" borderId="0" xfId="1" applyNumberFormat="1" applyFont="1" applyFill="1" applyAlignment="1">
      <alignment wrapText="1"/>
    </xf>
    <xf numFmtId="43" fontId="57" fillId="0" borderId="0" xfId="0" applyNumberFormat="1" applyFont="1" applyAlignment="1">
      <alignment wrapText="1"/>
    </xf>
    <xf numFmtId="0" fontId="57" fillId="0" borderId="0" xfId="0" applyFont="1" applyAlignment="1">
      <alignment horizontal="justify" wrapText="1"/>
    </xf>
    <xf numFmtId="170" fontId="57" fillId="0" borderId="0" xfId="0" applyNumberFormat="1" applyFont="1" applyAlignment="1">
      <alignment wrapText="1"/>
    </xf>
    <xf numFmtId="175" fontId="57" fillId="0" borderId="0" xfId="1" applyNumberFormat="1" applyFont="1" applyFill="1" applyAlignment="1">
      <alignment wrapText="1"/>
    </xf>
    <xf numFmtId="166" fontId="34" fillId="0" borderId="90" xfId="3" applyNumberFormat="1" applyFont="1" applyFill="1" applyBorder="1" applyAlignment="1" applyProtection="1">
      <alignment horizontal="justify"/>
    </xf>
    <xf numFmtId="0" fontId="32" fillId="2" borderId="74" xfId="0" applyFont="1" applyFill="1" applyBorder="1" applyAlignment="1">
      <alignment horizontal="justify"/>
    </xf>
    <xf numFmtId="0" fontId="81" fillId="0" borderId="35" xfId="0" applyFont="1" applyBorder="1" applyAlignment="1">
      <alignment wrapText="1"/>
    </xf>
    <xf numFmtId="43" fontId="67" fillId="5" borderId="0" xfId="0" applyNumberFormat="1" applyFont="1" applyFill="1"/>
    <xf numFmtId="43" fontId="0" fillId="0" borderId="17" xfId="1" applyFont="1" applyFill="1" applyBorder="1"/>
    <xf numFmtId="0" fontId="69" fillId="0" borderId="17" xfId="0" applyFont="1" applyBorder="1"/>
    <xf numFmtId="0" fontId="69" fillId="13" borderId="17" xfId="0" applyFont="1" applyFill="1" applyBorder="1"/>
    <xf numFmtId="0" fontId="69" fillId="0" borderId="104" xfId="0" applyFont="1" applyBorder="1"/>
    <xf numFmtId="0" fontId="69" fillId="0" borderId="66" xfId="0" applyFont="1" applyBorder="1"/>
    <xf numFmtId="43" fontId="78" fillId="13" borderId="111" xfId="1" applyFont="1" applyFill="1" applyBorder="1" applyAlignment="1">
      <alignment horizontal="center"/>
    </xf>
    <xf numFmtId="0" fontId="4" fillId="13" borderId="17" xfId="179" applyFill="1" applyBorder="1"/>
    <xf numFmtId="170" fontId="64" fillId="0" borderId="0" xfId="1" applyNumberFormat="1" applyFont="1" applyAlignment="1">
      <alignment horizontal="left"/>
    </xf>
    <xf numFmtId="170" fontId="64" fillId="0" borderId="0" xfId="0" applyNumberFormat="1" applyFont="1" applyAlignment="1">
      <alignment horizontal="center"/>
    </xf>
    <xf numFmtId="0" fontId="64" fillId="0" borderId="0" xfId="0" applyFont="1" applyAlignment="1">
      <alignment horizontal="center"/>
    </xf>
    <xf numFmtId="0" fontId="64" fillId="0" borderId="0" xfId="2" applyFont="1" applyAlignment="1">
      <alignment horizontal="center"/>
    </xf>
    <xf numFmtId="170" fontId="34" fillId="0" borderId="0" xfId="0" applyNumberFormat="1" applyFont="1"/>
    <xf numFmtId="0" fontId="34" fillId="3" borderId="38" xfId="0" applyFont="1" applyFill="1" applyBorder="1" applyAlignment="1">
      <alignment horizontal="justify"/>
    </xf>
    <xf numFmtId="0" fontId="32" fillId="3" borderId="38" xfId="0" applyFont="1" applyFill="1" applyBorder="1" applyAlignment="1">
      <alignment horizontal="justify"/>
    </xf>
    <xf numFmtId="171" fontId="34" fillId="0" borderId="33" xfId="2" applyNumberFormat="1" applyFont="1" applyFill="1" applyBorder="1" applyAlignment="1" applyProtection="1">
      <alignment horizontal="right"/>
    </xf>
    <xf numFmtId="166" fontId="3" fillId="0" borderId="33" xfId="10832" applyNumberFormat="1" applyFont="1" applyFill="1" applyBorder="1" applyAlignment="1" applyProtection="1"/>
    <xf numFmtId="43" fontId="0" fillId="0" borderId="0" xfId="1" applyFont="1"/>
    <xf numFmtId="0" fontId="32" fillId="2" borderId="25" xfId="0" applyFont="1" applyFill="1" applyBorder="1" applyAlignment="1">
      <alignment horizontal="justify"/>
    </xf>
    <xf numFmtId="166" fontId="32" fillId="2" borderId="0" xfId="3" applyNumberFormat="1" applyFont="1" applyFill="1" applyBorder="1" applyAlignment="1" applyProtection="1">
      <alignment horizontal="justify"/>
    </xf>
    <xf numFmtId="170" fontId="5" fillId="0" borderId="0" xfId="1" applyNumberFormat="1" applyFont="1" applyFill="1" applyBorder="1"/>
    <xf numFmtId="43" fontId="56" fillId="0" borderId="0" xfId="0" applyNumberFormat="1" applyFont="1"/>
    <xf numFmtId="175" fontId="37" fillId="0" borderId="0" xfId="0" applyNumberFormat="1" applyFont="1"/>
    <xf numFmtId="175" fontId="34" fillId="0" borderId="0" xfId="0" applyNumberFormat="1" applyFont="1"/>
    <xf numFmtId="175" fontId="42" fillId="0" borderId="0" xfId="0" applyNumberFormat="1" applyFont="1"/>
    <xf numFmtId="208" fontId="42" fillId="0" borderId="0" xfId="0" applyNumberFormat="1" applyFont="1"/>
    <xf numFmtId="175" fontId="63" fillId="0" borderId="0" xfId="0" applyNumberFormat="1" applyFont="1"/>
    <xf numFmtId="43" fontId="182" fillId="0" borderId="0" xfId="1" applyFont="1"/>
    <xf numFmtId="170" fontId="36" fillId="0" borderId="28" xfId="1" applyNumberFormat="1" applyFont="1" applyFill="1" applyBorder="1"/>
    <xf numFmtId="0" fontId="183" fillId="13" borderId="25" xfId="0" applyFont="1" applyFill="1" applyBorder="1"/>
    <xf numFmtId="43" fontId="34" fillId="0" borderId="0" xfId="0" applyNumberFormat="1" applyFont="1"/>
    <xf numFmtId="166" fontId="34" fillId="0" borderId="7" xfId="3" applyNumberFormat="1" applyFont="1" applyFill="1" applyBorder="1" applyAlignment="1" applyProtection="1">
      <alignment horizontal="center"/>
    </xf>
    <xf numFmtId="170" fontId="34" fillId="0" borderId="7" xfId="3" applyNumberFormat="1" applyFont="1" applyFill="1" applyBorder="1" applyAlignment="1" applyProtection="1">
      <alignment horizontal="justify"/>
    </xf>
    <xf numFmtId="0" fontId="32" fillId="3" borderId="1" xfId="0" applyFont="1" applyFill="1" applyBorder="1" applyAlignment="1">
      <alignment horizontal="right"/>
    </xf>
    <xf numFmtId="0" fontId="79" fillId="0" borderId="71" xfId="481" applyFont="1" applyBorder="1" applyAlignment="1">
      <alignment wrapText="1"/>
    </xf>
    <xf numFmtId="0" fontId="80" fillId="0" borderId="71" xfId="481" applyFont="1" applyBorder="1" applyAlignment="1">
      <alignment wrapText="1"/>
    </xf>
    <xf numFmtId="0" fontId="80" fillId="0" borderId="71" xfId="481" quotePrefix="1" applyFont="1" applyBorder="1" applyAlignment="1">
      <alignment wrapText="1"/>
    </xf>
    <xf numFmtId="165" fontId="34" fillId="4" borderId="29" xfId="3" applyFont="1" applyFill="1" applyBorder="1" applyAlignment="1">
      <alignment horizontal="justify"/>
    </xf>
    <xf numFmtId="166" fontId="34" fillId="4" borderId="29" xfId="3" applyNumberFormat="1" applyFont="1" applyFill="1" applyBorder="1" applyAlignment="1">
      <alignment horizontal="justify"/>
    </xf>
    <xf numFmtId="0" fontId="34" fillId="4" borderId="59" xfId="2" applyFont="1" applyFill="1" applyBorder="1" applyAlignment="1">
      <alignment horizontal="right"/>
    </xf>
    <xf numFmtId="0" fontId="34" fillId="0" borderId="72" xfId="0" applyFont="1" applyBorder="1"/>
    <xf numFmtId="166" fontId="32" fillId="2" borderId="80" xfId="3" applyNumberFormat="1" applyFont="1" applyFill="1" applyBorder="1" applyAlignment="1" applyProtection="1">
      <alignment horizontal="justify"/>
    </xf>
    <xf numFmtId="0" fontId="32" fillId="0" borderId="54" xfId="0" applyFont="1" applyBorder="1" applyAlignment="1">
      <alignment horizontal="justify"/>
    </xf>
    <xf numFmtId="165" fontId="34" fillId="4" borderId="80" xfId="3" applyFont="1" applyFill="1" applyBorder="1" applyAlignment="1" applyProtection="1">
      <alignment horizontal="justify"/>
    </xf>
    <xf numFmtId="166" fontId="32" fillId="4" borderId="55" xfId="3" applyNumberFormat="1" applyFont="1" applyFill="1" applyBorder="1" applyAlignment="1" applyProtection="1">
      <alignment horizontal="justify"/>
    </xf>
    <xf numFmtId="0" fontId="37" fillId="0" borderId="0" xfId="2" applyFont="1"/>
    <xf numFmtId="166" fontId="35" fillId="0" borderId="0" xfId="0" applyNumberFormat="1" applyFont="1"/>
    <xf numFmtId="0" fontId="82" fillId="4" borderId="17" xfId="0" applyFont="1" applyFill="1" applyBorder="1" applyAlignment="1">
      <alignment horizontal="center"/>
    </xf>
    <xf numFmtId="0" fontId="7" fillId="101" borderId="86" xfId="0" applyFont="1" applyFill="1" applyBorder="1" applyAlignment="1">
      <alignment horizontal="center" vertical="center"/>
    </xf>
    <xf numFmtId="0" fontId="7" fillId="101" borderId="87" xfId="0" applyFont="1" applyFill="1" applyBorder="1" applyAlignment="1">
      <alignment horizontal="center" vertical="center"/>
    </xf>
    <xf numFmtId="0" fontId="7" fillId="101" borderId="88" xfId="0" applyFont="1" applyFill="1" applyBorder="1" applyAlignment="1">
      <alignment horizontal="center" vertical="center"/>
    </xf>
    <xf numFmtId="0" fontId="7" fillId="101" borderId="0" xfId="0" applyFont="1" applyFill="1" applyAlignment="1">
      <alignment horizontal="center" vertical="center"/>
    </xf>
    <xf numFmtId="165" fontId="34" fillId="5" borderId="8" xfId="3" applyFont="1" applyFill="1" applyBorder="1" applyAlignment="1" applyProtection="1">
      <alignment horizontal="justify"/>
    </xf>
    <xf numFmtId="167" fontId="32" fillId="5" borderId="8" xfId="0" applyNumberFormat="1" applyFont="1" applyFill="1" applyBorder="1" applyAlignment="1">
      <alignment horizontal="justify"/>
    </xf>
    <xf numFmtId="173" fontId="33" fillId="0" borderId="0" xfId="0" applyNumberFormat="1" applyFont="1"/>
    <xf numFmtId="169" fontId="32" fillId="0" borderId="7" xfId="3" applyNumberFormat="1" applyFont="1" applyFill="1" applyBorder="1" applyAlignment="1" applyProtection="1">
      <alignment horizontal="justify"/>
    </xf>
    <xf numFmtId="0" fontId="34" fillId="0" borderId="4" xfId="0" applyFont="1" applyBorder="1" applyAlignment="1">
      <alignment horizontal="justify" vertical="center" wrapText="1"/>
    </xf>
    <xf numFmtId="0" fontId="32" fillId="0" borderId="5" xfId="0" applyFont="1" applyBorder="1" applyAlignment="1">
      <alignment horizontal="justify" wrapText="1"/>
    </xf>
    <xf numFmtId="0" fontId="32" fillId="2" borderId="54" xfId="0" applyFont="1" applyFill="1" applyBorder="1" applyAlignment="1">
      <alignment horizontal="justify" wrapText="1"/>
    </xf>
    <xf numFmtId="0" fontId="32" fillId="5" borderId="25" xfId="0" applyFont="1" applyFill="1" applyBorder="1" applyAlignment="1">
      <alignment horizontal="justify" wrapText="1"/>
    </xf>
    <xf numFmtId="0" fontId="34" fillId="0" borderId="84" xfId="0" applyFont="1" applyBorder="1" applyAlignment="1">
      <alignment wrapText="1"/>
    </xf>
    <xf numFmtId="0" fontId="32" fillId="9" borderId="91" xfId="0" applyFont="1" applyFill="1" applyBorder="1" applyAlignment="1">
      <alignment horizontal="left" wrapText="1"/>
    </xf>
    <xf numFmtId="0" fontId="32" fillId="9" borderId="38" xfId="0" applyFont="1" applyFill="1" applyBorder="1" applyAlignment="1">
      <alignment horizontal="right" wrapText="1"/>
    </xf>
    <xf numFmtId="0" fontId="32" fillId="2" borderId="17" xfId="0" applyFont="1" applyFill="1" applyBorder="1" applyAlignment="1">
      <alignment horizontal="justify" wrapText="1"/>
    </xf>
    <xf numFmtId="0" fontId="32" fillId="47" borderId="17" xfId="0" applyFont="1" applyFill="1" applyBorder="1" applyAlignment="1">
      <alignment horizontal="justify" wrapText="1"/>
    </xf>
    <xf numFmtId="0" fontId="32" fillId="0" borderId="79" xfId="0" applyFont="1" applyBorder="1" applyAlignment="1">
      <alignment horizontal="justify" wrapText="1"/>
    </xf>
    <xf numFmtId="0" fontId="34" fillId="0" borderId="13" xfId="0" applyFont="1" applyBorder="1" applyAlignment="1">
      <alignment horizontal="justify" wrapText="1"/>
    </xf>
    <xf numFmtId="0" fontId="32" fillId="10" borderId="13" xfId="0" applyFont="1" applyFill="1" applyBorder="1" applyAlignment="1">
      <alignment horizontal="justify" wrapText="1"/>
    </xf>
    <xf numFmtId="0" fontId="32" fillId="0" borderId="13" xfId="0" applyFont="1" applyBorder="1" applyAlignment="1">
      <alignment horizontal="justify" wrapText="1"/>
    </xf>
    <xf numFmtId="0" fontId="32" fillId="10" borderId="14" xfId="0" applyFont="1" applyFill="1" applyBorder="1" applyAlignment="1">
      <alignment horizontal="justify" wrapText="1"/>
    </xf>
    <xf numFmtId="0" fontId="34" fillId="0" borderId="0" xfId="0" applyFont="1" applyAlignment="1">
      <alignment wrapText="1"/>
    </xf>
    <xf numFmtId="166" fontId="57" fillId="0" borderId="0" xfId="0" applyNumberFormat="1" applyFont="1"/>
    <xf numFmtId="0" fontId="34" fillId="0" borderId="0" xfId="2" applyFont="1" applyAlignment="1"/>
    <xf numFmtId="166" fontId="34" fillId="0" borderId="13" xfId="3" applyNumberFormat="1" applyFont="1" applyFill="1" applyBorder="1" applyAlignment="1" applyProtection="1">
      <alignment horizontal="justify"/>
    </xf>
    <xf numFmtId="170" fontId="34" fillId="4" borderId="13" xfId="1" applyNumberFormat="1" applyFont="1" applyFill="1" applyBorder="1" applyAlignment="1" applyProtection="1">
      <alignment horizontal="justify"/>
    </xf>
    <xf numFmtId="170" fontId="5" fillId="13" borderId="43" xfId="1" applyNumberFormat="1" applyFont="1" applyFill="1" applyBorder="1" applyAlignment="1">
      <alignment horizontal="center"/>
    </xf>
    <xf numFmtId="0" fontId="82" fillId="4" borderId="63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32" fillId="3" borderId="28" xfId="0" applyFont="1" applyFill="1" applyBorder="1" applyAlignment="1">
      <alignment horizontal="center" wrapText="1"/>
    </xf>
    <xf numFmtId="0" fontId="32" fillId="3" borderId="131" xfId="0" applyFont="1" applyFill="1" applyBorder="1" applyAlignment="1">
      <alignment horizontal="justify" wrapText="1"/>
    </xf>
    <xf numFmtId="0" fontId="32" fillId="3" borderId="131" xfId="0" applyFont="1" applyFill="1" applyBorder="1" applyAlignment="1">
      <alignment horizontal="right"/>
    </xf>
    <xf numFmtId="0" fontId="32" fillId="3" borderId="131" xfId="0" applyFont="1" applyFill="1" applyBorder="1" applyAlignment="1">
      <alignment horizontal="justify"/>
    </xf>
    <xf numFmtId="170" fontId="59" fillId="0" borderId="53" xfId="0" applyNumberFormat="1" applyFont="1" applyBorder="1"/>
    <xf numFmtId="176" fontId="4" fillId="0" borderId="0" xfId="479"/>
    <xf numFmtId="171" fontId="32" fillId="0" borderId="13" xfId="2" applyNumberFormat="1" applyFont="1" applyFill="1" applyBorder="1" applyAlignment="1" applyProtection="1">
      <alignment horizontal="right"/>
    </xf>
    <xf numFmtId="171" fontId="32" fillId="10" borderId="33" xfId="2" applyNumberFormat="1" applyFont="1" applyFill="1" applyBorder="1" applyAlignment="1" applyProtection="1">
      <alignment horizontal="right"/>
    </xf>
    <xf numFmtId="171" fontId="34" fillId="4" borderId="13" xfId="2" applyNumberFormat="1" applyFont="1" applyFill="1" applyBorder="1" applyAlignment="1" applyProtection="1">
      <alignment horizontal="right"/>
    </xf>
    <xf numFmtId="0" fontId="48" fillId="0" borderId="4" xfId="0" applyFont="1" applyBorder="1" applyAlignment="1">
      <alignment horizontal="justify"/>
    </xf>
    <xf numFmtId="171" fontId="32" fillId="10" borderId="13" xfId="2" applyNumberFormat="1" applyFont="1" applyFill="1" applyBorder="1" applyAlignment="1" applyProtection="1">
      <alignment horizontal="right"/>
    </xf>
    <xf numFmtId="171" fontId="34" fillId="10" borderId="13" xfId="2" applyNumberFormat="1" applyFont="1" applyFill="1" applyBorder="1" applyAlignment="1" applyProtection="1">
      <alignment horizontal="right"/>
    </xf>
    <xf numFmtId="171" fontId="34" fillId="0" borderId="13" xfId="0" applyNumberFormat="1" applyFont="1" applyBorder="1"/>
    <xf numFmtId="171" fontId="34" fillId="0" borderId="13" xfId="3" applyNumberFormat="1" applyFont="1" applyFill="1" applyBorder="1" applyAlignment="1" applyProtection="1">
      <alignment horizontal="justify"/>
    </xf>
    <xf numFmtId="171" fontId="34" fillId="0" borderId="13" xfId="2" applyNumberFormat="1" applyFont="1" applyFill="1" applyBorder="1" applyAlignment="1" applyProtection="1">
      <alignment horizontal="right"/>
    </xf>
    <xf numFmtId="171" fontId="32" fillId="10" borderId="14" xfId="2" applyNumberFormat="1" applyFont="1" applyFill="1" applyBorder="1" applyAlignment="1" applyProtection="1">
      <alignment horizontal="right"/>
    </xf>
    <xf numFmtId="166" fontId="37" fillId="0" borderId="13" xfId="2" applyNumberFormat="1" applyFont="1" applyBorder="1"/>
    <xf numFmtId="166" fontId="38" fillId="10" borderId="13" xfId="2" applyNumberFormat="1" applyFont="1" applyFill="1" applyBorder="1"/>
    <xf numFmtId="170" fontId="61" fillId="13" borderId="53" xfId="1" applyNumberFormat="1" applyFont="1" applyFill="1" applyBorder="1"/>
    <xf numFmtId="0" fontId="34" fillId="0" borderId="0" xfId="2" applyFont="1" applyBorder="1"/>
    <xf numFmtId="170" fontId="37" fillId="0" borderId="78" xfId="1" applyNumberFormat="1" applyFont="1" applyBorder="1"/>
    <xf numFmtId="170" fontId="0" fillId="0" borderId="0" xfId="0" applyNumberFormat="1"/>
    <xf numFmtId="170" fontId="72" fillId="0" borderId="42" xfId="1" applyNumberFormat="1" applyFont="1" applyBorder="1"/>
    <xf numFmtId="0" fontId="71" fillId="0" borderId="0" xfId="0" applyFont="1"/>
    <xf numFmtId="170" fontId="71" fillId="0" borderId="0" xfId="0" applyNumberFormat="1" applyFont="1"/>
    <xf numFmtId="170" fontId="72" fillId="0" borderId="0" xfId="1" applyNumberFormat="1" applyFont="1" applyFill="1" applyBorder="1"/>
    <xf numFmtId="170" fontId="72" fillId="0" borderId="0" xfId="1" applyNumberFormat="1" applyFont="1" applyBorder="1"/>
    <xf numFmtId="170" fontId="70" fillId="0" borderId="0" xfId="0" applyNumberFormat="1" applyFont="1"/>
    <xf numFmtId="43" fontId="70" fillId="0" borderId="0" xfId="0" applyNumberFormat="1" applyFont="1"/>
    <xf numFmtId="170" fontId="69" fillId="0" borderId="0" xfId="0" applyNumberFormat="1" applyFont="1"/>
    <xf numFmtId="43" fontId="42" fillId="0" borderId="0" xfId="1" applyFont="1"/>
    <xf numFmtId="166" fontId="34" fillId="4" borderId="9" xfId="3" applyNumberFormat="1" applyFont="1" applyFill="1" applyBorder="1" applyAlignment="1" applyProtection="1">
      <alignment horizontal="justify" wrapText="1"/>
    </xf>
    <xf numFmtId="166" fontId="32" fillId="2" borderId="12" xfId="3" applyNumberFormat="1" applyFont="1" applyFill="1" applyBorder="1" applyAlignment="1" applyProtection="1">
      <alignment horizontal="justify" wrapText="1"/>
    </xf>
    <xf numFmtId="166" fontId="34" fillId="0" borderId="9" xfId="3" applyNumberFormat="1" applyFont="1" applyFill="1" applyBorder="1" applyAlignment="1" applyProtection="1">
      <alignment horizontal="justify" wrapText="1"/>
    </xf>
    <xf numFmtId="170" fontId="32" fillId="10" borderId="13" xfId="1" applyNumberFormat="1" applyFont="1" applyFill="1" applyBorder="1" applyAlignment="1" applyProtection="1">
      <alignment horizontal="justify"/>
    </xf>
    <xf numFmtId="170" fontId="34" fillId="0" borderId="13" xfId="1" applyNumberFormat="1" applyFont="1" applyBorder="1"/>
    <xf numFmtId="43" fontId="67" fillId="0" borderId="0" xfId="0" applyNumberFormat="1" applyFont="1"/>
    <xf numFmtId="0" fontId="48" fillId="0" borderId="0" xfId="0" applyFont="1" applyAlignment="1">
      <alignment wrapText="1"/>
    </xf>
    <xf numFmtId="0" fontId="32" fillId="0" borderId="2" xfId="2" applyFont="1" applyFill="1" applyBorder="1" applyAlignment="1">
      <alignment horizontal="left" wrapText="1"/>
    </xf>
    <xf numFmtId="166" fontId="48" fillId="0" borderId="0" xfId="0" applyNumberFormat="1" applyFont="1" applyAlignment="1">
      <alignment wrapText="1"/>
    </xf>
    <xf numFmtId="43" fontId="48" fillId="0" borderId="0" xfId="0" applyNumberFormat="1" applyFont="1" applyAlignment="1">
      <alignment wrapText="1"/>
    </xf>
    <xf numFmtId="171" fontId="32" fillId="10" borderId="33" xfId="1" applyNumberFormat="1" applyFont="1" applyFill="1" applyBorder="1" applyAlignment="1" applyProtection="1">
      <alignment horizontal="right"/>
    </xf>
    <xf numFmtId="174" fontId="34" fillId="0" borderId="0" xfId="1" applyNumberFormat="1" applyFont="1" applyFill="1"/>
    <xf numFmtId="170" fontId="34" fillId="0" borderId="0" xfId="1" applyNumberFormat="1" applyFont="1" applyFill="1"/>
    <xf numFmtId="170" fontId="66" fillId="0" borderId="0" xfId="0" applyNumberFormat="1" applyFont="1"/>
    <xf numFmtId="43" fontId="66" fillId="0" borderId="0" xfId="0" applyNumberFormat="1" applyFont="1"/>
    <xf numFmtId="171" fontId="32" fillId="4" borderId="13" xfId="2" applyNumberFormat="1" applyFont="1" applyFill="1" applyBorder="1" applyAlignment="1" applyProtection="1">
      <alignment horizontal="right"/>
    </xf>
    <xf numFmtId="0" fontId="32" fillId="9" borderId="1" xfId="0" applyFont="1" applyFill="1" applyBorder="1" applyAlignment="1">
      <alignment horizontal="justify" wrapText="1"/>
    </xf>
    <xf numFmtId="0" fontId="32" fillId="9" borderId="1" xfId="0" applyFont="1" applyFill="1" applyBorder="1" applyAlignment="1">
      <alignment horizontal="right"/>
    </xf>
    <xf numFmtId="0" fontId="32" fillId="9" borderId="2" xfId="0" applyFont="1" applyFill="1" applyBorder="1" applyAlignment="1">
      <alignment horizontal="justify" wrapText="1"/>
    </xf>
    <xf numFmtId="170" fontId="56" fillId="0" borderId="0" xfId="1" applyNumberFormat="1" applyFont="1" applyBorder="1"/>
    <xf numFmtId="170" fontId="56" fillId="49" borderId="0" xfId="1" applyNumberFormat="1" applyFont="1" applyFill="1" applyBorder="1"/>
    <xf numFmtId="170" fontId="56" fillId="50" borderId="0" xfId="1" applyNumberFormat="1" applyFont="1" applyFill="1" applyBorder="1"/>
    <xf numFmtId="0" fontId="82" fillId="4" borderId="69" xfId="0" applyFont="1" applyFill="1" applyBorder="1" applyAlignment="1">
      <alignment horizontal="center"/>
    </xf>
    <xf numFmtId="0" fontId="82" fillId="4" borderId="66" xfId="0" applyFont="1" applyFill="1" applyBorder="1" applyAlignment="1">
      <alignment horizontal="center"/>
    </xf>
    <xf numFmtId="170" fontId="56" fillId="0" borderId="0" xfId="1" applyNumberFormat="1" applyFont="1"/>
    <xf numFmtId="0" fontId="72" fillId="0" borderId="25" xfId="0" applyFont="1" applyBorder="1"/>
    <xf numFmtId="171" fontId="72" fillId="0" borderId="0" xfId="0" applyNumberFormat="1" applyFont="1"/>
    <xf numFmtId="170" fontId="73" fillId="0" borderId="0" xfId="1" applyNumberFormat="1" applyFont="1" applyFill="1" applyBorder="1"/>
    <xf numFmtId="171" fontId="73" fillId="0" borderId="0" xfId="0" applyNumberFormat="1" applyFont="1"/>
    <xf numFmtId="0" fontId="186" fillId="0" borderId="25" xfId="0" applyFont="1" applyBorder="1"/>
    <xf numFmtId="170" fontId="186" fillId="0" borderId="0" xfId="1" applyNumberFormat="1" applyFont="1" applyFill="1" applyBorder="1"/>
    <xf numFmtId="43" fontId="0" fillId="0" borderId="0" xfId="0" applyNumberFormat="1"/>
    <xf numFmtId="175" fontId="0" fillId="0" borderId="0" xfId="0" applyNumberFormat="1"/>
    <xf numFmtId="43" fontId="0" fillId="0" borderId="0" xfId="1" applyFont="1" applyFill="1"/>
    <xf numFmtId="170" fontId="56" fillId="0" borderId="0" xfId="0" applyNumberFormat="1" applyFont="1"/>
    <xf numFmtId="0" fontId="32" fillId="3" borderId="19" xfId="0" applyFont="1" applyFill="1" applyBorder="1" applyAlignment="1">
      <alignment horizontal="center" wrapText="1"/>
    </xf>
    <xf numFmtId="0" fontId="39" fillId="3" borderId="2" xfId="0" applyFont="1" applyFill="1" applyBorder="1" applyAlignment="1">
      <alignment horizontal="left" wrapText="1"/>
    </xf>
    <xf numFmtId="0" fontId="50" fillId="3" borderId="2" xfId="0" applyFont="1" applyFill="1" applyBorder="1" applyAlignment="1">
      <alignment horizontal="left" wrapText="1"/>
    </xf>
    <xf numFmtId="0" fontId="32" fillId="3" borderId="2" xfId="0" applyFont="1" applyFill="1" applyBorder="1" applyAlignment="1">
      <alignment horizontal="left" wrapText="1"/>
    </xf>
    <xf numFmtId="0" fontId="32" fillId="3" borderId="2" xfId="0" applyFont="1" applyFill="1" applyBorder="1" applyAlignment="1">
      <alignment horizontal="center" wrapText="1"/>
    </xf>
    <xf numFmtId="0" fontId="32" fillId="3" borderId="2" xfId="0" applyFont="1" applyFill="1" applyBorder="1" applyAlignment="1">
      <alignment horizontal="right" wrapText="1"/>
    </xf>
    <xf numFmtId="0" fontId="50" fillId="3" borderId="18" xfId="0" applyFont="1" applyFill="1" applyBorder="1" applyAlignment="1">
      <alignment horizontal="right" wrapText="1"/>
    </xf>
    <xf numFmtId="0" fontId="50" fillId="3" borderId="19" xfId="0" applyFont="1" applyFill="1" applyBorder="1" applyAlignment="1">
      <alignment horizontal="right" wrapText="1"/>
    </xf>
    <xf numFmtId="0" fontId="50" fillId="3" borderId="2" xfId="0" applyFont="1" applyFill="1" applyBorder="1" applyAlignment="1">
      <alignment horizontal="right" wrapText="1"/>
    </xf>
    <xf numFmtId="0" fontId="84" fillId="3" borderId="2" xfId="0" applyFont="1" applyFill="1" applyBorder="1" applyAlignment="1">
      <alignment horizontal="right" wrapText="1"/>
    </xf>
    <xf numFmtId="0" fontId="32" fillId="3" borderId="2" xfId="2" applyFont="1" applyFill="1" applyBorder="1" applyAlignment="1">
      <alignment horizontal="right" wrapText="1"/>
    </xf>
    <xf numFmtId="166" fontId="34" fillId="0" borderId="8" xfId="3" applyNumberFormat="1" applyFont="1" applyFill="1" applyBorder="1" applyAlignment="1" applyProtection="1">
      <alignment horizontal="justify" wrapText="1"/>
    </xf>
    <xf numFmtId="166" fontId="40" fillId="0" borderId="8" xfId="3" applyNumberFormat="1" applyFont="1" applyFill="1" applyBorder="1" applyAlignment="1" applyProtection="1">
      <alignment horizontal="justify" wrapText="1"/>
    </xf>
    <xf numFmtId="166" fontId="50" fillId="0" borderId="8" xfId="3" applyNumberFormat="1" applyFont="1" applyFill="1" applyBorder="1" applyAlignment="1" applyProtection="1">
      <alignment horizontal="justify" wrapText="1"/>
    </xf>
    <xf numFmtId="170" fontId="34" fillId="0" borderId="8" xfId="1" applyNumberFormat="1" applyFont="1" applyFill="1" applyBorder="1" applyAlignment="1" applyProtection="1">
      <alignment horizontal="justify" wrapText="1"/>
    </xf>
    <xf numFmtId="170" fontId="34" fillId="0" borderId="8" xfId="1" applyNumberFormat="1" applyFont="1" applyFill="1" applyBorder="1" applyAlignment="1" applyProtection="1">
      <alignment horizontal="right" wrapText="1"/>
    </xf>
    <xf numFmtId="166" fontId="34" fillId="4" borderId="8" xfId="3" applyNumberFormat="1" applyFont="1" applyFill="1" applyBorder="1" applyAlignment="1" applyProtection="1">
      <alignment horizontal="justify" wrapText="1"/>
    </xf>
    <xf numFmtId="166" fontId="32" fillId="2" borderId="7" xfId="3" applyNumberFormat="1" applyFont="1" applyFill="1" applyBorder="1" applyAlignment="1" applyProtection="1">
      <alignment horizontal="justify" wrapText="1"/>
    </xf>
    <xf numFmtId="166" fontId="50" fillId="2" borderId="7" xfId="3" applyNumberFormat="1" applyFont="1" applyFill="1" applyBorder="1" applyAlignment="1" applyProtection="1">
      <alignment horizontal="justify" wrapText="1"/>
    </xf>
    <xf numFmtId="0" fontId="32" fillId="2" borderId="7" xfId="2" applyFont="1" applyFill="1" applyBorder="1" applyAlignment="1" applyProtection="1">
      <alignment horizontal="right" wrapText="1"/>
    </xf>
    <xf numFmtId="166" fontId="32" fillId="4" borderId="8" xfId="3" applyNumberFormat="1" applyFont="1" applyFill="1" applyBorder="1" applyAlignment="1" applyProtection="1">
      <alignment horizontal="justify" wrapText="1"/>
    </xf>
    <xf numFmtId="166" fontId="50" fillId="4" borderId="8" xfId="3" applyNumberFormat="1" applyFont="1" applyFill="1" applyBorder="1" applyAlignment="1" applyProtection="1">
      <alignment horizontal="justify" wrapText="1"/>
    </xf>
    <xf numFmtId="0" fontId="32" fillId="4" borderId="8" xfId="2" applyFont="1" applyFill="1" applyBorder="1" applyAlignment="1" applyProtection="1">
      <alignment horizontal="right" wrapText="1"/>
    </xf>
    <xf numFmtId="166" fontId="40" fillId="4" borderId="8" xfId="3" applyNumberFormat="1" applyFont="1" applyFill="1" applyBorder="1" applyAlignment="1" applyProtection="1">
      <alignment horizontal="justify" wrapText="1"/>
    </xf>
    <xf numFmtId="0" fontId="34" fillId="4" borderId="8" xfId="2" applyFont="1" applyFill="1" applyBorder="1" applyAlignment="1" applyProtection="1">
      <alignment horizontal="right" wrapText="1"/>
    </xf>
    <xf numFmtId="170" fontId="34" fillId="4" borderId="8" xfId="1" applyNumberFormat="1" applyFont="1" applyFill="1" applyBorder="1" applyAlignment="1" applyProtection="1">
      <alignment horizontal="right" wrapText="1"/>
    </xf>
    <xf numFmtId="43" fontId="34" fillId="0" borderId="8" xfId="1" applyFont="1" applyFill="1" applyBorder="1" applyAlignment="1" applyProtection="1">
      <alignment horizontal="right" wrapText="1"/>
    </xf>
    <xf numFmtId="166" fontId="32" fillId="4" borderId="15" xfId="3" applyNumberFormat="1" applyFont="1" applyFill="1" applyBorder="1" applyAlignment="1" applyProtection="1">
      <alignment horizontal="justify" wrapText="1"/>
    </xf>
    <xf numFmtId="166" fontId="50" fillId="4" borderId="15" xfId="3" applyNumberFormat="1" applyFont="1" applyFill="1" applyBorder="1" applyAlignment="1" applyProtection="1">
      <alignment horizontal="justify" wrapText="1"/>
    </xf>
    <xf numFmtId="166" fontId="32" fillId="2" borderId="55" xfId="3" applyNumberFormat="1" applyFont="1" applyFill="1" applyBorder="1" applyAlignment="1" applyProtection="1">
      <alignment horizontal="justify" wrapText="1"/>
    </xf>
    <xf numFmtId="166" fontId="50" fillId="2" borderId="55" xfId="3" applyNumberFormat="1" applyFont="1" applyFill="1" applyBorder="1" applyAlignment="1" applyProtection="1">
      <alignment horizontal="justify" wrapText="1"/>
    </xf>
    <xf numFmtId="170" fontId="35" fillId="0" borderId="0" xfId="1" applyNumberFormat="1" applyFont="1" applyAlignment="1">
      <alignment wrapText="1"/>
    </xf>
    <xf numFmtId="170" fontId="34" fillId="0" borderId="0" xfId="1" applyNumberFormat="1" applyFont="1" applyAlignment="1">
      <alignment wrapText="1"/>
    </xf>
    <xf numFmtId="0" fontId="50" fillId="3" borderId="28" xfId="0" applyFont="1" applyFill="1" applyBorder="1" applyAlignment="1">
      <alignment horizontal="right" wrapText="1"/>
    </xf>
    <xf numFmtId="0" fontId="50" fillId="3" borderId="27" xfId="0" applyFont="1" applyFill="1" applyBorder="1" applyAlignment="1">
      <alignment horizontal="right" wrapText="1"/>
    </xf>
    <xf numFmtId="0" fontId="50" fillId="3" borderId="91" xfId="0" applyFont="1" applyFill="1" applyBorder="1" applyAlignment="1">
      <alignment horizontal="right" wrapText="1"/>
    </xf>
    <xf numFmtId="0" fontId="32" fillId="3" borderId="131" xfId="0" applyFont="1" applyFill="1" applyBorder="1" applyAlignment="1">
      <alignment horizontal="right" wrapText="1"/>
    </xf>
    <xf numFmtId="0" fontId="50" fillId="3" borderId="131" xfId="0" applyFont="1" applyFill="1" applyBorder="1" applyAlignment="1">
      <alignment horizontal="right" wrapText="1"/>
    </xf>
    <xf numFmtId="0" fontId="32" fillId="3" borderId="133" xfId="0" applyFont="1" applyFill="1" applyBorder="1" applyAlignment="1">
      <alignment horizontal="right" wrapText="1"/>
    </xf>
    <xf numFmtId="0" fontId="32" fillId="3" borderId="131" xfId="2" applyFont="1" applyFill="1" applyBorder="1" applyAlignment="1">
      <alignment horizontal="right" wrapText="1"/>
    </xf>
    <xf numFmtId="168" fontId="32" fillId="0" borderId="8" xfId="0" applyNumberFormat="1" applyFont="1" applyBorder="1" applyAlignment="1">
      <alignment horizontal="justify" wrapText="1"/>
    </xf>
    <xf numFmtId="168" fontId="50" fillId="0" borderId="8" xfId="0" applyNumberFormat="1" applyFont="1" applyBorder="1" applyAlignment="1">
      <alignment horizontal="justify" wrapText="1"/>
    </xf>
    <xf numFmtId="168" fontId="32" fillId="0" borderId="129" xfId="0" applyNumberFormat="1" applyFont="1" applyBorder="1" applyAlignment="1">
      <alignment horizontal="justify" wrapText="1"/>
    </xf>
    <xf numFmtId="168" fontId="32" fillId="0" borderId="32" xfId="0" applyNumberFormat="1" applyFont="1" applyBorder="1" applyAlignment="1">
      <alignment horizontal="justify" wrapText="1"/>
    </xf>
    <xf numFmtId="0" fontId="32" fillId="0" borderId="32" xfId="2" applyFont="1" applyFill="1" applyBorder="1" applyAlignment="1">
      <alignment horizontal="right" wrapText="1"/>
    </xf>
    <xf numFmtId="166" fontId="34" fillId="0" borderId="7" xfId="3" applyNumberFormat="1" applyFont="1" applyFill="1" applyBorder="1" applyAlignment="1" applyProtection="1">
      <alignment horizontal="justify" wrapText="1"/>
    </xf>
    <xf numFmtId="166" fontId="40" fillId="0" borderId="7" xfId="3" applyNumberFormat="1" applyFont="1" applyFill="1" applyBorder="1" applyAlignment="1" applyProtection="1">
      <alignment horizontal="justify" wrapText="1"/>
    </xf>
    <xf numFmtId="166" fontId="34" fillId="0" borderId="33" xfId="3" applyNumberFormat="1" applyFont="1" applyFill="1" applyBorder="1" applyAlignment="1" applyProtection="1">
      <alignment horizontal="justify" wrapText="1"/>
    </xf>
    <xf numFmtId="166" fontId="32" fillId="2" borderId="9" xfId="3" applyNumberFormat="1" applyFont="1" applyFill="1" applyBorder="1" applyAlignment="1" applyProtection="1">
      <alignment horizontal="justify" wrapText="1"/>
    </xf>
    <xf numFmtId="166" fontId="32" fillId="2" borderId="33" xfId="3" applyNumberFormat="1" applyFont="1" applyFill="1" applyBorder="1" applyAlignment="1" applyProtection="1">
      <alignment horizontal="justify" wrapText="1"/>
    </xf>
    <xf numFmtId="166" fontId="32" fillId="0" borderId="9" xfId="3" applyNumberFormat="1" applyFont="1" applyFill="1" applyBorder="1" applyAlignment="1" applyProtection="1">
      <alignment horizontal="justify" wrapText="1"/>
    </xf>
    <xf numFmtId="166" fontId="32" fillId="0" borderId="33" xfId="3" applyNumberFormat="1" applyFont="1" applyFill="1" applyBorder="1" applyAlignment="1" applyProtection="1">
      <alignment horizontal="justify" wrapText="1"/>
    </xf>
    <xf numFmtId="166" fontId="32" fillId="4" borderId="9" xfId="3" applyNumberFormat="1" applyFont="1" applyFill="1" applyBorder="1" applyAlignment="1" applyProtection="1">
      <alignment horizontal="justify" wrapText="1"/>
    </xf>
    <xf numFmtId="166" fontId="32" fillId="4" borderId="33" xfId="3" applyNumberFormat="1" applyFont="1" applyFill="1" applyBorder="1" applyAlignment="1" applyProtection="1">
      <alignment horizontal="justify" wrapText="1"/>
    </xf>
    <xf numFmtId="166" fontId="34" fillId="4" borderId="33" xfId="3" applyNumberFormat="1" applyFont="1" applyFill="1" applyBorder="1" applyAlignment="1" applyProtection="1">
      <alignment horizontal="justify" wrapText="1"/>
    </xf>
    <xf numFmtId="166" fontId="32" fillId="7" borderId="7" xfId="3" applyNumberFormat="1" applyFont="1" applyFill="1" applyBorder="1" applyAlignment="1" applyProtection="1">
      <alignment horizontal="justify" wrapText="1"/>
    </xf>
    <xf numFmtId="166" fontId="50" fillId="7" borderId="7" xfId="3" applyNumberFormat="1" applyFont="1" applyFill="1" applyBorder="1" applyAlignment="1" applyProtection="1">
      <alignment horizontal="justify" wrapText="1"/>
    </xf>
    <xf numFmtId="166" fontId="32" fillId="7" borderId="9" xfId="3" applyNumberFormat="1" applyFont="1" applyFill="1" applyBorder="1" applyAlignment="1" applyProtection="1">
      <alignment horizontal="justify" wrapText="1"/>
    </xf>
    <xf numFmtId="166" fontId="32" fillId="7" borderId="33" xfId="3" applyNumberFormat="1" applyFont="1" applyFill="1" applyBorder="1" applyAlignment="1" applyProtection="1">
      <alignment horizontal="justify" wrapText="1"/>
    </xf>
    <xf numFmtId="166" fontId="34" fillId="4" borderId="129" xfId="3" applyNumberFormat="1" applyFont="1" applyFill="1" applyBorder="1" applyAlignment="1" applyProtection="1">
      <alignment horizontal="justify" wrapText="1"/>
    </xf>
    <xf numFmtId="166" fontId="34" fillId="4" borderId="32" xfId="3" applyNumberFormat="1" applyFont="1" applyFill="1" applyBorder="1" applyAlignment="1" applyProtection="1">
      <alignment horizontal="justify" wrapText="1"/>
    </xf>
    <xf numFmtId="170" fontId="34" fillId="0" borderId="21" xfId="1" applyNumberFormat="1" applyFont="1" applyFill="1" applyBorder="1" applyAlignment="1" applyProtection="1">
      <alignment horizontal="justify" wrapText="1"/>
    </xf>
    <xf numFmtId="166" fontId="34" fillId="0" borderId="21" xfId="3" applyNumberFormat="1" applyFont="1" applyFill="1" applyBorder="1" applyAlignment="1" applyProtection="1">
      <alignment horizontal="justify" wrapText="1"/>
    </xf>
    <xf numFmtId="170" fontId="34" fillId="4" borderId="21" xfId="1" applyNumberFormat="1" applyFont="1" applyFill="1" applyBorder="1" applyAlignment="1" applyProtection="1">
      <alignment horizontal="justify" wrapText="1"/>
    </xf>
    <xf numFmtId="170" fontId="34" fillId="0" borderId="13" xfId="1" applyNumberFormat="1" applyFont="1" applyFill="1" applyBorder="1" applyAlignment="1" applyProtection="1">
      <alignment horizontal="justify" wrapText="1"/>
    </xf>
    <xf numFmtId="166" fontId="34" fillId="0" borderId="13" xfId="3" applyNumberFormat="1" applyFont="1" applyFill="1" applyBorder="1" applyAlignment="1" applyProtection="1">
      <alignment horizontal="justify" wrapText="1"/>
    </xf>
    <xf numFmtId="170" fontId="34" fillId="4" borderId="13" xfId="1" applyNumberFormat="1" applyFont="1" applyFill="1" applyBorder="1" applyAlignment="1" applyProtection="1">
      <alignment horizontal="justify" wrapText="1"/>
    </xf>
    <xf numFmtId="166" fontId="50" fillId="2" borderId="10" xfId="3" applyNumberFormat="1" applyFont="1" applyFill="1" applyBorder="1" applyAlignment="1" applyProtection="1">
      <alignment horizontal="justify" wrapText="1"/>
    </xf>
    <xf numFmtId="166" fontId="32" fillId="2" borderId="128" xfId="3" applyNumberFormat="1" applyFont="1" applyFill="1" applyBorder="1" applyAlignment="1" applyProtection="1">
      <alignment horizontal="justify" wrapText="1"/>
    </xf>
    <xf numFmtId="166" fontId="32" fillId="2" borderId="13" xfId="3" applyNumberFormat="1" applyFont="1" applyFill="1" applyBorder="1" applyAlignment="1" applyProtection="1">
      <alignment horizontal="justify" wrapText="1"/>
    </xf>
    <xf numFmtId="166" fontId="32" fillId="2" borderId="32" xfId="3" applyNumberFormat="1" applyFont="1" applyFill="1" applyBorder="1" applyAlignment="1" applyProtection="1">
      <alignment horizontal="justify" wrapText="1"/>
    </xf>
    <xf numFmtId="170" fontId="36" fillId="0" borderId="28" xfId="1" applyNumberFormat="1" applyFont="1" applyFill="1" applyBorder="1" applyAlignment="1">
      <alignment wrapText="1"/>
    </xf>
    <xf numFmtId="170" fontId="40" fillId="0" borderId="28" xfId="1" applyNumberFormat="1" applyFont="1" applyFill="1" applyBorder="1" applyAlignment="1">
      <alignment wrapText="1"/>
    </xf>
    <xf numFmtId="170" fontId="34" fillId="0" borderId="28" xfId="1" applyNumberFormat="1" applyFont="1" applyFill="1" applyBorder="1" applyAlignment="1">
      <alignment wrapText="1"/>
    </xf>
    <xf numFmtId="170" fontId="36" fillId="0" borderId="27" xfId="0" applyNumberFormat="1" applyFont="1" applyBorder="1" applyAlignment="1">
      <alignment wrapText="1"/>
    </xf>
    <xf numFmtId="170" fontId="34" fillId="0" borderId="26" xfId="0" applyNumberFormat="1" applyFont="1" applyBorder="1" applyAlignment="1">
      <alignment wrapText="1"/>
    </xf>
    <xf numFmtId="166" fontId="32" fillId="2" borderId="14" xfId="0" applyNumberFormat="1" applyFont="1" applyFill="1" applyBorder="1" applyAlignment="1">
      <alignment wrapText="1"/>
    </xf>
    <xf numFmtId="166" fontId="50" fillId="2" borderId="14" xfId="0" applyNumberFormat="1" applyFont="1" applyFill="1" applyBorder="1" applyAlignment="1">
      <alignment wrapText="1"/>
    </xf>
    <xf numFmtId="166" fontId="32" fillId="2" borderId="73" xfId="0" applyNumberFormat="1" applyFont="1" applyFill="1" applyBorder="1" applyAlignment="1">
      <alignment wrapText="1"/>
    </xf>
    <xf numFmtId="166" fontId="32" fillId="2" borderId="40" xfId="3" applyNumberFormat="1" applyFont="1" applyFill="1" applyBorder="1" applyAlignment="1" applyProtection="1">
      <alignment horizontal="justify" wrapText="1"/>
    </xf>
    <xf numFmtId="0" fontId="32" fillId="2" borderId="0" xfId="0" applyFont="1" applyFill="1" applyAlignment="1">
      <alignment wrapText="1"/>
    </xf>
    <xf numFmtId="166" fontId="33" fillId="2" borderId="95" xfId="0" applyNumberFormat="1" applyFont="1" applyFill="1" applyBorder="1" applyAlignment="1">
      <alignment wrapText="1"/>
    </xf>
    <xf numFmtId="166" fontId="50" fillId="2" borderId="95" xfId="0" applyNumberFormat="1" applyFont="1" applyFill="1" applyBorder="1" applyAlignment="1">
      <alignment wrapText="1"/>
    </xf>
    <xf numFmtId="166" fontId="32" fillId="2" borderId="95" xfId="0" applyNumberFormat="1" applyFont="1" applyFill="1" applyBorder="1" applyAlignment="1">
      <alignment wrapText="1"/>
    </xf>
    <xf numFmtId="165" fontId="33" fillId="2" borderId="95" xfId="0" applyNumberFormat="1" applyFont="1" applyFill="1" applyBorder="1" applyAlignment="1">
      <alignment wrapText="1"/>
    </xf>
    <xf numFmtId="0" fontId="33" fillId="2" borderId="96" xfId="2" applyFont="1" applyFill="1" applyBorder="1" applyAlignment="1" applyProtection="1">
      <alignment horizontal="right" wrapText="1"/>
    </xf>
    <xf numFmtId="0" fontId="40" fillId="0" borderId="0" xfId="0" applyFont="1" applyAlignment="1">
      <alignment wrapText="1"/>
    </xf>
    <xf numFmtId="0" fontId="37" fillId="0" borderId="0" xfId="0" applyFont="1" applyAlignment="1">
      <alignment horizontal="right" wrapText="1"/>
    </xf>
    <xf numFmtId="0" fontId="40" fillId="2" borderId="0" xfId="0" applyFont="1" applyFill="1" applyAlignment="1">
      <alignment wrapText="1"/>
    </xf>
    <xf numFmtId="0" fontId="34" fillId="3" borderId="2" xfId="0" applyFont="1" applyFill="1" applyBorder="1" applyAlignment="1">
      <alignment horizontal="justify" wrapText="1"/>
    </xf>
    <xf numFmtId="166" fontId="34" fillId="4" borderId="7" xfId="3" applyNumberFormat="1" applyFont="1" applyFill="1" applyBorder="1" applyAlignment="1" applyProtection="1">
      <alignment horizontal="justify" wrapText="1"/>
    </xf>
    <xf numFmtId="0" fontId="34" fillId="0" borderId="7" xfId="2" applyFont="1" applyFill="1" applyBorder="1" applyAlignment="1" applyProtection="1">
      <alignment horizontal="right" wrapText="1"/>
    </xf>
    <xf numFmtId="166" fontId="40" fillId="2" borderId="0" xfId="0" applyNumberFormat="1" applyFont="1" applyFill="1" applyAlignment="1">
      <alignment wrapText="1"/>
    </xf>
    <xf numFmtId="0" fontId="36" fillId="2" borderId="0" xfId="0" applyFont="1" applyFill="1" applyAlignment="1">
      <alignment wrapText="1"/>
    </xf>
    <xf numFmtId="0" fontId="36" fillId="2" borderId="0" xfId="2" applyFont="1" applyFill="1" applyBorder="1" applyAlignment="1">
      <alignment horizontal="right" wrapText="1"/>
    </xf>
    <xf numFmtId="0" fontId="48" fillId="0" borderId="134" xfId="2" applyFont="1" applyFill="1" applyBorder="1" applyAlignment="1" applyProtection="1">
      <alignment horizontal="left"/>
    </xf>
    <xf numFmtId="166" fontId="34" fillId="0" borderId="33" xfId="1" applyNumberFormat="1" applyFont="1" applyFill="1" applyBorder="1" applyAlignment="1" applyProtection="1">
      <alignment horizontal="justify"/>
    </xf>
    <xf numFmtId="166" fontId="32" fillId="10" borderId="33" xfId="1" applyNumberFormat="1" applyFont="1" applyFill="1" applyBorder="1" applyAlignment="1" applyProtection="1">
      <alignment horizontal="justify"/>
    </xf>
    <xf numFmtId="171" fontId="48" fillId="4" borderId="13" xfId="2" applyNumberFormat="1" applyFont="1" applyFill="1" applyBorder="1" applyAlignment="1" applyProtection="1">
      <alignment horizontal="right"/>
    </xf>
    <xf numFmtId="0" fontId="32" fillId="9" borderId="135" xfId="0" applyFont="1" applyFill="1" applyBorder="1" applyAlignment="1">
      <alignment horizontal="right"/>
    </xf>
    <xf numFmtId="0" fontId="37" fillId="0" borderId="26" xfId="0" applyFont="1" applyBorder="1"/>
    <xf numFmtId="0" fontId="32" fillId="0" borderId="3" xfId="0" applyFont="1" applyBorder="1" applyAlignment="1">
      <alignment horizontal="justify"/>
    </xf>
    <xf numFmtId="43" fontId="34" fillId="4" borderId="32" xfId="1" applyFont="1" applyFill="1" applyBorder="1" applyAlignment="1" applyProtection="1">
      <alignment horizontal="justify"/>
    </xf>
    <xf numFmtId="170" fontId="34" fillId="4" borderId="32" xfId="1" applyNumberFormat="1" applyFont="1" applyFill="1" applyBorder="1" applyAlignment="1" applyProtection="1">
      <alignment horizontal="justify"/>
    </xf>
    <xf numFmtId="0" fontId="32" fillId="6" borderId="84" xfId="0" applyFont="1" applyFill="1" applyBorder="1" applyAlignment="1">
      <alignment vertical="center"/>
    </xf>
    <xf numFmtId="43" fontId="34" fillId="0" borderId="0" xfId="1" applyFont="1" applyAlignment="1"/>
    <xf numFmtId="0" fontId="34" fillId="0" borderId="7" xfId="3" applyNumberFormat="1" applyFont="1" applyFill="1" applyBorder="1" applyAlignment="1" applyProtection="1">
      <alignment horizontal="right"/>
    </xf>
    <xf numFmtId="0" fontId="32" fillId="2" borderId="7" xfId="3" applyNumberFormat="1" applyFont="1" applyFill="1" applyBorder="1" applyAlignment="1" applyProtection="1">
      <alignment horizontal="right"/>
    </xf>
    <xf numFmtId="0" fontId="32" fillId="9" borderId="22" xfId="0" applyFont="1" applyFill="1" applyBorder="1" applyAlignment="1">
      <alignment horizontal="left"/>
    </xf>
    <xf numFmtId="0" fontId="32" fillId="9" borderId="22" xfId="0" applyFont="1" applyFill="1" applyBorder="1" applyAlignment="1">
      <alignment horizontal="right"/>
    </xf>
    <xf numFmtId="170" fontId="34" fillId="0" borderId="7" xfId="1" applyNumberFormat="1" applyFont="1" applyFill="1" applyBorder="1" applyAlignment="1" applyProtection="1">
      <alignment horizontal="justify"/>
    </xf>
    <xf numFmtId="170" fontId="34" fillId="0" borderId="7" xfId="1" applyNumberFormat="1" applyFont="1" applyFill="1" applyBorder="1" applyAlignment="1" applyProtection="1">
      <alignment horizontal="right"/>
    </xf>
    <xf numFmtId="170" fontId="5" fillId="13" borderId="0" xfId="1" applyNumberFormat="1" applyFont="1" applyFill="1" applyBorder="1" applyAlignment="1">
      <alignment horizontal="center"/>
    </xf>
    <xf numFmtId="166" fontId="9" fillId="13" borderId="0" xfId="0" applyNumberFormat="1" applyFont="1" applyFill="1"/>
    <xf numFmtId="170" fontId="9" fillId="13" borderId="53" xfId="1" applyNumberFormat="1" applyFont="1" applyFill="1" applyBorder="1"/>
    <xf numFmtId="170" fontId="9" fillId="13" borderId="0" xfId="1" applyNumberFormat="1" applyFont="1" applyFill="1" applyBorder="1"/>
    <xf numFmtId="166" fontId="9" fillId="0" borderId="0" xfId="0" applyNumberFormat="1" applyFont="1"/>
    <xf numFmtId="0" fontId="187" fillId="13" borderId="25" xfId="0" applyFont="1" applyFill="1" applyBorder="1"/>
    <xf numFmtId="166" fontId="64" fillId="0" borderId="0" xfId="0" applyNumberFormat="1" applyFont="1" applyAlignment="1">
      <alignment horizontal="center"/>
    </xf>
    <xf numFmtId="0" fontId="7" fillId="101" borderId="136" xfId="0" applyFont="1" applyFill="1" applyBorder="1" applyAlignment="1">
      <alignment horizontal="center" vertical="center" wrapText="1"/>
    </xf>
    <xf numFmtId="43" fontId="12" fillId="13" borderId="0" xfId="1" applyFont="1" applyFill="1" applyBorder="1"/>
    <xf numFmtId="43" fontId="12" fillId="13" borderId="53" xfId="1" applyFont="1" applyFill="1" applyBorder="1"/>
    <xf numFmtId="43" fontId="61" fillId="13" borderId="53" xfId="1" applyFont="1" applyFill="1" applyBorder="1"/>
    <xf numFmtId="0" fontId="15" fillId="13" borderId="53" xfId="2" applyFont="1" applyFill="1" applyBorder="1"/>
    <xf numFmtId="170" fontId="7" fillId="101" borderId="97" xfId="1" applyNumberFormat="1" applyFont="1" applyFill="1" applyBorder="1" applyAlignment="1">
      <alignment horizontal="center" vertical="center"/>
    </xf>
    <xf numFmtId="170" fontId="64" fillId="0" borderId="0" xfId="1" applyNumberFormat="1" applyFont="1"/>
    <xf numFmtId="170" fontId="64" fillId="0" borderId="0" xfId="1" applyNumberFormat="1" applyFont="1" applyAlignment="1">
      <alignment horizontal="center" vertical="center"/>
    </xf>
    <xf numFmtId="170" fontId="9" fillId="13" borderId="25" xfId="1" applyNumberFormat="1" applyFont="1" applyFill="1" applyBorder="1"/>
    <xf numFmtId="170" fontId="15" fillId="13" borderId="25" xfId="1" applyNumberFormat="1" applyFont="1" applyFill="1" applyBorder="1"/>
    <xf numFmtId="170" fontId="186" fillId="0" borderId="42" xfId="1" applyNumberFormat="1" applyFont="1" applyFill="1" applyBorder="1"/>
    <xf numFmtId="166" fontId="32" fillId="48" borderId="12" xfId="3" applyNumberFormat="1" applyFont="1" applyFill="1" applyBorder="1" applyAlignment="1" applyProtection="1">
      <alignment horizontal="justify"/>
    </xf>
    <xf numFmtId="171" fontId="34" fillId="4" borderId="9" xfId="2" applyNumberFormat="1" applyFont="1" applyFill="1" applyBorder="1" applyAlignment="1" applyProtection="1">
      <alignment horizontal="right"/>
    </xf>
    <xf numFmtId="171" fontId="32" fillId="10" borderId="9" xfId="2" applyNumberFormat="1" applyFont="1" applyFill="1" applyBorder="1" applyAlignment="1" applyProtection="1">
      <alignment horizontal="right"/>
    </xf>
    <xf numFmtId="171" fontId="34" fillId="4" borderId="9" xfId="3" applyNumberFormat="1" applyFont="1" applyFill="1" applyBorder="1" applyAlignment="1" applyProtection="1">
      <alignment horizontal="justify"/>
    </xf>
    <xf numFmtId="171" fontId="32" fillId="10" borderId="58" xfId="2" applyNumberFormat="1" applyFont="1" applyFill="1" applyBorder="1" applyAlignment="1" applyProtection="1">
      <alignment horizontal="right"/>
    </xf>
    <xf numFmtId="0" fontId="34" fillId="0" borderId="4" xfId="0" applyFont="1" applyBorder="1" applyAlignment="1">
      <alignment horizontal="left"/>
    </xf>
    <xf numFmtId="166" fontId="34" fillId="10" borderId="8" xfId="3" applyNumberFormat="1" applyFont="1" applyFill="1" applyBorder="1" applyAlignment="1" applyProtection="1">
      <alignment horizontal="justify"/>
    </xf>
    <xf numFmtId="0" fontId="53" fillId="0" borderId="0" xfId="0" applyFont="1"/>
    <xf numFmtId="0" fontId="55" fillId="0" borderId="0" xfId="0" applyFont="1" applyAlignment="1">
      <alignment horizontal="right" wrapText="1"/>
    </xf>
    <xf numFmtId="170" fontId="5" fillId="0" borderId="0" xfId="0" applyNumberFormat="1" applyFont="1"/>
    <xf numFmtId="170" fontId="0" fillId="0" borderId="0" xfId="1" applyNumberFormat="1" applyFont="1"/>
    <xf numFmtId="170" fontId="5" fillId="0" borderId="11" xfId="1" applyNumberFormat="1" applyFont="1" applyBorder="1"/>
    <xf numFmtId="209" fontId="37" fillId="0" borderId="0" xfId="1" applyNumberFormat="1" applyFont="1"/>
    <xf numFmtId="43" fontId="72" fillId="0" borderId="0" xfId="1" applyFont="1" applyBorder="1"/>
    <xf numFmtId="43" fontId="67" fillId="5" borderId="0" xfId="1" applyFont="1" applyFill="1" applyBorder="1"/>
    <xf numFmtId="170" fontId="72" fillId="0" borderId="53" xfId="1" applyNumberFormat="1" applyFont="1" applyBorder="1"/>
    <xf numFmtId="170" fontId="69" fillId="0" borderId="53" xfId="1" applyNumberFormat="1" applyFont="1" applyBorder="1"/>
    <xf numFmtId="170" fontId="72" fillId="0" borderId="92" xfId="1" applyNumberFormat="1" applyFont="1" applyBorder="1"/>
    <xf numFmtId="43" fontId="67" fillId="0" borderId="0" xfId="1" applyFont="1" applyBorder="1"/>
    <xf numFmtId="43" fontId="69" fillId="0" borderId="0" xfId="1" applyFont="1" applyBorder="1"/>
    <xf numFmtId="171" fontId="72" fillId="0" borderId="53" xfId="2" applyNumberFormat="1" applyFont="1" applyBorder="1"/>
    <xf numFmtId="171" fontId="73" fillId="0" borderId="53" xfId="2" applyNumberFormat="1" applyFont="1" applyBorder="1"/>
    <xf numFmtId="171" fontId="75" fillId="0" borderId="53" xfId="2" applyNumberFormat="1" applyFont="1" applyBorder="1"/>
    <xf numFmtId="171" fontId="75" fillId="0" borderId="53" xfId="0" applyNumberFormat="1" applyFont="1" applyBorder="1"/>
    <xf numFmtId="171" fontId="73" fillId="0" borderId="53" xfId="0" applyNumberFormat="1" applyFont="1" applyBorder="1"/>
    <xf numFmtId="171" fontId="72" fillId="0" borderId="53" xfId="0" applyNumberFormat="1" applyFont="1" applyBorder="1"/>
    <xf numFmtId="170" fontId="75" fillId="0" borderId="0" xfId="1" applyNumberFormat="1" applyFont="1" applyBorder="1"/>
    <xf numFmtId="43" fontId="40" fillId="0" borderId="0" xfId="0" applyNumberFormat="1" applyFont="1" applyAlignment="1">
      <alignment wrapText="1"/>
    </xf>
    <xf numFmtId="170" fontId="73" fillId="0" borderId="0" xfId="1" applyNumberFormat="1" applyFont="1" applyBorder="1"/>
    <xf numFmtId="43" fontId="78" fillId="13" borderId="65" xfId="1" applyFont="1" applyFill="1" applyBorder="1" applyAlignment="1">
      <alignment horizontal="center"/>
    </xf>
    <xf numFmtId="43" fontId="78" fillId="13" borderId="67" xfId="1" applyFont="1" applyFill="1" applyBorder="1" applyAlignment="1">
      <alignment horizontal="center"/>
    </xf>
    <xf numFmtId="170" fontId="61" fillId="13" borderId="0" xfId="1" applyNumberFormat="1" applyFont="1" applyFill="1" applyBorder="1"/>
    <xf numFmtId="170" fontId="64" fillId="0" borderId="0" xfId="1" applyNumberFormat="1" applyFont="1" applyAlignment="1">
      <alignment horizontal="center"/>
    </xf>
    <xf numFmtId="170" fontId="64" fillId="0" borderId="0" xfId="0" applyNumberFormat="1" applyFont="1" applyAlignment="1">
      <alignment horizontal="center" vertical="center"/>
    </xf>
    <xf numFmtId="170" fontId="9" fillId="12" borderId="0" xfId="1" applyNumberFormat="1" applyFont="1" applyFill="1" applyBorder="1" applyAlignment="1">
      <alignment horizontal="left" vertical="center"/>
    </xf>
    <xf numFmtId="170" fontId="64" fillId="0" borderId="0" xfId="1" applyNumberFormat="1" applyFont="1" applyAlignment="1">
      <alignment horizontal="left" vertical="center"/>
    </xf>
    <xf numFmtId="170" fontId="15" fillId="13" borderId="0" xfId="1" applyNumberFormat="1" applyFont="1" applyFill="1" applyBorder="1"/>
    <xf numFmtId="43" fontId="37" fillId="0" borderId="0" xfId="1" applyFont="1" applyAlignment="1">
      <alignment horizontal="left"/>
    </xf>
    <xf numFmtId="166" fontId="37" fillId="0" borderId="0" xfId="0" applyNumberFormat="1" applyFont="1" applyAlignment="1">
      <alignment horizontal="left"/>
    </xf>
    <xf numFmtId="0" fontId="71" fillId="0" borderId="0" xfId="0" applyFont="1" applyAlignment="1">
      <alignment horizontal="right"/>
    </xf>
    <xf numFmtId="0" fontId="71" fillId="0" borderId="53" xfId="0" applyFont="1" applyBorder="1" applyAlignment="1">
      <alignment horizontal="right"/>
    </xf>
    <xf numFmtId="43" fontId="78" fillId="0" borderId="17" xfId="1" applyFont="1" applyFill="1" applyBorder="1"/>
    <xf numFmtId="0" fontId="189" fillId="0" borderId="78" xfId="0" applyFont="1" applyBorder="1"/>
    <xf numFmtId="0" fontId="78" fillId="0" borderId="0" xfId="0" applyFont="1"/>
    <xf numFmtId="0" fontId="78" fillId="0" borderId="0" xfId="0" applyFont="1" applyAlignment="1">
      <alignment horizontal="center"/>
    </xf>
    <xf numFmtId="0" fontId="77" fillId="0" borderId="77" xfId="0" applyFont="1" applyBorder="1"/>
    <xf numFmtId="0" fontId="78" fillId="0" borderId="17" xfId="0" applyFont="1" applyBorder="1"/>
    <xf numFmtId="0" fontId="77" fillId="0" borderId="17" xfId="0" quotePrefix="1" applyFont="1" applyBorder="1"/>
    <xf numFmtId="0" fontId="78" fillId="0" borderId="17" xfId="0" applyFont="1" applyBorder="1" applyAlignment="1">
      <alignment horizontal="center"/>
    </xf>
    <xf numFmtId="0" fontId="78" fillId="0" borderId="17" xfId="0" quotePrefix="1" applyFont="1" applyBorder="1"/>
    <xf numFmtId="0" fontId="77" fillId="0" borderId="72" xfId="0" applyFont="1" applyBorder="1"/>
    <xf numFmtId="0" fontId="77" fillId="0" borderId="17" xfId="0" applyFont="1" applyBorder="1"/>
    <xf numFmtId="43" fontId="78" fillId="13" borderId="17" xfId="1" applyFont="1" applyFill="1" applyBorder="1" applyAlignment="1">
      <alignment horizontal="center"/>
    </xf>
    <xf numFmtId="0" fontId="190" fillId="0" borderId="72" xfId="0" applyFont="1" applyBorder="1"/>
    <xf numFmtId="0" fontId="32" fillId="0" borderId="0" xfId="0" applyFont="1" applyAlignment="1">
      <alignment horizontal="right"/>
    </xf>
    <xf numFmtId="166" fontId="32" fillId="0" borderId="0" xfId="0" applyNumberFormat="1" applyFont="1" applyAlignment="1">
      <alignment horizontal="right"/>
    </xf>
    <xf numFmtId="170" fontId="32" fillId="0" borderId="0" xfId="1" applyNumberFormat="1" applyFont="1" applyAlignment="1">
      <alignment horizontal="right"/>
    </xf>
    <xf numFmtId="170" fontId="34" fillId="4" borderId="7" xfId="4" applyNumberFormat="1" applyFont="1" applyFill="1" applyBorder="1" applyAlignment="1" applyProtection="1">
      <alignment horizontal="justify"/>
    </xf>
    <xf numFmtId="0" fontId="32" fillId="48" borderId="4" xfId="0" applyFont="1" applyFill="1" applyBorder="1" applyAlignment="1">
      <alignment horizontal="justify"/>
    </xf>
    <xf numFmtId="170" fontId="32" fillId="48" borderId="32" xfId="1" applyNumberFormat="1" applyFont="1" applyFill="1" applyBorder="1" applyAlignment="1" applyProtection="1">
      <alignment horizontal="justify"/>
    </xf>
    <xf numFmtId="166" fontId="32" fillId="48" borderId="90" xfId="3" applyNumberFormat="1" applyFont="1" applyFill="1" applyBorder="1" applyAlignment="1" applyProtection="1">
      <alignment horizontal="justify"/>
    </xf>
    <xf numFmtId="0" fontId="191" fillId="0" borderId="0" xfId="34331"/>
    <xf numFmtId="170" fontId="42" fillId="0" borderId="0" xfId="1" applyNumberFormat="1" applyFont="1"/>
    <xf numFmtId="0" fontId="82" fillId="4" borderId="64" xfId="0" applyFont="1" applyFill="1" applyBorder="1" applyAlignment="1">
      <alignment horizontal="center"/>
    </xf>
    <xf numFmtId="0" fontId="82" fillId="4" borderId="139" xfId="0" applyFont="1" applyFill="1" applyBorder="1" applyAlignment="1">
      <alignment horizontal="center"/>
    </xf>
    <xf numFmtId="164" fontId="37" fillId="0" borderId="0" xfId="0" applyNumberFormat="1" applyFont="1"/>
    <xf numFmtId="166" fontId="34" fillId="0" borderId="0" xfId="0" applyNumberFormat="1" applyFont="1" applyAlignment="1">
      <alignment wrapText="1"/>
    </xf>
    <xf numFmtId="166" fontId="34" fillId="0" borderId="8" xfId="3" applyNumberFormat="1" applyFont="1" applyFill="1" applyBorder="1" applyAlignment="1" applyProtection="1">
      <alignment horizontal="center"/>
    </xf>
    <xf numFmtId="43" fontId="34" fillId="0" borderId="0" xfId="1" applyFont="1" applyFill="1" applyBorder="1" applyAlignment="1" applyProtection="1">
      <alignment horizontal="justify"/>
    </xf>
    <xf numFmtId="0" fontId="49" fillId="0" borderId="0" xfId="0" applyFont="1"/>
    <xf numFmtId="43" fontId="38" fillId="0" borderId="0" xfId="1" applyFont="1"/>
    <xf numFmtId="171" fontId="32" fillId="4" borderId="9" xfId="2" applyNumberFormat="1" applyFont="1" applyFill="1" applyBorder="1" applyAlignment="1" applyProtection="1">
      <alignment horizontal="right"/>
    </xf>
    <xf numFmtId="164" fontId="63" fillId="0" borderId="0" xfId="0" applyNumberFormat="1" applyFont="1"/>
    <xf numFmtId="0" fontId="75" fillId="0" borderId="0" xfId="0" applyFont="1"/>
    <xf numFmtId="0" fontId="71" fillId="0" borderId="72" xfId="0" applyFont="1" applyBorder="1"/>
    <xf numFmtId="173" fontId="34" fillId="0" borderId="0" xfId="0" applyNumberFormat="1" applyFont="1"/>
    <xf numFmtId="43" fontId="40" fillId="5" borderId="0" xfId="1" applyFont="1" applyFill="1"/>
    <xf numFmtId="0" fontId="40" fillId="5" borderId="0" xfId="0" applyFont="1" applyFill="1"/>
    <xf numFmtId="170" fontId="42" fillId="0" borderId="0" xfId="0" applyNumberFormat="1" applyFont="1"/>
    <xf numFmtId="0" fontId="34" fillId="5" borderId="0" xfId="0" applyFont="1" applyFill="1"/>
    <xf numFmtId="0" fontId="32" fillId="0" borderId="0" xfId="2" applyFont="1" applyAlignment="1">
      <alignment horizontal="right"/>
    </xf>
    <xf numFmtId="166" fontId="32" fillId="0" borderId="0" xfId="0" applyNumberFormat="1" applyFont="1"/>
    <xf numFmtId="170" fontId="78" fillId="0" borderId="0" xfId="0" applyNumberFormat="1" applyFont="1"/>
    <xf numFmtId="175" fontId="78" fillId="0" borderId="0" xfId="0" applyNumberFormat="1" applyFont="1"/>
    <xf numFmtId="164" fontId="32" fillId="0" borderId="0" xfId="0" applyNumberFormat="1" applyFont="1"/>
    <xf numFmtId="0" fontId="55" fillId="0" borderId="0" xfId="0" applyFont="1" applyAlignment="1">
      <alignment wrapText="1"/>
    </xf>
    <xf numFmtId="164" fontId="42" fillId="0" borderId="0" xfId="0" applyNumberFormat="1" applyFont="1"/>
    <xf numFmtId="0" fontId="183" fillId="0" borderId="0" xfId="0" applyFont="1"/>
    <xf numFmtId="0" fontId="188" fillId="51" borderId="17" xfId="179" applyFont="1" applyFill="1" applyBorder="1" applyAlignment="1">
      <alignment horizontal="center"/>
    </xf>
    <xf numFmtId="176" fontId="188" fillId="0" borderId="17" xfId="1" applyNumberFormat="1" applyFont="1" applyBorder="1" applyAlignment="1">
      <alignment horizontal="right"/>
    </xf>
    <xf numFmtId="0" fontId="188" fillId="13" borderId="17" xfId="179" applyFont="1" applyFill="1" applyBorder="1"/>
    <xf numFmtId="0" fontId="188" fillId="13" borderId="17" xfId="179" applyFont="1" applyFill="1" applyBorder="1" applyAlignment="1">
      <alignment horizontal="left"/>
    </xf>
    <xf numFmtId="0" fontId="194" fillId="51" borderId="17" xfId="7" quotePrefix="1" applyFont="1" applyFill="1" applyBorder="1" applyAlignment="1">
      <alignment horizontal="center"/>
    </xf>
    <xf numFmtId="43" fontId="188" fillId="13" borderId="17" xfId="1" applyFont="1" applyFill="1" applyBorder="1" applyAlignment="1">
      <alignment horizontal="right"/>
    </xf>
    <xf numFmtId="0" fontId="194" fillId="0" borderId="17" xfId="7" applyFont="1" applyBorder="1"/>
    <xf numFmtId="0" fontId="78" fillId="0" borderId="17" xfId="179" applyFont="1" applyBorder="1"/>
    <xf numFmtId="0" fontId="194" fillId="0" borderId="17" xfId="7" quotePrefix="1" applyFont="1" applyBorder="1" applyAlignment="1">
      <alignment horizontal="left"/>
    </xf>
    <xf numFmtId="43" fontId="194" fillId="0" borderId="17" xfId="1" applyFont="1" applyBorder="1" applyAlignment="1">
      <alignment horizontal="right"/>
    </xf>
    <xf numFmtId="0" fontId="195" fillId="0" borderId="0" xfId="7" applyFont="1"/>
    <xf numFmtId="0" fontId="194" fillId="51" borderId="74" xfId="7" quotePrefix="1" applyFont="1" applyFill="1" applyBorder="1" applyAlignment="1">
      <alignment horizontal="center"/>
    </xf>
    <xf numFmtId="0" fontId="72" fillId="51" borderId="102" xfId="179" applyFont="1" applyFill="1" applyBorder="1" applyAlignment="1">
      <alignment horizontal="center"/>
    </xf>
    <xf numFmtId="179" fontId="72" fillId="13" borderId="17" xfId="179" applyNumberFormat="1" applyFont="1" applyFill="1" applyBorder="1"/>
    <xf numFmtId="0" fontId="72" fillId="13" borderId="17" xfId="179" applyFont="1" applyFill="1" applyBorder="1" applyAlignment="1">
      <alignment horizontal="left"/>
    </xf>
    <xf numFmtId="0" fontId="69" fillId="51" borderId="17" xfId="7" quotePrefix="1" applyFont="1" applyFill="1" applyBorder="1" applyAlignment="1">
      <alignment horizontal="center"/>
    </xf>
    <xf numFmtId="43" fontId="72" fillId="13" borderId="17" xfId="1" applyFont="1" applyFill="1" applyBorder="1" applyAlignment="1">
      <alignment horizontal="right"/>
    </xf>
    <xf numFmtId="0" fontId="72" fillId="0" borderId="17" xfId="0" applyFont="1" applyBorder="1"/>
    <xf numFmtId="0" fontId="69" fillId="0" borderId="17" xfId="7" quotePrefix="1" applyFont="1" applyBorder="1" applyAlignment="1">
      <alignment horizontal="left"/>
    </xf>
    <xf numFmtId="0" fontId="69" fillId="51" borderId="17" xfId="1" quotePrefix="1" applyNumberFormat="1" applyFont="1" applyFill="1" applyBorder="1" applyAlignment="1">
      <alignment horizontal="center"/>
    </xf>
    <xf numFmtId="0" fontId="72" fillId="13" borderId="17" xfId="0" applyFont="1" applyFill="1" applyBorder="1"/>
    <xf numFmtId="0" fontId="69" fillId="13" borderId="17" xfId="7" quotePrefix="1" applyFont="1" applyFill="1" applyBorder="1" applyAlignment="1">
      <alignment horizontal="left"/>
    </xf>
    <xf numFmtId="0" fontId="69" fillId="51" borderId="0" xfId="7" quotePrefix="1" applyFont="1" applyFill="1" applyAlignment="1">
      <alignment horizontal="center"/>
    </xf>
    <xf numFmtId="43" fontId="78" fillId="13" borderId="0" xfId="1" applyFont="1" applyFill="1" applyAlignment="1">
      <alignment horizontal="center"/>
    </xf>
    <xf numFmtId="180" fontId="69" fillId="0" borderId="17" xfId="7" quotePrefix="1" applyNumberFormat="1" applyFont="1" applyBorder="1" applyAlignment="1">
      <alignment horizontal="left"/>
    </xf>
    <xf numFmtId="0" fontId="69" fillId="51" borderId="109" xfId="7" quotePrefix="1" applyFont="1" applyFill="1" applyBorder="1" applyAlignment="1">
      <alignment horizontal="center"/>
    </xf>
    <xf numFmtId="0" fontId="72" fillId="0" borderId="103" xfId="0" applyFont="1" applyBorder="1"/>
    <xf numFmtId="180" fontId="69" fillId="0" borderId="104" xfId="7" quotePrefix="1" applyNumberFormat="1" applyFont="1" applyBorder="1" applyAlignment="1">
      <alignment horizontal="left"/>
    </xf>
    <xf numFmtId="0" fontId="72" fillId="0" borderId="69" xfId="0" applyFont="1" applyBorder="1"/>
    <xf numFmtId="0" fontId="69" fillId="51" borderId="108" xfId="7" quotePrefix="1" applyFont="1" applyFill="1" applyBorder="1" applyAlignment="1">
      <alignment horizontal="center"/>
    </xf>
    <xf numFmtId="0" fontId="72" fillId="0" borderId="103" xfId="0" applyFont="1" applyBorder="1" applyAlignment="1">
      <alignment horizontal="left"/>
    </xf>
    <xf numFmtId="0" fontId="69" fillId="51" borderId="105" xfId="7" quotePrefix="1" applyFont="1" applyFill="1" applyBorder="1" applyAlignment="1">
      <alignment horizontal="center"/>
    </xf>
    <xf numFmtId="43" fontId="78" fillId="0" borderId="17" xfId="1" applyFont="1" applyBorder="1" applyAlignment="1">
      <alignment horizontal="center"/>
    </xf>
    <xf numFmtId="0" fontId="72" fillId="0" borderId="63" xfId="0" applyFont="1" applyBorder="1" applyAlignment="1">
      <alignment horizontal="left"/>
    </xf>
    <xf numFmtId="181" fontId="78" fillId="0" borderId="0" xfId="0" applyNumberFormat="1" applyFont="1" applyAlignment="1">
      <alignment horizontal="left"/>
    </xf>
    <xf numFmtId="0" fontId="69" fillId="51" borderId="74" xfId="7" quotePrefix="1" applyFont="1" applyFill="1" applyBorder="1" applyAlignment="1">
      <alignment horizontal="center"/>
    </xf>
    <xf numFmtId="0" fontId="72" fillId="0" borderId="69" xfId="482" applyNumberFormat="1" applyFont="1" applyBorder="1" applyAlignment="1">
      <alignment horizontal="left"/>
    </xf>
    <xf numFmtId="0" fontId="69" fillId="51" borderId="106" xfId="7" quotePrefix="1" applyFont="1" applyFill="1" applyBorder="1" applyAlignment="1">
      <alignment horizontal="center"/>
    </xf>
    <xf numFmtId="0" fontId="188" fillId="0" borderId="17" xfId="1" applyNumberFormat="1" applyFont="1" applyBorder="1" applyAlignment="1">
      <alignment horizontal="center"/>
    </xf>
    <xf numFmtId="0" fontId="188" fillId="0" borderId="0" xfId="179" applyFont="1" applyAlignment="1">
      <alignment horizontal="center"/>
    </xf>
    <xf numFmtId="0" fontId="183" fillId="0" borderId="0" xfId="190" applyFont="1" applyAlignment="1">
      <alignment horizontal="center"/>
    </xf>
    <xf numFmtId="0" fontId="188" fillId="13" borderId="140" xfId="179" applyFont="1" applyFill="1" applyBorder="1"/>
    <xf numFmtId="0" fontId="188" fillId="13" borderId="141" xfId="179" applyFont="1" applyFill="1" applyBorder="1"/>
    <xf numFmtId="0" fontId="188" fillId="13" borderId="141" xfId="179" applyFont="1" applyFill="1" applyBorder="1" applyAlignment="1">
      <alignment horizontal="left"/>
    </xf>
    <xf numFmtId="0" fontId="188" fillId="13" borderId="141" xfId="179" applyFont="1" applyFill="1" applyBorder="1" applyAlignment="1">
      <alignment horizontal="center"/>
    </xf>
    <xf numFmtId="43" fontId="188" fillId="0" borderId="28" xfId="1" applyFont="1" applyBorder="1" applyAlignment="1">
      <alignment horizontal="right"/>
    </xf>
    <xf numFmtId="179" fontId="196" fillId="13" borderId="17" xfId="482" applyFont="1" applyFill="1" applyBorder="1"/>
    <xf numFmtId="0" fontId="78" fillId="13" borderId="17" xfId="179" applyFont="1" applyFill="1" applyBorder="1"/>
    <xf numFmtId="0" fontId="194" fillId="13" borderId="17" xfId="0" quotePrefix="1" applyFont="1" applyFill="1" applyBorder="1"/>
    <xf numFmtId="0" fontId="194" fillId="13" borderId="17" xfId="0" quotePrefix="1" applyFont="1" applyFill="1" applyBorder="1" applyAlignment="1">
      <alignment horizontal="center"/>
    </xf>
    <xf numFmtId="179" fontId="196" fillId="0" borderId="17" xfId="482" applyFont="1" applyBorder="1"/>
    <xf numFmtId="0" fontId="194" fillId="0" borderId="17" xfId="7" quotePrefix="1" applyFont="1" applyBorder="1" applyAlignment="1">
      <alignment horizontal="center"/>
    </xf>
    <xf numFmtId="166" fontId="37" fillId="0" borderId="0" xfId="0" applyNumberFormat="1" applyFont="1" applyAlignment="1">
      <alignment wrapText="1"/>
    </xf>
    <xf numFmtId="0" fontId="44" fillId="3" borderId="24" xfId="0" applyFont="1" applyFill="1" applyBorder="1" applyAlignment="1">
      <alignment wrapText="1"/>
    </xf>
    <xf numFmtId="0" fontId="44" fillId="3" borderId="23" xfId="0" applyFont="1" applyFill="1" applyBorder="1" applyAlignment="1">
      <alignment wrapText="1"/>
    </xf>
    <xf numFmtId="43" fontId="0" fillId="5" borderId="17" xfId="1" applyFont="1" applyFill="1" applyBorder="1"/>
    <xf numFmtId="166" fontId="37" fillId="5" borderId="0" xfId="0" applyNumberFormat="1" applyFont="1" applyFill="1"/>
    <xf numFmtId="0" fontId="83" fillId="4" borderId="66" xfId="0" applyFont="1" applyFill="1" applyBorder="1" applyAlignment="1">
      <alignment horizontal="right"/>
    </xf>
    <xf numFmtId="0" fontId="63" fillId="0" borderId="0" xfId="2" applyFont="1"/>
    <xf numFmtId="173" fontId="37" fillId="0" borderId="0" xfId="0" applyNumberFormat="1" applyFont="1"/>
    <xf numFmtId="170" fontId="5" fillId="0" borderId="142" xfId="0" applyNumberFormat="1" applyFont="1" applyBorder="1"/>
    <xf numFmtId="170" fontId="5" fillId="0" borderId="11" xfId="0" applyNumberFormat="1" applyFont="1" applyBorder="1"/>
    <xf numFmtId="170" fontId="5" fillId="0" borderId="74" xfId="0" applyNumberFormat="1" applyFont="1" applyBorder="1"/>
    <xf numFmtId="43" fontId="4" fillId="0" borderId="0" xfId="1" applyFont="1" applyAlignment="1"/>
    <xf numFmtId="170" fontId="67" fillId="0" borderId="29" xfId="0" applyNumberFormat="1" applyFont="1" applyBorder="1"/>
    <xf numFmtId="171" fontId="32" fillId="48" borderId="14" xfId="3" applyNumberFormat="1" applyFont="1" applyFill="1" applyBorder="1" applyAlignment="1" applyProtection="1">
      <alignment horizontal="right"/>
    </xf>
    <xf numFmtId="171" fontId="32" fillId="48" borderId="14" xfId="2" applyNumberFormat="1" applyFont="1" applyFill="1" applyBorder="1" applyAlignment="1">
      <alignment horizontal="right"/>
    </xf>
    <xf numFmtId="170" fontId="32" fillId="0" borderId="32" xfId="1" applyNumberFormat="1" applyFont="1" applyFill="1" applyBorder="1" applyAlignment="1" applyProtection="1">
      <alignment horizontal="justify"/>
    </xf>
    <xf numFmtId="166" fontId="32" fillId="4" borderId="13" xfId="3" applyNumberFormat="1" applyFont="1" applyFill="1" applyBorder="1" applyAlignment="1" applyProtection="1">
      <alignment horizontal="justify"/>
    </xf>
    <xf numFmtId="166" fontId="32" fillId="4" borderId="90" xfId="3" applyNumberFormat="1" applyFont="1" applyFill="1" applyBorder="1" applyAlignment="1" applyProtection="1">
      <alignment horizontal="justify"/>
    </xf>
    <xf numFmtId="166" fontId="32" fillId="4" borderId="33" xfId="3" applyNumberFormat="1" applyFont="1" applyFill="1" applyBorder="1" applyAlignment="1" applyProtection="1">
      <alignment horizontal="justify"/>
    </xf>
    <xf numFmtId="166" fontId="32" fillId="10" borderId="90" xfId="3" applyNumberFormat="1" applyFont="1" applyFill="1" applyBorder="1" applyAlignment="1" applyProtection="1">
      <alignment horizontal="justify"/>
    </xf>
    <xf numFmtId="166" fontId="32" fillId="0" borderId="33" xfId="1" applyNumberFormat="1" applyFont="1" applyFill="1" applyBorder="1" applyAlignment="1" applyProtection="1">
      <alignment horizontal="justify"/>
    </xf>
    <xf numFmtId="166" fontId="38" fillId="0" borderId="13" xfId="2" applyNumberFormat="1" applyFont="1" applyBorder="1"/>
    <xf numFmtId="166" fontId="32" fillId="4" borderId="75" xfId="3" applyNumberFormat="1" applyFont="1" applyFill="1" applyBorder="1" applyAlignment="1" applyProtection="1">
      <alignment horizontal="justify"/>
    </xf>
    <xf numFmtId="0" fontId="38" fillId="0" borderId="75" xfId="0" applyFont="1" applyBorder="1"/>
    <xf numFmtId="0" fontId="49" fillId="0" borderId="134" xfId="2" applyFont="1" applyFill="1" applyBorder="1" applyAlignment="1" applyProtection="1">
      <alignment horizontal="left"/>
    </xf>
    <xf numFmtId="166" fontId="32" fillId="0" borderId="13" xfId="3" applyNumberFormat="1" applyFont="1" applyFill="1" applyBorder="1" applyAlignment="1" applyProtection="1">
      <alignment horizontal="justify"/>
    </xf>
    <xf numFmtId="166" fontId="32" fillId="0" borderId="90" xfId="3" applyNumberFormat="1" applyFont="1" applyFill="1" applyBorder="1" applyAlignment="1" applyProtection="1">
      <alignment horizontal="justify"/>
    </xf>
    <xf numFmtId="171" fontId="32" fillId="0" borderId="33" xfId="2" applyNumberFormat="1" applyFont="1" applyFill="1" applyBorder="1" applyAlignment="1" applyProtection="1">
      <alignment horizontal="right"/>
    </xf>
    <xf numFmtId="166" fontId="32" fillId="0" borderId="33" xfId="3" applyNumberFormat="1" applyFont="1" applyFill="1" applyBorder="1" applyAlignment="1" applyProtection="1">
      <alignment horizontal="justify"/>
    </xf>
    <xf numFmtId="0" fontId="32" fillId="100" borderId="4" xfId="0" applyFont="1" applyFill="1" applyBorder="1" applyAlignment="1">
      <alignment horizontal="justify"/>
    </xf>
    <xf numFmtId="166" fontId="32" fillId="100" borderId="33" xfId="3" applyNumberFormat="1" applyFont="1" applyFill="1" applyBorder="1" applyAlignment="1" applyProtection="1">
      <alignment horizontal="justify"/>
    </xf>
    <xf numFmtId="170" fontId="57" fillId="0" borderId="0" xfId="1" applyNumberFormat="1" applyFont="1"/>
    <xf numFmtId="171" fontId="32" fillId="0" borderId="40" xfId="2" applyNumberFormat="1" applyFont="1" applyFill="1" applyBorder="1" applyAlignment="1" applyProtection="1">
      <alignment horizontal="right"/>
    </xf>
    <xf numFmtId="0" fontId="50" fillId="2" borderId="0" xfId="0" applyFont="1" applyFill="1" applyAlignment="1">
      <alignment wrapText="1"/>
    </xf>
    <xf numFmtId="166" fontId="32" fillId="4" borderId="7" xfId="3" applyNumberFormat="1" applyFont="1" applyFill="1" applyBorder="1" applyAlignment="1" applyProtection="1">
      <alignment horizontal="justify" wrapText="1"/>
    </xf>
    <xf numFmtId="0" fontId="5" fillId="0" borderId="25" xfId="0" applyFont="1" applyBorder="1"/>
    <xf numFmtId="0" fontId="5" fillId="0" borderId="0" xfId="2" applyFont="1"/>
    <xf numFmtId="0" fontId="5" fillId="0" borderId="84" xfId="0" applyFont="1" applyBorder="1"/>
    <xf numFmtId="0" fontId="32" fillId="9" borderId="19" xfId="0" applyFont="1" applyFill="1" applyBorder="1" applyAlignment="1">
      <alignment horizontal="center"/>
    </xf>
    <xf numFmtId="164" fontId="0" fillId="0" borderId="0" xfId="0" applyNumberFormat="1"/>
    <xf numFmtId="166" fontId="32" fillId="0" borderId="0" xfId="2" applyNumberFormat="1" applyFont="1"/>
    <xf numFmtId="0" fontId="34" fillId="5" borderId="0" xfId="2" applyFont="1" applyFill="1"/>
    <xf numFmtId="170" fontId="34" fillId="0" borderId="130" xfId="1" applyNumberFormat="1" applyFont="1" applyFill="1" applyBorder="1" applyAlignment="1" applyProtection="1">
      <alignment horizontal="justify" wrapText="1"/>
    </xf>
    <xf numFmtId="43" fontId="194" fillId="0" borderId="17" xfId="1" applyFont="1" applyFill="1" applyBorder="1" applyAlignment="1">
      <alignment horizontal="right"/>
    </xf>
    <xf numFmtId="167" fontId="34" fillId="50" borderId="8" xfId="0" applyNumberFormat="1" applyFont="1" applyFill="1" applyBorder="1" applyAlignment="1">
      <alignment horizontal="justify"/>
    </xf>
    <xf numFmtId="165" fontId="34" fillId="50" borderId="7" xfId="3" applyFont="1" applyFill="1" applyBorder="1" applyAlignment="1" applyProtection="1">
      <alignment horizontal="justify"/>
    </xf>
    <xf numFmtId="43" fontId="0" fillId="0" borderId="142" xfId="0" applyNumberFormat="1" applyBorder="1"/>
    <xf numFmtId="43" fontId="40" fillId="0" borderId="7" xfId="1" applyFont="1" applyFill="1" applyBorder="1" applyAlignment="1" applyProtection="1">
      <alignment horizontal="justify" wrapText="1"/>
    </xf>
    <xf numFmtId="0" fontId="32" fillId="7" borderId="0" xfId="0" applyFont="1" applyFill="1" applyAlignment="1">
      <alignment wrapText="1"/>
    </xf>
    <xf numFmtId="0" fontId="50" fillId="7" borderId="0" xfId="0" applyFont="1" applyFill="1" applyAlignment="1">
      <alignment wrapText="1"/>
    </xf>
    <xf numFmtId="0" fontId="184" fillId="7" borderId="0" xfId="0" applyFont="1" applyFill="1" applyAlignment="1">
      <alignment wrapText="1"/>
    </xf>
    <xf numFmtId="0" fontId="185" fillId="7" borderId="0" xfId="0" applyFont="1" applyFill="1" applyAlignment="1">
      <alignment wrapText="1"/>
    </xf>
    <xf numFmtId="166" fontId="184" fillId="7" borderId="9" xfId="3" applyNumberFormat="1" applyFont="1" applyFill="1" applyBorder="1" applyAlignment="1" applyProtection="1">
      <alignment horizontal="justify" wrapText="1"/>
    </xf>
    <xf numFmtId="170" fontId="34" fillId="0" borderId="0" xfId="1" applyNumberFormat="1" applyFont="1" applyFill="1" applyBorder="1" applyAlignment="1" applyProtection="1">
      <alignment horizontal="justify"/>
    </xf>
    <xf numFmtId="43" fontId="34" fillId="0" borderId="33" xfId="1" applyFont="1" applyFill="1" applyBorder="1" applyAlignment="1" applyProtection="1">
      <alignment horizontal="justify"/>
    </xf>
    <xf numFmtId="166" fontId="34" fillId="0" borderId="33" xfId="9" applyNumberFormat="1" applyFont="1" applyBorder="1" applyAlignment="1">
      <alignment horizontal="justify"/>
    </xf>
    <xf numFmtId="0" fontId="34" fillId="0" borderId="64" xfId="0" applyFont="1" applyBorder="1" applyAlignment="1">
      <alignment horizontal="justify" vertical="center"/>
    </xf>
    <xf numFmtId="0" fontId="34" fillId="0" borderId="61" xfId="0" applyFont="1" applyBorder="1" applyAlignment="1">
      <alignment horizontal="justify" vertical="center"/>
    </xf>
    <xf numFmtId="212" fontId="32" fillId="0" borderId="0" xfId="0" applyNumberFormat="1" applyFont="1"/>
    <xf numFmtId="0" fontId="199" fillId="0" borderId="0" xfId="0" applyFont="1"/>
    <xf numFmtId="0" fontId="201" fillId="106" borderId="0" xfId="2" applyFont="1" applyFill="1"/>
    <xf numFmtId="0" fontId="200" fillId="106" borderId="27" xfId="0" applyFont="1" applyFill="1" applyBorder="1"/>
    <xf numFmtId="0" fontId="199" fillId="0" borderId="59" xfId="0" applyFont="1" applyBorder="1"/>
    <xf numFmtId="0" fontId="200" fillId="106" borderId="25" xfId="0" applyFont="1" applyFill="1" applyBorder="1"/>
    <xf numFmtId="0" fontId="200" fillId="106" borderId="0" xfId="0" applyFont="1" applyFill="1"/>
    <xf numFmtId="0" fontId="200" fillId="106" borderId="53" xfId="0" applyFont="1" applyFill="1" applyBorder="1"/>
    <xf numFmtId="0" fontId="199" fillId="0" borderId="25" xfId="0" applyFont="1" applyBorder="1"/>
    <xf numFmtId="0" fontId="199" fillId="0" borderId="53" xfId="0" applyFont="1" applyBorder="1"/>
    <xf numFmtId="0" fontId="199" fillId="0" borderId="84" xfId="0" applyFont="1" applyBorder="1"/>
    <xf numFmtId="0" fontId="199" fillId="0" borderId="72" xfId="0" applyFont="1" applyBorder="1"/>
    <xf numFmtId="0" fontId="199" fillId="0" borderId="31" xfId="0" applyFont="1" applyBorder="1"/>
    <xf numFmtId="166" fontId="34" fillId="0" borderId="41" xfId="9" applyNumberFormat="1" applyFont="1" applyBorder="1" applyAlignment="1">
      <alignment horizontal="justify"/>
    </xf>
    <xf numFmtId="173" fontId="34" fillId="0" borderId="7" xfId="238" applyNumberFormat="1" applyFont="1" applyFill="1" applyBorder="1" applyAlignment="1" applyProtection="1">
      <alignment horizontal="justify"/>
    </xf>
    <xf numFmtId="170" fontId="32" fillId="4" borderId="9" xfId="1" applyNumberFormat="1" applyFont="1" applyFill="1" applyBorder="1" applyAlignment="1" applyProtection="1">
      <alignment horizontal="justify"/>
    </xf>
    <xf numFmtId="43" fontId="34" fillId="0" borderId="0" xfId="1" applyFont="1" applyFill="1"/>
    <xf numFmtId="0" fontId="37" fillId="5" borderId="0" xfId="2" applyFont="1" applyFill="1"/>
    <xf numFmtId="0" fontId="42" fillId="5" borderId="0" xfId="2" applyFont="1" applyFill="1"/>
    <xf numFmtId="0" fontId="38" fillId="0" borderId="0" xfId="2" applyFont="1"/>
    <xf numFmtId="0" fontId="32" fillId="2" borderId="53" xfId="2" applyFont="1" applyFill="1" applyBorder="1" applyAlignment="1" applyProtection="1">
      <alignment horizontal="right"/>
    </xf>
    <xf numFmtId="0" fontId="78" fillId="5" borderId="0" xfId="0" applyFont="1" applyFill="1"/>
    <xf numFmtId="170" fontId="55" fillId="0" borderId="0" xfId="1" applyNumberFormat="1" applyFont="1"/>
    <xf numFmtId="0" fontId="66" fillId="0" borderId="0" xfId="2" applyFont="1"/>
    <xf numFmtId="164" fontId="66" fillId="0" borderId="0" xfId="0" applyNumberFormat="1" applyFont="1"/>
    <xf numFmtId="0" fontId="32" fillId="0" borderId="74" xfId="0" applyFont="1" applyBorder="1" applyAlignment="1">
      <alignment horizontal="justify"/>
    </xf>
    <xf numFmtId="0" fontId="57" fillId="0" borderId="0" xfId="2" applyFont="1"/>
    <xf numFmtId="43" fontId="34" fillId="0" borderId="0" xfId="1" applyFont="1" applyFill="1" applyAlignment="1">
      <alignment vertical="top"/>
    </xf>
    <xf numFmtId="43" fontId="34" fillId="0" borderId="0" xfId="1" applyFont="1" applyAlignment="1">
      <alignment vertical="center"/>
    </xf>
    <xf numFmtId="43" fontId="34" fillId="0" borderId="0" xfId="1" applyFont="1" applyBorder="1" applyAlignment="1"/>
    <xf numFmtId="164" fontId="34" fillId="0" borderId="0" xfId="0" applyNumberFormat="1" applyFont="1" applyAlignment="1">
      <alignment vertical="top"/>
    </xf>
    <xf numFmtId="0" fontId="32" fillId="3" borderId="28" xfId="2" applyFont="1" applyFill="1" applyBorder="1" applyAlignment="1">
      <alignment horizontal="center" wrapText="1"/>
    </xf>
    <xf numFmtId="43" fontId="34" fillId="2" borderId="0" xfId="1" applyFont="1" applyFill="1" applyBorder="1" applyAlignment="1"/>
    <xf numFmtId="165" fontId="34" fillId="2" borderId="0" xfId="3" applyFont="1" applyFill="1" applyBorder="1" applyAlignment="1"/>
    <xf numFmtId="0" fontId="45" fillId="3" borderId="1" xfId="0" applyFont="1" applyFill="1" applyBorder="1" applyAlignment="1">
      <alignment horizontal="center"/>
    </xf>
    <xf numFmtId="0" fontId="45" fillId="3" borderId="1" xfId="2" applyFont="1" applyFill="1" applyBorder="1" applyAlignment="1">
      <alignment horizontal="right"/>
    </xf>
    <xf numFmtId="0" fontId="33" fillId="11" borderId="0" xfId="0" applyFont="1" applyFill="1" applyAlignment="1">
      <alignment horizontal="center" vertical="center"/>
    </xf>
    <xf numFmtId="170" fontId="35" fillId="0" borderId="0" xfId="1" applyNumberFormat="1" applyFont="1" applyAlignment="1"/>
    <xf numFmtId="0" fontId="35" fillId="0" borderId="0" xfId="0" applyFont="1" applyAlignment="1">
      <alignment horizontal="left" vertical="top"/>
    </xf>
    <xf numFmtId="0" fontId="37" fillId="0" borderId="0" xfId="2" applyFont="1" applyAlignment="1"/>
    <xf numFmtId="43" fontId="37" fillId="0" borderId="0" xfId="1" applyFont="1" applyAlignment="1"/>
    <xf numFmtId="170" fontId="37" fillId="0" borderId="0" xfId="1" applyNumberFormat="1" applyFont="1" applyAlignment="1"/>
    <xf numFmtId="0" fontId="37" fillId="0" borderId="0" xfId="0" quotePrefix="1" applyFont="1"/>
    <xf numFmtId="0" fontId="34" fillId="0" borderId="0" xfId="2" applyFont="1" applyBorder="1" applyAlignment="1"/>
    <xf numFmtId="208" fontId="37" fillId="0" borderId="0" xfId="0" applyNumberFormat="1" applyFont="1"/>
    <xf numFmtId="0" fontId="34" fillId="0" borderId="0" xfId="2" applyFont="1" applyFill="1" applyBorder="1" applyAlignment="1"/>
    <xf numFmtId="170" fontId="32" fillId="10" borderId="9" xfId="1" applyNumberFormat="1" applyFont="1" applyFill="1" applyBorder="1" applyAlignment="1" applyProtection="1">
      <alignment horizontal="justify"/>
    </xf>
    <xf numFmtId="171" fontId="32" fillId="0" borderId="9" xfId="2" applyNumberFormat="1" applyFont="1" applyFill="1" applyBorder="1" applyAlignment="1" applyProtection="1">
      <alignment horizontal="right"/>
    </xf>
    <xf numFmtId="171" fontId="34" fillId="0" borderId="9" xfId="2" applyNumberFormat="1" applyFont="1" applyFill="1" applyBorder="1" applyAlignment="1" applyProtection="1">
      <alignment horizontal="right"/>
    </xf>
    <xf numFmtId="43" fontId="34" fillId="5" borderId="0" xfId="1" applyFont="1" applyFill="1"/>
    <xf numFmtId="166" fontId="34" fillId="5" borderId="8" xfId="3" applyNumberFormat="1" applyFont="1" applyFill="1" applyBorder="1" applyAlignment="1" applyProtection="1">
      <alignment horizontal="justify"/>
    </xf>
    <xf numFmtId="164" fontId="75" fillId="0" borderId="0" xfId="1" applyNumberFormat="1" applyFont="1" applyBorder="1"/>
    <xf numFmtId="170" fontId="202" fillId="0" borderId="0" xfId="1" applyNumberFormat="1" applyFont="1"/>
    <xf numFmtId="166" fontId="32" fillId="48" borderId="9" xfId="3" applyNumberFormat="1" applyFont="1" applyFill="1" applyBorder="1" applyAlignment="1" applyProtection="1">
      <alignment horizontal="justify"/>
    </xf>
    <xf numFmtId="43" fontId="78" fillId="0" borderId="0" xfId="1" applyFont="1"/>
    <xf numFmtId="0" fontId="34" fillId="0" borderId="33" xfId="3" applyNumberFormat="1" applyFont="1" applyFill="1" applyBorder="1" applyAlignment="1" applyProtection="1">
      <alignment horizontal="justify"/>
    </xf>
    <xf numFmtId="0" fontId="32" fillId="0" borderId="33" xfId="3" applyNumberFormat="1" applyFont="1" applyFill="1" applyBorder="1" applyAlignment="1" applyProtection="1">
      <alignment horizontal="justify"/>
    </xf>
    <xf numFmtId="166" fontId="32" fillId="2" borderId="77" xfId="0" applyNumberFormat="1" applyFont="1" applyFill="1" applyBorder="1" applyAlignment="1">
      <alignment wrapText="1"/>
    </xf>
    <xf numFmtId="166" fontId="50" fillId="2" borderId="77" xfId="0" applyNumberFormat="1" applyFont="1" applyFill="1" applyBorder="1" applyAlignment="1">
      <alignment wrapText="1"/>
    </xf>
    <xf numFmtId="171" fontId="38" fillId="0" borderId="0" xfId="2" applyNumberFormat="1" applyFont="1" applyBorder="1" applyAlignment="1"/>
    <xf numFmtId="171" fontId="37" fillId="0" borderId="0" xfId="2" applyNumberFormat="1" applyFont="1" applyBorder="1" applyAlignment="1"/>
    <xf numFmtId="173" fontId="38" fillId="0" borderId="0" xfId="0" applyNumberFormat="1" applyFont="1"/>
    <xf numFmtId="43" fontId="78" fillId="0" borderId="17" xfId="1" applyFont="1" applyFill="1" applyBorder="1" applyAlignment="1">
      <alignment horizontal="right"/>
    </xf>
    <xf numFmtId="41" fontId="0" fillId="0" borderId="0" xfId="0" applyNumberFormat="1"/>
    <xf numFmtId="41" fontId="5" fillId="0" borderId="42" xfId="0" applyNumberFormat="1" applyFont="1" applyBorder="1"/>
    <xf numFmtId="43" fontId="43" fillId="0" borderId="0" xfId="1" applyFont="1" applyFill="1" applyBorder="1" applyAlignment="1" applyProtection="1">
      <alignment horizontal="justify"/>
    </xf>
    <xf numFmtId="164" fontId="63" fillId="0" borderId="0" xfId="0" applyNumberFormat="1" applyFont="1" applyAlignment="1">
      <alignment vertical="top"/>
    </xf>
    <xf numFmtId="43" fontId="63" fillId="0" borderId="0" xfId="1" applyFont="1" applyFill="1"/>
    <xf numFmtId="43" fontId="63" fillId="0" borderId="0" xfId="1" applyFont="1" applyFill="1" applyAlignment="1">
      <alignment vertical="top"/>
    </xf>
    <xf numFmtId="0" fontId="204" fillId="0" borderId="0" xfId="0" applyFont="1"/>
    <xf numFmtId="166" fontId="204" fillId="0" borderId="0" xfId="0" applyNumberFormat="1" applyFont="1"/>
    <xf numFmtId="43" fontId="48" fillId="0" borderId="0" xfId="1" applyFont="1" applyFill="1" applyAlignment="1">
      <alignment wrapText="1"/>
    </xf>
    <xf numFmtId="43" fontId="48" fillId="0" borderId="13" xfId="1" applyFont="1" applyFill="1" applyBorder="1" applyAlignment="1" applyProtection="1">
      <alignment horizontal="left"/>
    </xf>
    <xf numFmtId="0" fontId="68" fillId="101" borderId="27" xfId="0" applyFont="1" applyFill="1" applyBorder="1"/>
    <xf numFmtId="178" fontId="68" fillId="101" borderId="99" xfId="0" applyNumberFormat="1" applyFont="1" applyFill="1" applyBorder="1" applyAlignment="1">
      <alignment horizontal="center" vertical="center"/>
    </xf>
    <xf numFmtId="178" fontId="68" fillId="101" borderId="138" xfId="0" applyNumberFormat="1" applyFont="1" applyFill="1" applyBorder="1" applyAlignment="1">
      <alignment horizontal="center" vertical="center"/>
    </xf>
    <xf numFmtId="43" fontId="75" fillId="0" borderId="0" xfId="1" applyFont="1" applyBorder="1"/>
    <xf numFmtId="0" fontId="73" fillId="0" borderId="0" xfId="2" applyFont="1" applyBorder="1"/>
    <xf numFmtId="0" fontId="34" fillId="13" borderId="4" xfId="0" applyFont="1" applyFill="1" applyBorder="1" applyAlignment="1">
      <alignment horizontal="justify" wrapText="1"/>
    </xf>
    <xf numFmtId="170" fontId="34" fillId="13" borderId="7" xfId="1" applyNumberFormat="1" applyFont="1" applyFill="1" applyBorder="1" applyAlignment="1" applyProtection="1">
      <alignment horizontal="justify"/>
    </xf>
    <xf numFmtId="166" fontId="34" fillId="13" borderId="7" xfId="3" applyNumberFormat="1" applyFont="1" applyFill="1" applyBorder="1" applyAlignment="1" applyProtection="1">
      <alignment horizontal="justify"/>
    </xf>
    <xf numFmtId="0" fontId="34" fillId="13" borderId="7" xfId="3" applyNumberFormat="1" applyFont="1" applyFill="1" applyBorder="1" applyAlignment="1" applyProtection="1">
      <alignment horizontal="right"/>
    </xf>
    <xf numFmtId="166" fontId="34" fillId="13" borderId="8" xfId="3" applyNumberFormat="1" applyFont="1" applyFill="1" applyBorder="1" applyAlignment="1" applyProtection="1">
      <alignment horizontal="justify"/>
    </xf>
    <xf numFmtId="0" fontId="57" fillId="13" borderId="0" xfId="0" applyFont="1" applyFill="1" applyAlignment="1">
      <alignment wrapText="1"/>
    </xf>
    <xf numFmtId="0" fontId="34" fillId="13" borderId="0" xfId="0" applyFont="1" applyFill="1"/>
    <xf numFmtId="171" fontId="32" fillId="0" borderId="0" xfId="2" applyNumberFormat="1" applyFont="1" applyAlignment="1">
      <alignment horizontal="right"/>
    </xf>
    <xf numFmtId="171" fontId="37" fillId="0" borderId="0" xfId="2" applyNumberFormat="1" applyFont="1"/>
    <xf numFmtId="173" fontId="55" fillId="0" borderId="142" xfId="1" applyNumberFormat="1" applyFont="1" applyBorder="1"/>
    <xf numFmtId="170" fontId="56" fillId="49" borderId="42" xfId="1" applyNumberFormat="1" applyFont="1" applyFill="1" applyBorder="1"/>
    <xf numFmtId="170" fontId="56" fillId="0" borderId="42" xfId="1" applyNumberFormat="1" applyFont="1" applyBorder="1"/>
    <xf numFmtId="170" fontId="56" fillId="50" borderId="42" xfId="1" applyNumberFormat="1" applyFont="1" applyFill="1" applyBorder="1"/>
    <xf numFmtId="170" fontId="204" fillId="5" borderId="0" xfId="1" applyNumberFormat="1" applyFont="1" applyFill="1"/>
    <xf numFmtId="0" fontId="192" fillId="0" borderId="0" xfId="0" applyFont="1"/>
    <xf numFmtId="43" fontId="42" fillId="0" borderId="0" xfId="0" applyNumberFormat="1" applyFont="1"/>
    <xf numFmtId="166" fontId="192" fillId="0" borderId="0" xfId="0" applyNumberFormat="1" applyFont="1"/>
    <xf numFmtId="0" fontId="63" fillId="0" borderId="0" xfId="2" applyFont="1" applyBorder="1"/>
    <xf numFmtId="166" fontId="63" fillId="5" borderId="0" xfId="0" applyNumberFormat="1" applyFont="1" applyFill="1"/>
    <xf numFmtId="166" fontId="34" fillId="5" borderId="7" xfId="3" applyNumberFormat="1" applyFont="1" applyFill="1" applyBorder="1" applyAlignment="1" applyProtection="1">
      <alignment horizontal="justify"/>
    </xf>
    <xf numFmtId="0" fontId="198" fillId="0" borderId="0" xfId="0" applyFont="1"/>
    <xf numFmtId="0" fontId="6" fillId="0" borderId="0" xfId="0" applyFont="1"/>
    <xf numFmtId="0" fontId="32" fillId="0" borderId="54" xfId="0" applyFont="1" applyBorder="1" applyAlignment="1">
      <alignment horizontal="justify" wrapText="1"/>
    </xf>
    <xf numFmtId="0" fontId="32" fillId="2" borderId="84" xfId="0" applyFont="1" applyFill="1" applyBorder="1" applyAlignment="1">
      <alignment horizontal="justify" wrapText="1"/>
    </xf>
    <xf numFmtId="0" fontId="32" fillId="2" borderId="63" xfId="0" applyFont="1" applyFill="1" applyBorder="1" applyAlignment="1">
      <alignment horizontal="justify" wrapText="1"/>
    </xf>
    <xf numFmtId="0" fontId="32" fillId="2" borderId="69" xfId="0" applyFont="1" applyFill="1" applyBorder="1" applyAlignment="1">
      <alignment horizontal="justify" wrapText="1"/>
    </xf>
    <xf numFmtId="0" fontId="32" fillId="9" borderId="22" xfId="0" applyFont="1" applyFill="1" applyBorder="1" applyAlignment="1">
      <alignment horizontal="left" wrapText="1"/>
    </xf>
    <xf numFmtId="0" fontId="32" fillId="10" borderId="4" xfId="0" applyFont="1" applyFill="1" applyBorder="1" applyAlignment="1">
      <alignment horizontal="justify" wrapText="1"/>
    </xf>
    <xf numFmtId="0" fontId="32" fillId="10" borderId="54" xfId="0" applyFont="1" applyFill="1" applyBorder="1" applyAlignment="1">
      <alignment horizontal="justify" wrapText="1"/>
    </xf>
    <xf numFmtId="166" fontId="34" fillId="0" borderId="0" xfId="3" applyNumberFormat="1" applyFont="1" applyFill="1" applyBorder="1" applyAlignment="1" applyProtection="1">
      <alignment horizontal="justify"/>
    </xf>
    <xf numFmtId="166" fontId="32" fillId="0" borderId="0" xfId="4" applyNumberFormat="1" applyFont="1" applyFill="1" applyBorder="1" applyAlignment="1" applyProtection="1">
      <alignment horizontal="justify"/>
    </xf>
    <xf numFmtId="167" fontId="32" fillId="0" borderId="0" xfId="0" applyNumberFormat="1" applyFont="1" applyAlignment="1">
      <alignment horizontal="justify"/>
    </xf>
    <xf numFmtId="0" fontId="203" fillId="0" borderId="0" xfId="0" applyFont="1"/>
    <xf numFmtId="166" fontId="34" fillId="0" borderId="0" xfId="4" applyNumberFormat="1" applyFont="1" applyFill="1" applyBorder="1" applyAlignment="1" applyProtection="1">
      <alignment horizontal="justify"/>
    </xf>
    <xf numFmtId="170" fontId="34" fillId="0" borderId="0" xfId="4" applyNumberFormat="1" applyFont="1" applyFill="1" applyBorder="1" applyAlignment="1" applyProtection="1">
      <alignment horizontal="justify"/>
    </xf>
    <xf numFmtId="0" fontId="34" fillId="0" borderId="0" xfId="2" applyFont="1" applyFill="1" applyBorder="1"/>
    <xf numFmtId="41" fontId="0" fillId="5" borderId="0" xfId="0" applyNumberFormat="1" applyFill="1"/>
    <xf numFmtId="170" fontId="34" fillId="4" borderId="7" xfId="1" applyNumberFormat="1" applyFont="1" applyFill="1" applyBorder="1" applyAlignment="1" applyProtection="1">
      <alignment horizontal="justify"/>
    </xf>
    <xf numFmtId="170" fontId="67" fillId="0" borderId="0" xfId="1" applyNumberFormat="1" applyFont="1"/>
    <xf numFmtId="166" fontId="34" fillId="48" borderId="33" xfId="3" applyNumberFormat="1" applyFont="1" applyFill="1" applyBorder="1" applyAlignment="1" applyProtection="1">
      <alignment horizontal="justify"/>
    </xf>
    <xf numFmtId="166" fontId="32" fillId="2" borderId="7" xfId="3" applyNumberFormat="1" applyFont="1" applyFill="1" applyBorder="1" applyAlignment="1" applyProtection="1">
      <alignment horizontal="left"/>
    </xf>
    <xf numFmtId="166" fontId="34" fillId="48" borderId="40" xfId="3" applyNumberFormat="1" applyFont="1" applyFill="1" applyBorder="1" applyAlignment="1" applyProtection="1">
      <alignment horizontal="justify"/>
    </xf>
    <xf numFmtId="166" fontId="34" fillId="48" borderId="55" xfId="3" applyNumberFormat="1" applyFont="1" applyFill="1" applyBorder="1" applyAlignment="1" applyProtection="1">
      <alignment horizontal="justify"/>
    </xf>
    <xf numFmtId="166" fontId="32" fillId="2" borderId="55" xfId="3" applyNumberFormat="1" applyFont="1" applyFill="1" applyBorder="1" applyAlignment="1" applyProtection="1">
      <alignment horizontal="left"/>
    </xf>
    <xf numFmtId="170" fontId="67" fillId="0" borderId="0" xfId="1" applyNumberFormat="1" applyFont="1" applyFill="1" applyBorder="1"/>
    <xf numFmtId="170" fontId="34" fillId="0" borderId="0" xfId="1" applyNumberFormat="1" applyFont="1"/>
    <xf numFmtId="164" fontId="40" fillId="0" borderId="0" xfId="0" applyNumberFormat="1" applyFont="1" applyAlignment="1">
      <alignment vertical="top"/>
    </xf>
    <xf numFmtId="164" fontId="34" fillId="0" borderId="25" xfId="0" applyNumberFormat="1" applyFont="1" applyBorder="1" applyAlignment="1">
      <alignment vertical="top"/>
    </xf>
    <xf numFmtId="170" fontId="34" fillId="0" borderId="0" xfId="1" applyNumberFormat="1" applyFont="1" applyBorder="1"/>
    <xf numFmtId="43" fontId="34" fillId="0" borderId="53" xfId="1" applyFont="1" applyBorder="1"/>
    <xf numFmtId="43" fontId="34" fillId="0" borderId="53" xfId="0" applyNumberFormat="1" applyFont="1" applyBorder="1"/>
    <xf numFmtId="170" fontId="34" fillId="0" borderId="53" xfId="0" applyNumberFormat="1" applyFont="1" applyBorder="1"/>
    <xf numFmtId="170" fontId="34" fillId="0" borderId="53" xfId="1" applyNumberFormat="1" applyFont="1" applyBorder="1"/>
    <xf numFmtId="164" fontId="34" fillId="0" borderId="84" xfId="0" applyNumberFormat="1" applyFont="1" applyBorder="1" applyAlignment="1">
      <alignment vertical="top"/>
    </xf>
    <xf numFmtId="0" fontId="34" fillId="0" borderId="72" xfId="0" applyFont="1" applyBorder="1" applyAlignment="1">
      <alignment vertical="center"/>
    </xf>
    <xf numFmtId="170" fontId="34" fillId="0" borderId="31" xfId="0" applyNumberFormat="1" applyFont="1" applyBorder="1" applyAlignment="1">
      <alignment vertical="center"/>
    </xf>
    <xf numFmtId="164" fontId="40" fillId="0" borderId="34" xfId="0" applyNumberFormat="1" applyFont="1" applyBorder="1" applyAlignment="1">
      <alignment vertical="top"/>
    </xf>
    <xf numFmtId="0" fontId="34" fillId="0" borderId="77" xfId="0" applyFont="1" applyBorder="1"/>
    <xf numFmtId="0" fontId="34" fillId="0" borderId="78" xfId="0" applyFont="1" applyBorder="1"/>
    <xf numFmtId="0" fontId="32" fillId="0" borderId="0" xfId="0" applyFont="1" applyAlignment="1">
      <alignment horizontal="center"/>
    </xf>
    <xf numFmtId="0" fontId="32" fillId="0" borderId="53" xfId="0" applyFont="1" applyBorder="1" applyAlignment="1">
      <alignment horizontal="center"/>
    </xf>
    <xf numFmtId="170" fontId="32" fillId="0" borderId="0" xfId="0" applyNumberFormat="1" applyFont="1"/>
    <xf numFmtId="43" fontId="32" fillId="0" borderId="53" xfId="0" applyNumberFormat="1" applyFont="1" applyBorder="1"/>
    <xf numFmtId="170" fontId="32" fillId="0" borderId="53" xfId="0" applyNumberFormat="1" applyFont="1" applyBorder="1"/>
    <xf numFmtId="0" fontId="32" fillId="3" borderId="1" xfId="0" applyFont="1" applyFill="1" applyBorder="1"/>
    <xf numFmtId="43" fontId="40" fillId="5" borderId="77" xfId="1" applyFont="1" applyFill="1" applyBorder="1"/>
    <xf numFmtId="0" fontId="32" fillId="6" borderId="77" xfId="0" applyFont="1" applyFill="1" applyBorder="1" applyAlignment="1">
      <alignment horizontal="center" vertical="center" wrapText="1"/>
    </xf>
    <xf numFmtId="0" fontId="32" fillId="6" borderId="78" xfId="0" applyFont="1" applyFill="1" applyBorder="1" applyAlignment="1">
      <alignment horizontal="center" vertical="center" wrapText="1"/>
    </xf>
    <xf numFmtId="0" fontId="32" fillId="3" borderId="2" xfId="0" applyFont="1" applyFill="1" applyBorder="1" applyAlignment="1">
      <alignment horizontal="left"/>
    </xf>
    <xf numFmtId="0" fontId="54" fillId="3" borderId="23" xfId="0" applyFont="1" applyFill="1" applyBorder="1" applyAlignment="1">
      <alignment wrapText="1"/>
    </xf>
    <xf numFmtId="0" fontId="54" fillId="3" borderId="1" xfId="0" applyFont="1" applyFill="1" applyBorder="1" applyAlignment="1">
      <alignment wrapText="1"/>
    </xf>
    <xf numFmtId="0" fontId="44" fillId="3" borderId="27" xfId="0" applyFont="1" applyFill="1" applyBorder="1"/>
    <xf numFmtId="41" fontId="0" fillId="0" borderId="42" xfId="0" applyNumberFormat="1" applyBorder="1"/>
    <xf numFmtId="43" fontId="0" fillId="0" borderId="0" xfId="1" applyFont="1" applyBorder="1"/>
    <xf numFmtId="0" fontId="66" fillId="0" borderId="0" xfId="477" applyNumberFormat="1" applyFont="1" applyAlignment="1">
      <alignment horizontal="right"/>
    </xf>
    <xf numFmtId="176" fontId="206" fillId="0" borderId="0" xfId="477" applyFont="1"/>
    <xf numFmtId="170" fontId="206" fillId="0" borderId="0" xfId="1" applyNumberFormat="1" applyFont="1" applyFill="1" applyBorder="1" applyAlignment="1" applyProtection="1">
      <alignment horizontal="center"/>
    </xf>
    <xf numFmtId="0" fontId="67" fillId="0" borderId="0" xfId="0" applyFont="1" applyAlignment="1">
      <alignment wrapText="1"/>
    </xf>
    <xf numFmtId="176" fontId="75" fillId="0" borderId="0" xfId="477" applyFont="1"/>
    <xf numFmtId="170" fontId="71" fillId="0" borderId="0" xfId="1" quotePrefix="1" applyNumberFormat="1" applyFont="1" applyFill="1" applyBorder="1" applyAlignment="1">
      <alignment horizontal="center"/>
    </xf>
    <xf numFmtId="0" fontId="66" fillId="0" borderId="157" xfId="477" applyNumberFormat="1" applyFont="1" applyBorder="1" applyAlignment="1">
      <alignment horizontal="right"/>
    </xf>
    <xf numFmtId="176" fontId="75" fillId="0" borderId="43" xfId="477" applyFont="1" applyBorder="1"/>
    <xf numFmtId="170" fontId="207" fillId="0" borderId="43" xfId="1" applyNumberFormat="1" applyFont="1" applyFill="1" applyBorder="1" applyAlignment="1" applyProtection="1">
      <alignment horizontal="right"/>
    </xf>
    <xf numFmtId="170" fontId="207" fillId="0" borderId="158" xfId="1" applyNumberFormat="1" applyFont="1" applyFill="1" applyBorder="1" applyAlignment="1" applyProtection="1">
      <alignment horizontal="right"/>
    </xf>
    <xf numFmtId="0" fontId="66" fillId="0" borderId="109" xfId="477" applyNumberFormat="1" applyFont="1" applyBorder="1" applyAlignment="1">
      <alignment horizontal="right"/>
    </xf>
    <xf numFmtId="170" fontId="207" fillId="0" borderId="0" xfId="1" applyNumberFormat="1" applyFont="1" applyFill="1" applyBorder="1" applyAlignment="1" applyProtection="1">
      <alignment horizontal="right"/>
    </xf>
    <xf numFmtId="170" fontId="207" fillId="0" borderId="110" xfId="1" applyNumberFormat="1" applyFont="1" applyFill="1" applyBorder="1" applyAlignment="1" applyProtection="1">
      <alignment horizontal="right"/>
    </xf>
    <xf numFmtId="0" fontId="70" fillId="0" borderId="109" xfId="0" applyFont="1" applyBorder="1" applyAlignment="1">
      <alignment horizontal="right"/>
    </xf>
    <xf numFmtId="176" fontId="207" fillId="0" borderId="0" xfId="477" applyFont="1"/>
    <xf numFmtId="170" fontId="207" fillId="113" borderId="0" xfId="1" applyNumberFormat="1" applyFont="1" applyFill="1" applyBorder="1" applyAlignment="1" applyProtection="1">
      <alignment horizontal="right"/>
    </xf>
    <xf numFmtId="170" fontId="207" fillId="112" borderId="0" xfId="1" applyNumberFormat="1" applyFont="1" applyFill="1" applyBorder="1" applyAlignment="1" applyProtection="1">
      <alignment horizontal="right"/>
    </xf>
    <xf numFmtId="176" fontId="208" fillId="0" borderId="0" xfId="477" applyFont="1"/>
    <xf numFmtId="170" fontId="208" fillId="0" borderId="0" xfId="1" applyNumberFormat="1" applyFont="1" applyFill="1" applyBorder="1" applyAlignment="1" applyProtection="1">
      <alignment horizontal="right"/>
    </xf>
    <xf numFmtId="170" fontId="208" fillId="0" borderId="110" xfId="1" applyNumberFormat="1" applyFont="1" applyFill="1" applyBorder="1" applyAlignment="1" applyProtection="1">
      <alignment horizontal="right"/>
    </xf>
    <xf numFmtId="0" fontId="66" fillId="0" borderId="159" xfId="477" applyNumberFormat="1" applyFont="1" applyBorder="1" applyAlignment="1">
      <alignment horizontal="right"/>
    </xf>
    <xf numFmtId="176" fontId="209" fillId="0" borderId="37" xfId="477" applyFont="1" applyBorder="1"/>
    <xf numFmtId="170" fontId="207" fillId="0" borderId="37" xfId="1" applyNumberFormat="1" applyFont="1" applyFill="1" applyBorder="1" applyAlignment="1" applyProtection="1">
      <alignment horizontal="right"/>
    </xf>
    <xf numFmtId="170" fontId="207" fillId="0" borderId="160" xfId="1" applyNumberFormat="1" applyFont="1" applyFill="1" applyBorder="1" applyAlignment="1" applyProtection="1">
      <alignment horizontal="right"/>
    </xf>
    <xf numFmtId="176" fontId="206" fillId="0" borderId="43" xfId="477" applyFont="1" applyBorder="1"/>
    <xf numFmtId="170" fontId="207" fillId="5" borderId="0" xfId="1" applyNumberFormat="1" applyFont="1" applyFill="1" applyBorder="1" applyAlignment="1" applyProtection="1">
      <alignment horizontal="right"/>
    </xf>
    <xf numFmtId="164" fontId="67" fillId="0" borderId="0" xfId="0" applyNumberFormat="1" applyFont="1"/>
    <xf numFmtId="170" fontId="67" fillId="0" borderId="0" xfId="0" applyNumberFormat="1" applyFont="1" applyAlignment="1">
      <alignment wrapText="1"/>
    </xf>
    <xf numFmtId="170" fontId="207" fillId="114" borderId="0" xfId="1" applyNumberFormat="1" applyFont="1" applyFill="1" applyBorder="1" applyAlignment="1" applyProtection="1">
      <alignment horizontal="right"/>
    </xf>
    <xf numFmtId="43" fontId="67" fillId="0" borderId="0" xfId="1" applyFont="1" applyFill="1"/>
    <xf numFmtId="170" fontId="67" fillId="0" borderId="0" xfId="1" applyNumberFormat="1" applyFont="1" applyFill="1"/>
    <xf numFmtId="176" fontId="209" fillId="0" borderId="0" xfId="477" applyFont="1"/>
    <xf numFmtId="170" fontId="70" fillId="111" borderId="110" xfId="1" applyNumberFormat="1" applyFont="1" applyFill="1" applyBorder="1" applyAlignment="1" applyProtection="1">
      <alignment horizontal="right"/>
    </xf>
    <xf numFmtId="176" fontId="209" fillId="0" borderId="43" xfId="477" applyFont="1" applyBorder="1"/>
    <xf numFmtId="176" fontId="207" fillId="5" borderId="0" xfId="477" applyFont="1" applyFill="1"/>
    <xf numFmtId="170" fontId="207" fillId="115" borderId="0" xfId="1" applyNumberFormat="1" applyFont="1" applyFill="1" applyBorder="1" applyAlignment="1" applyProtection="1">
      <alignment horizontal="right"/>
    </xf>
    <xf numFmtId="176" fontId="208" fillId="0" borderId="37" xfId="477" applyFont="1" applyBorder="1"/>
    <xf numFmtId="170" fontId="70" fillId="111" borderId="160" xfId="1" applyNumberFormat="1" applyFont="1" applyFill="1" applyBorder="1" applyAlignment="1" applyProtection="1">
      <alignment horizontal="right"/>
    </xf>
    <xf numFmtId="176" fontId="208" fillId="0" borderId="43" xfId="477" applyFont="1" applyBorder="1"/>
    <xf numFmtId="170" fontId="70" fillId="0" borderId="158" xfId="1" applyNumberFormat="1" applyFont="1" applyFill="1" applyBorder="1" applyAlignment="1" applyProtection="1">
      <alignment horizontal="right"/>
    </xf>
    <xf numFmtId="170" fontId="70" fillId="0" borderId="110" xfId="1" applyNumberFormat="1" applyFont="1" applyFill="1" applyBorder="1" applyAlignment="1" applyProtection="1">
      <alignment horizontal="right"/>
    </xf>
    <xf numFmtId="170" fontId="70" fillId="0" borderId="160" xfId="1" applyNumberFormat="1" applyFont="1" applyFill="1" applyBorder="1" applyAlignment="1" applyProtection="1">
      <alignment horizontal="right"/>
    </xf>
    <xf numFmtId="176" fontId="210" fillId="0" borderId="43" xfId="477" applyFont="1" applyBorder="1"/>
    <xf numFmtId="176" fontId="211" fillId="0" borderId="0" xfId="477" applyFont="1"/>
    <xf numFmtId="170" fontId="67" fillId="115" borderId="0" xfId="1" applyNumberFormat="1" applyFont="1" applyFill="1" applyBorder="1"/>
    <xf numFmtId="0" fontId="70" fillId="0" borderId="159" xfId="0" applyFont="1" applyBorder="1" applyAlignment="1">
      <alignment horizontal="right"/>
    </xf>
    <xf numFmtId="176" fontId="210" fillId="0" borderId="0" xfId="477" applyFont="1"/>
    <xf numFmtId="170" fontId="208" fillId="113" borderId="110" xfId="1" applyNumberFormat="1" applyFont="1" applyFill="1" applyBorder="1" applyAlignment="1" applyProtection="1">
      <alignment horizontal="right"/>
    </xf>
    <xf numFmtId="0" fontId="70" fillId="0" borderId="157" xfId="0" applyFont="1" applyBorder="1" applyAlignment="1">
      <alignment horizontal="right"/>
    </xf>
    <xf numFmtId="0" fontId="67" fillId="0" borderId="43" xfId="0" applyFont="1" applyBorder="1"/>
    <xf numFmtId="170" fontId="67" fillId="0" borderId="110" xfId="1" applyNumberFormat="1" applyFont="1" applyFill="1" applyBorder="1" applyAlignment="1" applyProtection="1">
      <alignment horizontal="right"/>
    </xf>
    <xf numFmtId="170" fontId="67" fillId="111" borderId="110" xfId="1" applyNumberFormat="1" applyFont="1" applyFill="1" applyBorder="1" applyAlignment="1" applyProtection="1">
      <alignment horizontal="right"/>
    </xf>
    <xf numFmtId="170" fontId="67" fillId="0" borderId="160" xfId="1" applyNumberFormat="1" applyFont="1" applyFill="1" applyBorder="1" applyAlignment="1" applyProtection="1">
      <alignment horizontal="right"/>
    </xf>
    <xf numFmtId="170" fontId="67" fillId="0" borderId="158" xfId="1" applyNumberFormat="1" applyFont="1" applyFill="1" applyBorder="1" applyAlignment="1" applyProtection="1">
      <alignment horizontal="right"/>
    </xf>
    <xf numFmtId="176" fontId="67" fillId="0" borderId="0" xfId="477" applyFont="1"/>
    <xf numFmtId="170" fontId="207" fillId="111" borderId="0" xfId="1" applyNumberFormat="1" applyFont="1" applyFill="1" applyBorder="1" applyAlignment="1" applyProtection="1">
      <alignment horizontal="right"/>
    </xf>
    <xf numFmtId="170" fontId="207" fillId="114" borderId="110" xfId="1" applyNumberFormat="1" applyFont="1" applyFill="1" applyBorder="1" applyAlignment="1" applyProtection="1">
      <alignment horizontal="right"/>
    </xf>
    <xf numFmtId="0" fontId="70" fillId="0" borderId="159" xfId="0" applyFont="1" applyBorder="1"/>
    <xf numFmtId="0" fontId="70" fillId="0" borderId="157" xfId="0" applyFont="1" applyBorder="1"/>
    <xf numFmtId="0" fontId="70" fillId="0" borderId="109" xfId="0" applyFont="1" applyBorder="1"/>
    <xf numFmtId="0" fontId="212" fillId="0" borderId="0" xfId="0" applyFont="1"/>
    <xf numFmtId="170" fontId="67" fillId="0" borderId="110" xfId="1" applyNumberFormat="1" applyFont="1" applyFill="1" applyBorder="1"/>
    <xf numFmtId="170" fontId="67" fillId="111" borderId="0" xfId="1" applyNumberFormat="1" applyFont="1" applyFill="1" applyBorder="1"/>
    <xf numFmtId="170" fontId="67" fillId="5" borderId="0" xfId="1" applyNumberFormat="1" applyFont="1" applyFill="1" applyBorder="1"/>
    <xf numFmtId="170" fontId="67" fillId="0" borderId="37" xfId="1" applyNumberFormat="1" applyFont="1" applyFill="1" applyBorder="1"/>
    <xf numFmtId="0" fontId="70" fillId="0" borderId="160" xfId="0" applyFont="1" applyBorder="1" applyAlignment="1">
      <alignment horizontal="right"/>
    </xf>
    <xf numFmtId="0" fontId="70" fillId="0" borderId="0" xfId="0" applyFont="1" applyAlignment="1">
      <alignment horizontal="right"/>
    </xf>
    <xf numFmtId="0" fontId="213" fillId="0" borderId="0" xfId="0" applyFont="1"/>
    <xf numFmtId="0" fontId="67" fillId="110" borderId="0" xfId="0" applyFont="1" applyFill="1"/>
    <xf numFmtId="170" fontId="67" fillId="114" borderId="0" xfId="1" applyNumberFormat="1" applyFont="1" applyFill="1" applyBorder="1"/>
    <xf numFmtId="170" fontId="67" fillId="51" borderId="0" xfId="1" applyNumberFormat="1" applyFont="1" applyFill="1" applyBorder="1"/>
    <xf numFmtId="176" fontId="208" fillId="110" borderId="0" xfId="477" applyFont="1" applyFill="1"/>
    <xf numFmtId="43" fontId="67" fillId="114" borderId="0" xfId="1" applyFont="1" applyFill="1" applyBorder="1"/>
    <xf numFmtId="43" fontId="67" fillId="0" borderId="0" xfId="1" applyFont="1" applyFill="1" applyBorder="1"/>
    <xf numFmtId="0" fontId="70" fillId="107" borderId="0" xfId="0" applyFont="1" applyFill="1" applyAlignment="1">
      <alignment horizontal="right"/>
    </xf>
    <xf numFmtId="170" fontId="207" fillId="110" borderId="0" xfId="1" applyNumberFormat="1" applyFont="1" applyFill="1" applyBorder="1" applyAlignment="1" applyProtection="1">
      <alignment horizontal="right"/>
    </xf>
    <xf numFmtId="170" fontId="207" fillId="107" borderId="0" xfId="1" applyNumberFormat="1" applyFont="1" applyFill="1" applyBorder="1" applyAlignment="1" applyProtection="1">
      <alignment horizontal="right"/>
    </xf>
    <xf numFmtId="43" fontId="67" fillId="0" borderId="0" xfId="1" applyFont="1"/>
    <xf numFmtId="170" fontId="67" fillId="107" borderId="0" xfId="1" applyNumberFormat="1" applyFont="1" applyFill="1" applyBorder="1"/>
    <xf numFmtId="0" fontId="67" fillId="0" borderId="0" xfId="0" quotePrefix="1" applyFont="1"/>
    <xf numFmtId="0" fontId="216" fillId="0" borderId="0" xfId="0" applyFont="1" applyAlignment="1">
      <alignment vertical="center" wrapText="1"/>
    </xf>
    <xf numFmtId="0" fontId="217" fillId="0" borderId="0" xfId="0" applyFont="1" applyAlignment="1">
      <alignment vertical="center"/>
    </xf>
    <xf numFmtId="0" fontId="67" fillId="107" borderId="0" xfId="0" applyFont="1" applyFill="1"/>
    <xf numFmtId="170" fontId="70" fillId="5" borderId="0" xfId="1" applyNumberFormat="1" applyFont="1" applyFill="1"/>
    <xf numFmtId="170" fontId="216" fillId="0" borderId="0" xfId="1" applyNumberFormat="1" applyFont="1" applyFill="1" applyBorder="1" applyAlignment="1">
      <alignment vertical="center" wrapText="1"/>
    </xf>
    <xf numFmtId="0" fontId="217" fillId="0" borderId="0" xfId="0" applyFont="1" applyAlignment="1">
      <alignment vertical="center" wrapText="1"/>
    </xf>
    <xf numFmtId="0" fontId="217" fillId="0" borderId="0" xfId="0" applyFont="1" applyAlignment="1">
      <alignment horizontal="right" vertical="center"/>
    </xf>
    <xf numFmtId="43" fontId="218" fillId="0" borderId="0" xfId="1" applyFont="1" applyFill="1" applyBorder="1"/>
    <xf numFmtId="43" fontId="71" fillId="0" borderId="0" xfId="1" applyFont="1" applyFill="1"/>
    <xf numFmtId="164" fontId="71" fillId="0" borderId="0" xfId="0" applyNumberFormat="1" applyFont="1"/>
    <xf numFmtId="0" fontId="71" fillId="0" borderId="0" xfId="0" applyFont="1" applyAlignment="1">
      <alignment wrapText="1"/>
    </xf>
    <xf numFmtId="0" fontId="71" fillId="0" borderId="0" xfId="2" applyFont="1" applyFill="1"/>
    <xf numFmtId="43" fontId="71" fillId="0" borderId="142" xfId="1" applyFont="1" applyFill="1" applyBorder="1" applyAlignment="1">
      <alignment wrapText="1"/>
    </xf>
    <xf numFmtId="170" fontId="71" fillId="0" borderId="0" xfId="0" applyNumberFormat="1" applyFont="1" applyAlignment="1">
      <alignment wrapText="1"/>
    </xf>
    <xf numFmtId="0" fontId="67" fillId="0" borderId="0" xfId="2" applyFont="1" applyFill="1"/>
    <xf numFmtId="0" fontId="211" fillId="107" borderId="0" xfId="0" applyFont="1" applyFill="1"/>
    <xf numFmtId="43" fontId="67" fillId="0" borderId="0" xfId="0" applyNumberFormat="1" applyFont="1" applyAlignment="1">
      <alignment wrapText="1"/>
    </xf>
    <xf numFmtId="170" fontId="67" fillId="111" borderId="0" xfId="0" applyNumberFormat="1" applyFont="1" applyFill="1"/>
    <xf numFmtId="43" fontId="67" fillId="0" borderId="0" xfId="1" applyFont="1" applyAlignment="1">
      <alignment wrapText="1"/>
    </xf>
    <xf numFmtId="43" fontId="67" fillId="5" borderId="0" xfId="1" applyFont="1" applyFill="1" applyAlignment="1">
      <alignment wrapText="1"/>
    </xf>
    <xf numFmtId="170" fontId="67" fillId="0" borderId="0" xfId="1" applyNumberFormat="1" applyFont="1" applyBorder="1"/>
    <xf numFmtId="170" fontId="67" fillId="112" borderId="0" xfId="1" applyNumberFormat="1" applyFont="1" applyFill="1" applyBorder="1"/>
    <xf numFmtId="170" fontId="67" fillId="5" borderId="0" xfId="1" applyNumberFormat="1" applyFont="1" applyFill="1"/>
    <xf numFmtId="0" fontId="71" fillId="8" borderId="27" xfId="0" applyFont="1" applyFill="1" applyBorder="1"/>
    <xf numFmtId="0" fontId="71" fillId="8" borderId="29" xfId="0" applyFont="1" applyFill="1" applyBorder="1"/>
    <xf numFmtId="0" fontId="71" fillId="8" borderId="29" xfId="0" applyFont="1" applyFill="1" applyBorder="1" applyAlignment="1">
      <alignment wrapText="1"/>
    </xf>
    <xf numFmtId="0" fontId="71" fillId="8" borderId="59" xfId="0" applyFont="1" applyFill="1" applyBorder="1"/>
    <xf numFmtId="0" fontId="71" fillId="8" borderId="25" xfId="0" applyFont="1" applyFill="1" applyBorder="1"/>
    <xf numFmtId="0" fontId="71" fillId="8" borderId="0" xfId="0" applyFont="1" applyFill="1"/>
    <xf numFmtId="0" fontId="71" fillId="8" borderId="0" xfId="0" applyFont="1" applyFill="1" applyAlignment="1">
      <alignment wrapText="1"/>
    </xf>
    <xf numFmtId="0" fontId="71" fillId="8" borderId="53" xfId="0" applyFont="1" applyFill="1" applyBorder="1"/>
    <xf numFmtId="43" fontId="71" fillId="8" borderId="0" xfId="1" applyFont="1" applyFill="1" applyBorder="1" applyAlignment="1">
      <alignment wrapText="1"/>
    </xf>
    <xf numFmtId="170" fontId="71" fillId="8" borderId="0" xfId="1" applyNumberFormat="1" applyFont="1" applyFill="1" applyBorder="1"/>
    <xf numFmtId="170" fontId="71" fillId="8" borderId="142" xfId="1" applyNumberFormat="1" applyFont="1" applyFill="1" applyBorder="1"/>
    <xf numFmtId="170" fontId="71" fillId="8" borderId="0" xfId="0" applyNumberFormat="1" applyFont="1" applyFill="1"/>
    <xf numFmtId="164" fontId="71" fillId="8" borderId="0" xfId="0" applyNumberFormat="1" applyFont="1" applyFill="1" applyAlignment="1">
      <alignment wrapText="1"/>
    </xf>
    <xf numFmtId="0" fontId="71" fillId="8" borderId="84" xfId="0" applyFont="1" applyFill="1" applyBorder="1"/>
    <xf numFmtId="0" fontId="71" fillId="8" borderId="72" xfId="0" applyFont="1" applyFill="1" applyBorder="1"/>
    <xf numFmtId="0" fontId="71" fillId="8" borderId="72" xfId="0" applyFont="1" applyFill="1" applyBorder="1" applyAlignment="1">
      <alignment wrapText="1"/>
    </xf>
    <xf numFmtId="0" fontId="71" fillId="8" borderId="31" xfId="0" applyFont="1" applyFill="1" applyBorder="1"/>
    <xf numFmtId="170" fontId="208" fillId="0" borderId="0" xfId="1" applyNumberFormat="1" applyFont="1" applyFill="1" applyBorder="1"/>
    <xf numFmtId="0" fontId="219" fillId="110" borderId="0" xfId="0" applyFont="1" applyFill="1"/>
    <xf numFmtId="0" fontId="213" fillId="0" borderId="43" xfId="0" applyFont="1" applyBorder="1"/>
    <xf numFmtId="170" fontId="67" fillId="0" borderId="43" xfId="1" applyNumberFormat="1" applyFont="1" applyFill="1" applyBorder="1"/>
    <xf numFmtId="170" fontId="67" fillId="0" borderId="158" xfId="1" applyNumberFormat="1" applyFont="1" applyFill="1" applyBorder="1"/>
    <xf numFmtId="170" fontId="67" fillId="5" borderId="110" xfId="1" applyNumberFormat="1" applyFont="1" applyFill="1" applyBorder="1"/>
    <xf numFmtId="0" fontId="67" fillId="0" borderId="109" xfId="0" applyFont="1" applyBorder="1"/>
    <xf numFmtId="43" fontId="67" fillId="0" borderId="110" xfId="1" applyFont="1" applyFill="1" applyBorder="1"/>
    <xf numFmtId="0" fontId="67" fillId="0" borderId="110" xfId="0" applyFont="1" applyBorder="1"/>
    <xf numFmtId="43" fontId="67" fillId="114" borderId="110" xfId="1" applyFont="1" applyFill="1" applyBorder="1"/>
    <xf numFmtId="170" fontId="67" fillId="115" borderId="110" xfId="1" applyNumberFormat="1" applyFont="1" applyFill="1" applyBorder="1"/>
    <xf numFmtId="0" fontId="67" fillId="0" borderId="159" xfId="0" applyFont="1" applyBorder="1"/>
    <xf numFmtId="176" fontId="220" fillId="0" borderId="0" xfId="477" applyFont="1"/>
    <xf numFmtId="170" fontId="67" fillId="51" borderId="110" xfId="1" applyNumberFormat="1" applyFont="1" applyFill="1" applyBorder="1"/>
    <xf numFmtId="170" fontId="67" fillId="101" borderId="110" xfId="1" applyNumberFormat="1" applyFont="1" applyFill="1" applyBorder="1"/>
    <xf numFmtId="170" fontId="67" fillId="111" borderId="110" xfId="0" applyNumberFormat="1" applyFont="1" applyFill="1" applyBorder="1"/>
    <xf numFmtId="170" fontId="67" fillId="114" borderId="110" xfId="0" applyNumberFormat="1" applyFont="1" applyFill="1" applyBorder="1"/>
    <xf numFmtId="170" fontId="67" fillId="0" borderId="110" xfId="0" applyNumberFormat="1" applyFont="1" applyBorder="1"/>
    <xf numFmtId="0" fontId="67" fillId="0" borderId="37" xfId="0" applyFont="1" applyBorder="1"/>
    <xf numFmtId="170" fontId="67" fillId="0" borderId="37" xfId="0" applyNumberFormat="1" applyFont="1" applyBorder="1"/>
    <xf numFmtId="170" fontId="67" fillId="0" borderId="160" xfId="0" applyNumberFormat="1" applyFont="1" applyBorder="1"/>
    <xf numFmtId="0" fontId="210" fillId="107" borderId="0" xfId="0" applyFont="1" applyFill="1"/>
    <xf numFmtId="0" fontId="210" fillId="0" borderId="0" xfId="0" applyFont="1"/>
    <xf numFmtId="176" fontId="215" fillId="0" borderId="0" xfId="477" applyFont="1"/>
    <xf numFmtId="0" fontId="70" fillId="107" borderId="157" xfId="0" applyFont="1" applyFill="1" applyBorder="1" applyAlignment="1">
      <alignment horizontal="right"/>
    </xf>
    <xf numFmtId="0" fontId="66" fillId="107" borderId="109" xfId="477" applyNumberFormat="1" applyFont="1" applyFill="1" applyBorder="1" applyAlignment="1">
      <alignment horizontal="right"/>
    </xf>
    <xf numFmtId="170" fontId="207" fillId="110" borderId="110" xfId="1" applyNumberFormat="1" applyFont="1" applyFill="1" applyBorder="1" applyAlignment="1" applyProtection="1">
      <alignment horizontal="right"/>
    </xf>
    <xf numFmtId="170" fontId="207" fillId="107" borderId="110" xfId="1" applyNumberFormat="1" applyFont="1" applyFill="1" applyBorder="1" applyAlignment="1" applyProtection="1">
      <alignment horizontal="right"/>
    </xf>
    <xf numFmtId="0" fontId="66" fillId="14" borderId="109" xfId="477" applyNumberFormat="1" applyFont="1" applyFill="1" applyBorder="1" applyAlignment="1">
      <alignment horizontal="right"/>
    </xf>
    <xf numFmtId="170" fontId="67" fillId="0" borderId="110" xfId="1" applyNumberFormat="1" applyFont="1" applyBorder="1"/>
    <xf numFmtId="170" fontId="67" fillId="107" borderId="37" xfId="1" applyNumberFormat="1" applyFont="1" applyFill="1" applyBorder="1"/>
    <xf numFmtId="170" fontId="67" fillId="107" borderId="160" xfId="1" applyNumberFormat="1" applyFont="1" applyFill="1" applyBorder="1"/>
    <xf numFmtId="170" fontId="67" fillId="0" borderId="160" xfId="1" applyNumberFormat="1" applyFont="1" applyFill="1" applyBorder="1"/>
    <xf numFmtId="0" fontId="219" fillId="0" borderId="43" xfId="0" applyFont="1" applyBorder="1"/>
    <xf numFmtId="170" fontId="67" fillId="114" borderId="110" xfId="1" applyNumberFormat="1" applyFont="1" applyFill="1" applyBorder="1"/>
    <xf numFmtId="0" fontId="67" fillId="0" borderId="160" xfId="0" applyFont="1" applyBorder="1"/>
    <xf numFmtId="0" fontId="210" fillId="110" borderId="0" xfId="0" applyFont="1" applyFill="1"/>
    <xf numFmtId="0" fontId="70" fillId="110" borderId="109" xfId="0" applyFont="1" applyFill="1" applyBorder="1" applyAlignment="1">
      <alignment horizontal="right"/>
    </xf>
    <xf numFmtId="176" fontId="214" fillId="110" borderId="0" xfId="477" applyFont="1" applyFill="1"/>
    <xf numFmtId="0" fontId="67" fillId="110" borderId="109" xfId="0" applyFont="1" applyFill="1" applyBorder="1"/>
    <xf numFmtId="176" fontId="69" fillId="110" borderId="0" xfId="477" applyFont="1" applyFill="1"/>
    <xf numFmtId="0" fontId="67" fillId="110" borderId="159" xfId="0" applyFont="1" applyFill="1" applyBorder="1"/>
    <xf numFmtId="0" fontId="67" fillId="110" borderId="37" xfId="0" applyFont="1" applyFill="1" applyBorder="1"/>
    <xf numFmtId="173" fontId="67" fillId="0" borderId="0" xfId="0" applyNumberFormat="1" applyFont="1"/>
    <xf numFmtId="0" fontId="70" fillId="109" borderId="157" xfId="0" applyFont="1" applyFill="1" applyBorder="1" applyAlignment="1">
      <alignment horizontal="right"/>
    </xf>
    <xf numFmtId="0" fontId="67" fillId="109" borderId="43" xfId="0" applyFont="1" applyFill="1" applyBorder="1"/>
    <xf numFmtId="0" fontId="70" fillId="109" borderId="109" xfId="0" applyFont="1" applyFill="1" applyBorder="1" applyAlignment="1">
      <alignment horizontal="right"/>
    </xf>
    <xf numFmtId="0" fontId="67" fillId="109" borderId="0" xfId="0" applyFont="1" applyFill="1"/>
    <xf numFmtId="0" fontId="70" fillId="109" borderId="159" xfId="0" applyFont="1" applyFill="1" applyBorder="1" applyAlignment="1">
      <alignment horizontal="right"/>
    </xf>
    <xf numFmtId="0" fontId="67" fillId="109" borderId="37" xfId="0" applyFont="1" applyFill="1" applyBorder="1"/>
    <xf numFmtId="0" fontId="210" fillId="109" borderId="0" xfId="0" applyFont="1" applyFill="1"/>
    <xf numFmtId="170" fontId="210" fillId="0" borderId="0" xfId="1" applyNumberFormat="1" applyFont="1" applyFill="1" applyBorder="1" applyAlignment="1" applyProtection="1">
      <alignment horizontal="center"/>
    </xf>
    <xf numFmtId="170" fontId="210" fillId="0" borderId="0" xfId="1" quotePrefix="1" applyNumberFormat="1" applyFont="1" applyFill="1" applyBorder="1" applyAlignment="1">
      <alignment horizontal="center"/>
    </xf>
    <xf numFmtId="170" fontId="210" fillId="0" borderId="0" xfId="1" applyNumberFormat="1" applyFont="1" applyFill="1" applyBorder="1" applyAlignment="1" applyProtection="1">
      <alignment horizontal="right"/>
    </xf>
    <xf numFmtId="170" fontId="210" fillId="0" borderId="0" xfId="1" applyNumberFormat="1" applyFont="1" applyFill="1" applyBorder="1"/>
    <xf numFmtId="0" fontId="210" fillId="0" borderId="0" xfId="0" applyFont="1" applyAlignment="1">
      <alignment horizontal="right"/>
    </xf>
    <xf numFmtId="170" fontId="210" fillId="110" borderId="0" xfId="1" applyNumberFormat="1" applyFont="1" applyFill="1" applyBorder="1" applyAlignment="1" applyProtection="1">
      <alignment horizontal="right"/>
    </xf>
    <xf numFmtId="170" fontId="210" fillId="107" borderId="0" xfId="1" applyNumberFormat="1" applyFont="1" applyFill="1" applyBorder="1" applyAlignment="1" applyProtection="1">
      <alignment horizontal="right"/>
    </xf>
    <xf numFmtId="170" fontId="210" fillId="107" borderId="0" xfId="1" applyNumberFormat="1" applyFont="1" applyFill="1" applyBorder="1"/>
    <xf numFmtId="170" fontId="210" fillId="0" borderId="0" xfId="478" applyNumberFormat="1" applyFont="1" applyFill="1" applyBorder="1" applyAlignment="1" applyProtection="1">
      <alignment horizontal="right"/>
    </xf>
    <xf numFmtId="170" fontId="210" fillId="0" borderId="0" xfId="0" applyNumberFormat="1" applyFont="1"/>
    <xf numFmtId="170" fontId="210" fillId="0" borderId="0" xfId="1" applyNumberFormat="1" applyFont="1" applyFill="1" applyBorder="1" applyAlignment="1">
      <alignment horizontal="center"/>
    </xf>
    <xf numFmtId="0" fontId="71" fillId="0" borderId="0" xfId="0" applyFont="1" applyAlignment="1">
      <alignment horizontal="justify" vertical="center" wrapText="1"/>
    </xf>
    <xf numFmtId="0" fontId="71" fillId="0" borderId="29" xfId="0" applyFont="1" applyBorder="1" applyAlignment="1">
      <alignment horizontal="right" vertical="center" wrapText="1"/>
    </xf>
    <xf numFmtId="0" fontId="71" fillId="0" borderId="0" xfId="0" applyFont="1" applyAlignment="1">
      <alignment horizontal="right" vertical="center" wrapText="1"/>
    </xf>
    <xf numFmtId="0" fontId="71" fillId="108" borderId="0" xfId="0" applyFont="1" applyFill="1" applyAlignment="1">
      <alignment horizontal="right" vertical="center" wrapText="1"/>
    </xf>
    <xf numFmtId="0" fontId="71" fillId="0" borderId="27" xfId="0" applyFont="1" applyBorder="1"/>
    <xf numFmtId="0" fontId="71" fillId="0" borderId="0" xfId="0" applyFont="1" applyAlignment="1">
      <alignment vertical="center" wrapText="1"/>
    </xf>
    <xf numFmtId="170" fontId="67" fillId="0" borderId="53" xfId="1" applyNumberFormat="1" applyFont="1" applyBorder="1"/>
    <xf numFmtId="0" fontId="67" fillId="108" borderId="0" xfId="0" applyFont="1" applyFill="1"/>
    <xf numFmtId="170" fontId="216" fillId="0" borderId="0" xfId="1" applyNumberFormat="1" applyFont="1" applyAlignment="1">
      <alignment horizontal="right" vertical="center" wrapText="1"/>
    </xf>
    <xf numFmtId="170" fontId="216" fillId="108" borderId="0" xfId="1" applyNumberFormat="1" applyFont="1" applyFill="1" applyAlignment="1">
      <alignment horizontal="right" vertical="center" wrapText="1"/>
    </xf>
    <xf numFmtId="0" fontId="67" fillId="0" borderId="0" xfId="0" applyFont="1" applyAlignment="1">
      <alignment vertical="center" wrapText="1"/>
    </xf>
    <xf numFmtId="0" fontId="70" fillId="0" borderId="0" xfId="0" applyFont="1" applyAlignment="1">
      <alignment vertical="center" wrapText="1"/>
    </xf>
    <xf numFmtId="170" fontId="67" fillId="0" borderId="0" xfId="0" applyNumberFormat="1" applyFont="1" applyAlignment="1">
      <alignment vertical="center"/>
    </xf>
    <xf numFmtId="0" fontId="71" fillId="0" borderId="34" xfId="0" applyFont="1" applyBorder="1"/>
    <xf numFmtId="170" fontId="71" fillId="0" borderId="78" xfId="1" applyNumberFormat="1" applyFont="1" applyFill="1" applyBorder="1"/>
    <xf numFmtId="170" fontId="67" fillId="5" borderId="0" xfId="0" applyNumberFormat="1" applyFont="1" applyFill="1"/>
    <xf numFmtId="170" fontId="71" fillId="0" borderId="42" xfId="0" applyNumberFormat="1" applyFont="1" applyBorder="1"/>
    <xf numFmtId="170" fontId="71" fillId="108" borderId="42" xfId="0" applyNumberFormat="1" applyFont="1" applyFill="1" applyBorder="1"/>
    <xf numFmtId="170" fontId="70" fillId="0" borderId="0" xfId="1" applyNumberFormat="1" applyFont="1"/>
    <xf numFmtId="170" fontId="67" fillId="109" borderId="0" xfId="0" applyNumberFormat="1" applyFont="1" applyFill="1"/>
    <xf numFmtId="170" fontId="63" fillId="0" borderId="0" xfId="1" applyNumberFormat="1" applyFont="1" applyFill="1" applyAlignment="1">
      <alignment vertical="top"/>
    </xf>
    <xf numFmtId="43" fontId="34" fillId="0" borderId="0" xfId="1" applyFont="1" applyAlignment="1">
      <alignment vertical="top"/>
    </xf>
    <xf numFmtId="43" fontId="75" fillId="0" borderId="0" xfId="1" applyFont="1"/>
    <xf numFmtId="170" fontId="67" fillId="0" borderId="0" xfId="1" applyNumberFormat="1" applyFont="1" applyAlignment="1">
      <alignment wrapText="1"/>
    </xf>
    <xf numFmtId="170" fontId="75" fillId="0" borderId="0" xfId="1" applyNumberFormat="1" applyFont="1"/>
    <xf numFmtId="166" fontId="34" fillId="2" borderId="0" xfId="0" applyNumberFormat="1" applyFont="1" applyFill="1" applyAlignment="1">
      <alignment wrapText="1"/>
    </xf>
    <xf numFmtId="0" fontId="67" fillId="113" borderId="0" xfId="0" applyFont="1" applyFill="1"/>
    <xf numFmtId="14" fontId="32" fillId="3" borderId="2" xfId="0" applyNumberFormat="1" applyFont="1" applyFill="1" applyBorder="1" applyAlignment="1">
      <alignment horizontal="right"/>
    </xf>
    <xf numFmtId="14" fontId="32" fillId="3" borderId="70" xfId="0" applyNumberFormat="1" applyFont="1" applyFill="1" applyBorder="1" applyAlignment="1">
      <alignment horizontal="center"/>
    </xf>
    <xf numFmtId="14" fontId="32" fillId="3" borderId="2" xfId="0" applyNumberFormat="1" applyFont="1" applyFill="1" applyBorder="1" applyAlignment="1">
      <alignment horizontal="center"/>
    </xf>
    <xf numFmtId="0" fontId="32" fillId="3" borderId="70" xfId="0" applyFont="1" applyFill="1" applyBorder="1" applyAlignment="1">
      <alignment horizontal="center"/>
    </xf>
    <xf numFmtId="14" fontId="32" fillId="9" borderId="2" xfId="0" applyNumberFormat="1" applyFont="1" applyFill="1" applyBorder="1" applyAlignment="1">
      <alignment horizontal="center"/>
    </xf>
    <xf numFmtId="0" fontId="32" fillId="9" borderId="38" xfId="0" applyFont="1" applyFill="1" applyBorder="1" applyAlignment="1">
      <alignment horizontal="center"/>
    </xf>
    <xf numFmtId="170" fontId="37" fillId="5" borderId="0" xfId="1" applyNumberFormat="1" applyFont="1" applyFill="1"/>
    <xf numFmtId="170" fontId="38" fillId="0" borderId="0" xfId="1" applyNumberFormat="1" applyFont="1"/>
    <xf numFmtId="170" fontId="34" fillId="0" borderId="0" xfId="1" applyNumberFormat="1" applyFont="1" applyAlignment="1">
      <alignment horizontal="right"/>
    </xf>
    <xf numFmtId="14" fontId="32" fillId="3" borderId="1" xfId="0" applyNumberFormat="1" applyFont="1" applyFill="1" applyBorder="1" applyAlignment="1">
      <alignment horizontal="right"/>
    </xf>
    <xf numFmtId="166" fontId="63" fillId="0" borderId="0" xfId="0" applyNumberFormat="1" applyFont="1" applyAlignment="1">
      <alignment horizontal="right"/>
    </xf>
    <xf numFmtId="43" fontId="63" fillId="0" borderId="0" xfId="1" applyFont="1" applyAlignment="1"/>
    <xf numFmtId="14" fontId="32" fillId="9" borderId="1" xfId="0" applyNumberFormat="1" applyFont="1" applyFill="1" applyBorder="1" applyAlignment="1">
      <alignment horizontal="right"/>
    </xf>
    <xf numFmtId="10" fontId="34" fillId="0" borderId="8" xfId="2" applyNumberFormat="1" applyFont="1" applyFill="1" applyBorder="1" applyAlignment="1" applyProtection="1">
      <alignment horizontal="right"/>
    </xf>
    <xf numFmtId="10" fontId="37" fillId="5" borderId="0" xfId="2" applyNumberFormat="1" applyFont="1" applyFill="1"/>
    <xf numFmtId="10" fontId="37" fillId="0" borderId="0" xfId="2" applyNumberFormat="1" applyFont="1"/>
    <xf numFmtId="10" fontId="34" fillId="0" borderId="7" xfId="2" applyNumberFormat="1" applyFont="1" applyFill="1" applyBorder="1" applyAlignment="1" applyProtection="1">
      <alignment horizontal="right"/>
    </xf>
    <xf numFmtId="14" fontId="32" fillId="9" borderId="2" xfId="0" applyNumberFormat="1" applyFont="1" applyFill="1" applyBorder="1" applyAlignment="1">
      <alignment horizontal="right"/>
    </xf>
    <xf numFmtId="10" fontId="32" fillId="2" borderId="15" xfId="2" applyNumberFormat="1" applyFont="1" applyFill="1" applyBorder="1" applyAlignment="1" applyProtection="1">
      <alignment horizontal="right"/>
    </xf>
    <xf numFmtId="10" fontId="32" fillId="3" borderId="1" xfId="2" applyNumberFormat="1" applyFont="1" applyFill="1" applyBorder="1" applyAlignment="1">
      <alignment horizontal="center" wrapText="1"/>
    </xf>
    <xf numFmtId="10" fontId="32" fillId="3" borderId="2" xfId="0" applyNumberFormat="1" applyFont="1" applyFill="1" applyBorder="1" applyAlignment="1">
      <alignment horizontal="justify"/>
    </xf>
    <xf numFmtId="10" fontId="34" fillId="0" borderId="0" xfId="0" applyNumberFormat="1" applyFont="1"/>
    <xf numFmtId="10" fontId="34" fillId="3" borderId="2" xfId="0" applyNumberFormat="1" applyFont="1" applyFill="1" applyBorder="1" applyAlignment="1">
      <alignment horizontal="justify"/>
    </xf>
    <xf numFmtId="10" fontId="34" fillId="0" borderId="32" xfId="2" applyNumberFormat="1" applyFont="1" applyFill="1" applyBorder="1" applyAlignment="1" applyProtection="1">
      <alignment horizontal="right"/>
    </xf>
    <xf numFmtId="10" fontId="12" fillId="13" borderId="0" xfId="2" applyNumberFormat="1" applyFont="1" applyFill="1"/>
    <xf numFmtId="10" fontId="12" fillId="13" borderId="53" xfId="2" applyNumberFormat="1" applyFont="1" applyFill="1" applyBorder="1"/>
    <xf numFmtId="10" fontId="12" fillId="13" borderId="0" xfId="2" applyNumberFormat="1" applyFont="1" applyFill="1" applyBorder="1"/>
    <xf numFmtId="10" fontId="12" fillId="13" borderId="0" xfId="0" applyNumberFormat="1" applyFont="1" applyFill="1"/>
    <xf numFmtId="10" fontId="12" fillId="13" borderId="53" xfId="0" applyNumberFormat="1" applyFont="1" applyFill="1" applyBorder="1"/>
    <xf numFmtId="10" fontId="2" fillId="13" borderId="0" xfId="2" applyNumberFormat="1" applyFont="1" applyFill="1" applyBorder="1"/>
    <xf numFmtId="10" fontId="61" fillId="13" borderId="53" xfId="0" applyNumberFormat="1" applyFont="1" applyFill="1" applyBorder="1"/>
    <xf numFmtId="10" fontId="0" fillId="13" borderId="0" xfId="2" applyNumberFormat="1" applyFont="1" applyFill="1" applyBorder="1"/>
    <xf numFmtId="10" fontId="5" fillId="13" borderId="0" xfId="0" applyNumberFormat="1" applyFont="1" applyFill="1"/>
    <xf numFmtId="10" fontId="15" fillId="13" borderId="0" xfId="0" applyNumberFormat="1" applyFont="1" applyFill="1"/>
    <xf numFmtId="10" fontId="15" fillId="13" borderId="53" xfId="0" applyNumberFormat="1" applyFont="1" applyFill="1" applyBorder="1"/>
    <xf numFmtId="10" fontId="15" fillId="13" borderId="0" xfId="2" applyNumberFormat="1" applyFont="1" applyFill="1" applyBorder="1"/>
    <xf numFmtId="10" fontId="15" fillId="13" borderId="53" xfId="2" applyNumberFormat="1" applyFont="1" applyFill="1" applyBorder="1"/>
    <xf numFmtId="10" fontId="8" fillId="0" borderId="0" xfId="2" applyNumberFormat="1" applyFont="1" applyBorder="1"/>
    <xf numFmtId="10" fontId="8" fillId="13" borderId="0" xfId="2" applyNumberFormat="1" applyFont="1" applyFill="1" applyBorder="1"/>
    <xf numFmtId="10" fontId="8" fillId="13" borderId="0" xfId="1" applyNumberFormat="1" applyFont="1" applyFill="1" applyBorder="1"/>
    <xf numFmtId="10" fontId="5" fillId="0" borderId="0" xfId="2" applyNumberFormat="1" applyFont="1" applyBorder="1"/>
    <xf numFmtId="10" fontId="61" fillId="13" borderId="53" xfId="2" applyNumberFormat="1" applyFont="1" applyFill="1" applyBorder="1"/>
    <xf numFmtId="10" fontId="5" fillId="0" borderId="0" xfId="2" applyNumberFormat="1" applyFont="1"/>
    <xf numFmtId="10" fontId="5" fillId="0" borderId="53" xfId="2" applyNumberFormat="1" applyFont="1" applyBorder="1"/>
    <xf numFmtId="10" fontId="5" fillId="0" borderId="72" xfId="2" applyNumberFormat="1" applyFont="1" applyBorder="1"/>
    <xf numFmtId="10" fontId="5" fillId="0" borderId="31" xfId="2" applyNumberFormat="1" applyFont="1" applyBorder="1"/>
    <xf numFmtId="2" fontId="187" fillId="13" borderId="0" xfId="0" applyNumberFormat="1" applyFont="1" applyFill="1"/>
    <xf numFmtId="2" fontId="187" fillId="13" borderId="53" xfId="0" applyNumberFormat="1" applyFont="1" applyFill="1" applyBorder="1"/>
    <xf numFmtId="14" fontId="32" fillId="3" borderId="2" xfId="0" applyNumberFormat="1" applyFont="1" applyFill="1" applyBorder="1" applyAlignment="1">
      <alignment horizontal="right" wrapText="1"/>
    </xf>
    <xf numFmtId="14" fontId="32" fillId="3" borderId="1" xfId="0" applyNumberFormat="1" applyFont="1" applyFill="1" applyBorder="1" applyAlignment="1">
      <alignment horizontal="right" wrapText="1"/>
    </xf>
    <xf numFmtId="10" fontId="34" fillId="0" borderId="7" xfId="2" applyNumberFormat="1" applyFont="1" applyFill="1" applyBorder="1" applyAlignment="1" applyProtection="1">
      <alignment horizontal="right" wrapText="1"/>
    </xf>
    <xf numFmtId="41" fontId="0" fillId="116" borderId="0" xfId="0" applyNumberFormat="1" applyFill="1"/>
    <xf numFmtId="43" fontId="67" fillId="0" borderId="110" xfId="1" applyFont="1" applyBorder="1"/>
    <xf numFmtId="166" fontId="34" fillId="116" borderId="7" xfId="3" applyNumberFormat="1" applyFont="1" applyFill="1" applyBorder="1" applyAlignment="1" applyProtection="1">
      <alignment horizontal="justify"/>
    </xf>
    <xf numFmtId="2" fontId="32" fillId="5" borderId="29" xfId="0" applyNumberFormat="1" applyFont="1" applyFill="1" applyBorder="1"/>
    <xf numFmtId="2" fontId="34" fillId="5" borderId="29" xfId="0" applyNumberFormat="1" applyFont="1" applyFill="1" applyBorder="1"/>
    <xf numFmtId="166" fontId="34" fillId="116" borderId="8" xfId="3" applyNumberFormat="1" applyFont="1" applyFill="1" applyBorder="1" applyAlignment="1" applyProtection="1">
      <alignment horizontal="justify" wrapText="1"/>
    </xf>
    <xf numFmtId="10" fontId="34" fillId="0" borderId="33" xfId="2" applyNumberFormat="1" applyFont="1" applyFill="1" applyBorder="1" applyAlignment="1" applyProtection="1">
      <alignment horizontal="right" wrapText="1"/>
    </xf>
    <xf numFmtId="10" fontId="32" fillId="2" borderId="33" xfId="2" applyNumberFormat="1" applyFont="1" applyFill="1" applyBorder="1" applyAlignment="1" applyProtection="1">
      <alignment horizontal="right" wrapText="1"/>
    </xf>
    <xf numFmtId="10" fontId="32" fillId="0" borderId="33" xfId="2" applyNumberFormat="1" applyFont="1" applyFill="1" applyBorder="1" applyAlignment="1" applyProtection="1">
      <alignment horizontal="right" wrapText="1"/>
    </xf>
    <xf numFmtId="10" fontId="32" fillId="4" borderId="33" xfId="2" applyNumberFormat="1" applyFont="1" applyFill="1" applyBorder="1" applyAlignment="1" applyProtection="1">
      <alignment horizontal="right" wrapText="1"/>
    </xf>
    <xf numFmtId="10" fontId="34" fillId="4" borderId="33" xfId="2" applyNumberFormat="1" applyFont="1" applyFill="1" applyBorder="1" applyAlignment="1" applyProtection="1">
      <alignment horizontal="right" wrapText="1"/>
    </xf>
    <xf numFmtId="10" fontId="32" fillId="7" borderId="33" xfId="2" applyNumberFormat="1" applyFont="1" applyFill="1" applyBorder="1" applyAlignment="1" applyProtection="1">
      <alignment horizontal="right" wrapText="1"/>
    </xf>
    <xf numFmtId="10" fontId="34" fillId="48" borderId="33" xfId="2" applyNumberFormat="1" applyFont="1" applyFill="1" applyBorder="1" applyAlignment="1" applyProtection="1">
      <alignment horizontal="right" wrapText="1"/>
    </xf>
    <xf numFmtId="10" fontId="34" fillId="0" borderId="21" xfId="2" applyNumberFormat="1" applyFont="1" applyFill="1" applyBorder="1" applyAlignment="1" applyProtection="1">
      <alignment horizontal="right" wrapText="1"/>
    </xf>
    <xf numFmtId="10" fontId="34" fillId="0" borderId="13" xfId="2" applyNumberFormat="1" applyFont="1" applyFill="1" applyBorder="1" applyAlignment="1" applyProtection="1">
      <alignment horizontal="right" wrapText="1"/>
    </xf>
    <xf numFmtId="10" fontId="34" fillId="48" borderId="32" xfId="2" applyNumberFormat="1" applyFont="1" applyFill="1" applyBorder="1" applyAlignment="1" applyProtection="1">
      <alignment horizontal="right" wrapText="1"/>
    </xf>
    <xf numFmtId="10" fontId="34" fillId="48" borderId="40" xfId="2" applyNumberFormat="1" applyFont="1" applyFill="1" applyBorder="1" applyAlignment="1" applyProtection="1">
      <alignment horizontal="right" wrapText="1"/>
    </xf>
    <xf numFmtId="10" fontId="32" fillId="2" borderId="78" xfId="2" applyNumberFormat="1" applyFont="1" applyFill="1" applyBorder="1" applyAlignment="1" applyProtection="1">
      <alignment horizontal="right" wrapText="1"/>
    </xf>
    <xf numFmtId="10" fontId="33" fillId="2" borderId="96" xfId="2" applyNumberFormat="1" applyFont="1" applyFill="1" applyBorder="1" applyAlignment="1" applyProtection="1">
      <alignment horizontal="right" wrapText="1"/>
    </xf>
    <xf numFmtId="10" fontId="34" fillId="0" borderId="8" xfId="2" applyNumberFormat="1" applyFont="1" applyFill="1" applyBorder="1" applyAlignment="1" applyProtection="1">
      <alignment horizontal="right" wrapText="1"/>
    </xf>
    <xf numFmtId="10" fontId="34" fillId="0" borderId="8" xfId="1" applyNumberFormat="1" applyFont="1" applyFill="1" applyBorder="1" applyAlignment="1" applyProtection="1">
      <alignment horizontal="right" wrapText="1"/>
    </xf>
    <xf numFmtId="10" fontId="32" fillId="2" borderId="7" xfId="2" applyNumberFormat="1" applyFont="1" applyFill="1" applyBorder="1" applyAlignment="1" applyProtection="1">
      <alignment horizontal="right" wrapText="1"/>
    </xf>
    <xf numFmtId="10" fontId="32" fillId="4" borderId="15" xfId="2" applyNumberFormat="1" applyFont="1" applyFill="1" applyBorder="1" applyAlignment="1" applyProtection="1">
      <alignment horizontal="right" wrapText="1"/>
    </xf>
    <xf numFmtId="10" fontId="32" fillId="2" borderId="55" xfId="2" applyNumberFormat="1" applyFont="1" applyFill="1" applyBorder="1" applyAlignment="1" applyProtection="1">
      <alignment horizontal="right" wrapText="1"/>
    </xf>
    <xf numFmtId="10" fontId="34" fillId="4" borderId="8" xfId="2" applyNumberFormat="1" applyFont="1" applyFill="1" applyBorder="1" applyAlignment="1" applyProtection="1">
      <alignment horizontal="right" wrapText="1"/>
    </xf>
    <xf numFmtId="10" fontId="0" fillId="0" borderId="0" xfId="0" applyNumberFormat="1"/>
    <xf numFmtId="170" fontId="0" fillId="0" borderId="42" xfId="1" applyNumberFormat="1" applyFont="1" applyBorder="1"/>
    <xf numFmtId="0" fontId="32" fillId="3" borderId="1" xfId="0" applyFont="1" applyFill="1" applyBorder="1" applyAlignment="1">
      <alignment horizontal="justify"/>
    </xf>
    <xf numFmtId="0" fontId="32" fillId="7" borderId="4" xfId="0" applyFont="1" applyFill="1" applyBorder="1" applyAlignment="1">
      <alignment horizontal="justify"/>
    </xf>
    <xf numFmtId="0" fontId="32" fillId="2" borderId="34" xfId="0" applyFont="1" applyFill="1" applyBorder="1"/>
    <xf numFmtId="0" fontId="32" fillId="2" borderId="94" xfId="0" applyFont="1" applyFill="1" applyBorder="1"/>
    <xf numFmtId="0" fontId="32" fillId="0" borderId="32" xfId="0" applyFont="1" applyBorder="1" applyAlignment="1">
      <alignment horizontal="justify"/>
    </xf>
    <xf numFmtId="0" fontId="32" fillId="0" borderId="33" xfId="0" applyFont="1" applyBorder="1" applyAlignment="1">
      <alignment horizontal="justify"/>
    </xf>
    <xf numFmtId="0" fontId="34" fillId="0" borderId="33" xfId="0" applyFont="1" applyBorder="1" applyAlignment="1">
      <alignment horizontal="justify"/>
    </xf>
    <xf numFmtId="0" fontId="32" fillId="7" borderId="33" xfId="0" applyFont="1" applyFill="1" applyBorder="1" applyAlignment="1">
      <alignment horizontal="justify"/>
    </xf>
    <xf numFmtId="0" fontId="184" fillId="7" borderId="33" xfId="0" applyFont="1" applyFill="1" applyBorder="1" applyAlignment="1">
      <alignment horizontal="justify"/>
    </xf>
    <xf numFmtId="14" fontId="65" fillId="101" borderId="25" xfId="0" applyNumberFormat="1" applyFont="1" applyFill="1" applyBorder="1"/>
    <xf numFmtId="43" fontId="69" fillId="0" borderId="0" xfId="1" applyFont="1"/>
    <xf numFmtId="43" fontId="69" fillId="0" borderId="53" xfId="1" applyFont="1" applyBorder="1"/>
    <xf numFmtId="10" fontId="34" fillId="5" borderId="0" xfId="2" applyNumberFormat="1" applyFont="1" applyFill="1"/>
    <xf numFmtId="170" fontId="67" fillId="116" borderId="0" xfId="1" applyNumberFormat="1" applyFont="1" applyFill="1" applyBorder="1"/>
    <xf numFmtId="43" fontId="67" fillId="116" borderId="0" xfId="1" applyFont="1" applyFill="1"/>
    <xf numFmtId="17" fontId="55" fillId="49" borderId="0" xfId="0" applyNumberFormat="1" applyFont="1" applyFill="1"/>
    <xf numFmtId="17" fontId="55" fillId="0" borderId="0" xfId="0" applyNumberFormat="1" applyFont="1"/>
    <xf numFmtId="17" fontId="55" fillId="50" borderId="0" xfId="0" applyNumberFormat="1" applyFont="1" applyFill="1"/>
    <xf numFmtId="4" fontId="37" fillId="0" borderId="0" xfId="0" applyNumberFormat="1" applyFont="1"/>
    <xf numFmtId="3" fontId="37" fillId="0" borderId="0" xfId="0" applyNumberFormat="1" applyFont="1"/>
    <xf numFmtId="14" fontId="32" fillId="3" borderId="28" xfId="0" applyNumberFormat="1" applyFont="1" applyFill="1" applyBorder="1" applyAlignment="1">
      <alignment horizontal="center" wrapText="1"/>
    </xf>
    <xf numFmtId="14" fontId="32" fillId="3" borderId="2" xfId="0" applyNumberFormat="1" applyFont="1" applyFill="1" applyBorder="1" applyAlignment="1">
      <alignment horizontal="justify" wrapText="1"/>
    </xf>
    <xf numFmtId="9" fontId="34" fillId="0" borderId="8" xfId="2" applyNumberFormat="1" applyFont="1" applyFill="1" applyBorder="1" applyAlignment="1" applyProtection="1">
      <alignment horizontal="right"/>
    </xf>
    <xf numFmtId="9" fontId="32" fillId="2" borderId="7" xfId="2" applyNumberFormat="1" applyFont="1" applyFill="1" applyBorder="1" applyAlignment="1" applyProtection="1">
      <alignment horizontal="right"/>
    </xf>
    <xf numFmtId="9" fontId="32" fillId="0" borderId="7" xfId="2" applyNumberFormat="1" applyFont="1" applyFill="1" applyBorder="1" applyAlignment="1" applyProtection="1">
      <alignment horizontal="right"/>
    </xf>
    <xf numFmtId="9" fontId="34" fillId="0" borderId="7" xfId="2" applyNumberFormat="1" applyFont="1" applyFill="1" applyBorder="1" applyAlignment="1" applyProtection="1">
      <alignment horizontal="right"/>
    </xf>
    <xf numFmtId="9" fontId="32" fillId="2" borderId="55" xfId="2" applyNumberFormat="1" applyFont="1" applyFill="1" applyBorder="1" applyAlignment="1" applyProtection="1">
      <alignment horizontal="right"/>
    </xf>
    <xf numFmtId="9" fontId="32" fillId="48" borderId="7" xfId="2" applyNumberFormat="1" applyFont="1" applyFill="1" applyBorder="1" applyAlignment="1" applyProtection="1">
      <alignment horizontal="right"/>
    </xf>
    <xf numFmtId="9" fontId="32" fillId="10" borderId="7" xfId="2" applyNumberFormat="1" applyFont="1" applyFill="1" applyBorder="1" applyAlignment="1" applyProtection="1">
      <alignment horizontal="right"/>
    </xf>
    <xf numFmtId="9" fontId="32" fillId="10" borderId="55" xfId="2" applyNumberFormat="1" applyFont="1" applyFill="1" applyBorder="1" applyAlignment="1" applyProtection="1">
      <alignment horizontal="right"/>
    </xf>
    <xf numFmtId="9" fontId="34" fillId="10" borderId="8" xfId="2" applyNumberFormat="1" applyFont="1" applyFill="1" applyBorder="1" applyAlignment="1" applyProtection="1">
      <alignment horizontal="right"/>
    </xf>
    <xf numFmtId="9" fontId="32" fillId="4" borderId="10" xfId="2" applyNumberFormat="1" applyFont="1" applyFill="1" applyBorder="1" applyAlignment="1" applyProtection="1">
      <alignment horizontal="right"/>
    </xf>
    <xf numFmtId="9" fontId="32" fillId="0" borderId="8" xfId="2" applyNumberFormat="1" applyFont="1" applyFill="1" applyBorder="1" applyAlignment="1">
      <alignment horizontal="right"/>
    </xf>
    <xf numFmtId="9" fontId="32" fillId="4" borderId="7" xfId="2" applyNumberFormat="1" applyFont="1" applyFill="1" applyBorder="1" applyAlignment="1" applyProtection="1">
      <alignment horizontal="right"/>
    </xf>
    <xf numFmtId="9" fontId="34" fillId="4" borderId="7" xfId="2" applyNumberFormat="1" applyFont="1" applyFill="1" applyBorder="1" applyAlignment="1" applyProtection="1">
      <alignment horizontal="right"/>
    </xf>
    <xf numFmtId="9" fontId="34" fillId="48" borderId="7" xfId="2" applyNumberFormat="1" applyFont="1" applyFill="1" applyBorder="1" applyAlignment="1" applyProtection="1">
      <alignment horizontal="right"/>
    </xf>
    <xf numFmtId="9" fontId="32" fillId="0" borderId="32" xfId="2" applyNumberFormat="1" applyFont="1" applyFill="1" applyBorder="1" applyAlignment="1" applyProtection="1">
      <alignment horizontal="right"/>
    </xf>
    <xf numFmtId="9" fontId="34" fillId="0" borderId="32" xfId="2" applyNumberFormat="1" applyFont="1" applyFill="1" applyBorder="1" applyAlignment="1" applyProtection="1">
      <alignment horizontal="right"/>
    </xf>
    <xf numFmtId="9" fontId="32" fillId="100" borderId="32" xfId="2" applyNumberFormat="1" applyFont="1" applyFill="1" applyBorder="1" applyAlignment="1" applyProtection="1">
      <alignment horizontal="right"/>
    </xf>
    <xf numFmtId="9" fontId="34" fillId="0" borderId="33" xfId="2" applyNumberFormat="1" applyFont="1" applyFill="1" applyBorder="1" applyAlignment="1" applyProtection="1">
      <alignment horizontal="right"/>
    </xf>
    <xf numFmtId="9" fontId="32" fillId="0" borderId="30" xfId="2" applyNumberFormat="1" applyFont="1" applyFill="1" applyBorder="1" applyAlignment="1" applyProtection="1">
      <alignment horizontal="right"/>
    </xf>
    <xf numFmtId="9" fontId="32" fillId="7" borderId="35" xfId="2" applyNumberFormat="1" applyFont="1" applyFill="1" applyBorder="1" applyAlignment="1" applyProtection="1">
      <alignment horizontal="right" vertical="center"/>
    </xf>
    <xf numFmtId="9" fontId="32" fillId="6" borderId="35" xfId="0" applyNumberFormat="1" applyFont="1" applyFill="1" applyBorder="1" applyAlignment="1">
      <alignment horizontal="center" vertical="center" wrapText="1"/>
    </xf>
    <xf numFmtId="9" fontId="34" fillId="0" borderId="53" xfId="0" applyNumberFormat="1" applyFont="1" applyBorder="1"/>
    <xf numFmtId="9" fontId="32" fillId="7" borderId="65" xfId="2" applyNumberFormat="1" applyFont="1" applyFill="1" applyBorder="1" applyAlignment="1" applyProtection="1">
      <alignment horizontal="right" vertical="center"/>
    </xf>
    <xf numFmtId="9" fontId="32" fillId="7" borderId="67" xfId="2" applyNumberFormat="1" applyFont="1" applyFill="1" applyBorder="1" applyAlignment="1" applyProtection="1">
      <alignment horizontal="right"/>
    </xf>
    <xf numFmtId="9" fontId="32" fillId="0" borderId="0" xfId="0" applyNumberFormat="1" applyFont="1" applyAlignment="1">
      <alignment horizontal="justify" vertical="center"/>
    </xf>
    <xf numFmtId="9" fontId="32" fillId="0" borderId="59" xfId="0" applyNumberFormat="1" applyFont="1" applyBorder="1" applyAlignment="1">
      <alignment horizontal="justify" vertical="center"/>
    </xf>
    <xf numFmtId="9" fontId="32" fillId="7" borderId="65" xfId="2" applyNumberFormat="1" applyFont="1" applyFill="1" applyBorder="1" applyAlignment="1" applyProtection="1">
      <alignment horizontal="right"/>
    </xf>
    <xf numFmtId="9" fontId="32" fillId="0" borderId="33" xfId="2" applyNumberFormat="1" applyFont="1" applyFill="1" applyBorder="1" applyAlignment="1" applyProtection="1">
      <alignment horizontal="right"/>
    </xf>
    <xf numFmtId="9" fontId="32" fillId="10" borderId="33" xfId="2" applyNumberFormat="1" applyFont="1" applyFill="1" applyBorder="1" applyAlignment="1" applyProtection="1">
      <alignment horizontal="right"/>
    </xf>
    <xf numFmtId="9" fontId="32" fillId="48" borderId="33" xfId="2" applyNumberFormat="1" applyFont="1" applyFill="1" applyBorder="1" applyAlignment="1" applyProtection="1">
      <alignment horizontal="right"/>
    </xf>
    <xf numFmtId="9" fontId="34" fillId="10" borderId="33" xfId="2" applyNumberFormat="1" applyFont="1" applyFill="1" applyBorder="1" applyAlignment="1" applyProtection="1">
      <alignment horizontal="right"/>
    </xf>
    <xf numFmtId="9" fontId="34" fillId="13" borderId="8" xfId="2" applyNumberFormat="1" applyFont="1" applyFill="1" applyBorder="1" applyAlignment="1" applyProtection="1">
      <alignment horizontal="right"/>
    </xf>
    <xf numFmtId="9" fontId="34" fillId="0" borderId="31" xfId="0" applyNumberFormat="1" applyFont="1" applyBorder="1" applyAlignment="1">
      <alignment horizontal="right"/>
    </xf>
    <xf numFmtId="9" fontId="32" fillId="9" borderId="91" xfId="0" applyNumberFormat="1" applyFont="1" applyFill="1" applyBorder="1" applyAlignment="1">
      <alignment horizontal="right"/>
    </xf>
    <xf numFmtId="9" fontId="32" fillId="9" borderId="2" xfId="0" applyNumberFormat="1" applyFont="1" applyFill="1" applyBorder="1" applyAlignment="1">
      <alignment horizontal="center"/>
    </xf>
    <xf numFmtId="9" fontId="32" fillId="2" borderId="12" xfId="2" applyNumberFormat="1" applyFont="1" applyFill="1" applyBorder="1" applyAlignment="1" applyProtection="1">
      <alignment horizontal="right"/>
    </xf>
    <xf numFmtId="9" fontId="34" fillId="0" borderId="10" xfId="2" applyNumberFormat="1" applyFont="1" applyFill="1" applyBorder="1" applyAlignment="1" applyProtection="1">
      <alignment horizontal="right"/>
    </xf>
    <xf numFmtId="9" fontId="34" fillId="4" borderId="79" xfId="2" applyNumberFormat="1" applyFont="1" applyFill="1" applyBorder="1" applyAlignment="1" applyProtection="1">
      <alignment horizontal="right"/>
    </xf>
    <xf numFmtId="9" fontId="32" fillId="4" borderId="13" xfId="2" applyNumberFormat="1" applyFont="1" applyFill="1" applyBorder="1" applyAlignment="1" applyProtection="1">
      <alignment horizontal="right"/>
    </xf>
    <xf numFmtId="9" fontId="34" fillId="4" borderId="13" xfId="2" applyNumberFormat="1" applyFont="1" applyFill="1" applyBorder="1" applyAlignment="1" applyProtection="1">
      <alignment horizontal="right"/>
    </xf>
    <xf numFmtId="9" fontId="32" fillId="2" borderId="13" xfId="2" applyNumberFormat="1" applyFont="1" applyFill="1" applyBorder="1" applyAlignment="1" applyProtection="1">
      <alignment horizontal="right"/>
    </xf>
    <xf numFmtId="9" fontId="32" fillId="10" borderId="13" xfId="2" applyNumberFormat="1" applyFont="1" applyFill="1" applyBorder="1" applyAlignment="1" applyProtection="1">
      <alignment horizontal="right"/>
    </xf>
    <xf numFmtId="9" fontId="34" fillId="10" borderId="13" xfId="2" applyNumberFormat="1" applyFont="1" applyFill="1" applyBorder="1" applyAlignment="1" applyProtection="1">
      <alignment horizontal="right"/>
    </xf>
    <xf numFmtId="9" fontId="32" fillId="10" borderId="14" xfId="2" applyNumberFormat="1" applyFont="1" applyFill="1" applyBorder="1" applyAlignment="1" applyProtection="1">
      <alignment horizontal="right"/>
    </xf>
    <xf numFmtId="9" fontId="32" fillId="2" borderId="10" xfId="2" applyNumberFormat="1" applyFont="1" applyFill="1" applyBorder="1" applyAlignment="1" applyProtection="1">
      <alignment horizontal="right"/>
    </xf>
    <xf numFmtId="9" fontId="41" fillId="2" borderId="0" xfId="2" applyNumberFormat="1" applyFont="1" applyFill="1" applyBorder="1" applyAlignment="1" applyProtection="1">
      <alignment horizontal="right"/>
    </xf>
    <xf numFmtId="9" fontId="32" fillId="3" borderId="1" xfId="2" applyNumberFormat="1" applyFont="1" applyFill="1" applyBorder="1" applyAlignment="1">
      <alignment horizontal="right" wrapText="1"/>
    </xf>
    <xf numFmtId="9" fontId="32" fillId="3" borderId="70" xfId="2" applyNumberFormat="1" applyFont="1" applyFill="1" applyBorder="1" applyAlignment="1">
      <alignment horizontal="right"/>
    </xf>
    <xf numFmtId="9" fontId="32" fillId="0" borderId="82" xfId="2" applyNumberFormat="1" applyFont="1" applyFill="1" applyBorder="1" applyAlignment="1">
      <alignment horizontal="right"/>
    </xf>
    <xf numFmtId="9" fontId="34" fillId="0" borderId="16" xfId="2" applyNumberFormat="1" applyFont="1" applyFill="1" applyBorder="1" applyAlignment="1" applyProtection="1">
      <alignment horizontal="right"/>
    </xf>
    <xf numFmtId="9" fontId="32" fillId="2" borderId="16" xfId="2" applyNumberFormat="1" applyFont="1" applyFill="1" applyBorder="1" applyAlignment="1" applyProtection="1">
      <alignment horizontal="right"/>
    </xf>
    <xf numFmtId="9" fontId="32" fillId="0" borderId="16" xfId="2" applyNumberFormat="1" applyFont="1" applyFill="1" applyBorder="1" applyAlignment="1" applyProtection="1">
      <alignment horizontal="right"/>
    </xf>
    <xf numFmtId="9" fontId="32" fillId="4" borderId="16" xfId="2" applyNumberFormat="1" applyFont="1" applyFill="1" applyBorder="1" applyAlignment="1" applyProtection="1">
      <alignment horizontal="right"/>
    </xf>
    <xf numFmtId="9" fontId="34" fillId="4" borderId="16" xfId="2" applyNumberFormat="1" applyFont="1" applyFill="1" applyBorder="1" applyAlignment="1" applyProtection="1">
      <alignment horizontal="right"/>
    </xf>
    <xf numFmtId="9" fontId="32" fillId="2" borderId="127" xfId="2" applyNumberFormat="1" applyFont="1" applyFill="1" applyBorder="1" applyAlignment="1" applyProtection="1">
      <alignment horizontal="right"/>
    </xf>
    <xf numFmtId="9" fontId="43" fillId="0" borderId="0" xfId="0" applyNumberFormat="1" applyFont="1"/>
    <xf numFmtId="9" fontId="32" fillId="9" borderId="1" xfId="0" applyNumberFormat="1" applyFont="1" applyFill="1" applyBorder="1" applyAlignment="1">
      <alignment horizontal="right"/>
    </xf>
    <xf numFmtId="9" fontId="34" fillId="10" borderId="7" xfId="2" applyNumberFormat="1" applyFont="1" applyFill="1" applyBorder="1" applyAlignment="1" applyProtection="1">
      <alignment horizontal="right"/>
    </xf>
    <xf numFmtId="9" fontId="34" fillId="10" borderId="55" xfId="2" applyNumberFormat="1" applyFont="1" applyFill="1" applyBorder="1" applyAlignment="1" applyProtection="1">
      <alignment horizontal="right"/>
    </xf>
    <xf numFmtId="9" fontId="32" fillId="4" borderId="55" xfId="2" applyNumberFormat="1" applyFont="1" applyFill="1" applyBorder="1" applyAlignment="1" applyProtection="1">
      <alignment horizontal="right"/>
    </xf>
    <xf numFmtId="9" fontId="32" fillId="2" borderId="80" xfId="2" applyNumberFormat="1" applyFont="1" applyFill="1" applyBorder="1" applyAlignment="1" applyProtection="1">
      <alignment horizontal="right"/>
    </xf>
    <xf numFmtId="9" fontId="34" fillId="0" borderId="0" xfId="0" applyNumberFormat="1" applyFont="1" applyAlignment="1">
      <alignment horizontal="right"/>
    </xf>
    <xf numFmtId="9" fontId="32" fillId="3" borderId="2" xfId="2" applyNumberFormat="1" applyFont="1" applyFill="1" applyBorder="1" applyAlignment="1">
      <alignment horizontal="right"/>
    </xf>
    <xf numFmtId="9" fontId="32" fillId="2" borderId="65" xfId="2" applyNumberFormat="1" applyFont="1" applyFill="1" applyBorder="1" applyAlignment="1" applyProtection="1">
      <alignment horizontal="right"/>
    </xf>
    <xf numFmtId="9" fontId="32" fillId="2" borderId="67" xfId="2" applyNumberFormat="1" applyFont="1" applyFill="1" applyBorder="1" applyAlignment="1" applyProtection="1">
      <alignment horizontal="right"/>
    </xf>
    <xf numFmtId="9" fontId="32" fillId="5" borderId="0" xfId="2" applyNumberFormat="1" applyFont="1" applyFill="1" applyBorder="1" applyAlignment="1" applyProtection="1">
      <alignment horizontal="right"/>
    </xf>
    <xf numFmtId="9" fontId="32" fillId="9" borderId="2" xfId="2" applyNumberFormat="1" applyFont="1" applyFill="1" applyBorder="1" applyAlignment="1">
      <alignment horizontal="right"/>
    </xf>
    <xf numFmtId="9" fontId="32" fillId="9" borderId="135" xfId="0" applyNumberFormat="1" applyFont="1" applyFill="1" applyBorder="1" applyAlignment="1">
      <alignment horizontal="right"/>
    </xf>
    <xf numFmtId="9" fontId="32" fillId="9" borderId="2" xfId="0" applyNumberFormat="1" applyFont="1" applyFill="1" applyBorder="1" applyAlignment="1">
      <alignment horizontal="right"/>
    </xf>
    <xf numFmtId="9" fontId="34" fillId="4" borderId="33" xfId="2" applyNumberFormat="1" applyFont="1" applyFill="1" applyBorder="1" applyAlignment="1" applyProtection="1">
      <alignment horizontal="right"/>
    </xf>
    <xf numFmtId="9" fontId="38" fillId="0" borderId="75" xfId="0" applyNumberFormat="1" applyFont="1" applyBorder="1" applyAlignment="1">
      <alignment horizontal="right" wrapText="1"/>
    </xf>
    <xf numFmtId="9" fontId="38" fillId="0" borderId="13" xfId="2" applyNumberFormat="1" applyFont="1" applyBorder="1" applyAlignment="1">
      <alignment horizontal="right" wrapText="1"/>
    </xf>
    <xf numFmtId="9" fontId="37" fillId="0" borderId="13" xfId="2" applyNumberFormat="1" applyFont="1" applyBorder="1" applyAlignment="1">
      <alignment horizontal="right" wrapText="1"/>
    </xf>
    <xf numFmtId="9" fontId="38" fillId="10" borderId="13" xfId="2" applyNumberFormat="1" applyFont="1" applyFill="1" applyBorder="1" applyAlignment="1">
      <alignment horizontal="right" wrapText="1"/>
    </xf>
    <xf numFmtId="9" fontId="37" fillId="0" borderId="26" xfId="0" applyNumberFormat="1" applyFont="1" applyBorder="1" applyAlignment="1">
      <alignment horizontal="right" wrapText="1"/>
    </xf>
    <xf numFmtId="0" fontId="221" fillId="0" borderId="0" xfId="0" applyFont="1"/>
    <xf numFmtId="0" fontId="223" fillId="3" borderId="1" xfId="0" applyFont="1" applyFill="1" applyBorder="1" applyAlignment="1">
      <alignment horizontal="center" wrapText="1"/>
    </xf>
    <xf numFmtId="0" fontId="224" fillId="0" borderId="0" xfId="0" applyFont="1"/>
    <xf numFmtId="166" fontId="221" fillId="0" borderId="0" xfId="0" applyNumberFormat="1" applyFont="1"/>
    <xf numFmtId="166" fontId="32" fillId="10" borderId="8" xfId="3" applyNumberFormat="1" applyFont="1" applyFill="1" applyBorder="1" applyAlignment="1" applyProtection="1">
      <alignment horizontal="justify"/>
    </xf>
    <xf numFmtId="9" fontId="32" fillId="10" borderId="8" xfId="2" applyNumberFormat="1" applyFont="1" applyFill="1" applyBorder="1" applyAlignment="1" applyProtection="1">
      <alignment horizontal="right"/>
    </xf>
    <xf numFmtId="170" fontId="221" fillId="0" borderId="0" xfId="1" applyNumberFormat="1" applyFont="1"/>
    <xf numFmtId="166" fontId="221" fillId="5" borderId="0" xfId="0" applyNumberFormat="1" applyFont="1" applyFill="1"/>
    <xf numFmtId="0" fontId="32" fillId="2" borderId="5" xfId="0" applyFont="1" applyFill="1" applyBorder="1" applyAlignment="1">
      <alignment horizontal="justify"/>
    </xf>
    <xf numFmtId="166" fontId="32" fillId="2" borderId="10" xfId="3" applyNumberFormat="1" applyFont="1" applyFill="1" applyBorder="1" applyAlignment="1" applyProtection="1">
      <alignment horizontal="justify"/>
    </xf>
    <xf numFmtId="166" fontId="32" fillId="10" borderId="14" xfId="3" applyNumberFormat="1" applyFont="1" applyFill="1" applyBorder="1" applyAlignment="1" applyProtection="1">
      <alignment horizontal="justify"/>
    </xf>
    <xf numFmtId="9" fontId="32" fillId="10" borderId="137" xfId="2" applyNumberFormat="1" applyFont="1" applyFill="1" applyBorder="1" applyAlignment="1" applyProtection="1">
      <alignment horizontal="right"/>
    </xf>
    <xf numFmtId="9" fontId="46" fillId="4" borderId="68" xfId="2" applyNumberFormat="1" applyFont="1" applyFill="1" applyBorder="1" applyAlignment="1">
      <alignment horizontal="right"/>
    </xf>
    <xf numFmtId="9" fontId="32" fillId="3" borderId="131" xfId="2" applyNumberFormat="1" applyFont="1" applyFill="1" applyBorder="1" applyAlignment="1">
      <alignment horizontal="right"/>
    </xf>
    <xf numFmtId="166" fontId="32" fillId="10" borderId="7" xfId="3" applyNumberFormat="1" applyFont="1" applyFill="1" applyBorder="1" applyAlignment="1" applyProtection="1">
      <alignment horizontal="justify"/>
    </xf>
    <xf numFmtId="0" fontId="221" fillId="5" borderId="0" xfId="2" applyFont="1" applyFill="1"/>
    <xf numFmtId="0" fontId="221" fillId="0" borderId="0" xfId="0" applyFont="1" applyAlignment="1">
      <alignment horizontal="right"/>
    </xf>
    <xf numFmtId="0" fontId="32" fillId="3" borderId="23" xfId="0" applyFont="1" applyFill="1" applyBorder="1" applyAlignment="1">
      <alignment horizontal="center" wrapText="1"/>
    </xf>
    <xf numFmtId="14" fontId="32" fillId="3" borderId="70" xfId="0" applyNumberFormat="1" applyFont="1" applyFill="1" applyBorder="1" applyAlignment="1">
      <alignment horizontal="right"/>
    </xf>
    <xf numFmtId="14" fontId="32" fillId="3" borderId="2" xfId="0" applyNumberFormat="1" applyFont="1" applyFill="1" applyBorder="1"/>
    <xf numFmtId="0" fontId="32" fillId="3" borderId="70" xfId="0" applyFont="1" applyFill="1" applyBorder="1" applyAlignment="1">
      <alignment horizontal="right"/>
    </xf>
    <xf numFmtId="0" fontId="34" fillId="0" borderId="32" xfId="0" applyFont="1" applyBorder="1" applyAlignment="1">
      <alignment horizontal="justify"/>
    </xf>
    <xf numFmtId="166" fontId="34" fillId="0" borderId="147" xfId="0" applyNumberFormat="1" applyFont="1" applyBorder="1" applyAlignment="1">
      <alignment horizontal="justify"/>
    </xf>
    <xf numFmtId="173" fontId="34" fillId="0" borderId="8" xfId="3" applyNumberFormat="1" applyFont="1" applyFill="1" applyBorder="1" applyAlignment="1" applyProtection="1">
      <alignment horizontal="justify"/>
    </xf>
    <xf numFmtId="0" fontId="32" fillId="2" borderId="33" xfId="0" applyFont="1" applyFill="1" applyBorder="1" applyAlignment="1">
      <alignment horizontal="justify"/>
    </xf>
    <xf numFmtId="166" fontId="32" fillId="2" borderId="16" xfId="3" applyNumberFormat="1" applyFont="1" applyFill="1" applyBorder="1" applyAlignment="1" applyProtection="1">
      <alignment horizontal="justify"/>
    </xf>
    <xf numFmtId="166" fontId="32" fillId="0" borderId="82" xfId="3" applyNumberFormat="1" applyFont="1" applyFill="1" applyBorder="1" applyAlignment="1" applyProtection="1">
      <alignment horizontal="justify"/>
    </xf>
    <xf numFmtId="0" fontId="32" fillId="0" borderId="147" xfId="0" applyFont="1" applyBorder="1" applyAlignment="1">
      <alignment horizontal="justify"/>
    </xf>
    <xf numFmtId="173" fontId="34" fillId="0" borderId="82" xfId="3" applyNumberFormat="1" applyFont="1" applyFill="1" applyBorder="1" applyAlignment="1" applyProtection="1">
      <alignment horizontal="justify"/>
    </xf>
    <xf numFmtId="166" fontId="32" fillId="4" borderId="82" xfId="3" applyNumberFormat="1" applyFont="1" applyFill="1" applyBorder="1" applyAlignment="1" applyProtection="1">
      <alignment horizontal="justify"/>
    </xf>
    <xf numFmtId="0" fontId="32" fillId="2" borderId="90" xfId="0" applyFont="1" applyFill="1" applyBorder="1" applyAlignment="1">
      <alignment horizontal="justify"/>
    </xf>
    <xf numFmtId="170" fontId="34" fillId="0" borderId="82" xfId="3" applyNumberFormat="1" applyFont="1" applyFill="1" applyBorder="1" applyAlignment="1" applyProtection="1">
      <alignment horizontal="justify"/>
    </xf>
    <xf numFmtId="170" fontId="34" fillId="0" borderId="8" xfId="3" applyNumberFormat="1" applyFont="1" applyFill="1" applyBorder="1" applyAlignment="1" applyProtection="1">
      <alignment horizontal="justify"/>
    </xf>
    <xf numFmtId="0" fontId="32" fillId="0" borderId="21" xfId="0" applyFont="1" applyBorder="1" applyAlignment="1">
      <alignment horizontal="justify"/>
    </xf>
    <xf numFmtId="166" fontId="32" fillId="4" borderId="53" xfId="3" applyNumberFormat="1" applyFont="1" applyFill="1" applyBorder="1" applyAlignment="1" applyProtection="1">
      <alignment horizontal="justify"/>
    </xf>
    <xf numFmtId="0" fontId="32" fillId="2" borderId="40" xfId="0" applyFont="1" applyFill="1" applyBorder="1" applyAlignment="1">
      <alignment horizontal="justify"/>
    </xf>
    <xf numFmtId="166" fontId="32" fillId="2" borderId="127" xfId="3" applyNumberFormat="1" applyFont="1" applyFill="1" applyBorder="1" applyAlignment="1" applyProtection="1">
      <alignment horizontal="justify"/>
    </xf>
    <xf numFmtId="0" fontId="32" fillId="2" borderId="26" xfId="0" applyFont="1" applyFill="1" applyBorder="1" applyAlignment="1">
      <alignment horizontal="justify"/>
    </xf>
    <xf numFmtId="166" fontId="40" fillId="2" borderId="0" xfId="3" applyNumberFormat="1" applyFont="1" applyFill="1" applyBorder="1" applyAlignment="1" applyProtection="1">
      <alignment horizontal="justify"/>
    </xf>
    <xf numFmtId="9" fontId="40" fillId="2" borderId="0" xfId="2" applyNumberFormat="1" applyFont="1" applyFill="1" applyBorder="1" applyAlignment="1" applyProtection="1">
      <alignment horizontal="justify"/>
    </xf>
    <xf numFmtId="0" fontId="32" fillId="3" borderId="18" xfId="0" applyFont="1" applyFill="1" applyBorder="1" applyAlignment="1">
      <alignment horizontal="justify"/>
    </xf>
    <xf numFmtId="0" fontId="32" fillId="3" borderId="155" xfId="0" applyFont="1" applyFill="1" applyBorder="1" applyAlignment="1">
      <alignment horizontal="right"/>
    </xf>
    <xf numFmtId="0" fontId="32" fillId="3" borderId="18" xfId="0" applyFont="1" applyFill="1" applyBorder="1" applyAlignment="1">
      <alignment horizontal="right"/>
    </xf>
    <xf numFmtId="9" fontId="32" fillId="3" borderId="18" xfId="2" applyNumberFormat="1" applyFont="1" applyFill="1" applyBorder="1" applyAlignment="1">
      <alignment horizontal="right"/>
    </xf>
    <xf numFmtId="0" fontId="32" fillId="0" borderId="83" xfId="0" applyFont="1" applyBorder="1" applyAlignment="1">
      <alignment horizontal="justify"/>
    </xf>
    <xf numFmtId="168" fontId="32" fillId="0" borderId="156" xfId="0" applyNumberFormat="1" applyFont="1" applyBorder="1" applyAlignment="1">
      <alignment horizontal="justify"/>
    </xf>
    <xf numFmtId="168" fontId="32" fillId="0" borderId="57" xfId="0" applyNumberFormat="1" applyFont="1" applyBorder="1" applyAlignment="1">
      <alignment horizontal="justify"/>
    </xf>
    <xf numFmtId="167" fontId="32" fillId="0" borderId="57" xfId="0" applyNumberFormat="1" applyFont="1" applyBorder="1" applyAlignment="1">
      <alignment horizontal="justify"/>
    </xf>
    <xf numFmtId="9" fontId="32" fillId="0" borderId="57" xfId="2" applyNumberFormat="1" applyFont="1" applyFill="1" applyBorder="1" applyAlignment="1">
      <alignment horizontal="right"/>
    </xf>
    <xf numFmtId="166" fontId="34" fillId="0" borderId="32" xfId="0" applyNumberFormat="1" applyFont="1" applyBorder="1" applyAlignment="1">
      <alignment horizontal="justify"/>
    </xf>
    <xf numFmtId="166" fontId="32" fillId="2" borderId="33" xfId="0" applyNumberFormat="1" applyFont="1" applyFill="1" applyBorder="1" applyAlignment="1">
      <alignment horizontal="justify"/>
    </xf>
    <xf numFmtId="166" fontId="32" fillId="0" borderId="16" xfId="4" applyNumberFormat="1" applyFont="1" applyFill="1" applyBorder="1" applyAlignment="1" applyProtection="1">
      <alignment horizontal="justify"/>
    </xf>
    <xf numFmtId="166" fontId="32" fillId="0" borderId="7" xfId="4" applyNumberFormat="1" applyFont="1" applyFill="1" applyBorder="1" applyAlignment="1" applyProtection="1">
      <alignment horizontal="justify"/>
    </xf>
    <xf numFmtId="170" fontId="32" fillId="0" borderId="33" xfId="1" applyNumberFormat="1" applyFont="1" applyBorder="1" applyAlignment="1">
      <alignment horizontal="justify"/>
    </xf>
    <xf numFmtId="166" fontId="34" fillId="0" borderId="16" xfId="4" applyNumberFormat="1" applyFont="1" applyFill="1" applyBorder="1" applyAlignment="1" applyProtection="1">
      <alignment horizontal="justify"/>
    </xf>
    <xf numFmtId="166" fontId="34" fillId="0" borderId="7" xfId="4" applyNumberFormat="1" applyFont="1" applyFill="1" applyBorder="1" applyAlignment="1" applyProtection="1">
      <alignment horizontal="justify"/>
    </xf>
    <xf numFmtId="170" fontId="34" fillId="0" borderId="32" xfId="1" applyNumberFormat="1" applyFont="1" applyBorder="1" applyAlignment="1">
      <alignment horizontal="justify"/>
    </xf>
    <xf numFmtId="170" fontId="32" fillId="2" borderId="33" xfId="1" applyNumberFormat="1" applyFont="1" applyFill="1" applyBorder="1" applyAlignment="1">
      <alignment horizontal="justify"/>
    </xf>
    <xf numFmtId="166" fontId="32" fillId="4" borderId="16" xfId="4" applyNumberFormat="1" applyFont="1" applyFill="1" applyBorder="1" applyAlignment="1" applyProtection="1">
      <alignment horizontal="justify"/>
    </xf>
    <xf numFmtId="166" fontId="34" fillId="4" borderId="16" xfId="4" applyNumberFormat="1" applyFont="1" applyFill="1" applyBorder="1" applyAlignment="1" applyProtection="1">
      <alignment horizontal="justify"/>
    </xf>
    <xf numFmtId="170" fontId="34" fillId="0" borderId="33" xfId="1" applyNumberFormat="1" applyFont="1" applyBorder="1" applyAlignment="1">
      <alignment horizontal="justify"/>
    </xf>
    <xf numFmtId="0" fontId="32" fillId="10" borderId="40" xfId="0" applyFont="1" applyFill="1" applyBorder="1" applyAlignment="1">
      <alignment horizontal="justify"/>
    </xf>
    <xf numFmtId="166" fontId="32" fillId="10" borderId="127" xfId="3" applyNumberFormat="1" applyFont="1" applyFill="1" applyBorder="1" applyAlignment="1" applyProtection="1">
      <alignment horizontal="justify"/>
    </xf>
    <xf numFmtId="166" fontId="32" fillId="10" borderId="55" xfId="3" applyNumberFormat="1" applyFont="1" applyFill="1" applyBorder="1" applyAlignment="1" applyProtection="1">
      <alignment horizontal="justify"/>
    </xf>
    <xf numFmtId="170" fontId="32" fillId="10" borderId="40" xfId="1" applyNumberFormat="1" applyFont="1" applyFill="1" applyBorder="1" applyAlignment="1">
      <alignment horizontal="justify"/>
    </xf>
    <xf numFmtId="9" fontId="34" fillId="10" borderId="80" xfId="2" applyNumberFormat="1" applyFont="1" applyFill="1" applyBorder="1" applyAlignment="1" applyProtection="1">
      <alignment horizontal="right"/>
    </xf>
    <xf numFmtId="0" fontId="32" fillId="3" borderId="1" xfId="0" applyFont="1" applyFill="1" applyBorder="1" applyAlignment="1">
      <alignment horizontal="left"/>
    </xf>
    <xf numFmtId="0" fontId="37" fillId="0" borderId="29" xfId="0" applyFont="1" applyBorder="1"/>
    <xf numFmtId="0" fontId="48" fillId="0" borderId="29" xfId="0" applyFont="1" applyBorder="1" applyAlignment="1">
      <alignment wrapText="1"/>
    </xf>
    <xf numFmtId="0" fontId="49" fillId="11" borderId="0" xfId="0" applyFont="1" applyFill="1" applyAlignment="1">
      <alignment horizontal="center" wrapText="1"/>
    </xf>
    <xf numFmtId="0" fontId="37" fillId="0" borderId="34" xfId="0" applyFont="1" applyBorder="1"/>
    <xf numFmtId="0" fontId="37" fillId="0" borderId="77" xfId="0" applyFont="1" applyBorder="1"/>
    <xf numFmtId="0" fontId="37" fillId="0" borderId="78" xfId="0" applyFont="1" applyBorder="1"/>
    <xf numFmtId="0" fontId="37" fillId="0" borderId="25" xfId="0" applyFont="1" applyBorder="1"/>
    <xf numFmtId="170" fontId="37" fillId="0" borderId="28" xfId="1" applyNumberFormat="1" applyFont="1" applyBorder="1"/>
    <xf numFmtId="0" fontId="37" fillId="0" borderId="53" xfId="0" applyFont="1" applyBorder="1"/>
    <xf numFmtId="0" fontId="37" fillId="0" borderId="84" xfId="0" applyFont="1" applyBorder="1"/>
    <xf numFmtId="0" fontId="37" fillId="0" borderId="72" xfId="0" applyFont="1" applyBorder="1"/>
    <xf numFmtId="0" fontId="37" fillId="0" borderId="30" xfId="0" applyFont="1" applyBorder="1"/>
    <xf numFmtId="170" fontId="37" fillId="0" borderId="31" xfId="0" applyNumberFormat="1" applyFont="1" applyBorder="1"/>
    <xf numFmtId="0" fontId="34" fillId="0" borderId="100" xfId="0" applyFont="1" applyBorder="1" applyAlignment="1">
      <alignment wrapText="1"/>
    </xf>
    <xf numFmtId="0" fontId="48" fillId="0" borderId="72" xfId="0" applyFont="1" applyBorder="1" applyAlignment="1">
      <alignment wrapText="1"/>
    </xf>
    <xf numFmtId="0" fontId="32" fillId="3" borderId="1" xfId="0" applyFont="1" applyFill="1" applyBorder="1" applyAlignment="1">
      <alignment wrapText="1"/>
    </xf>
    <xf numFmtId="0" fontId="32" fillId="3" borderId="22" xfId="0" applyFont="1" applyFill="1" applyBorder="1" applyAlignment="1">
      <alignment wrapText="1"/>
    </xf>
    <xf numFmtId="9" fontId="32" fillId="3" borderId="1" xfId="2" applyNumberFormat="1" applyFont="1" applyFill="1" applyBorder="1" applyAlignment="1">
      <alignment wrapText="1"/>
    </xf>
    <xf numFmtId="178" fontId="71" fillId="8" borderId="53" xfId="0" applyNumberFormat="1" applyFont="1" applyFill="1" applyBorder="1"/>
    <xf numFmtId="10" fontId="34" fillId="5" borderId="0" xfId="1" applyNumberFormat="1" applyFont="1" applyFill="1"/>
    <xf numFmtId="10" fontId="37" fillId="5" borderId="0" xfId="2" applyNumberFormat="1" applyFont="1" applyFill="1" applyAlignment="1"/>
    <xf numFmtId="171" fontId="32" fillId="0" borderId="0" xfId="0" applyNumberFormat="1" applyFont="1"/>
    <xf numFmtId="43" fontId="32" fillId="0" borderId="0" xfId="0" applyNumberFormat="1" applyFont="1"/>
    <xf numFmtId="0" fontId="67" fillId="109" borderId="109" xfId="0" applyFont="1" applyFill="1" applyBorder="1"/>
    <xf numFmtId="0" fontId="213" fillId="109" borderId="0" xfId="0" applyFont="1" applyFill="1"/>
    <xf numFmtId="0" fontId="67" fillId="109" borderId="110" xfId="0" applyFont="1" applyFill="1" applyBorder="1"/>
    <xf numFmtId="0" fontId="66" fillId="109" borderId="109" xfId="477" applyNumberFormat="1" applyFont="1" applyFill="1" applyBorder="1" applyAlignment="1">
      <alignment horizontal="right"/>
    </xf>
    <xf numFmtId="170" fontId="67" fillId="109" borderId="0" xfId="1" applyNumberFormat="1" applyFont="1" applyFill="1" applyBorder="1"/>
    <xf numFmtId="170" fontId="67" fillId="109" borderId="110" xfId="1" applyNumberFormat="1" applyFont="1" applyFill="1" applyBorder="1"/>
    <xf numFmtId="170" fontId="210" fillId="109" borderId="0" xfId="1" applyNumberFormat="1" applyFont="1" applyFill="1" applyBorder="1" applyAlignment="1" applyProtection="1">
      <alignment horizontal="right"/>
    </xf>
    <xf numFmtId="0" fontId="67" fillId="109" borderId="159" xfId="0" applyFont="1" applyFill="1" applyBorder="1"/>
    <xf numFmtId="176" fontId="209" fillId="109" borderId="37" xfId="477" applyFont="1" applyFill="1" applyBorder="1"/>
    <xf numFmtId="170" fontId="207" fillId="109" borderId="37" xfId="1" applyNumberFormat="1" applyFont="1" applyFill="1" applyBorder="1" applyAlignment="1" applyProtection="1">
      <alignment horizontal="right"/>
    </xf>
    <xf numFmtId="170" fontId="207" fillId="109" borderId="160" xfId="1" applyNumberFormat="1" applyFont="1" applyFill="1" applyBorder="1" applyAlignment="1" applyProtection="1">
      <alignment horizontal="right"/>
    </xf>
    <xf numFmtId="2" fontId="67" fillId="0" borderId="0" xfId="0" applyNumberFormat="1" applyFont="1"/>
    <xf numFmtId="176" fontId="210" fillId="109" borderId="0" xfId="477" applyFont="1" applyFill="1"/>
    <xf numFmtId="170" fontId="207" fillId="109" borderId="0" xfId="1" applyNumberFormat="1" applyFont="1" applyFill="1" applyBorder="1" applyAlignment="1" applyProtection="1">
      <alignment horizontal="right"/>
    </xf>
    <xf numFmtId="170" fontId="207" fillId="109" borderId="110" xfId="1" applyNumberFormat="1" applyFont="1" applyFill="1" applyBorder="1" applyAlignment="1" applyProtection="1">
      <alignment horizontal="right"/>
    </xf>
    <xf numFmtId="176" fontId="207" fillId="109" borderId="0" xfId="477" applyFont="1" applyFill="1"/>
    <xf numFmtId="170" fontId="67" fillId="109" borderId="110" xfId="1" applyNumberFormat="1" applyFont="1" applyFill="1" applyBorder="1" applyAlignment="1" applyProtection="1">
      <alignment horizontal="right"/>
    </xf>
    <xf numFmtId="2" fontId="83" fillId="4" borderId="17" xfId="0" applyNumberFormat="1" applyFont="1" applyFill="1" applyBorder="1" applyAlignment="1">
      <alignment horizontal="right"/>
    </xf>
    <xf numFmtId="2" fontId="83" fillId="4" borderId="139" xfId="0" applyNumberFormat="1" applyFont="1" applyFill="1" applyBorder="1" applyAlignment="1">
      <alignment horizontal="right"/>
    </xf>
    <xf numFmtId="170" fontId="67" fillId="109" borderId="37" xfId="1" applyNumberFormat="1" applyFont="1" applyFill="1" applyBorder="1"/>
    <xf numFmtId="170" fontId="67" fillId="109" borderId="160" xfId="1" applyNumberFormat="1" applyFont="1" applyFill="1" applyBorder="1"/>
    <xf numFmtId="176" fontId="210" fillId="109" borderId="43" xfId="477" applyFont="1" applyFill="1" applyBorder="1"/>
    <xf numFmtId="170" fontId="67" fillId="109" borderId="43" xfId="1" applyNumberFormat="1" applyFont="1" applyFill="1" applyBorder="1"/>
    <xf numFmtId="170" fontId="67" fillId="109" borderId="158" xfId="1" applyNumberFormat="1" applyFont="1" applyFill="1" applyBorder="1"/>
    <xf numFmtId="176" fontId="215" fillId="109" borderId="0" xfId="477" applyFont="1" applyFill="1"/>
    <xf numFmtId="170" fontId="69" fillId="109" borderId="0" xfId="478" applyNumberFormat="1" applyFont="1" applyFill="1" applyBorder="1" applyAlignment="1" applyProtection="1">
      <alignment horizontal="right"/>
    </xf>
    <xf numFmtId="170" fontId="69" fillId="109" borderId="110" xfId="478" applyNumberFormat="1" applyFont="1" applyFill="1" applyBorder="1" applyAlignment="1" applyProtection="1">
      <alignment horizontal="right"/>
    </xf>
    <xf numFmtId="170" fontId="210" fillId="0" borderId="53" xfId="1" applyNumberFormat="1" applyFont="1" applyFill="1" applyBorder="1" applyAlignment="1" applyProtection="1">
      <alignment horizontal="right"/>
    </xf>
    <xf numFmtId="0" fontId="67" fillId="0" borderId="34" xfId="0" applyFont="1" applyBorder="1"/>
    <xf numFmtId="170" fontId="207" fillId="0" borderId="77" xfId="1" applyNumberFormat="1" applyFont="1" applyFill="1" applyBorder="1" applyAlignment="1" applyProtection="1">
      <alignment horizontal="right"/>
    </xf>
    <xf numFmtId="170" fontId="210" fillId="0" borderId="78" xfId="1" applyNumberFormat="1" applyFont="1" applyFill="1" applyBorder="1" applyAlignment="1" applyProtection="1">
      <alignment horizontal="right"/>
    </xf>
    <xf numFmtId="176" fontId="225" fillId="0" borderId="77" xfId="477" applyFont="1" applyBorder="1"/>
    <xf numFmtId="176" fontId="226" fillId="0" borderId="0" xfId="477" applyFont="1"/>
    <xf numFmtId="0" fontId="0" fillId="0" borderId="17" xfId="0" applyBorder="1"/>
    <xf numFmtId="0" fontId="0" fillId="110" borderId="17" xfId="0" applyFill="1" applyBorder="1" applyAlignment="1">
      <alignment horizontal="centerContinuous"/>
    </xf>
    <xf numFmtId="170" fontId="0" fillId="0" borderId="17" xfId="1" applyNumberFormat="1" applyFont="1" applyBorder="1"/>
    <xf numFmtId="10" fontId="0" fillId="0" borderId="17" xfId="2" applyNumberFormat="1" applyFont="1" applyBorder="1"/>
    <xf numFmtId="10" fontId="0" fillId="0" borderId="0" xfId="2" applyNumberFormat="1" applyFont="1"/>
    <xf numFmtId="176" fontId="207" fillId="116" borderId="0" xfId="477" applyFont="1" applyFill="1"/>
    <xf numFmtId="170" fontId="71" fillId="0" borderId="0" xfId="1" applyNumberFormat="1" applyFont="1" applyFill="1" applyBorder="1" applyAlignment="1">
      <alignment wrapText="1"/>
    </xf>
    <xf numFmtId="0" fontId="67" fillId="116" borderId="0" xfId="0" applyFont="1" applyFill="1"/>
    <xf numFmtId="0" fontId="67" fillId="117" borderId="84" xfId="0" applyFont="1" applyFill="1" applyBorder="1"/>
    <xf numFmtId="176" fontId="209" fillId="117" borderId="72" xfId="477" applyFont="1" applyFill="1" applyBorder="1"/>
    <xf numFmtId="170" fontId="207" fillId="117" borderId="72" xfId="1" applyNumberFormat="1" applyFont="1" applyFill="1" applyBorder="1" applyAlignment="1" applyProtection="1">
      <alignment horizontal="right"/>
    </xf>
    <xf numFmtId="170" fontId="210" fillId="117" borderId="31" xfId="1" applyNumberFormat="1" applyFont="1" applyFill="1" applyBorder="1" applyAlignment="1" applyProtection="1">
      <alignment horizontal="right"/>
    </xf>
    <xf numFmtId="0" fontId="32" fillId="3" borderId="19" xfId="0" applyFont="1" applyFill="1" applyBorder="1" applyAlignment="1">
      <alignment horizontal="right" wrapText="1"/>
    </xf>
    <xf numFmtId="0" fontId="32" fillId="3" borderId="20" xfId="0" applyFont="1" applyFill="1" applyBorder="1" applyAlignment="1">
      <alignment wrapText="1"/>
    </xf>
    <xf numFmtId="0" fontId="32" fillId="3" borderId="19" xfId="0" applyFont="1" applyFill="1" applyBorder="1" applyAlignment="1">
      <alignment wrapText="1"/>
    </xf>
    <xf numFmtId="14" fontId="32" fillId="3" borderId="20" xfId="0" applyNumberFormat="1" applyFont="1" applyFill="1" applyBorder="1" applyAlignment="1">
      <alignment wrapText="1"/>
    </xf>
    <xf numFmtId="0" fontId="210" fillId="0" borderId="0" xfId="0" applyFont="1" applyAlignment="1">
      <alignment horizontal="left"/>
    </xf>
    <xf numFmtId="173" fontId="210" fillId="0" borderId="0" xfId="238" applyNumberFormat="1" applyFont="1" applyFill="1" applyAlignment="1">
      <alignment horizontal="left"/>
    </xf>
    <xf numFmtId="164" fontId="69" fillId="0" borderId="34" xfId="0" applyNumberFormat="1" applyFont="1" applyBorder="1" applyAlignment="1">
      <alignment vertical="top"/>
    </xf>
    <xf numFmtId="0" fontId="72" fillId="0" borderId="77" xfId="0" applyFont="1" applyBorder="1"/>
    <xf numFmtId="0" fontId="72" fillId="0" borderId="78" xfId="0" applyFont="1" applyBorder="1"/>
    <xf numFmtId="164" fontId="69" fillId="0" borderId="25" xfId="0" applyNumberFormat="1" applyFont="1" applyBorder="1" applyAlignment="1">
      <alignment vertical="top"/>
    </xf>
    <xf numFmtId="170" fontId="229" fillId="104" borderId="152" xfId="1" applyNumberFormat="1" applyFont="1" applyFill="1" applyBorder="1" applyAlignment="1"/>
    <xf numFmtId="171" fontId="229" fillId="0" borderId="153" xfId="34335" applyNumberFormat="1" applyFont="1" applyBorder="1" applyAlignment="1"/>
    <xf numFmtId="170" fontId="229" fillId="104" borderId="145" xfId="1" applyNumberFormat="1" applyFont="1" applyFill="1" applyBorder="1" applyAlignment="1"/>
    <xf numFmtId="171" fontId="229" fillId="0" borderId="148" xfId="34335" applyNumberFormat="1" applyFont="1" applyBorder="1" applyAlignment="1"/>
    <xf numFmtId="170" fontId="230" fillId="0" borderId="146" xfId="1" applyNumberFormat="1" applyFont="1" applyBorder="1" applyAlignment="1"/>
    <xf numFmtId="171" fontId="230" fillId="0" borderId="149" xfId="34336" applyNumberFormat="1" applyFont="1" applyBorder="1" applyAlignment="1"/>
    <xf numFmtId="164" fontId="69" fillId="0" borderId="84" xfId="0" applyNumberFormat="1" applyFont="1" applyBorder="1" applyAlignment="1">
      <alignment vertical="top"/>
    </xf>
    <xf numFmtId="211" fontId="231" fillId="105" borderId="150" xfId="34335" applyNumberFormat="1" applyFont="1" applyFill="1" applyBorder="1" applyAlignment="1">
      <alignment horizontal="center" vertical="center"/>
    </xf>
    <xf numFmtId="211" fontId="231" fillId="105" borderId="151" xfId="34335" applyNumberFormat="1" applyFont="1" applyFill="1" applyBorder="1" applyAlignment="1">
      <alignment horizontal="center" vertical="center"/>
    </xf>
    <xf numFmtId="43" fontId="232" fillId="0" borderId="154" xfId="1" applyFont="1" applyBorder="1" applyAlignment="1"/>
    <xf numFmtId="43" fontId="231" fillId="0" borderId="0" xfId="1" applyFont="1" applyFill="1" applyBorder="1" applyAlignment="1">
      <alignment horizontal="left" vertical="center"/>
    </xf>
    <xf numFmtId="170" fontId="67" fillId="116" borderId="110" xfId="1" applyNumberFormat="1" applyFont="1" applyFill="1" applyBorder="1"/>
    <xf numFmtId="170" fontId="207" fillId="0" borderId="0" xfId="1" applyNumberFormat="1" applyFont="1" applyFill="1" applyBorder="1" applyAlignment="1" applyProtection="1">
      <alignment horizontal="left"/>
    </xf>
    <xf numFmtId="170" fontId="56" fillId="0" borderId="42" xfId="0" applyNumberFormat="1" applyFont="1" applyBorder="1"/>
    <xf numFmtId="173" fontId="56" fillId="0" borderId="0" xfId="0" applyNumberFormat="1" applyFont="1"/>
    <xf numFmtId="176" fontId="209" fillId="109" borderId="0" xfId="477" applyFont="1" applyFill="1"/>
    <xf numFmtId="2" fontId="71" fillId="8" borderId="0" xfId="0" applyNumberFormat="1" applyFont="1" applyFill="1"/>
    <xf numFmtId="41" fontId="0" fillId="115" borderId="0" xfId="0" applyNumberFormat="1" applyFill="1"/>
    <xf numFmtId="170" fontId="34" fillId="0" borderId="0" xfId="1" applyNumberFormat="1" applyFont="1" applyFill="1" applyBorder="1" applyAlignment="1"/>
    <xf numFmtId="170" fontId="43" fillId="0" borderId="0" xfId="1" applyNumberFormat="1" applyFont="1" applyFill="1" applyBorder="1" applyAlignment="1" applyProtection="1">
      <alignment horizontal="justify"/>
    </xf>
    <xf numFmtId="4" fontId="0" fillId="0" borderId="0" xfId="0" applyNumberFormat="1"/>
    <xf numFmtId="43" fontId="0" fillId="0" borderId="142" xfId="1" applyFont="1" applyBorder="1"/>
    <xf numFmtId="178" fontId="82" fillId="4" borderId="132" xfId="0" applyNumberFormat="1" applyFont="1" applyFill="1" applyBorder="1" applyAlignment="1">
      <alignment horizontal="center"/>
    </xf>
    <xf numFmtId="178" fontId="82" fillId="4" borderId="56" xfId="0" applyNumberFormat="1" applyFont="1" applyFill="1" applyBorder="1" applyAlignment="1">
      <alignment horizontal="center"/>
    </xf>
    <xf numFmtId="178" fontId="82" fillId="4" borderId="68" xfId="0" applyNumberFormat="1" applyFont="1" applyFill="1" applyBorder="1" applyAlignment="1">
      <alignment horizontal="center"/>
    </xf>
    <xf numFmtId="0" fontId="200" fillId="106" borderId="29" xfId="0" applyFont="1" applyFill="1" applyBorder="1" applyAlignment="1">
      <alignment horizontal="center"/>
    </xf>
    <xf numFmtId="0" fontId="32" fillId="3" borderId="18" xfId="0" applyFont="1" applyFill="1" applyBorder="1" applyAlignment="1">
      <alignment horizontal="center" wrapText="1"/>
    </xf>
    <xf numFmtId="0" fontId="32" fillId="3" borderId="19" xfId="0" applyFont="1" applyFill="1" applyBorder="1" applyAlignment="1">
      <alignment horizontal="center" wrapText="1"/>
    </xf>
    <xf numFmtId="0" fontId="44" fillId="3" borderId="27" xfId="0" applyFont="1" applyFill="1" applyBorder="1" applyAlignment="1">
      <alignment horizontal="left" wrapText="1"/>
    </xf>
    <xf numFmtId="0" fontId="44" fillId="3" borderId="29" xfId="0" applyFont="1" applyFill="1" applyBorder="1" applyAlignment="1">
      <alignment horizontal="left" wrapText="1"/>
    </xf>
    <xf numFmtId="0" fontId="44" fillId="3" borderId="59" xfId="0" applyFont="1" applyFill="1" applyBorder="1" applyAlignment="1">
      <alignment horizontal="left" wrapText="1"/>
    </xf>
    <xf numFmtId="0" fontId="32" fillId="3" borderId="28" xfId="0" applyFont="1" applyFill="1" applyBorder="1" applyAlignment="1">
      <alignment horizontal="center" wrapText="1"/>
    </xf>
    <xf numFmtId="0" fontId="32" fillId="3" borderId="28" xfId="0" applyFont="1" applyFill="1" applyBorder="1" applyAlignment="1">
      <alignment horizontal="right" wrapText="1"/>
    </xf>
    <xf numFmtId="0" fontId="32" fillId="3" borderId="19" xfId="0" applyFont="1" applyFill="1" applyBorder="1" applyAlignment="1">
      <alignment horizontal="right" wrapText="1"/>
    </xf>
    <xf numFmtId="0" fontId="44" fillId="3" borderId="22" xfId="0" applyFont="1" applyFill="1" applyBorder="1" applyAlignment="1">
      <alignment horizontal="left" wrapText="1"/>
    </xf>
    <xf numFmtId="0" fontId="44" fillId="3" borderId="24" xfId="0" applyFont="1" applyFill="1" applyBorder="1" applyAlignment="1">
      <alignment horizontal="left" wrapText="1"/>
    </xf>
    <xf numFmtId="43" fontId="71" fillId="0" borderId="0" xfId="1" applyFont="1" applyFill="1" applyAlignment="1">
      <alignment horizontal="left"/>
    </xf>
    <xf numFmtId="0" fontId="188" fillId="13" borderId="17" xfId="179" applyFont="1" applyFill="1" applyBorder="1" applyAlignment="1">
      <alignment horizontal="center"/>
    </xf>
    <xf numFmtId="0" fontId="190" fillId="13" borderId="17" xfId="179" applyFont="1" applyFill="1" applyBorder="1" applyAlignment="1">
      <alignment horizontal="center"/>
    </xf>
    <xf numFmtId="0" fontId="188" fillId="0" borderId="74" xfId="179" applyFont="1" applyBorder="1" applyAlignment="1">
      <alignment horizontal="center"/>
    </xf>
    <xf numFmtId="0" fontId="188" fillId="0" borderId="11" xfId="179" applyFont="1" applyBorder="1" applyAlignment="1">
      <alignment horizontal="center"/>
    </xf>
    <xf numFmtId="0" fontId="188" fillId="0" borderId="71" xfId="179" applyFont="1" applyBorder="1" applyAlignment="1">
      <alignment horizontal="center"/>
    </xf>
    <xf numFmtId="176" fontId="188" fillId="13" borderId="17" xfId="179" applyNumberFormat="1" applyFont="1" applyFill="1" applyBorder="1" applyAlignment="1">
      <alignment horizontal="center"/>
    </xf>
    <xf numFmtId="0" fontId="72" fillId="0" borderId="25" xfId="0" applyFont="1" applyBorder="1" applyAlignment="1">
      <alignment horizontal="center"/>
    </xf>
    <xf numFmtId="0" fontId="72" fillId="0" borderId="0" xfId="0" applyFont="1" applyAlignment="1">
      <alignment horizontal="center"/>
    </xf>
    <xf numFmtId="0" fontId="72" fillId="0" borderId="110" xfId="0" applyFont="1" applyBorder="1" applyAlignment="1">
      <alignment horizontal="center"/>
    </xf>
    <xf numFmtId="0" fontId="72" fillId="0" borderId="107" xfId="0" applyFont="1" applyBorder="1" applyAlignment="1">
      <alignment horizontal="center"/>
    </xf>
    <xf numFmtId="0" fontId="72" fillId="0" borderId="108" xfId="0" applyFont="1" applyBorder="1" applyAlignment="1">
      <alignment horizontal="center"/>
    </xf>
    <xf numFmtId="0" fontId="188" fillId="0" borderId="17" xfId="179" applyFont="1" applyBorder="1" applyAlignment="1">
      <alignment horizontal="center"/>
    </xf>
    <xf numFmtId="179" fontId="72" fillId="0" borderId="27" xfId="179" applyNumberFormat="1" applyFont="1" applyBorder="1" applyAlignment="1">
      <alignment horizontal="center"/>
    </xf>
    <xf numFmtId="179" fontId="72" fillId="0" borderId="29" xfId="179" applyNumberFormat="1" applyFont="1" applyBorder="1" applyAlignment="1">
      <alignment horizontal="center"/>
    </xf>
    <xf numFmtId="179" fontId="72" fillId="0" borderId="101" xfId="179" applyNumberFormat="1" applyFont="1" applyBorder="1" applyAlignment="1">
      <alignment horizontal="center"/>
    </xf>
    <xf numFmtId="0" fontId="72" fillId="0" borderId="109" xfId="0" applyFont="1" applyBorder="1" applyAlignment="1">
      <alignment horizontal="center"/>
    </xf>
    <xf numFmtId="0" fontId="71" fillId="0" borderId="0" xfId="0" applyFont="1" applyAlignment="1">
      <alignment horizontal="justify" vertical="center" wrapText="1"/>
    </xf>
    <xf numFmtId="0" fontId="71" fillId="108" borderId="29" xfId="0" applyFont="1" applyFill="1" applyBorder="1" applyAlignment="1">
      <alignment horizontal="right" vertical="center" wrapText="1"/>
    </xf>
    <xf numFmtId="0" fontId="71" fillId="108" borderId="0" xfId="0" applyFont="1" applyFill="1" applyAlignment="1">
      <alignment horizontal="right" vertical="center" wrapText="1"/>
    </xf>
    <xf numFmtId="0" fontId="71" fillId="0" borderId="0" xfId="0" applyFont="1" applyAlignment="1">
      <alignment horizontal="right" vertical="center" wrapText="1"/>
    </xf>
    <xf numFmtId="0" fontId="44" fillId="3" borderId="23" xfId="0" applyFont="1" applyFill="1" applyBorder="1" applyAlignment="1">
      <alignment horizontal="left" wrapText="1"/>
    </xf>
    <xf numFmtId="4" fontId="32" fillId="3" borderId="18" xfId="0" applyNumberFormat="1" applyFont="1" applyFill="1" applyBorder="1" applyAlignment="1">
      <alignment horizontal="center" wrapText="1"/>
    </xf>
    <xf numFmtId="4" fontId="32" fillId="3" borderId="19" xfId="0" applyNumberFormat="1" applyFont="1" applyFill="1" applyBorder="1" applyAlignment="1">
      <alignment horizontal="center" wrapText="1"/>
    </xf>
    <xf numFmtId="0" fontId="32" fillId="3" borderId="18" xfId="2" applyFont="1" applyFill="1" applyBorder="1" applyAlignment="1">
      <alignment horizontal="center" wrapText="1"/>
    </xf>
    <xf numFmtId="0" fontId="32" fillId="3" borderId="19" xfId="2" applyFont="1" applyFill="1" applyBorder="1" applyAlignment="1">
      <alignment horizontal="center" wrapText="1"/>
    </xf>
    <xf numFmtId="0" fontId="54" fillId="3" borderId="22" xfId="0" applyFont="1" applyFill="1" applyBorder="1" applyAlignment="1">
      <alignment horizontal="left" wrapText="1"/>
    </xf>
    <xf numFmtId="0" fontId="54" fillId="3" borderId="24" xfId="0" applyFont="1" applyFill="1" applyBorder="1" applyAlignment="1">
      <alignment horizontal="left" wrapText="1"/>
    </xf>
    <xf numFmtId="14" fontId="32" fillId="3" borderId="20" xfId="0" applyNumberFormat="1" applyFont="1" applyFill="1" applyBorder="1" applyAlignment="1">
      <alignment horizontal="center" wrapText="1"/>
    </xf>
    <xf numFmtId="14" fontId="32" fillId="3" borderId="19" xfId="0" applyNumberFormat="1" applyFont="1" applyFill="1" applyBorder="1" applyAlignment="1">
      <alignment horizontal="center" wrapText="1"/>
    </xf>
    <xf numFmtId="0" fontId="32" fillId="3" borderId="21" xfId="2" applyFont="1" applyFill="1" applyBorder="1" applyAlignment="1">
      <alignment horizontal="center" wrapText="1"/>
    </xf>
    <xf numFmtId="10" fontId="32" fillId="3" borderId="28" xfId="2" applyNumberFormat="1" applyFont="1" applyFill="1" applyBorder="1" applyAlignment="1">
      <alignment horizontal="center" wrapText="1"/>
    </xf>
    <xf numFmtId="10" fontId="32" fillId="3" borderId="19" xfId="2" applyNumberFormat="1" applyFont="1" applyFill="1" applyBorder="1" applyAlignment="1">
      <alignment horizontal="center" wrapText="1"/>
    </xf>
    <xf numFmtId="0" fontId="32" fillId="3" borderId="20" xfId="0" applyFont="1" applyFill="1" applyBorder="1" applyAlignment="1">
      <alignment horizontal="center" wrapText="1"/>
    </xf>
    <xf numFmtId="10" fontId="32" fillId="3" borderId="21" xfId="2" applyNumberFormat="1" applyFont="1" applyFill="1" applyBorder="1" applyAlignment="1">
      <alignment horizontal="center" wrapText="1"/>
    </xf>
    <xf numFmtId="0" fontId="32" fillId="3" borderId="34" xfId="0" applyFont="1" applyFill="1" applyBorder="1" applyAlignment="1">
      <alignment horizontal="left" wrapText="1"/>
    </xf>
    <xf numFmtId="0" fontId="32" fillId="3" borderId="78" xfId="0" applyFont="1" applyFill="1" applyBorder="1" applyAlignment="1">
      <alignment horizontal="left" wrapText="1"/>
    </xf>
    <xf numFmtId="0" fontId="32" fillId="3" borderId="27" xfId="0" applyFont="1" applyFill="1" applyBorder="1" applyAlignment="1">
      <alignment horizontal="left" wrapText="1"/>
    </xf>
    <xf numFmtId="0" fontId="32" fillId="3" borderId="59" xfId="0" applyFont="1" applyFill="1" applyBorder="1" applyAlignment="1">
      <alignment horizontal="left" wrapText="1"/>
    </xf>
    <xf numFmtId="0" fontId="32" fillId="6" borderId="59" xfId="0" applyFont="1" applyFill="1" applyBorder="1" applyAlignment="1">
      <alignment horizontal="center" vertical="center" wrapText="1"/>
    </xf>
    <xf numFmtId="0" fontId="32" fillId="6" borderId="31" xfId="0" applyFont="1" applyFill="1" applyBorder="1" applyAlignment="1">
      <alignment horizontal="center" vertical="center" wrapText="1"/>
    </xf>
    <xf numFmtId="9" fontId="32" fillId="6" borderId="28" xfId="2" applyNumberFormat="1" applyFont="1" applyFill="1" applyBorder="1" applyAlignment="1">
      <alignment horizontal="center" vertical="center" wrapText="1"/>
    </xf>
    <xf numFmtId="9" fontId="32" fillId="6" borderId="30" xfId="2" applyNumberFormat="1" applyFont="1" applyFill="1" applyBorder="1" applyAlignment="1">
      <alignment horizontal="center" vertical="center" wrapText="1"/>
    </xf>
    <xf numFmtId="0" fontId="32" fillId="6" borderId="28" xfId="0" applyFont="1" applyFill="1" applyBorder="1" applyAlignment="1">
      <alignment horizontal="center" vertical="center" wrapText="1"/>
    </xf>
    <xf numFmtId="0" fontId="32" fillId="6" borderId="26" xfId="0" applyFont="1" applyFill="1" applyBorder="1" applyAlignment="1">
      <alignment horizontal="center" vertical="center" wrapText="1"/>
    </xf>
    <xf numFmtId="0" fontId="32" fillId="6" borderId="30" xfId="0" applyFont="1" applyFill="1" applyBorder="1" applyAlignment="1">
      <alignment horizontal="center" vertical="center" wrapText="1"/>
    </xf>
    <xf numFmtId="171" fontId="32" fillId="6" borderId="28" xfId="2" applyNumberFormat="1" applyFont="1" applyFill="1" applyBorder="1" applyAlignment="1">
      <alignment horizontal="center" vertical="center" wrapText="1"/>
    </xf>
    <xf numFmtId="171" fontId="32" fillId="6" borderId="26" xfId="2" applyNumberFormat="1" applyFont="1" applyFill="1" applyBorder="1" applyAlignment="1">
      <alignment horizontal="center" vertical="center" wrapText="1"/>
    </xf>
    <xf numFmtId="171" fontId="32" fillId="6" borderId="30" xfId="2" applyNumberFormat="1" applyFont="1" applyFill="1" applyBorder="1" applyAlignment="1">
      <alignment horizontal="center" vertical="center" wrapText="1"/>
    </xf>
    <xf numFmtId="0" fontId="32" fillId="9" borderId="18" xfId="0" applyFont="1" applyFill="1" applyBorder="1" applyAlignment="1">
      <alignment horizontal="center"/>
    </xf>
    <xf numFmtId="0" fontId="32" fillId="9" borderId="19" xfId="0" applyFont="1" applyFill="1" applyBorder="1" applyAlignment="1">
      <alignment horizontal="center"/>
    </xf>
    <xf numFmtId="9" fontId="32" fillId="9" borderId="18" xfId="0" applyNumberFormat="1" applyFont="1" applyFill="1" applyBorder="1" applyAlignment="1">
      <alignment horizontal="center"/>
    </xf>
    <xf numFmtId="9" fontId="32" fillId="9" borderId="19" xfId="0" applyNumberFormat="1" applyFont="1" applyFill="1" applyBorder="1" applyAlignment="1">
      <alignment horizontal="center"/>
    </xf>
    <xf numFmtId="0" fontId="32" fillId="0" borderId="4" xfId="0" applyFont="1" applyBorder="1" applyAlignment="1">
      <alignment horizontal="left"/>
    </xf>
    <xf numFmtId="0" fontId="32" fillId="0" borderId="39" xfId="0" applyFont="1" applyBorder="1" applyAlignment="1">
      <alignment horizontal="left"/>
    </xf>
    <xf numFmtId="0" fontId="32" fillId="9" borderId="28" xfId="0" applyFont="1" applyFill="1" applyBorder="1" applyAlignment="1">
      <alignment horizontal="center" wrapText="1"/>
    </xf>
    <xf numFmtId="0" fontId="32" fillId="9" borderId="19" xfId="0" applyFont="1" applyFill="1" applyBorder="1" applyAlignment="1">
      <alignment horizontal="center" wrapText="1"/>
    </xf>
    <xf numFmtId="0" fontId="54" fillId="3" borderId="23" xfId="0" applyFont="1" applyFill="1" applyBorder="1" applyAlignment="1">
      <alignment horizontal="left" wrapText="1"/>
    </xf>
    <xf numFmtId="0" fontId="32" fillId="3" borderId="18" xfId="2" applyFont="1" applyFill="1" applyBorder="1" applyAlignment="1">
      <alignment horizontal="right" wrapText="1"/>
    </xf>
    <xf numFmtId="0" fontId="32" fillId="3" borderId="19" xfId="2" applyFont="1" applyFill="1" applyBorder="1" applyAlignment="1">
      <alignment horizontal="right" wrapText="1"/>
    </xf>
    <xf numFmtId="9" fontId="32" fillId="3" borderId="89" xfId="0" applyNumberFormat="1" applyFont="1" applyFill="1" applyBorder="1" applyAlignment="1">
      <alignment horizontal="center" wrapText="1"/>
    </xf>
    <xf numFmtId="9" fontId="32" fillId="3" borderId="126" xfId="0" applyNumberFormat="1" applyFont="1" applyFill="1" applyBorder="1" applyAlignment="1">
      <alignment horizontal="center" wrapText="1"/>
    </xf>
    <xf numFmtId="0" fontId="44" fillId="3" borderId="22" xfId="0" applyFont="1" applyFill="1" applyBorder="1" applyAlignment="1">
      <alignment horizontal="left"/>
    </xf>
    <xf numFmtId="0" fontId="44" fillId="3" borderId="23" xfId="0" applyFont="1" applyFill="1" applyBorder="1" applyAlignment="1">
      <alignment horizontal="left"/>
    </xf>
    <xf numFmtId="9" fontId="32" fillId="3" borderId="28" xfId="2" applyNumberFormat="1" applyFont="1" applyFill="1" applyBorder="1" applyAlignment="1">
      <alignment horizontal="center" vertical="center"/>
    </xf>
    <xf numFmtId="9" fontId="32" fillId="3" borderId="19" xfId="2" applyNumberFormat="1" applyFont="1" applyFill="1" applyBorder="1" applyAlignment="1">
      <alignment horizontal="center" vertical="center"/>
    </xf>
    <xf numFmtId="0" fontId="32" fillId="3" borderId="22" xfId="0" applyFont="1" applyFill="1" applyBorder="1" applyAlignment="1">
      <alignment horizontal="center" wrapText="1"/>
    </xf>
    <xf numFmtId="0" fontId="32" fillId="3" borderId="23" xfId="0" applyFont="1" applyFill="1" applyBorder="1" applyAlignment="1">
      <alignment horizontal="center" wrapText="1"/>
    </xf>
    <xf numFmtId="0" fontId="32" fillId="3" borderId="24" xfId="0" applyFont="1" applyFill="1" applyBorder="1" applyAlignment="1">
      <alignment horizontal="center" wrapText="1"/>
    </xf>
    <xf numFmtId="0" fontId="48" fillId="0" borderId="0" xfId="0" applyFont="1" applyAlignment="1">
      <alignment horizontal="left" wrapText="1"/>
    </xf>
    <xf numFmtId="0" fontId="32" fillId="3" borderId="26" xfId="0" applyFont="1" applyFill="1" applyBorder="1" applyAlignment="1">
      <alignment horizontal="center" wrapText="1"/>
    </xf>
    <xf numFmtId="9" fontId="32" fillId="3" borderId="20" xfId="2" applyNumberFormat="1" applyFont="1" applyFill="1" applyBorder="1" applyAlignment="1">
      <alignment horizontal="center" wrapText="1"/>
    </xf>
    <xf numFmtId="9" fontId="32" fillId="3" borderId="19" xfId="2" applyNumberFormat="1" applyFont="1" applyFill="1" applyBorder="1" applyAlignment="1">
      <alignment horizontal="center" wrapText="1"/>
    </xf>
    <xf numFmtId="9" fontId="32" fillId="9" borderId="18" xfId="0" applyNumberFormat="1" applyFont="1" applyFill="1" applyBorder="1" applyAlignment="1">
      <alignment horizontal="right"/>
    </xf>
    <xf numFmtId="9" fontId="32" fillId="9" borderId="19" xfId="0" applyNumberFormat="1" applyFont="1" applyFill="1" applyBorder="1" applyAlignment="1">
      <alignment horizontal="right"/>
    </xf>
    <xf numFmtId="0" fontId="32" fillId="9" borderId="20" xfId="0" applyFont="1" applyFill="1" applyBorder="1" applyAlignment="1">
      <alignment horizontal="center" wrapText="1"/>
    </xf>
    <xf numFmtId="9" fontId="32" fillId="9" borderId="20" xfId="0" applyNumberFormat="1" applyFont="1" applyFill="1" applyBorder="1" applyAlignment="1">
      <alignment horizontal="right" wrapText="1"/>
    </xf>
    <xf numFmtId="9" fontId="32" fillId="9" borderId="19" xfId="0" applyNumberFormat="1" applyFont="1" applyFill="1" applyBorder="1" applyAlignment="1">
      <alignment horizontal="right" wrapText="1"/>
    </xf>
    <xf numFmtId="0" fontId="54" fillId="9" borderId="27" xfId="0" applyFont="1" applyFill="1" applyBorder="1" applyAlignment="1">
      <alignment wrapText="1"/>
    </xf>
    <xf numFmtId="0" fontId="54" fillId="9" borderId="29" xfId="0" applyFont="1" applyFill="1" applyBorder="1" applyAlignment="1">
      <alignment wrapText="1"/>
    </xf>
    <xf numFmtId="0" fontId="222" fillId="3" borderId="22" xfId="0" applyFont="1" applyFill="1" applyBorder="1" applyAlignment="1">
      <alignment horizontal="left" wrapText="1"/>
    </xf>
    <xf numFmtId="0" fontId="222" fillId="3" borderId="23" xfId="0" applyFont="1" applyFill="1" applyBorder="1" applyAlignment="1">
      <alignment horizontal="left" wrapText="1"/>
    </xf>
    <xf numFmtId="0" fontId="32" fillId="3" borderId="18" xfId="0" applyFont="1" applyFill="1" applyBorder="1" applyAlignment="1">
      <alignment horizontal="right" wrapText="1"/>
    </xf>
    <xf numFmtId="9" fontId="32" fillId="3" borderId="20" xfId="0" applyNumberFormat="1" applyFont="1" applyFill="1" applyBorder="1" applyAlignment="1">
      <alignment horizontal="right" wrapText="1"/>
    </xf>
    <xf numFmtId="9" fontId="32" fillId="3" borderId="19" xfId="0" applyNumberFormat="1" applyFont="1" applyFill="1" applyBorder="1" applyAlignment="1">
      <alignment horizontal="right" wrapText="1"/>
    </xf>
  </cellXfs>
  <cellStyles count="34340">
    <cellStyle name="_Cash &amp; Bank Balances final 09 Nairobi" xfId="29116" xr:uid="{00000000-0005-0000-0000-000000000000}"/>
    <cellStyle name="20 % - Accent1" xfId="29117" xr:uid="{00000000-0005-0000-0000-000001000000}"/>
    <cellStyle name="20 % - Accent2" xfId="29118" xr:uid="{00000000-0005-0000-0000-000002000000}"/>
    <cellStyle name="20 % - Accent3" xfId="29119" xr:uid="{00000000-0005-0000-0000-000003000000}"/>
    <cellStyle name="20 % - Accent4" xfId="29120" xr:uid="{00000000-0005-0000-0000-000004000000}"/>
    <cellStyle name="20 % - Accent5" xfId="29121" xr:uid="{00000000-0005-0000-0000-000005000000}"/>
    <cellStyle name="20 % - Accent6" xfId="29122" xr:uid="{00000000-0005-0000-0000-000006000000}"/>
    <cellStyle name="20% - Accent1" xfId="26" builtinId="30" customBuiltin="1"/>
    <cellStyle name="20% - Accent1 10" xfId="652" xr:uid="{00000000-0005-0000-0000-000008000000}"/>
    <cellStyle name="20% - Accent1 10 2" xfId="29123" xr:uid="{00000000-0005-0000-0000-000009000000}"/>
    <cellStyle name="20% - Accent1 10 3" xfId="29124" xr:uid="{00000000-0005-0000-0000-00000A000000}"/>
    <cellStyle name="20% - Accent1 11" xfId="653" xr:uid="{00000000-0005-0000-0000-00000B000000}"/>
    <cellStyle name="20% - Accent1 11 2" xfId="29125" xr:uid="{00000000-0005-0000-0000-00000C000000}"/>
    <cellStyle name="20% - Accent1 12" xfId="654" xr:uid="{00000000-0005-0000-0000-00000D000000}"/>
    <cellStyle name="20% - Accent1 12 2" xfId="29126" xr:uid="{00000000-0005-0000-0000-00000E000000}"/>
    <cellStyle name="20% - Accent1 13" xfId="655" xr:uid="{00000000-0005-0000-0000-00000F000000}"/>
    <cellStyle name="20% - Accent1 13 2" xfId="29127" xr:uid="{00000000-0005-0000-0000-000010000000}"/>
    <cellStyle name="20% - Accent1 14" xfId="656" xr:uid="{00000000-0005-0000-0000-000011000000}"/>
    <cellStyle name="20% - Accent1 14 2" xfId="29128" xr:uid="{00000000-0005-0000-0000-000012000000}"/>
    <cellStyle name="20% - Accent1 15" xfId="657" xr:uid="{00000000-0005-0000-0000-000013000000}"/>
    <cellStyle name="20% - Accent1 15 2" xfId="29129" xr:uid="{00000000-0005-0000-0000-000014000000}"/>
    <cellStyle name="20% - Accent1 16" xfId="658" xr:uid="{00000000-0005-0000-0000-000015000000}"/>
    <cellStyle name="20% - Accent1 16 2" xfId="29130" xr:uid="{00000000-0005-0000-0000-000016000000}"/>
    <cellStyle name="20% - Accent1 17" xfId="659" xr:uid="{00000000-0005-0000-0000-000017000000}"/>
    <cellStyle name="20% - Accent1 17 2" xfId="29131" xr:uid="{00000000-0005-0000-0000-000018000000}"/>
    <cellStyle name="20% - Accent1 18" xfId="660" xr:uid="{00000000-0005-0000-0000-000019000000}"/>
    <cellStyle name="20% - Accent1 19" xfId="661" xr:uid="{00000000-0005-0000-0000-00001A000000}"/>
    <cellStyle name="20% - Accent1 2" xfId="54" xr:uid="{00000000-0005-0000-0000-00001B000000}"/>
    <cellStyle name="20% - Accent1 2 10" xfId="663" xr:uid="{00000000-0005-0000-0000-00001C000000}"/>
    <cellStyle name="20% - Accent1 2 11" xfId="664" xr:uid="{00000000-0005-0000-0000-00001D000000}"/>
    <cellStyle name="20% - Accent1 2 12" xfId="665" xr:uid="{00000000-0005-0000-0000-00001E000000}"/>
    <cellStyle name="20% - Accent1 2 13" xfId="666" xr:uid="{00000000-0005-0000-0000-00001F000000}"/>
    <cellStyle name="20% - Accent1 2 14" xfId="667" xr:uid="{00000000-0005-0000-0000-000020000000}"/>
    <cellStyle name="20% - Accent1 2 15" xfId="668" xr:uid="{00000000-0005-0000-0000-000021000000}"/>
    <cellStyle name="20% - Accent1 2 16" xfId="669" xr:uid="{00000000-0005-0000-0000-000022000000}"/>
    <cellStyle name="20% - Accent1 2 16 2" xfId="670" xr:uid="{00000000-0005-0000-0000-000023000000}"/>
    <cellStyle name="20% - Accent1 2 17" xfId="671" xr:uid="{00000000-0005-0000-0000-000024000000}"/>
    <cellStyle name="20% - Accent1 2 18" xfId="672" xr:uid="{00000000-0005-0000-0000-000025000000}"/>
    <cellStyle name="20% - Accent1 2 19" xfId="673" xr:uid="{00000000-0005-0000-0000-000026000000}"/>
    <cellStyle name="20% - Accent1 2 2" xfId="432" xr:uid="{00000000-0005-0000-0000-000027000000}"/>
    <cellStyle name="20% - Accent1 2 2 10" xfId="675" xr:uid="{00000000-0005-0000-0000-000028000000}"/>
    <cellStyle name="20% - Accent1 2 2 11" xfId="676" xr:uid="{00000000-0005-0000-0000-000029000000}"/>
    <cellStyle name="20% - Accent1 2 2 12" xfId="677" xr:uid="{00000000-0005-0000-0000-00002A000000}"/>
    <cellStyle name="20% - Accent1 2 2 13" xfId="678" xr:uid="{00000000-0005-0000-0000-00002B000000}"/>
    <cellStyle name="20% - Accent1 2 2 14" xfId="679" xr:uid="{00000000-0005-0000-0000-00002C000000}"/>
    <cellStyle name="20% - Accent1 2 2 14 2" xfId="680" xr:uid="{00000000-0005-0000-0000-00002D000000}"/>
    <cellStyle name="20% - Accent1 2 2 15" xfId="681" xr:uid="{00000000-0005-0000-0000-00002E000000}"/>
    <cellStyle name="20% - Accent1 2 2 16" xfId="682" xr:uid="{00000000-0005-0000-0000-00002F000000}"/>
    <cellStyle name="20% - Accent1 2 2 17" xfId="683" xr:uid="{00000000-0005-0000-0000-000030000000}"/>
    <cellStyle name="20% - Accent1 2 2 18" xfId="684" xr:uid="{00000000-0005-0000-0000-000031000000}"/>
    <cellStyle name="20% - Accent1 2 2 19" xfId="685" xr:uid="{00000000-0005-0000-0000-000032000000}"/>
    <cellStyle name="20% - Accent1 2 2 2" xfId="686" xr:uid="{00000000-0005-0000-0000-000033000000}"/>
    <cellStyle name="20% - Accent1 2 2 2 10" xfId="687" xr:uid="{00000000-0005-0000-0000-000034000000}"/>
    <cellStyle name="20% - Accent1 2 2 2 11" xfId="688" xr:uid="{00000000-0005-0000-0000-000035000000}"/>
    <cellStyle name="20% - Accent1 2 2 2 12" xfId="689" xr:uid="{00000000-0005-0000-0000-000036000000}"/>
    <cellStyle name="20% - Accent1 2 2 2 13" xfId="690" xr:uid="{00000000-0005-0000-0000-000037000000}"/>
    <cellStyle name="20% - Accent1 2 2 2 14" xfId="691" xr:uid="{00000000-0005-0000-0000-000038000000}"/>
    <cellStyle name="20% - Accent1 2 2 2 15" xfId="692" xr:uid="{00000000-0005-0000-0000-000039000000}"/>
    <cellStyle name="20% - Accent1 2 2 2 16" xfId="693" xr:uid="{00000000-0005-0000-0000-00003A000000}"/>
    <cellStyle name="20% - Accent1 2 2 2 17" xfId="694" xr:uid="{00000000-0005-0000-0000-00003B000000}"/>
    <cellStyle name="20% - Accent1 2 2 2 18" xfId="695" xr:uid="{00000000-0005-0000-0000-00003C000000}"/>
    <cellStyle name="20% - Accent1 2 2 2 19" xfId="696" xr:uid="{00000000-0005-0000-0000-00003D000000}"/>
    <cellStyle name="20% - Accent1 2 2 2 2" xfId="697" xr:uid="{00000000-0005-0000-0000-00003E000000}"/>
    <cellStyle name="20% - Accent1 2 2 2 2 10" xfId="698" xr:uid="{00000000-0005-0000-0000-00003F000000}"/>
    <cellStyle name="20% - Accent1 2 2 2 2 11" xfId="699" xr:uid="{00000000-0005-0000-0000-000040000000}"/>
    <cellStyle name="20% - Accent1 2 2 2 2 12" xfId="700" xr:uid="{00000000-0005-0000-0000-000041000000}"/>
    <cellStyle name="20% - Accent1 2 2 2 2 13" xfId="701" xr:uid="{00000000-0005-0000-0000-000042000000}"/>
    <cellStyle name="20% - Accent1 2 2 2 2 14" xfId="702" xr:uid="{00000000-0005-0000-0000-000043000000}"/>
    <cellStyle name="20% - Accent1 2 2 2 2 15" xfId="703" xr:uid="{00000000-0005-0000-0000-000044000000}"/>
    <cellStyle name="20% - Accent1 2 2 2 2 16" xfId="704" xr:uid="{00000000-0005-0000-0000-000045000000}"/>
    <cellStyle name="20% - Accent1 2 2 2 2 17" xfId="705" xr:uid="{00000000-0005-0000-0000-000046000000}"/>
    <cellStyle name="20% - Accent1 2 2 2 2 18" xfId="706" xr:uid="{00000000-0005-0000-0000-000047000000}"/>
    <cellStyle name="20% - Accent1 2 2 2 2 19" xfId="707" xr:uid="{00000000-0005-0000-0000-000048000000}"/>
    <cellStyle name="20% - Accent1 2 2 2 2 2" xfId="708" xr:uid="{00000000-0005-0000-0000-000049000000}"/>
    <cellStyle name="20% - Accent1 2 2 2 2 2 10" xfId="709" xr:uid="{00000000-0005-0000-0000-00004A000000}"/>
    <cellStyle name="20% - Accent1 2 2 2 2 2 11" xfId="710" xr:uid="{00000000-0005-0000-0000-00004B000000}"/>
    <cellStyle name="20% - Accent1 2 2 2 2 2 11 2" xfId="711" xr:uid="{00000000-0005-0000-0000-00004C000000}"/>
    <cellStyle name="20% - Accent1 2 2 2 2 2 12" xfId="29132" xr:uid="{00000000-0005-0000-0000-00004D000000}"/>
    <cellStyle name="20% - Accent1 2 2 2 2 2 13" xfId="29133" xr:uid="{00000000-0005-0000-0000-00004E000000}"/>
    <cellStyle name="20% - Accent1 2 2 2 2 2 14" xfId="33689" xr:uid="{00000000-0005-0000-0000-00004F000000}"/>
    <cellStyle name="20% - Accent1 2 2 2 2 2 2" xfId="712" xr:uid="{00000000-0005-0000-0000-000050000000}"/>
    <cellStyle name="20% - Accent1 2 2 2 2 2 2 10" xfId="713" xr:uid="{00000000-0005-0000-0000-000051000000}"/>
    <cellStyle name="20% - Accent1 2 2 2 2 2 2 11" xfId="714" xr:uid="{00000000-0005-0000-0000-000052000000}"/>
    <cellStyle name="20% - Accent1 2 2 2 2 2 2 11 2" xfId="715" xr:uid="{00000000-0005-0000-0000-000053000000}"/>
    <cellStyle name="20% - Accent1 2 2 2 2 2 2 2" xfId="716" xr:uid="{00000000-0005-0000-0000-000054000000}"/>
    <cellStyle name="20% - Accent1 2 2 2 2 2 2 2 2" xfId="717" xr:uid="{00000000-0005-0000-0000-000055000000}"/>
    <cellStyle name="20% - Accent1 2 2 2 2 2 2 2 2 2" xfId="718" xr:uid="{00000000-0005-0000-0000-000056000000}"/>
    <cellStyle name="20% - Accent1 2 2 2 2 2 2 2 2 2 2" xfId="719" xr:uid="{00000000-0005-0000-0000-000057000000}"/>
    <cellStyle name="20% - Accent1 2 2 2 2 2 2 2 2 3" xfId="720" xr:uid="{00000000-0005-0000-0000-000058000000}"/>
    <cellStyle name="20% - Accent1 2 2 2 2 2 2 2 3" xfId="721" xr:uid="{00000000-0005-0000-0000-000059000000}"/>
    <cellStyle name="20% - Accent1 2 2 2 2 2 2 2 3 2" xfId="722" xr:uid="{00000000-0005-0000-0000-00005A000000}"/>
    <cellStyle name="20% - Accent1 2 2 2 2 2 2 3" xfId="723" xr:uid="{00000000-0005-0000-0000-00005B000000}"/>
    <cellStyle name="20% - Accent1 2 2 2 2 2 2 4" xfId="724" xr:uid="{00000000-0005-0000-0000-00005C000000}"/>
    <cellStyle name="20% - Accent1 2 2 2 2 2 2 5" xfId="725" xr:uid="{00000000-0005-0000-0000-00005D000000}"/>
    <cellStyle name="20% - Accent1 2 2 2 2 2 2 6" xfId="726" xr:uid="{00000000-0005-0000-0000-00005E000000}"/>
    <cellStyle name="20% - Accent1 2 2 2 2 2 2 7" xfId="727" xr:uid="{00000000-0005-0000-0000-00005F000000}"/>
    <cellStyle name="20% - Accent1 2 2 2 2 2 2 8" xfId="728" xr:uid="{00000000-0005-0000-0000-000060000000}"/>
    <cellStyle name="20% - Accent1 2 2 2 2 2 2 9" xfId="729" xr:uid="{00000000-0005-0000-0000-000061000000}"/>
    <cellStyle name="20% - Accent1 2 2 2 2 2 3" xfId="730" xr:uid="{00000000-0005-0000-0000-000062000000}"/>
    <cellStyle name="20% - Accent1 2 2 2 2 2 3 2" xfId="731" xr:uid="{00000000-0005-0000-0000-000063000000}"/>
    <cellStyle name="20% - Accent1 2 2 2 2 2 4" xfId="732" xr:uid="{00000000-0005-0000-0000-000064000000}"/>
    <cellStyle name="20% - Accent1 2 2 2 2 2 5" xfId="733" xr:uid="{00000000-0005-0000-0000-000065000000}"/>
    <cellStyle name="20% - Accent1 2 2 2 2 2 6" xfId="734" xr:uid="{00000000-0005-0000-0000-000066000000}"/>
    <cellStyle name="20% - Accent1 2 2 2 2 2 7" xfId="735" xr:uid="{00000000-0005-0000-0000-000067000000}"/>
    <cellStyle name="20% - Accent1 2 2 2 2 2 8" xfId="736" xr:uid="{00000000-0005-0000-0000-000068000000}"/>
    <cellStyle name="20% - Accent1 2 2 2 2 2 9" xfId="737" xr:uid="{00000000-0005-0000-0000-000069000000}"/>
    <cellStyle name="20% - Accent1 2 2 2 2 20" xfId="738" xr:uid="{00000000-0005-0000-0000-00006A000000}"/>
    <cellStyle name="20% - Accent1 2 2 2 2 20 2" xfId="739" xr:uid="{00000000-0005-0000-0000-00006B000000}"/>
    <cellStyle name="20% - Accent1 2 2 2 2 21" xfId="740" xr:uid="{00000000-0005-0000-0000-00006C000000}"/>
    <cellStyle name="20% - Accent1 2 2 2 2 22" xfId="741" xr:uid="{00000000-0005-0000-0000-00006D000000}"/>
    <cellStyle name="20% - Accent1 2 2 2 2 23" xfId="742" xr:uid="{00000000-0005-0000-0000-00006E000000}"/>
    <cellStyle name="20% - Accent1 2 2 2 2 24" xfId="743" xr:uid="{00000000-0005-0000-0000-00006F000000}"/>
    <cellStyle name="20% - Accent1 2 2 2 2 25" xfId="744" xr:uid="{00000000-0005-0000-0000-000070000000}"/>
    <cellStyle name="20% - Accent1 2 2 2 2 26" xfId="745" xr:uid="{00000000-0005-0000-0000-000071000000}"/>
    <cellStyle name="20% - Accent1 2 2 2 2 27" xfId="746" xr:uid="{00000000-0005-0000-0000-000072000000}"/>
    <cellStyle name="20% - Accent1 2 2 2 2 28" xfId="747" xr:uid="{00000000-0005-0000-0000-000073000000}"/>
    <cellStyle name="20% - Accent1 2 2 2 2 28 2" xfId="748" xr:uid="{00000000-0005-0000-0000-000074000000}"/>
    <cellStyle name="20% - Accent1 2 2 2 2 29" xfId="29134" xr:uid="{00000000-0005-0000-0000-000075000000}"/>
    <cellStyle name="20% - Accent1 2 2 2 2 3" xfId="749" xr:uid="{00000000-0005-0000-0000-000076000000}"/>
    <cellStyle name="20% - Accent1 2 2 2 2 3 2" xfId="33918" xr:uid="{00000000-0005-0000-0000-000077000000}"/>
    <cellStyle name="20% - Accent1 2 2 2 2 30" xfId="29135" xr:uid="{00000000-0005-0000-0000-000078000000}"/>
    <cellStyle name="20% - Accent1 2 2 2 2 31" xfId="29136" xr:uid="{00000000-0005-0000-0000-000079000000}"/>
    <cellStyle name="20% - Accent1 2 2 2 2 32" xfId="33305" xr:uid="{00000000-0005-0000-0000-00007A000000}"/>
    <cellStyle name="20% - Accent1 2 2 2 2 4" xfId="750" xr:uid="{00000000-0005-0000-0000-00007B000000}"/>
    <cellStyle name="20% - Accent1 2 2 2 2 4 2" xfId="34132" xr:uid="{00000000-0005-0000-0000-00007C000000}"/>
    <cellStyle name="20% - Accent1 2 2 2 2 5" xfId="751" xr:uid="{00000000-0005-0000-0000-00007D000000}"/>
    <cellStyle name="20% - Accent1 2 2 2 2 6" xfId="752" xr:uid="{00000000-0005-0000-0000-00007E000000}"/>
    <cellStyle name="20% - Accent1 2 2 2 2 7" xfId="753" xr:uid="{00000000-0005-0000-0000-00007F000000}"/>
    <cellStyle name="20% - Accent1 2 2 2 2 8" xfId="754" xr:uid="{00000000-0005-0000-0000-000080000000}"/>
    <cellStyle name="20% - Accent1 2 2 2 2 9" xfId="755" xr:uid="{00000000-0005-0000-0000-000081000000}"/>
    <cellStyle name="20% - Accent1 2 2 2 2_loan Analysis " xfId="12925" xr:uid="{00000000-0005-0000-0000-000082000000}"/>
    <cellStyle name="20% - Accent1 2 2 2 20" xfId="756" xr:uid="{00000000-0005-0000-0000-000083000000}"/>
    <cellStyle name="20% - Accent1 2 2 2 20 2" xfId="757" xr:uid="{00000000-0005-0000-0000-000084000000}"/>
    <cellStyle name="20% - Accent1 2 2 2 21" xfId="758" xr:uid="{00000000-0005-0000-0000-000085000000}"/>
    <cellStyle name="20% - Accent1 2 2 2 22" xfId="759" xr:uid="{00000000-0005-0000-0000-000086000000}"/>
    <cellStyle name="20% - Accent1 2 2 2 23" xfId="760" xr:uid="{00000000-0005-0000-0000-000087000000}"/>
    <cellStyle name="20% - Accent1 2 2 2 24" xfId="761" xr:uid="{00000000-0005-0000-0000-000088000000}"/>
    <cellStyle name="20% - Accent1 2 2 2 25" xfId="762" xr:uid="{00000000-0005-0000-0000-000089000000}"/>
    <cellStyle name="20% - Accent1 2 2 2 26" xfId="763" xr:uid="{00000000-0005-0000-0000-00008A000000}"/>
    <cellStyle name="20% - Accent1 2 2 2 27" xfId="764" xr:uid="{00000000-0005-0000-0000-00008B000000}"/>
    <cellStyle name="20% - Accent1 2 2 2 28" xfId="765" xr:uid="{00000000-0005-0000-0000-00008C000000}"/>
    <cellStyle name="20% - Accent1 2 2 2 28 2" xfId="766" xr:uid="{00000000-0005-0000-0000-00008D000000}"/>
    <cellStyle name="20% - Accent1 2 2 2 29" xfId="29137" xr:uid="{00000000-0005-0000-0000-00008E000000}"/>
    <cellStyle name="20% - Accent1 2 2 2 3" xfId="767" xr:uid="{00000000-0005-0000-0000-00008F000000}"/>
    <cellStyle name="20% - Accent1 2 2 2 3 2" xfId="768" xr:uid="{00000000-0005-0000-0000-000090000000}"/>
    <cellStyle name="20% - Accent1 2 2 2 3 3" xfId="29138" xr:uid="{00000000-0005-0000-0000-000091000000}"/>
    <cellStyle name="20% - Accent1 2 2 2 3 4" xfId="29139" xr:uid="{00000000-0005-0000-0000-000092000000}"/>
    <cellStyle name="20% - Accent1 2 2 2 3 5" xfId="33581" xr:uid="{00000000-0005-0000-0000-000093000000}"/>
    <cellStyle name="20% - Accent1 2 2 2 30" xfId="29140" xr:uid="{00000000-0005-0000-0000-000094000000}"/>
    <cellStyle name="20% - Accent1 2 2 2 31" xfId="29141" xr:uid="{00000000-0005-0000-0000-000095000000}"/>
    <cellStyle name="20% - Accent1 2 2 2 32" xfId="29142" xr:uid="{00000000-0005-0000-0000-000096000000}"/>
    <cellStyle name="20% - Accent1 2 2 2 33" xfId="33201" xr:uid="{00000000-0005-0000-0000-000097000000}"/>
    <cellStyle name="20% - Accent1 2 2 2 4" xfId="769" xr:uid="{00000000-0005-0000-0000-000098000000}"/>
    <cellStyle name="20% - Accent1 2 2 2 4 2" xfId="33816" xr:uid="{00000000-0005-0000-0000-000099000000}"/>
    <cellStyle name="20% - Accent1 2 2 2 5" xfId="770" xr:uid="{00000000-0005-0000-0000-00009A000000}"/>
    <cellStyle name="20% - Accent1 2 2 2 5 2" xfId="34035" xr:uid="{00000000-0005-0000-0000-00009B000000}"/>
    <cellStyle name="20% - Accent1 2 2 2 6" xfId="771" xr:uid="{00000000-0005-0000-0000-00009C000000}"/>
    <cellStyle name="20% - Accent1 2 2 2 7" xfId="772" xr:uid="{00000000-0005-0000-0000-00009D000000}"/>
    <cellStyle name="20% - Accent1 2 2 2 8" xfId="773" xr:uid="{00000000-0005-0000-0000-00009E000000}"/>
    <cellStyle name="20% - Accent1 2 2 2 9" xfId="774" xr:uid="{00000000-0005-0000-0000-00009F000000}"/>
    <cellStyle name="20% - Accent1 2 2 2_loan Analysis " xfId="12926" xr:uid="{00000000-0005-0000-0000-0000A0000000}"/>
    <cellStyle name="20% - Accent1 2 2 20" xfId="775" xr:uid="{00000000-0005-0000-0000-0000A1000000}"/>
    <cellStyle name="20% - Accent1 2 2 21" xfId="776" xr:uid="{00000000-0005-0000-0000-0000A2000000}"/>
    <cellStyle name="20% - Accent1 2 2 22" xfId="777" xr:uid="{00000000-0005-0000-0000-0000A3000000}"/>
    <cellStyle name="20% - Accent1 2 2 23" xfId="778" xr:uid="{00000000-0005-0000-0000-0000A4000000}"/>
    <cellStyle name="20% - Accent1 2 2 24" xfId="779" xr:uid="{00000000-0005-0000-0000-0000A5000000}"/>
    <cellStyle name="20% - Accent1 2 2 25" xfId="780" xr:uid="{00000000-0005-0000-0000-0000A6000000}"/>
    <cellStyle name="20% - Accent1 2 2 26" xfId="781" xr:uid="{00000000-0005-0000-0000-0000A7000000}"/>
    <cellStyle name="20% - Accent1 2 2 27" xfId="782" xr:uid="{00000000-0005-0000-0000-0000A8000000}"/>
    <cellStyle name="20% - Accent1 2 2 28" xfId="783" xr:uid="{00000000-0005-0000-0000-0000A9000000}"/>
    <cellStyle name="20% - Accent1 2 2 29" xfId="784" xr:uid="{00000000-0005-0000-0000-0000AA000000}"/>
    <cellStyle name="20% - Accent1 2 2 3" xfId="785" xr:uid="{00000000-0005-0000-0000-0000AB000000}"/>
    <cellStyle name="20% - Accent1 2 2 3 2" xfId="12927" xr:uid="{00000000-0005-0000-0000-0000AC000000}"/>
    <cellStyle name="20% - Accent1 2 2 3 2 2" xfId="16982" xr:uid="{00000000-0005-0000-0000-0000AD000000}"/>
    <cellStyle name="20% - Accent1 2 2 3 2 3" xfId="29143" xr:uid="{00000000-0005-0000-0000-0000AE000000}"/>
    <cellStyle name="20% - Accent1 2 2 3 2 4" xfId="29144" xr:uid="{00000000-0005-0000-0000-0000AF000000}"/>
    <cellStyle name="20% - Accent1 2 2 3 2 5" xfId="33648" xr:uid="{00000000-0005-0000-0000-0000B0000000}"/>
    <cellStyle name="20% - Accent1 2 2 3 3" xfId="29145" xr:uid="{00000000-0005-0000-0000-0000B1000000}"/>
    <cellStyle name="20% - Accent1 2 2 3 3 2" xfId="33876" xr:uid="{00000000-0005-0000-0000-0000B2000000}"/>
    <cellStyle name="20% - Accent1 2 2 3 4" xfId="29146" xr:uid="{00000000-0005-0000-0000-0000B3000000}"/>
    <cellStyle name="20% - Accent1 2 2 3 4 2" xfId="34091" xr:uid="{00000000-0005-0000-0000-0000B4000000}"/>
    <cellStyle name="20% - Accent1 2 2 3 5" xfId="33264" xr:uid="{00000000-0005-0000-0000-0000B5000000}"/>
    <cellStyle name="20% - Accent1 2 2 3_loan Analysis " xfId="12928" xr:uid="{00000000-0005-0000-0000-0000B6000000}"/>
    <cellStyle name="20% - Accent1 2 2 30" xfId="786" xr:uid="{00000000-0005-0000-0000-0000B7000000}"/>
    <cellStyle name="20% - Accent1 2 2 31" xfId="787" xr:uid="{00000000-0005-0000-0000-0000B8000000}"/>
    <cellStyle name="20% - Accent1 2 2 31 2" xfId="788" xr:uid="{00000000-0005-0000-0000-0000B9000000}"/>
    <cellStyle name="20% - Accent1 2 2 32" xfId="789" xr:uid="{00000000-0005-0000-0000-0000BA000000}"/>
    <cellStyle name="20% - Accent1 2 2 33" xfId="790" xr:uid="{00000000-0005-0000-0000-0000BB000000}"/>
    <cellStyle name="20% - Accent1 2 2 34" xfId="791" xr:uid="{00000000-0005-0000-0000-0000BC000000}"/>
    <cellStyle name="20% - Accent1 2 2 35" xfId="792" xr:uid="{00000000-0005-0000-0000-0000BD000000}"/>
    <cellStyle name="20% - Accent1 2 2 36" xfId="793" xr:uid="{00000000-0005-0000-0000-0000BE000000}"/>
    <cellStyle name="20% - Accent1 2 2 37" xfId="794" xr:uid="{00000000-0005-0000-0000-0000BF000000}"/>
    <cellStyle name="20% - Accent1 2 2 38" xfId="795" xr:uid="{00000000-0005-0000-0000-0000C0000000}"/>
    <cellStyle name="20% - Accent1 2 2 39" xfId="796" xr:uid="{00000000-0005-0000-0000-0000C1000000}"/>
    <cellStyle name="20% - Accent1 2 2 39 2" xfId="797" xr:uid="{00000000-0005-0000-0000-0000C2000000}"/>
    <cellStyle name="20% - Accent1 2 2 4" xfId="798" xr:uid="{00000000-0005-0000-0000-0000C3000000}"/>
    <cellStyle name="20% - Accent1 2 2 4 2" xfId="29147" xr:uid="{00000000-0005-0000-0000-0000C4000000}"/>
    <cellStyle name="20% - Accent1 2 2 4 3" xfId="29148" xr:uid="{00000000-0005-0000-0000-0000C5000000}"/>
    <cellStyle name="20% - Accent1 2 2 4 4" xfId="29149" xr:uid="{00000000-0005-0000-0000-0000C6000000}"/>
    <cellStyle name="20% - Accent1 2 2 4 5" xfId="33427" xr:uid="{00000000-0005-0000-0000-0000C7000000}"/>
    <cellStyle name="20% - Accent1 2 2 40" xfId="29150" xr:uid="{00000000-0005-0000-0000-0000C8000000}"/>
    <cellStyle name="20% - Accent1 2 2 41" xfId="29151" xr:uid="{00000000-0005-0000-0000-0000C9000000}"/>
    <cellStyle name="20% - Accent1 2 2 42" xfId="29152" xr:uid="{00000000-0005-0000-0000-0000CA000000}"/>
    <cellStyle name="20% - Accent1 2 2 43" xfId="29153" xr:uid="{00000000-0005-0000-0000-0000CB000000}"/>
    <cellStyle name="20% - Accent1 2 2 44" xfId="29154" xr:uid="{00000000-0005-0000-0000-0000CC000000}"/>
    <cellStyle name="20% - Accent1 2 2 45" xfId="29155" xr:uid="{00000000-0005-0000-0000-0000CD000000}"/>
    <cellStyle name="20% - Accent1 2 2 46" xfId="29156" xr:uid="{00000000-0005-0000-0000-0000CE000000}"/>
    <cellStyle name="20% - Accent1 2 2 47" xfId="29157" xr:uid="{00000000-0005-0000-0000-0000CF000000}"/>
    <cellStyle name="20% - Accent1 2 2 48" xfId="33109" xr:uid="{00000000-0005-0000-0000-0000D0000000}"/>
    <cellStyle name="20% - Accent1 2 2 49" xfId="674" xr:uid="{00000000-0005-0000-0000-0000D1000000}"/>
    <cellStyle name="20% - Accent1 2 2 5" xfId="799" xr:uid="{00000000-0005-0000-0000-0000D2000000}"/>
    <cellStyle name="20% - Accent1 2 2 5 2" xfId="33580" xr:uid="{00000000-0005-0000-0000-0000D3000000}"/>
    <cellStyle name="20% - Accent1 2 2 6" xfId="800" xr:uid="{00000000-0005-0000-0000-0000D4000000}"/>
    <cellStyle name="20% - Accent1 2 2 6 2" xfId="33815" xr:uid="{00000000-0005-0000-0000-0000D5000000}"/>
    <cellStyle name="20% - Accent1 2 2 7" xfId="801" xr:uid="{00000000-0005-0000-0000-0000D6000000}"/>
    <cellStyle name="20% - Accent1 2 2 8" xfId="802" xr:uid="{00000000-0005-0000-0000-0000D7000000}"/>
    <cellStyle name="20% - Accent1 2 2 9" xfId="803" xr:uid="{00000000-0005-0000-0000-0000D8000000}"/>
    <cellStyle name="20% - Accent1 2 2_loan Analysis " xfId="12929" xr:uid="{00000000-0005-0000-0000-0000D9000000}"/>
    <cellStyle name="20% - Accent1 2 20" xfId="804" xr:uid="{00000000-0005-0000-0000-0000DA000000}"/>
    <cellStyle name="20% - Accent1 2 21" xfId="805" xr:uid="{00000000-0005-0000-0000-0000DB000000}"/>
    <cellStyle name="20% - Accent1 2 22" xfId="806" xr:uid="{00000000-0005-0000-0000-0000DC000000}"/>
    <cellStyle name="20% - Accent1 2 23" xfId="807" xr:uid="{00000000-0005-0000-0000-0000DD000000}"/>
    <cellStyle name="20% - Accent1 2 24" xfId="808" xr:uid="{00000000-0005-0000-0000-0000DE000000}"/>
    <cellStyle name="20% - Accent1 2 25" xfId="809" xr:uid="{00000000-0005-0000-0000-0000DF000000}"/>
    <cellStyle name="20% - Accent1 2 26" xfId="810" xr:uid="{00000000-0005-0000-0000-0000E0000000}"/>
    <cellStyle name="20% - Accent1 2 27" xfId="811" xr:uid="{00000000-0005-0000-0000-0000E1000000}"/>
    <cellStyle name="20% - Accent1 2 28" xfId="812" xr:uid="{00000000-0005-0000-0000-0000E2000000}"/>
    <cellStyle name="20% - Accent1 2 29" xfId="813" xr:uid="{00000000-0005-0000-0000-0000E3000000}"/>
    <cellStyle name="20% - Accent1 2 3" xfId="814" xr:uid="{00000000-0005-0000-0000-0000E4000000}"/>
    <cellStyle name="20% - Accent1 2 3 10" xfId="33110" xr:uid="{00000000-0005-0000-0000-0000E5000000}"/>
    <cellStyle name="20% - Accent1 2 3 2" xfId="12930" xr:uid="{00000000-0005-0000-0000-0000E6000000}"/>
    <cellStyle name="20% - Accent1 2 3 2 2" xfId="12931" xr:uid="{00000000-0005-0000-0000-0000E7000000}"/>
    <cellStyle name="20% - Accent1 2 3 2 2 2" xfId="12932" xr:uid="{00000000-0005-0000-0000-0000E8000000}"/>
    <cellStyle name="20% - Accent1 2 3 2 2 2 2" xfId="16985" xr:uid="{00000000-0005-0000-0000-0000E9000000}"/>
    <cellStyle name="20% - Accent1 2 3 2 2 2 3" xfId="29158" xr:uid="{00000000-0005-0000-0000-0000EA000000}"/>
    <cellStyle name="20% - Accent1 2 3 2 2 2 4" xfId="29159" xr:uid="{00000000-0005-0000-0000-0000EB000000}"/>
    <cellStyle name="20% - Accent1 2 3 2 2 2 5" xfId="33690" xr:uid="{00000000-0005-0000-0000-0000EC000000}"/>
    <cellStyle name="20% - Accent1 2 3 2 2 3" xfId="16984" xr:uid="{00000000-0005-0000-0000-0000ED000000}"/>
    <cellStyle name="20% - Accent1 2 3 2 2 3 2" xfId="33919" xr:uid="{00000000-0005-0000-0000-0000EE000000}"/>
    <cellStyle name="20% - Accent1 2 3 2 2 4" xfId="29160" xr:uid="{00000000-0005-0000-0000-0000EF000000}"/>
    <cellStyle name="20% - Accent1 2 3 2 2 4 2" xfId="34133" xr:uid="{00000000-0005-0000-0000-0000F0000000}"/>
    <cellStyle name="20% - Accent1 2 3 2 2 5" xfId="29161" xr:uid="{00000000-0005-0000-0000-0000F1000000}"/>
    <cellStyle name="20% - Accent1 2 3 2 2 6" xfId="33306" xr:uid="{00000000-0005-0000-0000-0000F2000000}"/>
    <cellStyle name="20% - Accent1 2 3 2 2_loan Analysis " xfId="12933" xr:uid="{00000000-0005-0000-0000-0000F3000000}"/>
    <cellStyle name="20% - Accent1 2 3 2 3" xfId="12934" xr:uid="{00000000-0005-0000-0000-0000F4000000}"/>
    <cellStyle name="20% - Accent1 2 3 2 3 2" xfId="16986" xr:uid="{00000000-0005-0000-0000-0000F5000000}"/>
    <cellStyle name="20% - Accent1 2 3 2 3 3" xfId="29162" xr:uid="{00000000-0005-0000-0000-0000F6000000}"/>
    <cellStyle name="20% - Accent1 2 3 2 3 4" xfId="29163" xr:uid="{00000000-0005-0000-0000-0000F7000000}"/>
    <cellStyle name="20% - Accent1 2 3 2 3 5" xfId="33582" xr:uid="{00000000-0005-0000-0000-0000F8000000}"/>
    <cellStyle name="20% - Accent1 2 3 2 4" xfId="16983" xr:uid="{00000000-0005-0000-0000-0000F9000000}"/>
    <cellStyle name="20% - Accent1 2 3 2 4 2" xfId="33817" xr:uid="{00000000-0005-0000-0000-0000FA000000}"/>
    <cellStyle name="20% - Accent1 2 3 2 5" xfId="29164" xr:uid="{00000000-0005-0000-0000-0000FB000000}"/>
    <cellStyle name="20% - Accent1 2 3 2 5 2" xfId="34036" xr:uid="{00000000-0005-0000-0000-0000FC000000}"/>
    <cellStyle name="20% - Accent1 2 3 2 6" xfId="29165" xr:uid="{00000000-0005-0000-0000-0000FD000000}"/>
    <cellStyle name="20% - Accent1 2 3 2 7" xfId="33202" xr:uid="{00000000-0005-0000-0000-0000FE000000}"/>
    <cellStyle name="20% - Accent1 2 3 2_loan Analysis " xfId="12935" xr:uid="{00000000-0005-0000-0000-0000FF000000}"/>
    <cellStyle name="20% - Accent1 2 3 3" xfId="12936" xr:uid="{00000000-0005-0000-0000-000000010000}"/>
    <cellStyle name="20% - Accent1 2 3 3 2" xfId="12937" xr:uid="{00000000-0005-0000-0000-000001010000}"/>
    <cellStyle name="20% - Accent1 2 3 3 2 2" xfId="16988" xr:uid="{00000000-0005-0000-0000-000002010000}"/>
    <cellStyle name="20% - Accent1 2 3 3 2 3" xfId="29166" xr:uid="{00000000-0005-0000-0000-000003010000}"/>
    <cellStyle name="20% - Accent1 2 3 3 2 4" xfId="29167" xr:uid="{00000000-0005-0000-0000-000004010000}"/>
    <cellStyle name="20% - Accent1 2 3 3 2 5" xfId="33649" xr:uid="{00000000-0005-0000-0000-000005010000}"/>
    <cellStyle name="20% - Accent1 2 3 3 3" xfId="16987" xr:uid="{00000000-0005-0000-0000-000006010000}"/>
    <cellStyle name="20% - Accent1 2 3 3 3 2" xfId="33877" xr:uid="{00000000-0005-0000-0000-000007010000}"/>
    <cellStyle name="20% - Accent1 2 3 3 4" xfId="29168" xr:uid="{00000000-0005-0000-0000-000008010000}"/>
    <cellStyle name="20% - Accent1 2 3 3 4 2" xfId="34092" xr:uid="{00000000-0005-0000-0000-000009010000}"/>
    <cellStyle name="20% - Accent1 2 3 3 5" xfId="29169" xr:uid="{00000000-0005-0000-0000-00000A010000}"/>
    <cellStyle name="20% - Accent1 2 3 3 6" xfId="33265" xr:uid="{00000000-0005-0000-0000-00000B010000}"/>
    <cellStyle name="20% - Accent1 2 3 3_loan Analysis " xfId="12938" xr:uid="{00000000-0005-0000-0000-00000C010000}"/>
    <cellStyle name="20% - Accent1 2 3 4" xfId="12939" xr:uid="{00000000-0005-0000-0000-00000D010000}"/>
    <cellStyle name="20% - Accent1 2 3 4 2" xfId="16989" xr:uid="{00000000-0005-0000-0000-00000E010000}"/>
    <cellStyle name="20% - Accent1 2 3 4 3" xfId="29170" xr:uid="{00000000-0005-0000-0000-00000F010000}"/>
    <cellStyle name="20% - Accent1 2 3 4 4" xfId="29171" xr:uid="{00000000-0005-0000-0000-000010010000}"/>
    <cellStyle name="20% - Accent1 2 3 4 5" xfId="29172" xr:uid="{00000000-0005-0000-0000-000011010000}"/>
    <cellStyle name="20% - Accent1 2 3 4 6" xfId="33428" xr:uid="{00000000-0005-0000-0000-000012010000}"/>
    <cellStyle name="20% - Accent1 2 3 5" xfId="29173" xr:uid="{00000000-0005-0000-0000-000013010000}"/>
    <cellStyle name="20% - Accent1 2 3 5 2" xfId="33579" xr:uid="{00000000-0005-0000-0000-000014010000}"/>
    <cellStyle name="20% - Accent1 2 3 6" xfId="29174" xr:uid="{00000000-0005-0000-0000-000015010000}"/>
    <cellStyle name="20% - Accent1 2 3 6 2" xfId="33814" xr:uid="{00000000-0005-0000-0000-000016010000}"/>
    <cellStyle name="20% - Accent1 2 3 7" xfId="29175" xr:uid="{00000000-0005-0000-0000-000017010000}"/>
    <cellStyle name="20% - Accent1 2 3 8" xfId="29176" xr:uid="{00000000-0005-0000-0000-000018010000}"/>
    <cellStyle name="20% - Accent1 2 3 9" xfId="29177" xr:uid="{00000000-0005-0000-0000-000019010000}"/>
    <cellStyle name="20% - Accent1 2 3_loan Analysis " xfId="12940" xr:uid="{00000000-0005-0000-0000-00001A010000}"/>
    <cellStyle name="20% - Accent1 2 30" xfId="815" xr:uid="{00000000-0005-0000-0000-00001B010000}"/>
    <cellStyle name="20% - Accent1 2 31" xfId="816" xr:uid="{00000000-0005-0000-0000-00001C010000}"/>
    <cellStyle name="20% - Accent1 2 32" xfId="817" xr:uid="{00000000-0005-0000-0000-00001D010000}"/>
    <cellStyle name="20% - Accent1 2 33" xfId="818" xr:uid="{00000000-0005-0000-0000-00001E010000}"/>
    <cellStyle name="20% - Accent1 2 33 2" xfId="819" xr:uid="{00000000-0005-0000-0000-00001F010000}"/>
    <cellStyle name="20% - Accent1 2 34" xfId="820" xr:uid="{00000000-0005-0000-0000-000020010000}"/>
    <cellStyle name="20% - Accent1 2 35" xfId="821" xr:uid="{00000000-0005-0000-0000-000021010000}"/>
    <cellStyle name="20% - Accent1 2 36" xfId="822" xr:uid="{00000000-0005-0000-0000-000022010000}"/>
    <cellStyle name="20% - Accent1 2 37" xfId="823" xr:uid="{00000000-0005-0000-0000-000023010000}"/>
    <cellStyle name="20% - Accent1 2 38" xfId="824" xr:uid="{00000000-0005-0000-0000-000024010000}"/>
    <cellStyle name="20% - Accent1 2 39" xfId="825" xr:uid="{00000000-0005-0000-0000-000025010000}"/>
    <cellStyle name="20% - Accent1 2 4" xfId="826" xr:uid="{00000000-0005-0000-0000-000026010000}"/>
    <cellStyle name="20% - Accent1 2 4 2" xfId="12941" xr:uid="{00000000-0005-0000-0000-000027010000}"/>
    <cellStyle name="20% - Accent1 2 4 2 2" xfId="12942" xr:uid="{00000000-0005-0000-0000-000028010000}"/>
    <cellStyle name="20% - Accent1 2 4 2 2 2" xfId="12943" xr:uid="{00000000-0005-0000-0000-000029010000}"/>
    <cellStyle name="20% - Accent1 2 4 2 2 2 2" xfId="16993" xr:uid="{00000000-0005-0000-0000-00002A010000}"/>
    <cellStyle name="20% - Accent1 2 4 2 2 2 3" xfId="29178" xr:uid="{00000000-0005-0000-0000-00002B010000}"/>
    <cellStyle name="20% - Accent1 2 4 2 2 2 4" xfId="29179" xr:uid="{00000000-0005-0000-0000-00002C010000}"/>
    <cellStyle name="20% - Accent1 2 4 2 2 2 5" xfId="33691" xr:uid="{00000000-0005-0000-0000-00002D010000}"/>
    <cellStyle name="20% - Accent1 2 4 2 2 3" xfId="16992" xr:uid="{00000000-0005-0000-0000-00002E010000}"/>
    <cellStyle name="20% - Accent1 2 4 2 2 3 2" xfId="33920" xr:uid="{00000000-0005-0000-0000-00002F010000}"/>
    <cellStyle name="20% - Accent1 2 4 2 2 4" xfId="29180" xr:uid="{00000000-0005-0000-0000-000030010000}"/>
    <cellStyle name="20% - Accent1 2 4 2 2 4 2" xfId="34134" xr:uid="{00000000-0005-0000-0000-000031010000}"/>
    <cellStyle name="20% - Accent1 2 4 2 2 5" xfId="29181" xr:uid="{00000000-0005-0000-0000-000032010000}"/>
    <cellStyle name="20% - Accent1 2 4 2 2 6" xfId="33307" xr:uid="{00000000-0005-0000-0000-000033010000}"/>
    <cellStyle name="20% - Accent1 2 4 2 2_loan Analysis " xfId="12944" xr:uid="{00000000-0005-0000-0000-000034010000}"/>
    <cellStyle name="20% - Accent1 2 4 2 3" xfId="12945" xr:uid="{00000000-0005-0000-0000-000035010000}"/>
    <cellStyle name="20% - Accent1 2 4 2 3 2" xfId="16994" xr:uid="{00000000-0005-0000-0000-000036010000}"/>
    <cellStyle name="20% - Accent1 2 4 2 3 3" xfId="29182" xr:uid="{00000000-0005-0000-0000-000037010000}"/>
    <cellStyle name="20% - Accent1 2 4 2 3 4" xfId="29183" xr:uid="{00000000-0005-0000-0000-000038010000}"/>
    <cellStyle name="20% - Accent1 2 4 2 3 5" xfId="33583" xr:uid="{00000000-0005-0000-0000-000039010000}"/>
    <cellStyle name="20% - Accent1 2 4 2 4" xfId="16991" xr:uid="{00000000-0005-0000-0000-00003A010000}"/>
    <cellStyle name="20% - Accent1 2 4 2 4 2" xfId="33818" xr:uid="{00000000-0005-0000-0000-00003B010000}"/>
    <cellStyle name="20% - Accent1 2 4 2 5" xfId="29184" xr:uid="{00000000-0005-0000-0000-00003C010000}"/>
    <cellStyle name="20% - Accent1 2 4 2 5 2" xfId="34037" xr:uid="{00000000-0005-0000-0000-00003D010000}"/>
    <cellStyle name="20% - Accent1 2 4 2 6" xfId="29185" xr:uid="{00000000-0005-0000-0000-00003E010000}"/>
    <cellStyle name="20% - Accent1 2 4 2 7" xfId="33203" xr:uid="{00000000-0005-0000-0000-00003F010000}"/>
    <cellStyle name="20% - Accent1 2 4 2_loan Analysis " xfId="12946" xr:uid="{00000000-0005-0000-0000-000040010000}"/>
    <cellStyle name="20% - Accent1 2 4 3" xfId="12947" xr:uid="{00000000-0005-0000-0000-000041010000}"/>
    <cellStyle name="20% - Accent1 2 4 3 2" xfId="12948" xr:uid="{00000000-0005-0000-0000-000042010000}"/>
    <cellStyle name="20% - Accent1 2 4 3 2 2" xfId="16996" xr:uid="{00000000-0005-0000-0000-000043010000}"/>
    <cellStyle name="20% - Accent1 2 4 3 2 3" xfId="29186" xr:uid="{00000000-0005-0000-0000-000044010000}"/>
    <cellStyle name="20% - Accent1 2 4 3 2 4" xfId="29187" xr:uid="{00000000-0005-0000-0000-000045010000}"/>
    <cellStyle name="20% - Accent1 2 4 3 2 5" xfId="33650" xr:uid="{00000000-0005-0000-0000-000046010000}"/>
    <cellStyle name="20% - Accent1 2 4 3 3" xfId="16995" xr:uid="{00000000-0005-0000-0000-000047010000}"/>
    <cellStyle name="20% - Accent1 2 4 3 3 2" xfId="33878" xr:uid="{00000000-0005-0000-0000-000048010000}"/>
    <cellStyle name="20% - Accent1 2 4 3 4" xfId="29188" xr:uid="{00000000-0005-0000-0000-000049010000}"/>
    <cellStyle name="20% - Accent1 2 4 3 4 2" xfId="34093" xr:uid="{00000000-0005-0000-0000-00004A010000}"/>
    <cellStyle name="20% - Accent1 2 4 3 5" xfId="29189" xr:uid="{00000000-0005-0000-0000-00004B010000}"/>
    <cellStyle name="20% - Accent1 2 4 3 6" xfId="33266" xr:uid="{00000000-0005-0000-0000-00004C010000}"/>
    <cellStyle name="20% - Accent1 2 4 3_loan Analysis " xfId="12949" xr:uid="{00000000-0005-0000-0000-00004D010000}"/>
    <cellStyle name="20% - Accent1 2 4 4" xfId="12950" xr:uid="{00000000-0005-0000-0000-00004E010000}"/>
    <cellStyle name="20% - Accent1 2 4 4 2" xfId="16997" xr:uid="{00000000-0005-0000-0000-00004F010000}"/>
    <cellStyle name="20% - Accent1 2 4 4 3" xfId="29190" xr:uid="{00000000-0005-0000-0000-000050010000}"/>
    <cellStyle name="20% - Accent1 2 4 4 4" xfId="29191" xr:uid="{00000000-0005-0000-0000-000051010000}"/>
    <cellStyle name="20% - Accent1 2 4 4 5" xfId="29192" xr:uid="{00000000-0005-0000-0000-000052010000}"/>
    <cellStyle name="20% - Accent1 2 4 4 6" xfId="33429" xr:uid="{00000000-0005-0000-0000-000053010000}"/>
    <cellStyle name="20% - Accent1 2 4 5" xfId="29193" xr:uid="{00000000-0005-0000-0000-000054010000}"/>
    <cellStyle name="20% - Accent1 2 4 5 2" xfId="33578" xr:uid="{00000000-0005-0000-0000-000055010000}"/>
    <cellStyle name="20% - Accent1 2 4 6" xfId="29194" xr:uid="{00000000-0005-0000-0000-000056010000}"/>
    <cellStyle name="20% - Accent1 2 4 6 2" xfId="33813" xr:uid="{00000000-0005-0000-0000-000057010000}"/>
    <cellStyle name="20% - Accent1 2 4 7" xfId="29195" xr:uid="{00000000-0005-0000-0000-000058010000}"/>
    <cellStyle name="20% - Accent1 2 4 8" xfId="33111" xr:uid="{00000000-0005-0000-0000-000059010000}"/>
    <cellStyle name="20% - Accent1 2 4_loan Analysis " xfId="12951" xr:uid="{00000000-0005-0000-0000-00005A010000}"/>
    <cellStyle name="20% - Accent1 2 40" xfId="827" xr:uid="{00000000-0005-0000-0000-00005B010000}"/>
    <cellStyle name="20% - Accent1 2 41" xfId="828" xr:uid="{00000000-0005-0000-0000-00005C010000}"/>
    <cellStyle name="20% - Accent1 2 41 2" xfId="829" xr:uid="{00000000-0005-0000-0000-00005D010000}"/>
    <cellStyle name="20% - Accent1 2 42" xfId="29196" xr:uid="{00000000-0005-0000-0000-00005E010000}"/>
    <cellStyle name="20% - Accent1 2 43" xfId="29197" xr:uid="{00000000-0005-0000-0000-00005F010000}"/>
    <cellStyle name="20% - Accent1 2 44" xfId="29198" xr:uid="{00000000-0005-0000-0000-000060010000}"/>
    <cellStyle name="20% - Accent1 2 45" xfId="29199" xr:uid="{00000000-0005-0000-0000-000061010000}"/>
    <cellStyle name="20% - Accent1 2 46" xfId="29200" xr:uid="{00000000-0005-0000-0000-000062010000}"/>
    <cellStyle name="20% - Accent1 2 47" xfId="29201" xr:uid="{00000000-0005-0000-0000-000063010000}"/>
    <cellStyle name="20% - Accent1 2 48" xfId="29202" xr:uid="{00000000-0005-0000-0000-000064010000}"/>
    <cellStyle name="20% - Accent1 2 49" xfId="29203" xr:uid="{00000000-0005-0000-0000-000065010000}"/>
    <cellStyle name="20% - Accent1 2 5" xfId="830" xr:uid="{00000000-0005-0000-0000-000066010000}"/>
    <cellStyle name="20% - Accent1 2 5 2" xfId="831" xr:uid="{00000000-0005-0000-0000-000067010000}"/>
    <cellStyle name="20% - Accent1 2 5 3" xfId="29204" xr:uid="{00000000-0005-0000-0000-000068010000}"/>
    <cellStyle name="20% - Accent1 2 50" xfId="29205" xr:uid="{00000000-0005-0000-0000-000069010000}"/>
    <cellStyle name="20% - Accent1 2 51" xfId="29206" xr:uid="{00000000-0005-0000-0000-00006A010000}"/>
    <cellStyle name="20% - Accent1 2 52" xfId="29207" xr:uid="{00000000-0005-0000-0000-00006B010000}"/>
    <cellStyle name="20% - Accent1 2 53" xfId="33108" xr:uid="{00000000-0005-0000-0000-00006C010000}"/>
    <cellStyle name="20% - Accent1 2 54" xfId="33199" xr:uid="{00000000-0005-0000-0000-00006D010000}"/>
    <cellStyle name="20% - Accent1 2 55" xfId="662" xr:uid="{00000000-0005-0000-0000-00006E010000}"/>
    <cellStyle name="20% - Accent1 2 6" xfId="832" xr:uid="{00000000-0005-0000-0000-00006F010000}"/>
    <cellStyle name="20% - Accent1 2 6 2" xfId="29208" xr:uid="{00000000-0005-0000-0000-000070010000}"/>
    <cellStyle name="20% - Accent1 2 6 3" xfId="29209" xr:uid="{00000000-0005-0000-0000-000071010000}"/>
    <cellStyle name="20% - Accent1 2 7" xfId="833" xr:uid="{00000000-0005-0000-0000-000072010000}"/>
    <cellStyle name="20% - Accent1 2 8" xfId="834" xr:uid="{00000000-0005-0000-0000-000073010000}"/>
    <cellStyle name="20% - Accent1 2 9" xfId="835" xr:uid="{00000000-0005-0000-0000-000074010000}"/>
    <cellStyle name="20% - Accent1 2_Loan Classification" xfId="11400" xr:uid="{00000000-0005-0000-0000-000075010000}"/>
    <cellStyle name="20% - Accent1 20" xfId="836" xr:uid="{00000000-0005-0000-0000-000076010000}"/>
    <cellStyle name="20% - Accent1 21" xfId="837" xr:uid="{00000000-0005-0000-0000-000077010000}"/>
    <cellStyle name="20% - Accent1 22" xfId="838" xr:uid="{00000000-0005-0000-0000-000078010000}"/>
    <cellStyle name="20% - Accent1 23" xfId="839" xr:uid="{00000000-0005-0000-0000-000079010000}"/>
    <cellStyle name="20% - Accent1 24" xfId="840" xr:uid="{00000000-0005-0000-0000-00007A010000}"/>
    <cellStyle name="20% - Accent1 25" xfId="841" xr:uid="{00000000-0005-0000-0000-00007B010000}"/>
    <cellStyle name="20% - Accent1 26" xfId="842" xr:uid="{00000000-0005-0000-0000-00007C010000}"/>
    <cellStyle name="20% - Accent1 27" xfId="843" xr:uid="{00000000-0005-0000-0000-00007D010000}"/>
    <cellStyle name="20% - Accent1 28" xfId="844" xr:uid="{00000000-0005-0000-0000-00007E010000}"/>
    <cellStyle name="20% - Accent1 29" xfId="845" xr:uid="{00000000-0005-0000-0000-00007F010000}"/>
    <cellStyle name="20% - Accent1 3" xfId="55" xr:uid="{00000000-0005-0000-0000-000080010000}"/>
    <cellStyle name="20% - Accent1 3 2" xfId="431" xr:uid="{00000000-0005-0000-0000-000081010000}"/>
    <cellStyle name="20% - Accent1 3 2 2" xfId="29211" xr:uid="{00000000-0005-0000-0000-000082010000}"/>
    <cellStyle name="20% - Accent1 3 2 3" xfId="29210" xr:uid="{00000000-0005-0000-0000-000083010000}"/>
    <cellStyle name="20% - Accent1 3 3" xfId="29212" xr:uid="{00000000-0005-0000-0000-000084010000}"/>
    <cellStyle name="20% - Accent1 3 4" xfId="846" xr:uid="{00000000-0005-0000-0000-000085010000}"/>
    <cellStyle name="20% - Accent1 30" xfId="847" xr:uid="{00000000-0005-0000-0000-000086010000}"/>
    <cellStyle name="20% - Accent1 31" xfId="848" xr:uid="{00000000-0005-0000-0000-000087010000}"/>
    <cellStyle name="20% - Accent1 32" xfId="849" xr:uid="{00000000-0005-0000-0000-000088010000}"/>
    <cellStyle name="20% - Accent1 33" xfId="850" xr:uid="{00000000-0005-0000-0000-000089010000}"/>
    <cellStyle name="20% - Accent1 34" xfId="851" xr:uid="{00000000-0005-0000-0000-00008A010000}"/>
    <cellStyle name="20% - Accent1 35" xfId="852" xr:uid="{00000000-0005-0000-0000-00008B010000}"/>
    <cellStyle name="20% - Accent1 36" xfId="853" xr:uid="{00000000-0005-0000-0000-00008C010000}"/>
    <cellStyle name="20% - Accent1 37" xfId="854" xr:uid="{00000000-0005-0000-0000-00008D010000}"/>
    <cellStyle name="20% - Accent1 38" xfId="855" xr:uid="{00000000-0005-0000-0000-00008E010000}"/>
    <cellStyle name="20% - Accent1 39" xfId="856" xr:uid="{00000000-0005-0000-0000-00008F010000}"/>
    <cellStyle name="20% - Accent1 4" xfId="857" xr:uid="{00000000-0005-0000-0000-000090010000}"/>
    <cellStyle name="20% - Accent1 4 2" xfId="29213" xr:uid="{00000000-0005-0000-0000-000091010000}"/>
    <cellStyle name="20% - Accent1 4 2 2" xfId="29214" xr:uid="{00000000-0005-0000-0000-000092010000}"/>
    <cellStyle name="20% - Accent1 4 3" xfId="29215" xr:uid="{00000000-0005-0000-0000-000093010000}"/>
    <cellStyle name="20% - Accent1 40" xfId="858" xr:uid="{00000000-0005-0000-0000-000094010000}"/>
    <cellStyle name="20% - Accent1 41" xfId="859" xr:uid="{00000000-0005-0000-0000-000095010000}"/>
    <cellStyle name="20% - Accent1 42" xfId="860" xr:uid="{00000000-0005-0000-0000-000096010000}"/>
    <cellStyle name="20% - Accent1 43" xfId="11563" xr:uid="{00000000-0005-0000-0000-000097010000}"/>
    <cellStyle name="20% - Accent1 44" xfId="11539" xr:uid="{00000000-0005-0000-0000-000098010000}"/>
    <cellStyle name="20% - Accent1 44 2" xfId="16998" xr:uid="{00000000-0005-0000-0000-000099010000}"/>
    <cellStyle name="20% - Accent1 45" xfId="16999" xr:uid="{00000000-0005-0000-0000-00009A010000}"/>
    <cellStyle name="20% - Accent1 46" xfId="29216" xr:uid="{00000000-0005-0000-0000-00009B010000}"/>
    <cellStyle name="20% - Accent1 47" xfId="29217" xr:uid="{00000000-0005-0000-0000-00009C010000}"/>
    <cellStyle name="20% - Accent1 48" xfId="34257" xr:uid="{00000000-0005-0000-0000-00009D010000}"/>
    <cellStyle name="20% - Accent1 49" xfId="483" xr:uid="{00000000-0005-0000-0000-00009E010000}"/>
    <cellStyle name="20% - Accent1 5" xfId="861" xr:uid="{00000000-0005-0000-0000-00009F010000}"/>
    <cellStyle name="20% - Accent1 5 2" xfId="12829" xr:uid="{00000000-0005-0000-0000-0000A0010000}"/>
    <cellStyle name="20% - Accent1 5 2 2" xfId="29218" xr:uid="{00000000-0005-0000-0000-0000A1010000}"/>
    <cellStyle name="20% - Accent1 5 3" xfId="29219" xr:uid="{00000000-0005-0000-0000-0000A2010000}"/>
    <cellStyle name="20% - Accent1 5 3 2" xfId="29220" xr:uid="{00000000-0005-0000-0000-0000A3010000}"/>
    <cellStyle name="20% - Accent1 6" xfId="862" xr:uid="{00000000-0005-0000-0000-0000A4010000}"/>
    <cellStyle name="20% - Accent1 6 2" xfId="29221" xr:uid="{00000000-0005-0000-0000-0000A5010000}"/>
    <cellStyle name="20% - Accent1 6 3" xfId="29222" xr:uid="{00000000-0005-0000-0000-0000A6010000}"/>
    <cellStyle name="20% - Accent1 7" xfId="863" xr:uid="{00000000-0005-0000-0000-0000A7010000}"/>
    <cellStyle name="20% - Accent1 7 2" xfId="29223" xr:uid="{00000000-0005-0000-0000-0000A8010000}"/>
    <cellStyle name="20% - Accent1 7 3" xfId="29224" xr:uid="{00000000-0005-0000-0000-0000A9010000}"/>
    <cellStyle name="20% - Accent1 8" xfId="864" xr:uid="{00000000-0005-0000-0000-0000AA010000}"/>
    <cellStyle name="20% - Accent1 8 2" xfId="29225" xr:uid="{00000000-0005-0000-0000-0000AB010000}"/>
    <cellStyle name="20% - Accent1 8 3" xfId="29226" xr:uid="{00000000-0005-0000-0000-0000AC010000}"/>
    <cellStyle name="20% - Accent1 9" xfId="865" xr:uid="{00000000-0005-0000-0000-0000AD010000}"/>
    <cellStyle name="20% - Accent1 9 2" xfId="29227" xr:uid="{00000000-0005-0000-0000-0000AE010000}"/>
    <cellStyle name="20% - Accent1 9 3" xfId="29228" xr:uid="{00000000-0005-0000-0000-0000AF010000}"/>
    <cellStyle name="20% - Accent2" xfId="30" builtinId="34" customBuiltin="1"/>
    <cellStyle name="20% - Accent2 10" xfId="866" xr:uid="{00000000-0005-0000-0000-0000B1010000}"/>
    <cellStyle name="20% - Accent2 10 2" xfId="29229" xr:uid="{00000000-0005-0000-0000-0000B2010000}"/>
    <cellStyle name="20% - Accent2 10 3" xfId="29230" xr:uid="{00000000-0005-0000-0000-0000B3010000}"/>
    <cellStyle name="20% - Accent2 11" xfId="867" xr:uid="{00000000-0005-0000-0000-0000B4010000}"/>
    <cellStyle name="20% - Accent2 11 2" xfId="29231" xr:uid="{00000000-0005-0000-0000-0000B5010000}"/>
    <cellStyle name="20% - Accent2 12" xfId="868" xr:uid="{00000000-0005-0000-0000-0000B6010000}"/>
    <cellStyle name="20% - Accent2 12 2" xfId="29232" xr:uid="{00000000-0005-0000-0000-0000B7010000}"/>
    <cellStyle name="20% - Accent2 13" xfId="869" xr:uid="{00000000-0005-0000-0000-0000B8010000}"/>
    <cellStyle name="20% - Accent2 13 2" xfId="29233" xr:uid="{00000000-0005-0000-0000-0000B9010000}"/>
    <cellStyle name="20% - Accent2 14" xfId="870" xr:uid="{00000000-0005-0000-0000-0000BA010000}"/>
    <cellStyle name="20% - Accent2 14 2" xfId="29234" xr:uid="{00000000-0005-0000-0000-0000BB010000}"/>
    <cellStyle name="20% - Accent2 15" xfId="871" xr:uid="{00000000-0005-0000-0000-0000BC010000}"/>
    <cellStyle name="20% - Accent2 15 2" xfId="29235" xr:uid="{00000000-0005-0000-0000-0000BD010000}"/>
    <cellStyle name="20% - Accent2 16" xfId="872" xr:uid="{00000000-0005-0000-0000-0000BE010000}"/>
    <cellStyle name="20% - Accent2 16 2" xfId="29236" xr:uid="{00000000-0005-0000-0000-0000BF010000}"/>
    <cellStyle name="20% - Accent2 17" xfId="873" xr:uid="{00000000-0005-0000-0000-0000C0010000}"/>
    <cellStyle name="20% - Accent2 17 2" xfId="29237" xr:uid="{00000000-0005-0000-0000-0000C1010000}"/>
    <cellStyle name="20% - Accent2 18" xfId="874" xr:uid="{00000000-0005-0000-0000-0000C2010000}"/>
    <cellStyle name="20% - Accent2 19" xfId="875" xr:uid="{00000000-0005-0000-0000-0000C3010000}"/>
    <cellStyle name="20% - Accent2 2" xfId="56" xr:uid="{00000000-0005-0000-0000-0000C4010000}"/>
    <cellStyle name="20% - Accent2 2 10" xfId="877" xr:uid="{00000000-0005-0000-0000-0000C5010000}"/>
    <cellStyle name="20% - Accent2 2 11" xfId="878" xr:uid="{00000000-0005-0000-0000-0000C6010000}"/>
    <cellStyle name="20% - Accent2 2 12" xfId="879" xr:uid="{00000000-0005-0000-0000-0000C7010000}"/>
    <cellStyle name="20% - Accent2 2 13" xfId="880" xr:uid="{00000000-0005-0000-0000-0000C8010000}"/>
    <cellStyle name="20% - Accent2 2 14" xfId="881" xr:uid="{00000000-0005-0000-0000-0000C9010000}"/>
    <cellStyle name="20% - Accent2 2 15" xfId="882" xr:uid="{00000000-0005-0000-0000-0000CA010000}"/>
    <cellStyle name="20% - Accent2 2 16" xfId="883" xr:uid="{00000000-0005-0000-0000-0000CB010000}"/>
    <cellStyle name="20% - Accent2 2 16 2" xfId="884" xr:uid="{00000000-0005-0000-0000-0000CC010000}"/>
    <cellStyle name="20% - Accent2 2 17" xfId="885" xr:uid="{00000000-0005-0000-0000-0000CD010000}"/>
    <cellStyle name="20% - Accent2 2 18" xfId="886" xr:uid="{00000000-0005-0000-0000-0000CE010000}"/>
    <cellStyle name="20% - Accent2 2 19" xfId="887" xr:uid="{00000000-0005-0000-0000-0000CF010000}"/>
    <cellStyle name="20% - Accent2 2 2" xfId="430" xr:uid="{00000000-0005-0000-0000-0000D0010000}"/>
    <cellStyle name="20% - Accent2 2 2 10" xfId="889" xr:uid="{00000000-0005-0000-0000-0000D1010000}"/>
    <cellStyle name="20% - Accent2 2 2 11" xfId="890" xr:uid="{00000000-0005-0000-0000-0000D2010000}"/>
    <cellStyle name="20% - Accent2 2 2 12" xfId="891" xr:uid="{00000000-0005-0000-0000-0000D3010000}"/>
    <cellStyle name="20% - Accent2 2 2 13" xfId="892" xr:uid="{00000000-0005-0000-0000-0000D4010000}"/>
    <cellStyle name="20% - Accent2 2 2 14" xfId="893" xr:uid="{00000000-0005-0000-0000-0000D5010000}"/>
    <cellStyle name="20% - Accent2 2 2 14 2" xfId="894" xr:uid="{00000000-0005-0000-0000-0000D6010000}"/>
    <cellStyle name="20% - Accent2 2 2 15" xfId="895" xr:uid="{00000000-0005-0000-0000-0000D7010000}"/>
    <cellStyle name="20% - Accent2 2 2 16" xfId="896" xr:uid="{00000000-0005-0000-0000-0000D8010000}"/>
    <cellStyle name="20% - Accent2 2 2 17" xfId="897" xr:uid="{00000000-0005-0000-0000-0000D9010000}"/>
    <cellStyle name="20% - Accent2 2 2 18" xfId="898" xr:uid="{00000000-0005-0000-0000-0000DA010000}"/>
    <cellStyle name="20% - Accent2 2 2 19" xfId="899" xr:uid="{00000000-0005-0000-0000-0000DB010000}"/>
    <cellStyle name="20% - Accent2 2 2 2" xfId="900" xr:uid="{00000000-0005-0000-0000-0000DC010000}"/>
    <cellStyle name="20% - Accent2 2 2 2 10" xfId="901" xr:uid="{00000000-0005-0000-0000-0000DD010000}"/>
    <cellStyle name="20% - Accent2 2 2 2 11" xfId="902" xr:uid="{00000000-0005-0000-0000-0000DE010000}"/>
    <cellStyle name="20% - Accent2 2 2 2 12" xfId="903" xr:uid="{00000000-0005-0000-0000-0000DF010000}"/>
    <cellStyle name="20% - Accent2 2 2 2 13" xfId="904" xr:uid="{00000000-0005-0000-0000-0000E0010000}"/>
    <cellStyle name="20% - Accent2 2 2 2 14" xfId="905" xr:uid="{00000000-0005-0000-0000-0000E1010000}"/>
    <cellStyle name="20% - Accent2 2 2 2 15" xfId="906" xr:uid="{00000000-0005-0000-0000-0000E2010000}"/>
    <cellStyle name="20% - Accent2 2 2 2 16" xfId="907" xr:uid="{00000000-0005-0000-0000-0000E3010000}"/>
    <cellStyle name="20% - Accent2 2 2 2 17" xfId="908" xr:uid="{00000000-0005-0000-0000-0000E4010000}"/>
    <cellStyle name="20% - Accent2 2 2 2 18" xfId="909" xr:uid="{00000000-0005-0000-0000-0000E5010000}"/>
    <cellStyle name="20% - Accent2 2 2 2 19" xfId="910" xr:uid="{00000000-0005-0000-0000-0000E6010000}"/>
    <cellStyle name="20% - Accent2 2 2 2 2" xfId="911" xr:uid="{00000000-0005-0000-0000-0000E7010000}"/>
    <cellStyle name="20% - Accent2 2 2 2 2 10" xfId="912" xr:uid="{00000000-0005-0000-0000-0000E8010000}"/>
    <cellStyle name="20% - Accent2 2 2 2 2 11" xfId="913" xr:uid="{00000000-0005-0000-0000-0000E9010000}"/>
    <cellStyle name="20% - Accent2 2 2 2 2 12" xfId="914" xr:uid="{00000000-0005-0000-0000-0000EA010000}"/>
    <cellStyle name="20% - Accent2 2 2 2 2 13" xfId="915" xr:uid="{00000000-0005-0000-0000-0000EB010000}"/>
    <cellStyle name="20% - Accent2 2 2 2 2 14" xfId="916" xr:uid="{00000000-0005-0000-0000-0000EC010000}"/>
    <cellStyle name="20% - Accent2 2 2 2 2 15" xfId="917" xr:uid="{00000000-0005-0000-0000-0000ED010000}"/>
    <cellStyle name="20% - Accent2 2 2 2 2 16" xfId="918" xr:uid="{00000000-0005-0000-0000-0000EE010000}"/>
    <cellStyle name="20% - Accent2 2 2 2 2 17" xfId="919" xr:uid="{00000000-0005-0000-0000-0000EF010000}"/>
    <cellStyle name="20% - Accent2 2 2 2 2 18" xfId="920" xr:uid="{00000000-0005-0000-0000-0000F0010000}"/>
    <cellStyle name="20% - Accent2 2 2 2 2 19" xfId="921" xr:uid="{00000000-0005-0000-0000-0000F1010000}"/>
    <cellStyle name="20% - Accent2 2 2 2 2 2" xfId="922" xr:uid="{00000000-0005-0000-0000-0000F2010000}"/>
    <cellStyle name="20% - Accent2 2 2 2 2 2 10" xfId="923" xr:uid="{00000000-0005-0000-0000-0000F3010000}"/>
    <cellStyle name="20% - Accent2 2 2 2 2 2 11" xfId="924" xr:uid="{00000000-0005-0000-0000-0000F4010000}"/>
    <cellStyle name="20% - Accent2 2 2 2 2 2 11 2" xfId="925" xr:uid="{00000000-0005-0000-0000-0000F5010000}"/>
    <cellStyle name="20% - Accent2 2 2 2 2 2 12" xfId="29238" xr:uid="{00000000-0005-0000-0000-0000F6010000}"/>
    <cellStyle name="20% - Accent2 2 2 2 2 2 13" xfId="29239" xr:uid="{00000000-0005-0000-0000-0000F7010000}"/>
    <cellStyle name="20% - Accent2 2 2 2 2 2 14" xfId="33692" xr:uid="{00000000-0005-0000-0000-0000F8010000}"/>
    <cellStyle name="20% - Accent2 2 2 2 2 2 2" xfId="926" xr:uid="{00000000-0005-0000-0000-0000F9010000}"/>
    <cellStyle name="20% - Accent2 2 2 2 2 2 2 10" xfId="927" xr:uid="{00000000-0005-0000-0000-0000FA010000}"/>
    <cellStyle name="20% - Accent2 2 2 2 2 2 2 11" xfId="928" xr:uid="{00000000-0005-0000-0000-0000FB010000}"/>
    <cellStyle name="20% - Accent2 2 2 2 2 2 2 11 2" xfId="929" xr:uid="{00000000-0005-0000-0000-0000FC010000}"/>
    <cellStyle name="20% - Accent2 2 2 2 2 2 2 2" xfId="930" xr:uid="{00000000-0005-0000-0000-0000FD010000}"/>
    <cellStyle name="20% - Accent2 2 2 2 2 2 2 2 2" xfId="931" xr:uid="{00000000-0005-0000-0000-0000FE010000}"/>
    <cellStyle name="20% - Accent2 2 2 2 2 2 2 2 2 2" xfId="932" xr:uid="{00000000-0005-0000-0000-0000FF010000}"/>
    <cellStyle name="20% - Accent2 2 2 2 2 2 2 2 2 2 2" xfId="933" xr:uid="{00000000-0005-0000-0000-000000020000}"/>
    <cellStyle name="20% - Accent2 2 2 2 2 2 2 2 2 3" xfId="934" xr:uid="{00000000-0005-0000-0000-000001020000}"/>
    <cellStyle name="20% - Accent2 2 2 2 2 2 2 2 3" xfId="935" xr:uid="{00000000-0005-0000-0000-000002020000}"/>
    <cellStyle name="20% - Accent2 2 2 2 2 2 2 2 3 2" xfId="936" xr:uid="{00000000-0005-0000-0000-000003020000}"/>
    <cellStyle name="20% - Accent2 2 2 2 2 2 2 3" xfId="937" xr:uid="{00000000-0005-0000-0000-000004020000}"/>
    <cellStyle name="20% - Accent2 2 2 2 2 2 2 4" xfId="938" xr:uid="{00000000-0005-0000-0000-000005020000}"/>
    <cellStyle name="20% - Accent2 2 2 2 2 2 2 5" xfId="939" xr:uid="{00000000-0005-0000-0000-000006020000}"/>
    <cellStyle name="20% - Accent2 2 2 2 2 2 2 6" xfId="940" xr:uid="{00000000-0005-0000-0000-000007020000}"/>
    <cellStyle name="20% - Accent2 2 2 2 2 2 2 7" xfId="941" xr:uid="{00000000-0005-0000-0000-000008020000}"/>
    <cellStyle name="20% - Accent2 2 2 2 2 2 2 8" xfId="942" xr:uid="{00000000-0005-0000-0000-000009020000}"/>
    <cellStyle name="20% - Accent2 2 2 2 2 2 2 9" xfId="943" xr:uid="{00000000-0005-0000-0000-00000A020000}"/>
    <cellStyle name="20% - Accent2 2 2 2 2 2 3" xfId="944" xr:uid="{00000000-0005-0000-0000-00000B020000}"/>
    <cellStyle name="20% - Accent2 2 2 2 2 2 3 2" xfId="945" xr:uid="{00000000-0005-0000-0000-00000C020000}"/>
    <cellStyle name="20% - Accent2 2 2 2 2 2 4" xfId="946" xr:uid="{00000000-0005-0000-0000-00000D020000}"/>
    <cellStyle name="20% - Accent2 2 2 2 2 2 5" xfId="947" xr:uid="{00000000-0005-0000-0000-00000E020000}"/>
    <cellStyle name="20% - Accent2 2 2 2 2 2 6" xfId="948" xr:uid="{00000000-0005-0000-0000-00000F020000}"/>
    <cellStyle name="20% - Accent2 2 2 2 2 2 7" xfId="949" xr:uid="{00000000-0005-0000-0000-000010020000}"/>
    <cellStyle name="20% - Accent2 2 2 2 2 2 8" xfId="950" xr:uid="{00000000-0005-0000-0000-000011020000}"/>
    <cellStyle name="20% - Accent2 2 2 2 2 2 9" xfId="951" xr:uid="{00000000-0005-0000-0000-000012020000}"/>
    <cellStyle name="20% - Accent2 2 2 2 2 20" xfId="952" xr:uid="{00000000-0005-0000-0000-000013020000}"/>
    <cellStyle name="20% - Accent2 2 2 2 2 20 2" xfId="953" xr:uid="{00000000-0005-0000-0000-000014020000}"/>
    <cellStyle name="20% - Accent2 2 2 2 2 21" xfId="954" xr:uid="{00000000-0005-0000-0000-000015020000}"/>
    <cellStyle name="20% - Accent2 2 2 2 2 22" xfId="955" xr:uid="{00000000-0005-0000-0000-000016020000}"/>
    <cellStyle name="20% - Accent2 2 2 2 2 23" xfId="956" xr:uid="{00000000-0005-0000-0000-000017020000}"/>
    <cellStyle name="20% - Accent2 2 2 2 2 24" xfId="957" xr:uid="{00000000-0005-0000-0000-000018020000}"/>
    <cellStyle name="20% - Accent2 2 2 2 2 25" xfId="958" xr:uid="{00000000-0005-0000-0000-000019020000}"/>
    <cellStyle name="20% - Accent2 2 2 2 2 26" xfId="959" xr:uid="{00000000-0005-0000-0000-00001A020000}"/>
    <cellStyle name="20% - Accent2 2 2 2 2 27" xfId="960" xr:uid="{00000000-0005-0000-0000-00001B020000}"/>
    <cellStyle name="20% - Accent2 2 2 2 2 28" xfId="961" xr:uid="{00000000-0005-0000-0000-00001C020000}"/>
    <cellStyle name="20% - Accent2 2 2 2 2 28 2" xfId="962" xr:uid="{00000000-0005-0000-0000-00001D020000}"/>
    <cellStyle name="20% - Accent2 2 2 2 2 29" xfId="29240" xr:uid="{00000000-0005-0000-0000-00001E020000}"/>
    <cellStyle name="20% - Accent2 2 2 2 2 3" xfId="963" xr:uid="{00000000-0005-0000-0000-00001F020000}"/>
    <cellStyle name="20% - Accent2 2 2 2 2 3 2" xfId="33921" xr:uid="{00000000-0005-0000-0000-000020020000}"/>
    <cellStyle name="20% - Accent2 2 2 2 2 30" xfId="29241" xr:uid="{00000000-0005-0000-0000-000021020000}"/>
    <cellStyle name="20% - Accent2 2 2 2 2 31" xfId="29242" xr:uid="{00000000-0005-0000-0000-000022020000}"/>
    <cellStyle name="20% - Accent2 2 2 2 2 32" xfId="33308" xr:uid="{00000000-0005-0000-0000-000023020000}"/>
    <cellStyle name="20% - Accent2 2 2 2 2 4" xfId="964" xr:uid="{00000000-0005-0000-0000-000024020000}"/>
    <cellStyle name="20% - Accent2 2 2 2 2 4 2" xfId="34135" xr:uid="{00000000-0005-0000-0000-000025020000}"/>
    <cellStyle name="20% - Accent2 2 2 2 2 5" xfId="965" xr:uid="{00000000-0005-0000-0000-000026020000}"/>
    <cellStyle name="20% - Accent2 2 2 2 2 6" xfId="966" xr:uid="{00000000-0005-0000-0000-000027020000}"/>
    <cellStyle name="20% - Accent2 2 2 2 2 7" xfId="967" xr:uid="{00000000-0005-0000-0000-000028020000}"/>
    <cellStyle name="20% - Accent2 2 2 2 2 8" xfId="968" xr:uid="{00000000-0005-0000-0000-000029020000}"/>
    <cellStyle name="20% - Accent2 2 2 2 2 9" xfId="969" xr:uid="{00000000-0005-0000-0000-00002A020000}"/>
    <cellStyle name="20% - Accent2 2 2 2 2_loan Analysis " xfId="12952" xr:uid="{00000000-0005-0000-0000-00002B020000}"/>
    <cellStyle name="20% - Accent2 2 2 2 20" xfId="970" xr:uid="{00000000-0005-0000-0000-00002C020000}"/>
    <cellStyle name="20% - Accent2 2 2 2 20 2" xfId="971" xr:uid="{00000000-0005-0000-0000-00002D020000}"/>
    <cellStyle name="20% - Accent2 2 2 2 21" xfId="972" xr:uid="{00000000-0005-0000-0000-00002E020000}"/>
    <cellStyle name="20% - Accent2 2 2 2 22" xfId="973" xr:uid="{00000000-0005-0000-0000-00002F020000}"/>
    <cellStyle name="20% - Accent2 2 2 2 23" xfId="974" xr:uid="{00000000-0005-0000-0000-000030020000}"/>
    <cellStyle name="20% - Accent2 2 2 2 24" xfId="975" xr:uid="{00000000-0005-0000-0000-000031020000}"/>
    <cellStyle name="20% - Accent2 2 2 2 25" xfId="976" xr:uid="{00000000-0005-0000-0000-000032020000}"/>
    <cellStyle name="20% - Accent2 2 2 2 26" xfId="977" xr:uid="{00000000-0005-0000-0000-000033020000}"/>
    <cellStyle name="20% - Accent2 2 2 2 27" xfId="978" xr:uid="{00000000-0005-0000-0000-000034020000}"/>
    <cellStyle name="20% - Accent2 2 2 2 28" xfId="979" xr:uid="{00000000-0005-0000-0000-000035020000}"/>
    <cellStyle name="20% - Accent2 2 2 2 28 2" xfId="980" xr:uid="{00000000-0005-0000-0000-000036020000}"/>
    <cellStyle name="20% - Accent2 2 2 2 29" xfId="29243" xr:uid="{00000000-0005-0000-0000-000037020000}"/>
    <cellStyle name="20% - Accent2 2 2 2 3" xfId="981" xr:uid="{00000000-0005-0000-0000-000038020000}"/>
    <cellStyle name="20% - Accent2 2 2 2 3 2" xfId="982" xr:uid="{00000000-0005-0000-0000-000039020000}"/>
    <cellStyle name="20% - Accent2 2 2 2 3 3" xfId="29244" xr:uid="{00000000-0005-0000-0000-00003A020000}"/>
    <cellStyle name="20% - Accent2 2 2 2 3 4" xfId="29245" xr:uid="{00000000-0005-0000-0000-00003B020000}"/>
    <cellStyle name="20% - Accent2 2 2 2 3 5" xfId="33584" xr:uid="{00000000-0005-0000-0000-00003C020000}"/>
    <cellStyle name="20% - Accent2 2 2 2 30" xfId="29246" xr:uid="{00000000-0005-0000-0000-00003D020000}"/>
    <cellStyle name="20% - Accent2 2 2 2 31" xfId="29247" xr:uid="{00000000-0005-0000-0000-00003E020000}"/>
    <cellStyle name="20% - Accent2 2 2 2 32" xfId="29248" xr:uid="{00000000-0005-0000-0000-00003F020000}"/>
    <cellStyle name="20% - Accent2 2 2 2 33" xfId="33204" xr:uid="{00000000-0005-0000-0000-000040020000}"/>
    <cellStyle name="20% - Accent2 2 2 2 4" xfId="983" xr:uid="{00000000-0005-0000-0000-000041020000}"/>
    <cellStyle name="20% - Accent2 2 2 2 4 2" xfId="33819" xr:uid="{00000000-0005-0000-0000-000042020000}"/>
    <cellStyle name="20% - Accent2 2 2 2 5" xfId="984" xr:uid="{00000000-0005-0000-0000-000043020000}"/>
    <cellStyle name="20% - Accent2 2 2 2 5 2" xfId="34038" xr:uid="{00000000-0005-0000-0000-000044020000}"/>
    <cellStyle name="20% - Accent2 2 2 2 6" xfId="985" xr:uid="{00000000-0005-0000-0000-000045020000}"/>
    <cellStyle name="20% - Accent2 2 2 2 7" xfId="986" xr:uid="{00000000-0005-0000-0000-000046020000}"/>
    <cellStyle name="20% - Accent2 2 2 2 8" xfId="987" xr:uid="{00000000-0005-0000-0000-000047020000}"/>
    <cellStyle name="20% - Accent2 2 2 2 9" xfId="988" xr:uid="{00000000-0005-0000-0000-000048020000}"/>
    <cellStyle name="20% - Accent2 2 2 2_loan Analysis " xfId="12953" xr:uid="{00000000-0005-0000-0000-000049020000}"/>
    <cellStyle name="20% - Accent2 2 2 20" xfId="989" xr:uid="{00000000-0005-0000-0000-00004A020000}"/>
    <cellStyle name="20% - Accent2 2 2 21" xfId="990" xr:uid="{00000000-0005-0000-0000-00004B020000}"/>
    <cellStyle name="20% - Accent2 2 2 22" xfId="991" xr:uid="{00000000-0005-0000-0000-00004C020000}"/>
    <cellStyle name="20% - Accent2 2 2 23" xfId="992" xr:uid="{00000000-0005-0000-0000-00004D020000}"/>
    <cellStyle name="20% - Accent2 2 2 24" xfId="993" xr:uid="{00000000-0005-0000-0000-00004E020000}"/>
    <cellStyle name="20% - Accent2 2 2 25" xfId="994" xr:uid="{00000000-0005-0000-0000-00004F020000}"/>
    <cellStyle name="20% - Accent2 2 2 26" xfId="995" xr:uid="{00000000-0005-0000-0000-000050020000}"/>
    <cellStyle name="20% - Accent2 2 2 27" xfId="996" xr:uid="{00000000-0005-0000-0000-000051020000}"/>
    <cellStyle name="20% - Accent2 2 2 28" xfId="997" xr:uid="{00000000-0005-0000-0000-000052020000}"/>
    <cellStyle name="20% - Accent2 2 2 29" xfId="998" xr:uid="{00000000-0005-0000-0000-000053020000}"/>
    <cellStyle name="20% - Accent2 2 2 3" xfId="999" xr:uid="{00000000-0005-0000-0000-000054020000}"/>
    <cellStyle name="20% - Accent2 2 2 3 2" xfId="12954" xr:uid="{00000000-0005-0000-0000-000055020000}"/>
    <cellStyle name="20% - Accent2 2 2 3 2 2" xfId="17003" xr:uid="{00000000-0005-0000-0000-000056020000}"/>
    <cellStyle name="20% - Accent2 2 2 3 2 3" xfId="29249" xr:uid="{00000000-0005-0000-0000-000057020000}"/>
    <cellStyle name="20% - Accent2 2 2 3 2 4" xfId="29250" xr:uid="{00000000-0005-0000-0000-000058020000}"/>
    <cellStyle name="20% - Accent2 2 2 3 2 5" xfId="33651" xr:uid="{00000000-0005-0000-0000-000059020000}"/>
    <cellStyle name="20% - Accent2 2 2 3 3" xfId="29251" xr:uid="{00000000-0005-0000-0000-00005A020000}"/>
    <cellStyle name="20% - Accent2 2 2 3 3 2" xfId="33879" xr:uid="{00000000-0005-0000-0000-00005B020000}"/>
    <cellStyle name="20% - Accent2 2 2 3 4" xfId="29252" xr:uid="{00000000-0005-0000-0000-00005C020000}"/>
    <cellStyle name="20% - Accent2 2 2 3 4 2" xfId="34094" xr:uid="{00000000-0005-0000-0000-00005D020000}"/>
    <cellStyle name="20% - Accent2 2 2 3 5" xfId="33267" xr:uid="{00000000-0005-0000-0000-00005E020000}"/>
    <cellStyle name="20% - Accent2 2 2 3_loan Analysis " xfId="12955" xr:uid="{00000000-0005-0000-0000-00005F020000}"/>
    <cellStyle name="20% - Accent2 2 2 30" xfId="1000" xr:uid="{00000000-0005-0000-0000-000060020000}"/>
    <cellStyle name="20% - Accent2 2 2 31" xfId="1001" xr:uid="{00000000-0005-0000-0000-000061020000}"/>
    <cellStyle name="20% - Accent2 2 2 31 2" xfId="1002" xr:uid="{00000000-0005-0000-0000-000062020000}"/>
    <cellStyle name="20% - Accent2 2 2 32" xfId="1003" xr:uid="{00000000-0005-0000-0000-000063020000}"/>
    <cellStyle name="20% - Accent2 2 2 33" xfId="1004" xr:uid="{00000000-0005-0000-0000-000064020000}"/>
    <cellStyle name="20% - Accent2 2 2 34" xfId="1005" xr:uid="{00000000-0005-0000-0000-000065020000}"/>
    <cellStyle name="20% - Accent2 2 2 35" xfId="1006" xr:uid="{00000000-0005-0000-0000-000066020000}"/>
    <cellStyle name="20% - Accent2 2 2 36" xfId="1007" xr:uid="{00000000-0005-0000-0000-000067020000}"/>
    <cellStyle name="20% - Accent2 2 2 37" xfId="1008" xr:uid="{00000000-0005-0000-0000-000068020000}"/>
    <cellStyle name="20% - Accent2 2 2 38" xfId="1009" xr:uid="{00000000-0005-0000-0000-000069020000}"/>
    <cellStyle name="20% - Accent2 2 2 39" xfId="1010" xr:uid="{00000000-0005-0000-0000-00006A020000}"/>
    <cellStyle name="20% - Accent2 2 2 39 2" xfId="1011" xr:uid="{00000000-0005-0000-0000-00006B020000}"/>
    <cellStyle name="20% - Accent2 2 2 4" xfId="1012" xr:uid="{00000000-0005-0000-0000-00006C020000}"/>
    <cellStyle name="20% - Accent2 2 2 4 2" xfId="29253" xr:uid="{00000000-0005-0000-0000-00006D020000}"/>
    <cellStyle name="20% - Accent2 2 2 4 3" xfId="29254" xr:uid="{00000000-0005-0000-0000-00006E020000}"/>
    <cellStyle name="20% - Accent2 2 2 4 4" xfId="29255" xr:uid="{00000000-0005-0000-0000-00006F020000}"/>
    <cellStyle name="20% - Accent2 2 2 4 5" xfId="33433" xr:uid="{00000000-0005-0000-0000-000070020000}"/>
    <cellStyle name="20% - Accent2 2 2 40" xfId="29256" xr:uid="{00000000-0005-0000-0000-000071020000}"/>
    <cellStyle name="20% - Accent2 2 2 41" xfId="29257" xr:uid="{00000000-0005-0000-0000-000072020000}"/>
    <cellStyle name="20% - Accent2 2 2 42" xfId="29258" xr:uid="{00000000-0005-0000-0000-000073020000}"/>
    <cellStyle name="20% - Accent2 2 2 43" xfId="29259" xr:uid="{00000000-0005-0000-0000-000074020000}"/>
    <cellStyle name="20% - Accent2 2 2 44" xfId="29260" xr:uid="{00000000-0005-0000-0000-000075020000}"/>
    <cellStyle name="20% - Accent2 2 2 45" xfId="29261" xr:uid="{00000000-0005-0000-0000-000076020000}"/>
    <cellStyle name="20% - Accent2 2 2 46" xfId="29262" xr:uid="{00000000-0005-0000-0000-000077020000}"/>
    <cellStyle name="20% - Accent2 2 2 47" xfId="29263" xr:uid="{00000000-0005-0000-0000-000078020000}"/>
    <cellStyle name="20% - Accent2 2 2 48" xfId="33113" xr:uid="{00000000-0005-0000-0000-000079020000}"/>
    <cellStyle name="20% - Accent2 2 2 49" xfId="888" xr:uid="{00000000-0005-0000-0000-00007A020000}"/>
    <cellStyle name="20% - Accent2 2 2 5" xfId="1013" xr:uid="{00000000-0005-0000-0000-00007B020000}"/>
    <cellStyle name="20% - Accent2 2 2 5 2" xfId="33577" xr:uid="{00000000-0005-0000-0000-00007C020000}"/>
    <cellStyle name="20% - Accent2 2 2 6" xfId="1014" xr:uid="{00000000-0005-0000-0000-00007D020000}"/>
    <cellStyle name="20% - Accent2 2 2 6 2" xfId="33812" xr:uid="{00000000-0005-0000-0000-00007E020000}"/>
    <cellStyle name="20% - Accent2 2 2 7" xfId="1015" xr:uid="{00000000-0005-0000-0000-00007F020000}"/>
    <cellStyle name="20% - Accent2 2 2 8" xfId="1016" xr:uid="{00000000-0005-0000-0000-000080020000}"/>
    <cellStyle name="20% - Accent2 2 2 9" xfId="1017" xr:uid="{00000000-0005-0000-0000-000081020000}"/>
    <cellStyle name="20% - Accent2 2 2_loan Analysis " xfId="12956" xr:uid="{00000000-0005-0000-0000-000082020000}"/>
    <cellStyle name="20% - Accent2 2 20" xfId="1018" xr:uid="{00000000-0005-0000-0000-000083020000}"/>
    <cellStyle name="20% - Accent2 2 21" xfId="1019" xr:uid="{00000000-0005-0000-0000-000084020000}"/>
    <cellStyle name="20% - Accent2 2 22" xfId="1020" xr:uid="{00000000-0005-0000-0000-000085020000}"/>
    <cellStyle name="20% - Accent2 2 23" xfId="1021" xr:uid="{00000000-0005-0000-0000-000086020000}"/>
    <cellStyle name="20% - Accent2 2 24" xfId="1022" xr:uid="{00000000-0005-0000-0000-000087020000}"/>
    <cellStyle name="20% - Accent2 2 25" xfId="1023" xr:uid="{00000000-0005-0000-0000-000088020000}"/>
    <cellStyle name="20% - Accent2 2 26" xfId="1024" xr:uid="{00000000-0005-0000-0000-000089020000}"/>
    <cellStyle name="20% - Accent2 2 27" xfId="1025" xr:uid="{00000000-0005-0000-0000-00008A020000}"/>
    <cellStyle name="20% - Accent2 2 28" xfId="1026" xr:uid="{00000000-0005-0000-0000-00008B020000}"/>
    <cellStyle name="20% - Accent2 2 29" xfId="1027" xr:uid="{00000000-0005-0000-0000-00008C020000}"/>
    <cellStyle name="20% - Accent2 2 3" xfId="1028" xr:uid="{00000000-0005-0000-0000-00008D020000}"/>
    <cellStyle name="20% - Accent2 2 3 10" xfId="33114" xr:uid="{00000000-0005-0000-0000-00008E020000}"/>
    <cellStyle name="20% - Accent2 2 3 2" xfId="57" xr:uid="{00000000-0005-0000-0000-00008F020000}"/>
    <cellStyle name="20% - Accent2 2 3 2 10" xfId="29264" xr:uid="{00000000-0005-0000-0000-000090020000}"/>
    <cellStyle name="20% - Accent2 2 3 2 11" xfId="33205" xr:uid="{00000000-0005-0000-0000-000091020000}"/>
    <cellStyle name="20% - Accent2 2 3 2 12" xfId="1029" xr:uid="{00000000-0005-0000-0000-000092020000}"/>
    <cellStyle name="20% - Accent2 2 3 2 2" xfId="12957" xr:uid="{00000000-0005-0000-0000-000093020000}"/>
    <cellStyle name="20% - Accent2 2 3 2 2 2" xfId="12958" xr:uid="{00000000-0005-0000-0000-000094020000}"/>
    <cellStyle name="20% - Accent2 2 3 2 2 2 2" xfId="17008" xr:uid="{00000000-0005-0000-0000-000095020000}"/>
    <cellStyle name="20% - Accent2 2 3 2 2 2 3" xfId="29265" xr:uid="{00000000-0005-0000-0000-000096020000}"/>
    <cellStyle name="20% - Accent2 2 3 2 2 2 4" xfId="29266" xr:uid="{00000000-0005-0000-0000-000097020000}"/>
    <cellStyle name="20% - Accent2 2 3 2 2 2 5" xfId="33693" xr:uid="{00000000-0005-0000-0000-000098020000}"/>
    <cellStyle name="20% - Accent2 2 3 2 2 3" xfId="17007" xr:uid="{00000000-0005-0000-0000-000099020000}"/>
    <cellStyle name="20% - Accent2 2 3 2 2 3 2" xfId="33922" xr:uid="{00000000-0005-0000-0000-00009A020000}"/>
    <cellStyle name="20% - Accent2 2 3 2 2 4" xfId="29267" xr:uid="{00000000-0005-0000-0000-00009B020000}"/>
    <cellStyle name="20% - Accent2 2 3 2 2 4 2" xfId="34136" xr:uid="{00000000-0005-0000-0000-00009C020000}"/>
    <cellStyle name="20% - Accent2 2 3 2 2 5" xfId="29268" xr:uid="{00000000-0005-0000-0000-00009D020000}"/>
    <cellStyle name="20% - Accent2 2 3 2 2 6" xfId="33309" xr:uid="{00000000-0005-0000-0000-00009E020000}"/>
    <cellStyle name="20% - Accent2 2 3 2 2_loan Analysis " xfId="12959" xr:uid="{00000000-0005-0000-0000-00009F020000}"/>
    <cellStyle name="20% - Accent2 2 3 2 3" xfId="12960" xr:uid="{00000000-0005-0000-0000-0000A0020000}"/>
    <cellStyle name="20% - Accent2 2 3 2 3 2" xfId="17009" xr:uid="{00000000-0005-0000-0000-0000A1020000}"/>
    <cellStyle name="20% - Accent2 2 3 2 3 3" xfId="29269" xr:uid="{00000000-0005-0000-0000-0000A2020000}"/>
    <cellStyle name="20% - Accent2 2 3 2 3 4" xfId="29270" xr:uid="{00000000-0005-0000-0000-0000A3020000}"/>
    <cellStyle name="20% - Accent2 2 3 2 3 5" xfId="33585" xr:uid="{00000000-0005-0000-0000-0000A4020000}"/>
    <cellStyle name="20% - Accent2 2 3 2 4" xfId="17006" xr:uid="{00000000-0005-0000-0000-0000A5020000}"/>
    <cellStyle name="20% - Accent2 2 3 2 4 2" xfId="33820" xr:uid="{00000000-0005-0000-0000-0000A6020000}"/>
    <cellStyle name="20% - Accent2 2 3 2 5" xfId="17335" xr:uid="{00000000-0005-0000-0000-0000A7020000}"/>
    <cellStyle name="20% - Accent2 2 3 2 5 2" xfId="34039" xr:uid="{00000000-0005-0000-0000-0000A8020000}"/>
    <cellStyle name="20% - Accent2 2 3 2 6" xfId="29097" xr:uid="{00000000-0005-0000-0000-0000A9020000}"/>
    <cellStyle name="20% - Accent2 2 3 2 7" xfId="17336" xr:uid="{00000000-0005-0000-0000-0000AA020000}"/>
    <cellStyle name="20% - Accent2 2 3 2 8" xfId="29098" xr:uid="{00000000-0005-0000-0000-0000AB020000}"/>
    <cellStyle name="20% - Accent2 2 3 2 9" xfId="29271" xr:uid="{00000000-0005-0000-0000-0000AC020000}"/>
    <cellStyle name="20% - Accent2 2 3 2_loan Analysis " xfId="12961" xr:uid="{00000000-0005-0000-0000-0000AD020000}"/>
    <cellStyle name="20% - Accent2 2 3 3" xfId="12962" xr:uid="{00000000-0005-0000-0000-0000AE020000}"/>
    <cellStyle name="20% - Accent2 2 3 3 2" xfId="12963" xr:uid="{00000000-0005-0000-0000-0000AF020000}"/>
    <cellStyle name="20% - Accent2 2 3 3 2 2" xfId="17011" xr:uid="{00000000-0005-0000-0000-0000B0020000}"/>
    <cellStyle name="20% - Accent2 2 3 3 2 3" xfId="29272" xr:uid="{00000000-0005-0000-0000-0000B1020000}"/>
    <cellStyle name="20% - Accent2 2 3 3 2 4" xfId="29273" xr:uid="{00000000-0005-0000-0000-0000B2020000}"/>
    <cellStyle name="20% - Accent2 2 3 3 2 5" xfId="33652" xr:uid="{00000000-0005-0000-0000-0000B3020000}"/>
    <cellStyle name="20% - Accent2 2 3 3 3" xfId="17010" xr:uid="{00000000-0005-0000-0000-0000B4020000}"/>
    <cellStyle name="20% - Accent2 2 3 3 3 2" xfId="33880" xr:uid="{00000000-0005-0000-0000-0000B5020000}"/>
    <cellStyle name="20% - Accent2 2 3 3 4" xfId="29274" xr:uid="{00000000-0005-0000-0000-0000B6020000}"/>
    <cellStyle name="20% - Accent2 2 3 3 4 2" xfId="34095" xr:uid="{00000000-0005-0000-0000-0000B7020000}"/>
    <cellStyle name="20% - Accent2 2 3 3 5" xfId="29275" xr:uid="{00000000-0005-0000-0000-0000B8020000}"/>
    <cellStyle name="20% - Accent2 2 3 3 6" xfId="33268" xr:uid="{00000000-0005-0000-0000-0000B9020000}"/>
    <cellStyle name="20% - Accent2 2 3 3_loan Analysis " xfId="12964" xr:uid="{00000000-0005-0000-0000-0000BA020000}"/>
    <cellStyle name="20% - Accent2 2 3 4" xfId="12965" xr:uid="{00000000-0005-0000-0000-0000BB020000}"/>
    <cellStyle name="20% - Accent2 2 3 4 2" xfId="17012" xr:uid="{00000000-0005-0000-0000-0000BC020000}"/>
    <cellStyle name="20% - Accent2 2 3 4 3" xfId="29276" xr:uid="{00000000-0005-0000-0000-0000BD020000}"/>
    <cellStyle name="20% - Accent2 2 3 4 4" xfId="29277" xr:uid="{00000000-0005-0000-0000-0000BE020000}"/>
    <cellStyle name="20% - Accent2 2 3 4 5" xfId="29278" xr:uid="{00000000-0005-0000-0000-0000BF020000}"/>
    <cellStyle name="20% - Accent2 2 3 4 6" xfId="33434" xr:uid="{00000000-0005-0000-0000-0000C0020000}"/>
    <cellStyle name="20% - Accent2 2 3 5" xfId="29279" xr:uid="{00000000-0005-0000-0000-0000C1020000}"/>
    <cellStyle name="20% - Accent2 2 3 5 2" xfId="33576" xr:uid="{00000000-0005-0000-0000-0000C2020000}"/>
    <cellStyle name="20% - Accent2 2 3 6" xfId="29280" xr:uid="{00000000-0005-0000-0000-0000C3020000}"/>
    <cellStyle name="20% - Accent2 2 3 6 2" xfId="33811" xr:uid="{00000000-0005-0000-0000-0000C4020000}"/>
    <cellStyle name="20% - Accent2 2 3 7" xfId="29281" xr:uid="{00000000-0005-0000-0000-0000C5020000}"/>
    <cellStyle name="20% - Accent2 2 3 8" xfId="29282" xr:uid="{00000000-0005-0000-0000-0000C6020000}"/>
    <cellStyle name="20% - Accent2 2 3 9" xfId="29283" xr:uid="{00000000-0005-0000-0000-0000C7020000}"/>
    <cellStyle name="20% - Accent2 2 3_loan Analysis " xfId="12966" xr:uid="{00000000-0005-0000-0000-0000C8020000}"/>
    <cellStyle name="20% - Accent2 2 30" xfId="1030" xr:uid="{00000000-0005-0000-0000-0000C9020000}"/>
    <cellStyle name="20% - Accent2 2 31" xfId="1031" xr:uid="{00000000-0005-0000-0000-0000CA020000}"/>
    <cellStyle name="20% - Accent2 2 32" xfId="1032" xr:uid="{00000000-0005-0000-0000-0000CB020000}"/>
    <cellStyle name="20% - Accent2 2 33" xfId="1033" xr:uid="{00000000-0005-0000-0000-0000CC020000}"/>
    <cellStyle name="20% - Accent2 2 33 2" xfId="1034" xr:uid="{00000000-0005-0000-0000-0000CD020000}"/>
    <cellStyle name="20% - Accent2 2 34" xfId="1035" xr:uid="{00000000-0005-0000-0000-0000CE020000}"/>
    <cellStyle name="20% - Accent2 2 35" xfId="1036" xr:uid="{00000000-0005-0000-0000-0000CF020000}"/>
    <cellStyle name="20% - Accent2 2 36" xfId="1037" xr:uid="{00000000-0005-0000-0000-0000D0020000}"/>
    <cellStyle name="20% - Accent2 2 37" xfId="1038" xr:uid="{00000000-0005-0000-0000-0000D1020000}"/>
    <cellStyle name="20% - Accent2 2 38" xfId="1039" xr:uid="{00000000-0005-0000-0000-0000D2020000}"/>
    <cellStyle name="20% - Accent2 2 39" xfId="1040" xr:uid="{00000000-0005-0000-0000-0000D3020000}"/>
    <cellStyle name="20% - Accent2 2 4" xfId="1041" xr:uid="{00000000-0005-0000-0000-0000D4020000}"/>
    <cellStyle name="20% - Accent2 2 4 2" xfId="12967" xr:uid="{00000000-0005-0000-0000-0000D5020000}"/>
    <cellStyle name="20% - Accent2 2 4 2 2" xfId="12968" xr:uid="{00000000-0005-0000-0000-0000D6020000}"/>
    <cellStyle name="20% - Accent2 2 4 2 2 2" xfId="12969" xr:uid="{00000000-0005-0000-0000-0000D7020000}"/>
    <cellStyle name="20% - Accent2 2 4 2 2 2 2" xfId="17015" xr:uid="{00000000-0005-0000-0000-0000D8020000}"/>
    <cellStyle name="20% - Accent2 2 4 2 2 2 3" xfId="29284" xr:uid="{00000000-0005-0000-0000-0000D9020000}"/>
    <cellStyle name="20% - Accent2 2 4 2 2 2 4" xfId="29285" xr:uid="{00000000-0005-0000-0000-0000DA020000}"/>
    <cellStyle name="20% - Accent2 2 4 2 2 2 5" xfId="33694" xr:uid="{00000000-0005-0000-0000-0000DB020000}"/>
    <cellStyle name="20% - Accent2 2 4 2 2 3" xfId="17014" xr:uid="{00000000-0005-0000-0000-0000DC020000}"/>
    <cellStyle name="20% - Accent2 2 4 2 2 3 2" xfId="33923" xr:uid="{00000000-0005-0000-0000-0000DD020000}"/>
    <cellStyle name="20% - Accent2 2 4 2 2 4" xfId="29286" xr:uid="{00000000-0005-0000-0000-0000DE020000}"/>
    <cellStyle name="20% - Accent2 2 4 2 2 4 2" xfId="34137" xr:uid="{00000000-0005-0000-0000-0000DF020000}"/>
    <cellStyle name="20% - Accent2 2 4 2 2 5" xfId="29287" xr:uid="{00000000-0005-0000-0000-0000E0020000}"/>
    <cellStyle name="20% - Accent2 2 4 2 2 6" xfId="33310" xr:uid="{00000000-0005-0000-0000-0000E1020000}"/>
    <cellStyle name="20% - Accent2 2 4 2 2_loan Analysis " xfId="12970" xr:uid="{00000000-0005-0000-0000-0000E2020000}"/>
    <cellStyle name="20% - Accent2 2 4 2 3" xfId="12971" xr:uid="{00000000-0005-0000-0000-0000E3020000}"/>
    <cellStyle name="20% - Accent2 2 4 2 3 2" xfId="17016" xr:uid="{00000000-0005-0000-0000-0000E4020000}"/>
    <cellStyle name="20% - Accent2 2 4 2 3 3" xfId="29288" xr:uid="{00000000-0005-0000-0000-0000E5020000}"/>
    <cellStyle name="20% - Accent2 2 4 2 3 4" xfId="29289" xr:uid="{00000000-0005-0000-0000-0000E6020000}"/>
    <cellStyle name="20% - Accent2 2 4 2 3 5" xfId="33586" xr:uid="{00000000-0005-0000-0000-0000E7020000}"/>
    <cellStyle name="20% - Accent2 2 4 2 4" xfId="17013" xr:uid="{00000000-0005-0000-0000-0000E8020000}"/>
    <cellStyle name="20% - Accent2 2 4 2 4 2" xfId="33821" xr:uid="{00000000-0005-0000-0000-0000E9020000}"/>
    <cellStyle name="20% - Accent2 2 4 2 5" xfId="29290" xr:uid="{00000000-0005-0000-0000-0000EA020000}"/>
    <cellStyle name="20% - Accent2 2 4 2 5 2" xfId="34040" xr:uid="{00000000-0005-0000-0000-0000EB020000}"/>
    <cellStyle name="20% - Accent2 2 4 2 6" xfId="29291" xr:uid="{00000000-0005-0000-0000-0000EC020000}"/>
    <cellStyle name="20% - Accent2 2 4 2 7" xfId="33206" xr:uid="{00000000-0005-0000-0000-0000ED020000}"/>
    <cellStyle name="20% - Accent2 2 4 2_loan Analysis " xfId="12972" xr:uid="{00000000-0005-0000-0000-0000EE020000}"/>
    <cellStyle name="20% - Accent2 2 4 3" xfId="12973" xr:uid="{00000000-0005-0000-0000-0000EF020000}"/>
    <cellStyle name="20% - Accent2 2 4 3 2" xfId="12974" xr:uid="{00000000-0005-0000-0000-0000F0020000}"/>
    <cellStyle name="20% - Accent2 2 4 3 2 2" xfId="17018" xr:uid="{00000000-0005-0000-0000-0000F1020000}"/>
    <cellStyle name="20% - Accent2 2 4 3 2 3" xfId="29292" xr:uid="{00000000-0005-0000-0000-0000F2020000}"/>
    <cellStyle name="20% - Accent2 2 4 3 2 4" xfId="29293" xr:uid="{00000000-0005-0000-0000-0000F3020000}"/>
    <cellStyle name="20% - Accent2 2 4 3 2 5" xfId="33653" xr:uid="{00000000-0005-0000-0000-0000F4020000}"/>
    <cellStyle name="20% - Accent2 2 4 3 3" xfId="17017" xr:uid="{00000000-0005-0000-0000-0000F5020000}"/>
    <cellStyle name="20% - Accent2 2 4 3 3 2" xfId="33881" xr:uid="{00000000-0005-0000-0000-0000F6020000}"/>
    <cellStyle name="20% - Accent2 2 4 3 4" xfId="29294" xr:uid="{00000000-0005-0000-0000-0000F7020000}"/>
    <cellStyle name="20% - Accent2 2 4 3 4 2" xfId="34096" xr:uid="{00000000-0005-0000-0000-0000F8020000}"/>
    <cellStyle name="20% - Accent2 2 4 3 5" xfId="29295" xr:uid="{00000000-0005-0000-0000-0000F9020000}"/>
    <cellStyle name="20% - Accent2 2 4 3 6" xfId="33269" xr:uid="{00000000-0005-0000-0000-0000FA020000}"/>
    <cellStyle name="20% - Accent2 2 4 3_loan Analysis " xfId="12975" xr:uid="{00000000-0005-0000-0000-0000FB020000}"/>
    <cellStyle name="20% - Accent2 2 4 4" xfId="12976" xr:uid="{00000000-0005-0000-0000-0000FC020000}"/>
    <cellStyle name="20% - Accent2 2 4 4 2" xfId="17019" xr:uid="{00000000-0005-0000-0000-0000FD020000}"/>
    <cellStyle name="20% - Accent2 2 4 4 3" xfId="29296" xr:uid="{00000000-0005-0000-0000-0000FE020000}"/>
    <cellStyle name="20% - Accent2 2 4 4 4" xfId="29297" xr:uid="{00000000-0005-0000-0000-0000FF020000}"/>
    <cellStyle name="20% - Accent2 2 4 4 5" xfId="29298" xr:uid="{00000000-0005-0000-0000-000000030000}"/>
    <cellStyle name="20% - Accent2 2 4 4 6" xfId="33435" xr:uid="{00000000-0005-0000-0000-000001030000}"/>
    <cellStyle name="20% - Accent2 2 4 5" xfId="29299" xr:uid="{00000000-0005-0000-0000-000002030000}"/>
    <cellStyle name="20% - Accent2 2 4 5 2" xfId="33575" xr:uid="{00000000-0005-0000-0000-000003030000}"/>
    <cellStyle name="20% - Accent2 2 4 6" xfId="29300" xr:uid="{00000000-0005-0000-0000-000004030000}"/>
    <cellStyle name="20% - Accent2 2 4 6 2" xfId="33810" xr:uid="{00000000-0005-0000-0000-000005030000}"/>
    <cellStyle name="20% - Accent2 2 4 7" xfId="29301" xr:uid="{00000000-0005-0000-0000-000006030000}"/>
    <cellStyle name="20% - Accent2 2 4 8" xfId="33115" xr:uid="{00000000-0005-0000-0000-000007030000}"/>
    <cellStyle name="20% - Accent2 2 4_loan Analysis " xfId="12977" xr:uid="{00000000-0005-0000-0000-000008030000}"/>
    <cellStyle name="20% - Accent2 2 40" xfId="1042" xr:uid="{00000000-0005-0000-0000-000009030000}"/>
    <cellStyle name="20% - Accent2 2 41" xfId="1043" xr:uid="{00000000-0005-0000-0000-00000A030000}"/>
    <cellStyle name="20% - Accent2 2 41 2" xfId="1044" xr:uid="{00000000-0005-0000-0000-00000B030000}"/>
    <cellStyle name="20% - Accent2 2 42" xfId="29302" xr:uid="{00000000-0005-0000-0000-00000C030000}"/>
    <cellStyle name="20% - Accent2 2 43" xfId="29303" xr:uid="{00000000-0005-0000-0000-00000D030000}"/>
    <cellStyle name="20% - Accent2 2 44" xfId="29304" xr:uid="{00000000-0005-0000-0000-00000E030000}"/>
    <cellStyle name="20% - Accent2 2 45" xfId="29305" xr:uid="{00000000-0005-0000-0000-00000F030000}"/>
    <cellStyle name="20% - Accent2 2 46" xfId="29306" xr:uid="{00000000-0005-0000-0000-000010030000}"/>
    <cellStyle name="20% - Accent2 2 47" xfId="29307" xr:uid="{00000000-0005-0000-0000-000011030000}"/>
    <cellStyle name="20% - Accent2 2 48" xfId="29308" xr:uid="{00000000-0005-0000-0000-000012030000}"/>
    <cellStyle name="20% - Accent2 2 49" xfId="29309" xr:uid="{00000000-0005-0000-0000-000013030000}"/>
    <cellStyle name="20% - Accent2 2 5" xfId="1045" xr:uid="{00000000-0005-0000-0000-000014030000}"/>
    <cellStyle name="20% - Accent2 2 5 2" xfId="1046" xr:uid="{00000000-0005-0000-0000-000015030000}"/>
    <cellStyle name="20% - Accent2 2 5 3" xfId="29310" xr:uid="{00000000-0005-0000-0000-000016030000}"/>
    <cellStyle name="20% - Accent2 2 50" xfId="29311" xr:uid="{00000000-0005-0000-0000-000017030000}"/>
    <cellStyle name="20% - Accent2 2 51" xfId="29312" xr:uid="{00000000-0005-0000-0000-000018030000}"/>
    <cellStyle name="20% - Accent2 2 52" xfId="29313" xr:uid="{00000000-0005-0000-0000-000019030000}"/>
    <cellStyle name="20% - Accent2 2 53" xfId="33112" xr:uid="{00000000-0005-0000-0000-00001A030000}"/>
    <cellStyle name="20% - Accent2 2 54" xfId="33198" xr:uid="{00000000-0005-0000-0000-00001B030000}"/>
    <cellStyle name="20% - Accent2 2 55" xfId="876" xr:uid="{00000000-0005-0000-0000-00001C030000}"/>
    <cellStyle name="20% - Accent2 2 6" xfId="1047" xr:uid="{00000000-0005-0000-0000-00001D030000}"/>
    <cellStyle name="20% - Accent2 2 6 2" xfId="29314" xr:uid="{00000000-0005-0000-0000-00001E030000}"/>
    <cellStyle name="20% - Accent2 2 6 3" xfId="29315" xr:uid="{00000000-0005-0000-0000-00001F030000}"/>
    <cellStyle name="20% - Accent2 2 7" xfId="1048" xr:uid="{00000000-0005-0000-0000-000020030000}"/>
    <cellStyle name="20% - Accent2 2 8" xfId="1049" xr:uid="{00000000-0005-0000-0000-000021030000}"/>
    <cellStyle name="20% - Accent2 2 9" xfId="1050" xr:uid="{00000000-0005-0000-0000-000022030000}"/>
    <cellStyle name="20% - Accent2 2_Loan Classification" xfId="11401" xr:uid="{00000000-0005-0000-0000-000023030000}"/>
    <cellStyle name="20% - Accent2 20" xfId="1051" xr:uid="{00000000-0005-0000-0000-000024030000}"/>
    <cellStyle name="20% - Accent2 21" xfId="1052" xr:uid="{00000000-0005-0000-0000-000025030000}"/>
    <cellStyle name="20% - Accent2 22" xfId="1053" xr:uid="{00000000-0005-0000-0000-000026030000}"/>
    <cellStyle name="20% - Accent2 23" xfId="1054" xr:uid="{00000000-0005-0000-0000-000027030000}"/>
    <cellStyle name="20% - Accent2 24" xfId="1055" xr:uid="{00000000-0005-0000-0000-000028030000}"/>
    <cellStyle name="20% - Accent2 25" xfId="1056" xr:uid="{00000000-0005-0000-0000-000029030000}"/>
    <cellStyle name="20% - Accent2 26" xfId="1057" xr:uid="{00000000-0005-0000-0000-00002A030000}"/>
    <cellStyle name="20% - Accent2 27" xfId="1058" xr:uid="{00000000-0005-0000-0000-00002B030000}"/>
    <cellStyle name="20% - Accent2 28" xfId="1059" xr:uid="{00000000-0005-0000-0000-00002C030000}"/>
    <cellStyle name="20% - Accent2 29" xfId="1060" xr:uid="{00000000-0005-0000-0000-00002D030000}"/>
    <cellStyle name="20% - Accent2 3" xfId="58" xr:uid="{00000000-0005-0000-0000-00002E030000}"/>
    <cellStyle name="20% - Accent2 3 2" xfId="429" xr:uid="{00000000-0005-0000-0000-00002F030000}"/>
    <cellStyle name="20% - Accent2 3 2 2" xfId="29317" xr:uid="{00000000-0005-0000-0000-000030030000}"/>
    <cellStyle name="20% - Accent2 3 2 3" xfId="29316" xr:uid="{00000000-0005-0000-0000-000031030000}"/>
    <cellStyle name="20% - Accent2 3 3" xfId="29318" xr:uid="{00000000-0005-0000-0000-000032030000}"/>
    <cellStyle name="20% - Accent2 3 4" xfId="1061" xr:uid="{00000000-0005-0000-0000-000033030000}"/>
    <cellStyle name="20% - Accent2 30" xfId="1062" xr:uid="{00000000-0005-0000-0000-000034030000}"/>
    <cellStyle name="20% - Accent2 31" xfId="1063" xr:uid="{00000000-0005-0000-0000-000035030000}"/>
    <cellStyle name="20% - Accent2 32" xfId="1064" xr:uid="{00000000-0005-0000-0000-000036030000}"/>
    <cellStyle name="20% - Accent2 33" xfId="1065" xr:uid="{00000000-0005-0000-0000-000037030000}"/>
    <cellStyle name="20% - Accent2 34" xfId="1066" xr:uid="{00000000-0005-0000-0000-000038030000}"/>
    <cellStyle name="20% - Accent2 35" xfId="1067" xr:uid="{00000000-0005-0000-0000-000039030000}"/>
    <cellStyle name="20% - Accent2 36" xfId="1068" xr:uid="{00000000-0005-0000-0000-00003A030000}"/>
    <cellStyle name="20% - Accent2 37" xfId="1069" xr:uid="{00000000-0005-0000-0000-00003B030000}"/>
    <cellStyle name="20% - Accent2 38" xfId="1070" xr:uid="{00000000-0005-0000-0000-00003C030000}"/>
    <cellStyle name="20% - Accent2 39" xfId="1071" xr:uid="{00000000-0005-0000-0000-00003D030000}"/>
    <cellStyle name="20% - Accent2 4" xfId="1072" xr:uid="{00000000-0005-0000-0000-00003E030000}"/>
    <cellStyle name="20% - Accent2 4 2" xfId="29319" xr:uid="{00000000-0005-0000-0000-00003F030000}"/>
    <cellStyle name="20% - Accent2 4 2 2" xfId="29320" xr:uid="{00000000-0005-0000-0000-000040030000}"/>
    <cellStyle name="20% - Accent2 4 3" xfId="29321" xr:uid="{00000000-0005-0000-0000-000041030000}"/>
    <cellStyle name="20% - Accent2 40" xfId="1073" xr:uid="{00000000-0005-0000-0000-000042030000}"/>
    <cellStyle name="20% - Accent2 41" xfId="1074" xr:uid="{00000000-0005-0000-0000-000043030000}"/>
    <cellStyle name="20% - Accent2 42" xfId="1075" xr:uid="{00000000-0005-0000-0000-000044030000}"/>
    <cellStyle name="20% - Accent2 43" xfId="11564" xr:uid="{00000000-0005-0000-0000-000045030000}"/>
    <cellStyle name="20% - Accent2 44" xfId="11543" xr:uid="{00000000-0005-0000-0000-000046030000}"/>
    <cellStyle name="20% - Accent2 44 2" xfId="17022" xr:uid="{00000000-0005-0000-0000-000047030000}"/>
    <cellStyle name="20% - Accent2 45" xfId="17023" xr:uid="{00000000-0005-0000-0000-000048030000}"/>
    <cellStyle name="20% - Accent2 46" xfId="29322" xr:uid="{00000000-0005-0000-0000-000049030000}"/>
    <cellStyle name="20% - Accent2 47" xfId="29323" xr:uid="{00000000-0005-0000-0000-00004A030000}"/>
    <cellStyle name="20% - Accent2 48" xfId="34259" xr:uid="{00000000-0005-0000-0000-00004B030000}"/>
    <cellStyle name="20% - Accent2 49" xfId="484" xr:uid="{00000000-0005-0000-0000-00004C030000}"/>
    <cellStyle name="20% - Accent2 5" xfId="1076" xr:uid="{00000000-0005-0000-0000-00004D030000}"/>
    <cellStyle name="20% - Accent2 5 2" xfId="12830" xr:uid="{00000000-0005-0000-0000-00004E030000}"/>
    <cellStyle name="20% - Accent2 5 2 2" xfId="29324" xr:uid="{00000000-0005-0000-0000-00004F030000}"/>
    <cellStyle name="20% - Accent2 5 3" xfId="29325" xr:uid="{00000000-0005-0000-0000-000050030000}"/>
    <cellStyle name="20% - Accent2 5 3 2" xfId="29326" xr:uid="{00000000-0005-0000-0000-000051030000}"/>
    <cellStyle name="20% - Accent2 6" xfId="1077" xr:uid="{00000000-0005-0000-0000-000052030000}"/>
    <cellStyle name="20% - Accent2 6 2" xfId="29327" xr:uid="{00000000-0005-0000-0000-000053030000}"/>
    <cellStyle name="20% - Accent2 6 3" xfId="29328" xr:uid="{00000000-0005-0000-0000-000054030000}"/>
    <cellStyle name="20% - Accent2 7" xfId="1078" xr:uid="{00000000-0005-0000-0000-000055030000}"/>
    <cellStyle name="20% - Accent2 7 2" xfId="29329" xr:uid="{00000000-0005-0000-0000-000056030000}"/>
    <cellStyle name="20% - Accent2 7 3" xfId="29330" xr:uid="{00000000-0005-0000-0000-000057030000}"/>
    <cellStyle name="20% - Accent2 8" xfId="1079" xr:uid="{00000000-0005-0000-0000-000058030000}"/>
    <cellStyle name="20% - Accent2 8 2" xfId="29331" xr:uid="{00000000-0005-0000-0000-000059030000}"/>
    <cellStyle name="20% - Accent2 8 3" xfId="29332" xr:uid="{00000000-0005-0000-0000-00005A030000}"/>
    <cellStyle name="20% - Accent2 9" xfId="1080" xr:uid="{00000000-0005-0000-0000-00005B030000}"/>
    <cellStyle name="20% - Accent2 9 2" xfId="29333" xr:uid="{00000000-0005-0000-0000-00005C030000}"/>
    <cellStyle name="20% - Accent2 9 3" xfId="29334" xr:uid="{00000000-0005-0000-0000-00005D030000}"/>
    <cellStyle name="20% - Accent3" xfId="34" builtinId="38" customBuiltin="1"/>
    <cellStyle name="20% - Accent3 10" xfId="1081" xr:uid="{00000000-0005-0000-0000-00005F030000}"/>
    <cellStyle name="20% - Accent3 10 2" xfId="29335" xr:uid="{00000000-0005-0000-0000-000060030000}"/>
    <cellStyle name="20% - Accent3 10 3" xfId="29336" xr:uid="{00000000-0005-0000-0000-000061030000}"/>
    <cellStyle name="20% - Accent3 11" xfId="1082" xr:uid="{00000000-0005-0000-0000-000062030000}"/>
    <cellStyle name="20% - Accent3 11 2" xfId="29337" xr:uid="{00000000-0005-0000-0000-000063030000}"/>
    <cellStyle name="20% - Accent3 12" xfId="1083" xr:uid="{00000000-0005-0000-0000-000064030000}"/>
    <cellStyle name="20% - Accent3 12 2" xfId="29338" xr:uid="{00000000-0005-0000-0000-000065030000}"/>
    <cellStyle name="20% - Accent3 13" xfId="1084" xr:uid="{00000000-0005-0000-0000-000066030000}"/>
    <cellStyle name="20% - Accent3 13 2" xfId="29339" xr:uid="{00000000-0005-0000-0000-000067030000}"/>
    <cellStyle name="20% - Accent3 14" xfId="1085" xr:uid="{00000000-0005-0000-0000-000068030000}"/>
    <cellStyle name="20% - Accent3 14 2" xfId="29340" xr:uid="{00000000-0005-0000-0000-000069030000}"/>
    <cellStyle name="20% - Accent3 15" xfId="1086" xr:uid="{00000000-0005-0000-0000-00006A030000}"/>
    <cellStyle name="20% - Accent3 15 2" xfId="29341" xr:uid="{00000000-0005-0000-0000-00006B030000}"/>
    <cellStyle name="20% - Accent3 16" xfId="1087" xr:uid="{00000000-0005-0000-0000-00006C030000}"/>
    <cellStyle name="20% - Accent3 16 2" xfId="29342" xr:uid="{00000000-0005-0000-0000-00006D030000}"/>
    <cellStyle name="20% - Accent3 17" xfId="1088" xr:uid="{00000000-0005-0000-0000-00006E030000}"/>
    <cellStyle name="20% - Accent3 17 2" xfId="29343" xr:uid="{00000000-0005-0000-0000-00006F030000}"/>
    <cellStyle name="20% - Accent3 18" xfId="1089" xr:uid="{00000000-0005-0000-0000-000070030000}"/>
    <cellStyle name="20% - Accent3 19" xfId="1090" xr:uid="{00000000-0005-0000-0000-000071030000}"/>
    <cellStyle name="20% - Accent3 2" xfId="59" xr:uid="{00000000-0005-0000-0000-000072030000}"/>
    <cellStyle name="20% - Accent3 2 10" xfId="1092" xr:uid="{00000000-0005-0000-0000-000073030000}"/>
    <cellStyle name="20% - Accent3 2 11" xfId="1093" xr:uid="{00000000-0005-0000-0000-000074030000}"/>
    <cellStyle name="20% - Accent3 2 12" xfId="1094" xr:uid="{00000000-0005-0000-0000-000075030000}"/>
    <cellStyle name="20% - Accent3 2 13" xfId="1095" xr:uid="{00000000-0005-0000-0000-000076030000}"/>
    <cellStyle name="20% - Accent3 2 14" xfId="1096" xr:uid="{00000000-0005-0000-0000-000077030000}"/>
    <cellStyle name="20% - Accent3 2 15" xfId="1097" xr:uid="{00000000-0005-0000-0000-000078030000}"/>
    <cellStyle name="20% - Accent3 2 16" xfId="1098" xr:uid="{00000000-0005-0000-0000-000079030000}"/>
    <cellStyle name="20% - Accent3 2 16 2" xfId="1099" xr:uid="{00000000-0005-0000-0000-00007A030000}"/>
    <cellStyle name="20% - Accent3 2 17" xfId="1100" xr:uid="{00000000-0005-0000-0000-00007B030000}"/>
    <cellStyle name="20% - Accent3 2 18" xfId="1101" xr:uid="{00000000-0005-0000-0000-00007C030000}"/>
    <cellStyle name="20% - Accent3 2 19" xfId="1102" xr:uid="{00000000-0005-0000-0000-00007D030000}"/>
    <cellStyle name="20% - Accent3 2 2" xfId="428" xr:uid="{00000000-0005-0000-0000-00007E030000}"/>
    <cellStyle name="20% - Accent3 2 2 10" xfId="1104" xr:uid="{00000000-0005-0000-0000-00007F030000}"/>
    <cellStyle name="20% - Accent3 2 2 11" xfId="1105" xr:uid="{00000000-0005-0000-0000-000080030000}"/>
    <cellStyle name="20% - Accent3 2 2 12" xfId="1106" xr:uid="{00000000-0005-0000-0000-000081030000}"/>
    <cellStyle name="20% - Accent3 2 2 13" xfId="1107" xr:uid="{00000000-0005-0000-0000-000082030000}"/>
    <cellStyle name="20% - Accent3 2 2 14" xfId="1108" xr:uid="{00000000-0005-0000-0000-000083030000}"/>
    <cellStyle name="20% - Accent3 2 2 14 2" xfId="1109" xr:uid="{00000000-0005-0000-0000-000084030000}"/>
    <cellStyle name="20% - Accent3 2 2 15" xfId="1110" xr:uid="{00000000-0005-0000-0000-000085030000}"/>
    <cellStyle name="20% - Accent3 2 2 16" xfId="1111" xr:uid="{00000000-0005-0000-0000-000086030000}"/>
    <cellStyle name="20% - Accent3 2 2 17" xfId="1112" xr:uid="{00000000-0005-0000-0000-000087030000}"/>
    <cellStyle name="20% - Accent3 2 2 18" xfId="1113" xr:uid="{00000000-0005-0000-0000-000088030000}"/>
    <cellStyle name="20% - Accent3 2 2 19" xfId="1114" xr:uid="{00000000-0005-0000-0000-000089030000}"/>
    <cellStyle name="20% - Accent3 2 2 2" xfId="1115" xr:uid="{00000000-0005-0000-0000-00008A030000}"/>
    <cellStyle name="20% - Accent3 2 2 2 10" xfId="1116" xr:uid="{00000000-0005-0000-0000-00008B030000}"/>
    <cellStyle name="20% - Accent3 2 2 2 11" xfId="1117" xr:uid="{00000000-0005-0000-0000-00008C030000}"/>
    <cellStyle name="20% - Accent3 2 2 2 12" xfId="1118" xr:uid="{00000000-0005-0000-0000-00008D030000}"/>
    <cellStyle name="20% - Accent3 2 2 2 13" xfId="1119" xr:uid="{00000000-0005-0000-0000-00008E030000}"/>
    <cellStyle name="20% - Accent3 2 2 2 14" xfId="1120" xr:uid="{00000000-0005-0000-0000-00008F030000}"/>
    <cellStyle name="20% - Accent3 2 2 2 15" xfId="1121" xr:uid="{00000000-0005-0000-0000-000090030000}"/>
    <cellStyle name="20% - Accent3 2 2 2 16" xfId="1122" xr:uid="{00000000-0005-0000-0000-000091030000}"/>
    <cellStyle name="20% - Accent3 2 2 2 17" xfId="1123" xr:uid="{00000000-0005-0000-0000-000092030000}"/>
    <cellStyle name="20% - Accent3 2 2 2 18" xfId="1124" xr:uid="{00000000-0005-0000-0000-000093030000}"/>
    <cellStyle name="20% - Accent3 2 2 2 19" xfId="1125" xr:uid="{00000000-0005-0000-0000-000094030000}"/>
    <cellStyle name="20% - Accent3 2 2 2 2" xfId="1126" xr:uid="{00000000-0005-0000-0000-000095030000}"/>
    <cellStyle name="20% - Accent3 2 2 2 2 10" xfId="1127" xr:uid="{00000000-0005-0000-0000-000096030000}"/>
    <cellStyle name="20% - Accent3 2 2 2 2 11" xfId="1128" xr:uid="{00000000-0005-0000-0000-000097030000}"/>
    <cellStyle name="20% - Accent3 2 2 2 2 12" xfId="1129" xr:uid="{00000000-0005-0000-0000-000098030000}"/>
    <cellStyle name="20% - Accent3 2 2 2 2 13" xfId="1130" xr:uid="{00000000-0005-0000-0000-000099030000}"/>
    <cellStyle name="20% - Accent3 2 2 2 2 14" xfId="1131" xr:uid="{00000000-0005-0000-0000-00009A030000}"/>
    <cellStyle name="20% - Accent3 2 2 2 2 15" xfId="1132" xr:uid="{00000000-0005-0000-0000-00009B030000}"/>
    <cellStyle name="20% - Accent3 2 2 2 2 16" xfId="1133" xr:uid="{00000000-0005-0000-0000-00009C030000}"/>
    <cellStyle name="20% - Accent3 2 2 2 2 17" xfId="1134" xr:uid="{00000000-0005-0000-0000-00009D030000}"/>
    <cellStyle name="20% - Accent3 2 2 2 2 18" xfId="1135" xr:uid="{00000000-0005-0000-0000-00009E030000}"/>
    <cellStyle name="20% - Accent3 2 2 2 2 19" xfId="1136" xr:uid="{00000000-0005-0000-0000-00009F030000}"/>
    <cellStyle name="20% - Accent3 2 2 2 2 2" xfId="1137" xr:uid="{00000000-0005-0000-0000-0000A0030000}"/>
    <cellStyle name="20% - Accent3 2 2 2 2 2 10" xfId="1138" xr:uid="{00000000-0005-0000-0000-0000A1030000}"/>
    <cellStyle name="20% - Accent3 2 2 2 2 2 11" xfId="1139" xr:uid="{00000000-0005-0000-0000-0000A2030000}"/>
    <cellStyle name="20% - Accent3 2 2 2 2 2 11 2" xfId="1140" xr:uid="{00000000-0005-0000-0000-0000A3030000}"/>
    <cellStyle name="20% - Accent3 2 2 2 2 2 12" xfId="29344" xr:uid="{00000000-0005-0000-0000-0000A4030000}"/>
    <cellStyle name="20% - Accent3 2 2 2 2 2 13" xfId="29345" xr:uid="{00000000-0005-0000-0000-0000A5030000}"/>
    <cellStyle name="20% - Accent3 2 2 2 2 2 14" xfId="33695" xr:uid="{00000000-0005-0000-0000-0000A6030000}"/>
    <cellStyle name="20% - Accent3 2 2 2 2 2 2" xfId="1141" xr:uid="{00000000-0005-0000-0000-0000A7030000}"/>
    <cellStyle name="20% - Accent3 2 2 2 2 2 2 10" xfId="1142" xr:uid="{00000000-0005-0000-0000-0000A8030000}"/>
    <cellStyle name="20% - Accent3 2 2 2 2 2 2 11" xfId="1143" xr:uid="{00000000-0005-0000-0000-0000A9030000}"/>
    <cellStyle name="20% - Accent3 2 2 2 2 2 2 11 2" xfId="1144" xr:uid="{00000000-0005-0000-0000-0000AA030000}"/>
    <cellStyle name="20% - Accent3 2 2 2 2 2 2 2" xfId="1145" xr:uid="{00000000-0005-0000-0000-0000AB030000}"/>
    <cellStyle name="20% - Accent3 2 2 2 2 2 2 2 2" xfId="1146" xr:uid="{00000000-0005-0000-0000-0000AC030000}"/>
    <cellStyle name="20% - Accent3 2 2 2 2 2 2 2 2 2" xfId="1147" xr:uid="{00000000-0005-0000-0000-0000AD030000}"/>
    <cellStyle name="20% - Accent3 2 2 2 2 2 2 2 2 2 2" xfId="1148" xr:uid="{00000000-0005-0000-0000-0000AE030000}"/>
    <cellStyle name="20% - Accent3 2 2 2 2 2 2 2 2 3" xfId="1149" xr:uid="{00000000-0005-0000-0000-0000AF030000}"/>
    <cellStyle name="20% - Accent3 2 2 2 2 2 2 2 3" xfId="1150" xr:uid="{00000000-0005-0000-0000-0000B0030000}"/>
    <cellStyle name="20% - Accent3 2 2 2 2 2 2 2 3 2" xfId="1151" xr:uid="{00000000-0005-0000-0000-0000B1030000}"/>
    <cellStyle name="20% - Accent3 2 2 2 2 2 2 3" xfId="1152" xr:uid="{00000000-0005-0000-0000-0000B2030000}"/>
    <cellStyle name="20% - Accent3 2 2 2 2 2 2 4" xfId="1153" xr:uid="{00000000-0005-0000-0000-0000B3030000}"/>
    <cellStyle name="20% - Accent3 2 2 2 2 2 2 5" xfId="1154" xr:uid="{00000000-0005-0000-0000-0000B4030000}"/>
    <cellStyle name="20% - Accent3 2 2 2 2 2 2 6" xfId="1155" xr:uid="{00000000-0005-0000-0000-0000B5030000}"/>
    <cellStyle name="20% - Accent3 2 2 2 2 2 2 7" xfId="1156" xr:uid="{00000000-0005-0000-0000-0000B6030000}"/>
    <cellStyle name="20% - Accent3 2 2 2 2 2 2 8" xfId="1157" xr:uid="{00000000-0005-0000-0000-0000B7030000}"/>
    <cellStyle name="20% - Accent3 2 2 2 2 2 2 9" xfId="1158" xr:uid="{00000000-0005-0000-0000-0000B8030000}"/>
    <cellStyle name="20% - Accent3 2 2 2 2 2 3" xfId="1159" xr:uid="{00000000-0005-0000-0000-0000B9030000}"/>
    <cellStyle name="20% - Accent3 2 2 2 2 2 3 2" xfId="1160" xr:uid="{00000000-0005-0000-0000-0000BA030000}"/>
    <cellStyle name="20% - Accent3 2 2 2 2 2 4" xfId="1161" xr:uid="{00000000-0005-0000-0000-0000BB030000}"/>
    <cellStyle name="20% - Accent3 2 2 2 2 2 5" xfId="1162" xr:uid="{00000000-0005-0000-0000-0000BC030000}"/>
    <cellStyle name="20% - Accent3 2 2 2 2 2 6" xfId="1163" xr:uid="{00000000-0005-0000-0000-0000BD030000}"/>
    <cellStyle name="20% - Accent3 2 2 2 2 2 7" xfId="1164" xr:uid="{00000000-0005-0000-0000-0000BE030000}"/>
    <cellStyle name="20% - Accent3 2 2 2 2 2 8" xfId="1165" xr:uid="{00000000-0005-0000-0000-0000BF030000}"/>
    <cellStyle name="20% - Accent3 2 2 2 2 2 9" xfId="1166" xr:uid="{00000000-0005-0000-0000-0000C0030000}"/>
    <cellStyle name="20% - Accent3 2 2 2 2 20" xfId="1167" xr:uid="{00000000-0005-0000-0000-0000C1030000}"/>
    <cellStyle name="20% - Accent3 2 2 2 2 20 2" xfId="1168" xr:uid="{00000000-0005-0000-0000-0000C2030000}"/>
    <cellStyle name="20% - Accent3 2 2 2 2 21" xfId="1169" xr:uid="{00000000-0005-0000-0000-0000C3030000}"/>
    <cellStyle name="20% - Accent3 2 2 2 2 22" xfId="1170" xr:uid="{00000000-0005-0000-0000-0000C4030000}"/>
    <cellStyle name="20% - Accent3 2 2 2 2 23" xfId="1171" xr:uid="{00000000-0005-0000-0000-0000C5030000}"/>
    <cellStyle name="20% - Accent3 2 2 2 2 24" xfId="1172" xr:uid="{00000000-0005-0000-0000-0000C6030000}"/>
    <cellStyle name="20% - Accent3 2 2 2 2 25" xfId="1173" xr:uid="{00000000-0005-0000-0000-0000C7030000}"/>
    <cellStyle name="20% - Accent3 2 2 2 2 26" xfId="1174" xr:uid="{00000000-0005-0000-0000-0000C8030000}"/>
    <cellStyle name="20% - Accent3 2 2 2 2 27" xfId="1175" xr:uid="{00000000-0005-0000-0000-0000C9030000}"/>
    <cellStyle name="20% - Accent3 2 2 2 2 28" xfId="1176" xr:uid="{00000000-0005-0000-0000-0000CA030000}"/>
    <cellStyle name="20% - Accent3 2 2 2 2 28 2" xfId="1177" xr:uid="{00000000-0005-0000-0000-0000CB030000}"/>
    <cellStyle name="20% - Accent3 2 2 2 2 29" xfId="29346" xr:uid="{00000000-0005-0000-0000-0000CC030000}"/>
    <cellStyle name="20% - Accent3 2 2 2 2 3" xfId="1178" xr:uid="{00000000-0005-0000-0000-0000CD030000}"/>
    <cellStyle name="20% - Accent3 2 2 2 2 3 2" xfId="33924" xr:uid="{00000000-0005-0000-0000-0000CE030000}"/>
    <cellStyle name="20% - Accent3 2 2 2 2 30" xfId="29347" xr:uid="{00000000-0005-0000-0000-0000CF030000}"/>
    <cellStyle name="20% - Accent3 2 2 2 2 31" xfId="29348" xr:uid="{00000000-0005-0000-0000-0000D0030000}"/>
    <cellStyle name="20% - Accent3 2 2 2 2 32" xfId="33311" xr:uid="{00000000-0005-0000-0000-0000D1030000}"/>
    <cellStyle name="20% - Accent3 2 2 2 2 4" xfId="1179" xr:uid="{00000000-0005-0000-0000-0000D2030000}"/>
    <cellStyle name="20% - Accent3 2 2 2 2 4 2" xfId="34138" xr:uid="{00000000-0005-0000-0000-0000D3030000}"/>
    <cellStyle name="20% - Accent3 2 2 2 2 5" xfId="1180" xr:uid="{00000000-0005-0000-0000-0000D4030000}"/>
    <cellStyle name="20% - Accent3 2 2 2 2 6" xfId="1181" xr:uid="{00000000-0005-0000-0000-0000D5030000}"/>
    <cellStyle name="20% - Accent3 2 2 2 2 7" xfId="1182" xr:uid="{00000000-0005-0000-0000-0000D6030000}"/>
    <cellStyle name="20% - Accent3 2 2 2 2 8" xfId="1183" xr:uid="{00000000-0005-0000-0000-0000D7030000}"/>
    <cellStyle name="20% - Accent3 2 2 2 2 9" xfId="1184" xr:uid="{00000000-0005-0000-0000-0000D8030000}"/>
    <cellStyle name="20% - Accent3 2 2 2 2_loan Analysis " xfId="12978" xr:uid="{00000000-0005-0000-0000-0000D9030000}"/>
    <cellStyle name="20% - Accent3 2 2 2 20" xfId="1185" xr:uid="{00000000-0005-0000-0000-0000DA030000}"/>
    <cellStyle name="20% - Accent3 2 2 2 20 2" xfId="1186" xr:uid="{00000000-0005-0000-0000-0000DB030000}"/>
    <cellStyle name="20% - Accent3 2 2 2 21" xfId="1187" xr:uid="{00000000-0005-0000-0000-0000DC030000}"/>
    <cellStyle name="20% - Accent3 2 2 2 22" xfId="1188" xr:uid="{00000000-0005-0000-0000-0000DD030000}"/>
    <cellStyle name="20% - Accent3 2 2 2 23" xfId="1189" xr:uid="{00000000-0005-0000-0000-0000DE030000}"/>
    <cellStyle name="20% - Accent3 2 2 2 24" xfId="1190" xr:uid="{00000000-0005-0000-0000-0000DF030000}"/>
    <cellStyle name="20% - Accent3 2 2 2 25" xfId="1191" xr:uid="{00000000-0005-0000-0000-0000E0030000}"/>
    <cellStyle name="20% - Accent3 2 2 2 26" xfId="1192" xr:uid="{00000000-0005-0000-0000-0000E1030000}"/>
    <cellStyle name="20% - Accent3 2 2 2 27" xfId="1193" xr:uid="{00000000-0005-0000-0000-0000E2030000}"/>
    <cellStyle name="20% - Accent3 2 2 2 28" xfId="1194" xr:uid="{00000000-0005-0000-0000-0000E3030000}"/>
    <cellStyle name="20% - Accent3 2 2 2 28 2" xfId="1195" xr:uid="{00000000-0005-0000-0000-0000E4030000}"/>
    <cellStyle name="20% - Accent3 2 2 2 29" xfId="29349" xr:uid="{00000000-0005-0000-0000-0000E5030000}"/>
    <cellStyle name="20% - Accent3 2 2 2 3" xfId="1196" xr:uid="{00000000-0005-0000-0000-0000E6030000}"/>
    <cellStyle name="20% - Accent3 2 2 2 3 2" xfId="1197" xr:uid="{00000000-0005-0000-0000-0000E7030000}"/>
    <cellStyle name="20% - Accent3 2 2 2 3 3" xfId="29350" xr:uid="{00000000-0005-0000-0000-0000E8030000}"/>
    <cellStyle name="20% - Accent3 2 2 2 3 4" xfId="29351" xr:uid="{00000000-0005-0000-0000-0000E9030000}"/>
    <cellStyle name="20% - Accent3 2 2 2 3 5" xfId="33587" xr:uid="{00000000-0005-0000-0000-0000EA030000}"/>
    <cellStyle name="20% - Accent3 2 2 2 30" xfId="29352" xr:uid="{00000000-0005-0000-0000-0000EB030000}"/>
    <cellStyle name="20% - Accent3 2 2 2 31" xfId="29353" xr:uid="{00000000-0005-0000-0000-0000EC030000}"/>
    <cellStyle name="20% - Accent3 2 2 2 32" xfId="29354" xr:uid="{00000000-0005-0000-0000-0000ED030000}"/>
    <cellStyle name="20% - Accent3 2 2 2 33" xfId="33207" xr:uid="{00000000-0005-0000-0000-0000EE030000}"/>
    <cellStyle name="20% - Accent3 2 2 2 4" xfId="1198" xr:uid="{00000000-0005-0000-0000-0000EF030000}"/>
    <cellStyle name="20% - Accent3 2 2 2 4 2" xfId="33822" xr:uid="{00000000-0005-0000-0000-0000F0030000}"/>
    <cellStyle name="20% - Accent3 2 2 2 5" xfId="1199" xr:uid="{00000000-0005-0000-0000-0000F1030000}"/>
    <cellStyle name="20% - Accent3 2 2 2 5 2" xfId="34041" xr:uid="{00000000-0005-0000-0000-0000F2030000}"/>
    <cellStyle name="20% - Accent3 2 2 2 6" xfId="1200" xr:uid="{00000000-0005-0000-0000-0000F3030000}"/>
    <cellStyle name="20% - Accent3 2 2 2 7" xfId="1201" xr:uid="{00000000-0005-0000-0000-0000F4030000}"/>
    <cellStyle name="20% - Accent3 2 2 2 8" xfId="1202" xr:uid="{00000000-0005-0000-0000-0000F5030000}"/>
    <cellStyle name="20% - Accent3 2 2 2 9" xfId="1203" xr:uid="{00000000-0005-0000-0000-0000F6030000}"/>
    <cellStyle name="20% - Accent3 2 2 2_loan Analysis " xfId="12979" xr:uid="{00000000-0005-0000-0000-0000F7030000}"/>
    <cellStyle name="20% - Accent3 2 2 20" xfId="1204" xr:uid="{00000000-0005-0000-0000-0000F8030000}"/>
    <cellStyle name="20% - Accent3 2 2 21" xfId="1205" xr:uid="{00000000-0005-0000-0000-0000F9030000}"/>
    <cellStyle name="20% - Accent3 2 2 22" xfId="1206" xr:uid="{00000000-0005-0000-0000-0000FA030000}"/>
    <cellStyle name="20% - Accent3 2 2 23" xfId="1207" xr:uid="{00000000-0005-0000-0000-0000FB030000}"/>
    <cellStyle name="20% - Accent3 2 2 24" xfId="1208" xr:uid="{00000000-0005-0000-0000-0000FC030000}"/>
    <cellStyle name="20% - Accent3 2 2 25" xfId="1209" xr:uid="{00000000-0005-0000-0000-0000FD030000}"/>
    <cellStyle name="20% - Accent3 2 2 26" xfId="1210" xr:uid="{00000000-0005-0000-0000-0000FE030000}"/>
    <cellStyle name="20% - Accent3 2 2 27" xfId="1211" xr:uid="{00000000-0005-0000-0000-0000FF030000}"/>
    <cellStyle name="20% - Accent3 2 2 28" xfId="1212" xr:uid="{00000000-0005-0000-0000-000000040000}"/>
    <cellStyle name="20% - Accent3 2 2 29" xfId="1213" xr:uid="{00000000-0005-0000-0000-000001040000}"/>
    <cellStyle name="20% - Accent3 2 2 3" xfId="1214" xr:uid="{00000000-0005-0000-0000-000002040000}"/>
    <cellStyle name="20% - Accent3 2 2 3 2" xfId="12980" xr:uid="{00000000-0005-0000-0000-000003040000}"/>
    <cellStyle name="20% - Accent3 2 2 3 2 2" xfId="17026" xr:uid="{00000000-0005-0000-0000-000004040000}"/>
    <cellStyle name="20% - Accent3 2 2 3 2 3" xfId="29355" xr:uid="{00000000-0005-0000-0000-000005040000}"/>
    <cellStyle name="20% - Accent3 2 2 3 2 4" xfId="29356" xr:uid="{00000000-0005-0000-0000-000006040000}"/>
    <cellStyle name="20% - Accent3 2 2 3 2 5" xfId="33654" xr:uid="{00000000-0005-0000-0000-000007040000}"/>
    <cellStyle name="20% - Accent3 2 2 3 3" xfId="29357" xr:uid="{00000000-0005-0000-0000-000008040000}"/>
    <cellStyle name="20% - Accent3 2 2 3 3 2" xfId="33882" xr:uid="{00000000-0005-0000-0000-000009040000}"/>
    <cellStyle name="20% - Accent3 2 2 3 4" xfId="29358" xr:uid="{00000000-0005-0000-0000-00000A040000}"/>
    <cellStyle name="20% - Accent3 2 2 3 4 2" xfId="34097" xr:uid="{00000000-0005-0000-0000-00000B040000}"/>
    <cellStyle name="20% - Accent3 2 2 3 5" xfId="33270" xr:uid="{00000000-0005-0000-0000-00000C040000}"/>
    <cellStyle name="20% - Accent3 2 2 3_loan Analysis " xfId="12981" xr:uid="{00000000-0005-0000-0000-00000D040000}"/>
    <cellStyle name="20% - Accent3 2 2 30" xfId="1215" xr:uid="{00000000-0005-0000-0000-00000E040000}"/>
    <cellStyle name="20% - Accent3 2 2 31" xfId="1216" xr:uid="{00000000-0005-0000-0000-00000F040000}"/>
    <cellStyle name="20% - Accent3 2 2 31 2" xfId="1217" xr:uid="{00000000-0005-0000-0000-000010040000}"/>
    <cellStyle name="20% - Accent3 2 2 32" xfId="1218" xr:uid="{00000000-0005-0000-0000-000011040000}"/>
    <cellStyle name="20% - Accent3 2 2 33" xfId="1219" xr:uid="{00000000-0005-0000-0000-000012040000}"/>
    <cellStyle name="20% - Accent3 2 2 34" xfId="1220" xr:uid="{00000000-0005-0000-0000-000013040000}"/>
    <cellStyle name="20% - Accent3 2 2 35" xfId="1221" xr:uid="{00000000-0005-0000-0000-000014040000}"/>
    <cellStyle name="20% - Accent3 2 2 36" xfId="1222" xr:uid="{00000000-0005-0000-0000-000015040000}"/>
    <cellStyle name="20% - Accent3 2 2 37" xfId="1223" xr:uid="{00000000-0005-0000-0000-000016040000}"/>
    <cellStyle name="20% - Accent3 2 2 38" xfId="1224" xr:uid="{00000000-0005-0000-0000-000017040000}"/>
    <cellStyle name="20% - Accent3 2 2 39" xfId="1225" xr:uid="{00000000-0005-0000-0000-000018040000}"/>
    <cellStyle name="20% - Accent3 2 2 39 2" xfId="1226" xr:uid="{00000000-0005-0000-0000-000019040000}"/>
    <cellStyle name="20% - Accent3 2 2 4" xfId="1227" xr:uid="{00000000-0005-0000-0000-00001A040000}"/>
    <cellStyle name="20% - Accent3 2 2 4 2" xfId="29359" xr:uid="{00000000-0005-0000-0000-00001B040000}"/>
    <cellStyle name="20% - Accent3 2 2 4 3" xfId="29360" xr:uid="{00000000-0005-0000-0000-00001C040000}"/>
    <cellStyle name="20% - Accent3 2 2 4 4" xfId="29361" xr:uid="{00000000-0005-0000-0000-00001D040000}"/>
    <cellStyle name="20% - Accent3 2 2 4 5" xfId="33437" xr:uid="{00000000-0005-0000-0000-00001E040000}"/>
    <cellStyle name="20% - Accent3 2 2 40" xfId="29362" xr:uid="{00000000-0005-0000-0000-00001F040000}"/>
    <cellStyle name="20% - Accent3 2 2 41" xfId="29363" xr:uid="{00000000-0005-0000-0000-000020040000}"/>
    <cellStyle name="20% - Accent3 2 2 42" xfId="29364" xr:uid="{00000000-0005-0000-0000-000021040000}"/>
    <cellStyle name="20% - Accent3 2 2 43" xfId="29365" xr:uid="{00000000-0005-0000-0000-000022040000}"/>
    <cellStyle name="20% - Accent3 2 2 44" xfId="29366" xr:uid="{00000000-0005-0000-0000-000023040000}"/>
    <cellStyle name="20% - Accent3 2 2 45" xfId="29367" xr:uid="{00000000-0005-0000-0000-000024040000}"/>
    <cellStyle name="20% - Accent3 2 2 46" xfId="29368" xr:uid="{00000000-0005-0000-0000-000025040000}"/>
    <cellStyle name="20% - Accent3 2 2 47" xfId="29369" xr:uid="{00000000-0005-0000-0000-000026040000}"/>
    <cellStyle name="20% - Accent3 2 2 48" xfId="33117" xr:uid="{00000000-0005-0000-0000-000027040000}"/>
    <cellStyle name="20% - Accent3 2 2 49" xfId="1103" xr:uid="{00000000-0005-0000-0000-000028040000}"/>
    <cellStyle name="20% - Accent3 2 2 5" xfId="1228" xr:uid="{00000000-0005-0000-0000-000029040000}"/>
    <cellStyle name="20% - Accent3 2 2 5 2" xfId="33574" xr:uid="{00000000-0005-0000-0000-00002A040000}"/>
    <cellStyle name="20% - Accent3 2 2 6" xfId="1229" xr:uid="{00000000-0005-0000-0000-00002B040000}"/>
    <cellStyle name="20% - Accent3 2 2 6 2" xfId="33809" xr:uid="{00000000-0005-0000-0000-00002C040000}"/>
    <cellStyle name="20% - Accent3 2 2 7" xfId="1230" xr:uid="{00000000-0005-0000-0000-00002D040000}"/>
    <cellStyle name="20% - Accent3 2 2 8" xfId="1231" xr:uid="{00000000-0005-0000-0000-00002E040000}"/>
    <cellStyle name="20% - Accent3 2 2 9" xfId="1232" xr:uid="{00000000-0005-0000-0000-00002F040000}"/>
    <cellStyle name="20% - Accent3 2 2_loan Analysis " xfId="12982" xr:uid="{00000000-0005-0000-0000-000030040000}"/>
    <cellStyle name="20% - Accent3 2 20" xfId="1233" xr:uid="{00000000-0005-0000-0000-000031040000}"/>
    <cellStyle name="20% - Accent3 2 21" xfId="1234" xr:uid="{00000000-0005-0000-0000-000032040000}"/>
    <cellStyle name="20% - Accent3 2 22" xfId="1235" xr:uid="{00000000-0005-0000-0000-000033040000}"/>
    <cellStyle name="20% - Accent3 2 23" xfId="1236" xr:uid="{00000000-0005-0000-0000-000034040000}"/>
    <cellStyle name="20% - Accent3 2 24" xfId="1237" xr:uid="{00000000-0005-0000-0000-000035040000}"/>
    <cellStyle name="20% - Accent3 2 25" xfId="1238" xr:uid="{00000000-0005-0000-0000-000036040000}"/>
    <cellStyle name="20% - Accent3 2 26" xfId="1239" xr:uid="{00000000-0005-0000-0000-000037040000}"/>
    <cellStyle name="20% - Accent3 2 27" xfId="1240" xr:uid="{00000000-0005-0000-0000-000038040000}"/>
    <cellStyle name="20% - Accent3 2 28" xfId="1241" xr:uid="{00000000-0005-0000-0000-000039040000}"/>
    <cellStyle name="20% - Accent3 2 29" xfId="1242" xr:uid="{00000000-0005-0000-0000-00003A040000}"/>
    <cellStyle name="20% - Accent3 2 3" xfId="1243" xr:uid="{00000000-0005-0000-0000-00003B040000}"/>
    <cellStyle name="20% - Accent3 2 3 10" xfId="33118" xr:uid="{00000000-0005-0000-0000-00003C040000}"/>
    <cellStyle name="20% - Accent3 2 3 2" xfId="12983" xr:uid="{00000000-0005-0000-0000-00003D040000}"/>
    <cellStyle name="20% - Accent3 2 3 2 2" xfId="12984" xr:uid="{00000000-0005-0000-0000-00003E040000}"/>
    <cellStyle name="20% - Accent3 2 3 2 2 2" xfId="12985" xr:uid="{00000000-0005-0000-0000-00003F040000}"/>
    <cellStyle name="20% - Accent3 2 3 2 2 2 2" xfId="17029" xr:uid="{00000000-0005-0000-0000-000040040000}"/>
    <cellStyle name="20% - Accent3 2 3 2 2 2 3" xfId="29370" xr:uid="{00000000-0005-0000-0000-000041040000}"/>
    <cellStyle name="20% - Accent3 2 3 2 2 2 4" xfId="29371" xr:uid="{00000000-0005-0000-0000-000042040000}"/>
    <cellStyle name="20% - Accent3 2 3 2 2 2 5" xfId="33696" xr:uid="{00000000-0005-0000-0000-000043040000}"/>
    <cellStyle name="20% - Accent3 2 3 2 2 3" xfId="17028" xr:uid="{00000000-0005-0000-0000-000044040000}"/>
    <cellStyle name="20% - Accent3 2 3 2 2 3 2" xfId="33925" xr:uid="{00000000-0005-0000-0000-000045040000}"/>
    <cellStyle name="20% - Accent3 2 3 2 2 4" xfId="29372" xr:uid="{00000000-0005-0000-0000-000046040000}"/>
    <cellStyle name="20% - Accent3 2 3 2 2 4 2" xfId="34139" xr:uid="{00000000-0005-0000-0000-000047040000}"/>
    <cellStyle name="20% - Accent3 2 3 2 2 5" xfId="29373" xr:uid="{00000000-0005-0000-0000-000048040000}"/>
    <cellStyle name="20% - Accent3 2 3 2 2 6" xfId="33312" xr:uid="{00000000-0005-0000-0000-000049040000}"/>
    <cellStyle name="20% - Accent3 2 3 2 2_loan Analysis " xfId="12986" xr:uid="{00000000-0005-0000-0000-00004A040000}"/>
    <cellStyle name="20% - Accent3 2 3 2 3" xfId="12987" xr:uid="{00000000-0005-0000-0000-00004B040000}"/>
    <cellStyle name="20% - Accent3 2 3 2 3 2" xfId="17030" xr:uid="{00000000-0005-0000-0000-00004C040000}"/>
    <cellStyle name="20% - Accent3 2 3 2 3 3" xfId="29374" xr:uid="{00000000-0005-0000-0000-00004D040000}"/>
    <cellStyle name="20% - Accent3 2 3 2 3 4" xfId="29375" xr:uid="{00000000-0005-0000-0000-00004E040000}"/>
    <cellStyle name="20% - Accent3 2 3 2 3 5" xfId="33588" xr:uid="{00000000-0005-0000-0000-00004F040000}"/>
    <cellStyle name="20% - Accent3 2 3 2 4" xfId="17027" xr:uid="{00000000-0005-0000-0000-000050040000}"/>
    <cellStyle name="20% - Accent3 2 3 2 4 2" xfId="33823" xr:uid="{00000000-0005-0000-0000-000051040000}"/>
    <cellStyle name="20% - Accent3 2 3 2 5" xfId="29376" xr:uid="{00000000-0005-0000-0000-000052040000}"/>
    <cellStyle name="20% - Accent3 2 3 2 5 2" xfId="34042" xr:uid="{00000000-0005-0000-0000-000053040000}"/>
    <cellStyle name="20% - Accent3 2 3 2 6" xfId="29377" xr:uid="{00000000-0005-0000-0000-000054040000}"/>
    <cellStyle name="20% - Accent3 2 3 2 7" xfId="33208" xr:uid="{00000000-0005-0000-0000-000055040000}"/>
    <cellStyle name="20% - Accent3 2 3 2_loan Analysis " xfId="12988" xr:uid="{00000000-0005-0000-0000-000056040000}"/>
    <cellStyle name="20% - Accent3 2 3 3" xfId="12989" xr:uid="{00000000-0005-0000-0000-000057040000}"/>
    <cellStyle name="20% - Accent3 2 3 3 2" xfId="12990" xr:uid="{00000000-0005-0000-0000-000058040000}"/>
    <cellStyle name="20% - Accent3 2 3 3 2 2" xfId="17032" xr:uid="{00000000-0005-0000-0000-000059040000}"/>
    <cellStyle name="20% - Accent3 2 3 3 2 3" xfId="29378" xr:uid="{00000000-0005-0000-0000-00005A040000}"/>
    <cellStyle name="20% - Accent3 2 3 3 2 4" xfId="29379" xr:uid="{00000000-0005-0000-0000-00005B040000}"/>
    <cellStyle name="20% - Accent3 2 3 3 2 5" xfId="33655" xr:uid="{00000000-0005-0000-0000-00005C040000}"/>
    <cellStyle name="20% - Accent3 2 3 3 3" xfId="17031" xr:uid="{00000000-0005-0000-0000-00005D040000}"/>
    <cellStyle name="20% - Accent3 2 3 3 3 2" xfId="33883" xr:uid="{00000000-0005-0000-0000-00005E040000}"/>
    <cellStyle name="20% - Accent3 2 3 3 4" xfId="29380" xr:uid="{00000000-0005-0000-0000-00005F040000}"/>
    <cellStyle name="20% - Accent3 2 3 3 4 2" xfId="34098" xr:uid="{00000000-0005-0000-0000-000060040000}"/>
    <cellStyle name="20% - Accent3 2 3 3 5" xfId="29381" xr:uid="{00000000-0005-0000-0000-000061040000}"/>
    <cellStyle name="20% - Accent3 2 3 3 6" xfId="33271" xr:uid="{00000000-0005-0000-0000-000062040000}"/>
    <cellStyle name="20% - Accent3 2 3 3_loan Analysis " xfId="12991" xr:uid="{00000000-0005-0000-0000-000063040000}"/>
    <cellStyle name="20% - Accent3 2 3 4" xfId="12992" xr:uid="{00000000-0005-0000-0000-000064040000}"/>
    <cellStyle name="20% - Accent3 2 3 4 2" xfId="17033" xr:uid="{00000000-0005-0000-0000-000065040000}"/>
    <cellStyle name="20% - Accent3 2 3 4 3" xfId="29382" xr:uid="{00000000-0005-0000-0000-000066040000}"/>
    <cellStyle name="20% - Accent3 2 3 4 4" xfId="29383" xr:uid="{00000000-0005-0000-0000-000067040000}"/>
    <cellStyle name="20% - Accent3 2 3 4 5" xfId="29384" xr:uid="{00000000-0005-0000-0000-000068040000}"/>
    <cellStyle name="20% - Accent3 2 3 4 6" xfId="33438" xr:uid="{00000000-0005-0000-0000-000069040000}"/>
    <cellStyle name="20% - Accent3 2 3 5" xfId="29385" xr:uid="{00000000-0005-0000-0000-00006A040000}"/>
    <cellStyle name="20% - Accent3 2 3 5 2" xfId="33573" xr:uid="{00000000-0005-0000-0000-00006B040000}"/>
    <cellStyle name="20% - Accent3 2 3 6" xfId="29386" xr:uid="{00000000-0005-0000-0000-00006C040000}"/>
    <cellStyle name="20% - Accent3 2 3 6 2" xfId="33808" xr:uid="{00000000-0005-0000-0000-00006D040000}"/>
    <cellStyle name="20% - Accent3 2 3 7" xfId="29387" xr:uid="{00000000-0005-0000-0000-00006E040000}"/>
    <cellStyle name="20% - Accent3 2 3 8" xfId="29388" xr:uid="{00000000-0005-0000-0000-00006F040000}"/>
    <cellStyle name="20% - Accent3 2 3 9" xfId="29389" xr:uid="{00000000-0005-0000-0000-000070040000}"/>
    <cellStyle name="20% - Accent3 2 3_loan Analysis " xfId="12993" xr:uid="{00000000-0005-0000-0000-000071040000}"/>
    <cellStyle name="20% - Accent3 2 30" xfId="1244" xr:uid="{00000000-0005-0000-0000-000072040000}"/>
    <cellStyle name="20% - Accent3 2 31" xfId="1245" xr:uid="{00000000-0005-0000-0000-000073040000}"/>
    <cellStyle name="20% - Accent3 2 32" xfId="1246" xr:uid="{00000000-0005-0000-0000-000074040000}"/>
    <cellStyle name="20% - Accent3 2 33" xfId="1247" xr:uid="{00000000-0005-0000-0000-000075040000}"/>
    <cellStyle name="20% - Accent3 2 33 2" xfId="1248" xr:uid="{00000000-0005-0000-0000-000076040000}"/>
    <cellStyle name="20% - Accent3 2 34" xfId="1249" xr:uid="{00000000-0005-0000-0000-000077040000}"/>
    <cellStyle name="20% - Accent3 2 35" xfId="1250" xr:uid="{00000000-0005-0000-0000-000078040000}"/>
    <cellStyle name="20% - Accent3 2 36" xfId="1251" xr:uid="{00000000-0005-0000-0000-000079040000}"/>
    <cellStyle name="20% - Accent3 2 37" xfId="1252" xr:uid="{00000000-0005-0000-0000-00007A040000}"/>
    <cellStyle name="20% - Accent3 2 38" xfId="1253" xr:uid="{00000000-0005-0000-0000-00007B040000}"/>
    <cellStyle name="20% - Accent3 2 39" xfId="1254" xr:uid="{00000000-0005-0000-0000-00007C040000}"/>
    <cellStyle name="20% - Accent3 2 4" xfId="1255" xr:uid="{00000000-0005-0000-0000-00007D040000}"/>
    <cellStyle name="20% - Accent3 2 4 2" xfId="12994" xr:uid="{00000000-0005-0000-0000-00007E040000}"/>
    <cellStyle name="20% - Accent3 2 4 2 2" xfId="12995" xr:uid="{00000000-0005-0000-0000-00007F040000}"/>
    <cellStyle name="20% - Accent3 2 4 2 2 2" xfId="12996" xr:uid="{00000000-0005-0000-0000-000080040000}"/>
    <cellStyle name="20% - Accent3 2 4 2 2 2 2" xfId="17036" xr:uid="{00000000-0005-0000-0000-000081040000}"/>
    <cellStyle name="20% - Accent3 2 4 2 2 2 3" xfId="29390" xr:uid="{00000000-0005-0000-0000-000082040000}"/>
    <cellStyle name="20% - Accent3 2 4 2 2 2 4" xfId="29391" xr:uid="{00000000-0005-0000-0000-000083040000}"/>
    <cellStyle name="20% - Accent3 2 4 2 2 2 5" xfId="33697" xr:uid="{00000000-0005-0000-0000-000084040000}"/>
    <cellStyle name="20% - Accent3 2 4 2 2 3" xfId="17035" xr:uid="{00000000-0005-0000-0000-000085040000}"/>
    <cellStyle name="20% - Accent3 2 4 2 2 3 2" xfId="33926" xr:uid="{00000000-0005-0000-0000-000086040000}"/>
    <cellStyle name="20% - Accent3 2 4 2 2 4" xfId="29392" xr:uid="{00000000-0005-0000-0000-000087040000}"/>
    <cellStyle name="20% - Accent3 2 4 2 2 4 2" xfId="34140" xr:uid="{00000000-0005-0000-0000-000088040000}"/>
    <cellStyle name="20% - Accent3 2 4 2 2 5" xfId="29393" xr:uid="{00000000-0005-0000-0000-000089040000}"/>
    <cellStyle name="20% - Accent3 2 4 2 2 6" xfId="33313" xr:uid="{00000000-0005-0000-0000-00008A040000}"/>
    <cellStyle name="20% - Accent3 2 4 2 2_loan Analysis " xfId="12997" xr:uid="{00000000-0005-0000-0000-00008B040000}"/>
    <cellStyle name="20% - Accent3 2 4 2 3" xfId="12998" xr:uid="{00000000-0005-0000-0000-00008C040000}"/>
    <cellStyle name="20% - Accent3 2 4 2 3 2" xfId="17037" xr:uid="{00000000-0005-0000-0000-00008D040000}"/>
    <cellStyle name="20% - Accent3 2 4 2 3 3" xfId="29394" xr:uid="{00000000-0005-0000-0000-00008E040000}"/>
    <cellStyle name="20% - Accent3 2 4 2 3 4" xfId="29395" xr:uid="{00000000-0005-0000-0000-00008F040000}"/>
    <cellStyle name="20% - Accent3 2 4 2 3 5" xfId="33589" xr:uid="{00000000-0005-0000-0000-000090040000}"/>
    <cellStyle name="20% - Accent3 2 4 2 4" xfId="17034" xr:uid="{00000000-0005-0000-0000-000091040000}"/>
    <cellStyle name="20% - Accent3 2 4 2 4 2" xfId="33824" xr:uid="{00000000-0005-0000-0000-000092040000}"/>
    <cellStyle name="20% - Accent3 2 4 2 5" xfId="29396" xr:uid="{00000000-0005-0000-0000-000093040000}"/>
    <cellStyle name="20% - Accent3 2 4 2 5 2" xfId="34043" xr:uid="{00000000-0005-0000-0000-000094040000}"/>
    <cellStyle name="20% - Accent3 2 4 2 6" xfId="29397" xr:uid="{00000000-0005-0000-0000-000095040000}"/>
    <cellStyle name="20% - Accent3 2 4 2 7" xfId="33209" xr:uid="{00000000-0005-0000-0000-000096040000}"/>
    <cellStyle name="20% - Accent3 2 4 2_loan Analysis " xfId="12999" xr:uid="{00000000-0005-0000-0000-000097040000}"/>
    <cellStyle name="20% - Accent3 2 4 3" xfId="13000" xr:uid="{00000000-0005-0000-0000-000098040000}"/>
    <cellStyle name="20% - Accent3 2 4 3 2" xfId="13001" xr:uid="{00000000-0005-0000-0000-000099040000}"/>
    <cellStyle name="20% - Accent3 2 4 3 2 2" xfId="17039" xr:uid="{00000000-0005-0000-0000-00009A040000}"/>
    <cellStyle name="20% - Accent3 2 4 3 2 3" xfId="29398" xr:uid="{00000000-0005-0000-0000-00009B040000}"/>
    <cellStyle name="20% - Accent3 2 4 3 2 4" xfId="29399" xr:uid="{00000000-0005-0000-0000-00009C040000}"/>
    <cellStyle name="20% - Accent3 2 4 3 2 5" xfId="33656" xr:uid="{00000000-0005-0000-0000-00009D040000}"/>
    <cellStyle name="20% - Accent3 2 4 3 3" xfId="17038" xr:uid="{00000000-0005-0000-0000-00009E040000}"/>
    <cellStyle name="20% - Accent3 2 4 3 3 2" xfId="33884" xr:uid="{00000000-0005-0000-0000-00009F040000}"/>
    <cellStyle name="20% - Accent3 2 4 3 4" xfId="29400" xr:uid="{00000000-0005-0000-0000-0000A0040000}"/>
    <cellStyle name="20% - Accent3 2 4 3 4 2" xfId="34099" xr:uid="{00000000-0005-0000-0000-0000A1040000}"/>
    <cellStyle name="20% - Accent3 2 4 3 5" xfId="29401" xr:uid="{00000000-0005-0000-0000-0000A2040000}"/>
    <cellStyle name="20% - Accent3 2 4 3 6" xfId="33272" xr:uid="{00000000-0005-0000-0000-0000A3040000}"/>
    <cellStyle name="20% - Accent3 2 4 3_loan Analysis " xfId="13002" xr:uid="{00000000-0005-0000-0000-0000A4040000}"/>
    <cellStyle name="20% - Accent3 2 4 4" xfId="13003" xr:uid="{00000000-0005-0000-0000-0000A5040000}"/>
    <cellStyle name="20% - Accent3 2 4 4 2" xfId="17040" xr:uid="{00000000-0005-0000-0000-0000A6040000}"/>
    <cellStyle name="20% - Accent3 2 4 4 3" xfId="29402" xr:uid="{00000000-0005-0000-0000-0000A7040000}"/>
    <cellStyle name="20% - Accent3 2 4 4 4" xfId="29403" xr:uid="{00000000-0005-0000-0000-0000A8040000}"/>
    <cellStyle name="20% - Accent3 2 4 4 5" xfId="29404" xr:uid="{00000000-0005-0000-0000-0000A9040000}"/>
    <cellStyle name="20% - Accent3 2 4 4 6" xfId="33439" xr:uid="{00000000-0005-0000-0000-0000AA040000}"/>
    <cellStyle name="20% - Accent3 2 4 5" xfId="29405" xr:uid="{00000000-0005-0000-0000-0000AB040000}"/>
    <cellStyle name="20% - Accent3 2 4 5 2" xfId="33572" xr:uid="{00000000-0005-0000-0000-0000AC040000}"/>
    <cellStyle name="20% - Accent3 2 4 6" xfId="29406" xr:uid="{00000000-0005-0000-0000-0000AD040000}"/>
    <cellStyle name="20% - Accent3 2 4 6 2" xfId="33807" xr:uid="{00000000-0005-0000-0000-0000AE040000}"/>
    <cellStyle name="20% - Accent3 2 4 7" xfId="29407" xr:uid="{00000000-0005-0000-0000-0000AF040000}"/>
    <cellStyle name="20% - Accent3 2 4 8" xfId="33119" xr:uid="{00000000-0005-0000-0000-0000B0040000}"/>
    <cellStyle name="20% - Accent3 2 4_loan Analysis " xfId="13004" xr:uid="{00000000-0005-0000-0000-0000B1040000}"/>
    <cellStyle name="20% - Accent3 2 40" xfId="1256" xr:uid="{00000000-0005-0000-0000-0000B2040000}"/>
    <cellStyle name="20% - Accent3 2 41" xfId="1257" xr:uid="{00000000-0005-0000-0000-0000B3040000}"/>
    <cellStyle name="20% - Accent3 2 41 2" xfId="1258" xr:uid="{00000000-0005-0000-0000-0000B4040000}"/>
    <cellStyle name="20% - Accent3 2 42" xfId="29408" xr:uid="{00000000-0005-0000-0000-0000B5040000}"/>
    <cellStyle name="20% - Accent3 2 43" xfId="29409" xr:uid="{00000000-0005-0000-0000-0000B6040000}"/>
    <cellStyle name="20% - Accent3 2 44" xfId="29410" xr:uid="{00000000-0005-0000-0000-0000B7040000}"/>
    <cellStyle name="20% - Accent3 2 45" xfId="29411" xr:uid="{00000000-0005-0000-0000-0000B8040000}"/>
    <cellStyle name="20% - Accent3 2 46" xfId="29412" xr:uid="{00000000-0005-0000-0000-0000B9040000}"/>
    <cellStyle name="20% - Accent3 2 47" xfId="29413" xr:uid="{00000000-0005-0000-0000-0000BA040000}"/>
    <cellStyle name="20% - Accent3 2 48" xfId="29414" xr:uid="{00000000-0005-0000-0000-0000BB040000}"/>
    <cellStyle name="20% - Accent3 2 49" xfId="29415" xr:uid="{00000000-0005-0000-0000-0000BC040000}"/>
    <cellStyle name="20% - Accent3 2 5" xfId="1259" xr:uid="{00000000-0005-0000-0000-0000BD040000}"/>
    <cellStyle name="20% - Accent3 2 5 2" xfId="1260" xr:uid="{00000000-0005-0000-0000-0000BE040000}"/>
    <cellStyle name="20% - Accent3 2 5 3" xfId="29416" xr:uid="{00000000-0005-0000-0000-0000BF040000}"/>
    <cellStyle name="20% - Accent3 2 50" xfId="29417" xr:uid="{00000000-0005-0000-0000-0000C0040000}"/>
    <cellStyle name="20% - Accent3 2 51" xfId="29418" xr:uid="{00000000-0005-0000-0000-0000C1040000}"/>
    <cellStyle name="20% - Accent3 2 52" xfId="29419" xr:uid="{00000000-0005-0000-0000-0000C2040000}"/>
    <cellStyle name="20% - Accent3 2 53" xfId="33116" xr:uid="{00000000-0005-0000-0000-0000C3040000}"/>
    <cellStyle name="20% - Accent3 2 54" xfId="33196" xr:uid="{00000000-0005-0000-0000-0000C4040000}"/>
    <cellStyle name="20% - Accent3 2 55" xfId="1091" xr:uid="{00000000-0005-0000-0000-0000C5040000}"/>
    <cellStyle name="20% - Accent3 2 6" xfId="1261" xr:uid="{00000000-0005-0000-0000-0000C6040000}"/>
    <cellStyle name="20% - Accent3 2 6 2" xfId="29420" xr:uid="{00000000-0005-0000-0000-0000C7040000}"/>
    <cellStyle name="20% - Accent3 2 6 3" xfId="29421" xr:uid="{00000000-0005-0000-0000-0000C8040000}"/>
    <cellStyle name="20% - Accent3 2 7" xfId="1262" xr:uid="{00000000-0005-0000-0000-0000C9040000}"/>
    <cellStyle name="20% - Accent3 2 8" xfId="1263" xr:uid="{00000000-0005-0000-0000-0000CA040000}"/>
    <cellStyle name="20% - Accent3 2 9" xfId="1264" xr:uid="{00000000-0005-0000-0000-0000CB040000}"/>
    <cellStyle name="20% - Accent3 2_Loan Classification" xfId="11402" xr:uid="{00000000-0005-0000-0000-0000CC040000}"/>
    <cellStyle name="20% - Accent3 20" xfId="1265" xr:uid="{00000000-0005-0000-0000-0000CD040000}"/>
    <cellStyle name="20% - Accent3 21" xfId="1266" xr:uid="{00000000-0005-0000-0000-0000CE040000}"/>
    <cellStyle name="20% - Accent3 22" xfId="1267" xr:uid="{00000000-0005-0000-0000-0000CF040000}"/>
    <cellStyle name="20% - Accent3 23" xfId="1268" xr:uid="{00000000-0005-0000-0000-0000D0040000}"/>
    <cellStyle name="20% - Accent3 24" xfId="1269" xr:uid="{00000000-0005-0000-0000-0000D1040000}"/>
    <cellStyle name="20% - Accent3 25" xfId="1270" xr:uid="{00000000-0005-0000-0000-0000D2040000}"/>
    <cellStyle name="20% - Accent3 26" xfId="1271" xr:uid="{00000000-0005-0000-0000-0000D3040000}"/>
    <cellStyle name="20% - Accent3 27" xfId="1272" xr:uid="{00000000-0005-0000-0000-0000D4040000}"/>
    <cellStyle name="20% - Accent3 28" xfId="1273" xr:uid="{00000000-0005-0000-0000-0000D5040000}"/>
    <cellStyle name="20% - Accent3 29" xfId="1274" xr:uid="{00000000-0005-0000-0000-0000D6040000}"/>
    <cellStyle name="20% - Accent3 3" xfId="60" xr:uid="{00000000-0005-0000-0000-0000D7040000}"/>
    <cellStyle name="20% - Accent3 3 2" xfId="427" xr:uid="{00000000-0005-0000-0000-0000D8040000}"/>
    <cellStyle name="20% - Accent3 3 2 2" xfId="29423" xr:uid="{00000000-0005-0000-0000-0000D9040000}"/>
    <cellStyle name="20% - Accent3 3 2 3" xfId="29422" xr:uid="{00000000-0005-0000-0000-0000DA040000}"/>
    <cellStyle name="20% - Accent3 3 3" xfId="29424" xr:uid="{00000000-0005-0000-0000-0000DB040000}"/>
    <cellStyle name="20% - Accent3 3 4" xfId="1275" xr:uid="{00000000-0005-0000-0000-0000DC040000}"/>
    <cellStyle name="20% - Accent3 30" xfId="1276" xr:uid="{00000000-0005-0000-0000-0000DD040000}"/>
    <cellStyle name="20% - Accent3 31" xfId="1277" xr:uid="{00000000-0005-0000-0000-0000DE040000}"/>
    <cellStyle name="20% - Accent3 32" xfId="1278" xr:uid="{00000000-0005-0000-0000-0000DF040000}"/>
    <cellStyle name="20% - Accent3 33" xfId="1279" xr:uid="{00000000-0005-0000-0000-0000E0040000}"/>
    <cellStyle name="20% - Accent3 34" xfId="1280" xr:uid="{00000000-0005-0000-0000-0000E1040000}"/>
    <cellStyle name="20% - Accent3 35" xfId="1281" xr:uid="{00000000-0005-0000-0000-0000E2040000}"/>
    <cellStyle name="20% - Accent3 36" xfId="1282" xr:uid="{00000000-0005-0000-0000-0000E3040000}"/>
    <cellStyle name="20% - Accent3 37" xfId="1283" xr:uid="{00000000-0005-0000-0000-0000E4040000}"/>
    <cellStyle name="20% - Accent3 38" xfId="1284" xr:uid="{00000000-0005-0000-0000-0000E5040000}"/>
    <cellStyle name="20% - Accent3 39" xfId="1285" xr:uid="{00000000-0005-0000-0000-0000E6040000}"/>
    <cellStyle name="20% - Accent3 4" xfId="1286" xr:uid="{00000000-0005-0000-0000-0000E7040000}"/>
    <cellStyle name="20% - Accent3 4 2" xfId="29425" xr:uid="{00000000-0005-0000-0000-0000E8040000}"/>
    <cellStyle name="20% - Accent3 4 2 2" xfId="29426" xr:uid="{00000000-0005-0000-0000-0000E9040000}"/>
    <cellStyle name="20% - Accent3 4 3" xfId="29427" xr:uid="{00000000-0005-0000-0000-0000EA040000}"/>
    <cellStyle name="20% - Accent3 40" xfId="1287" xr:uid="{00000000-0005-0000-0000-0000EB040000}"/>
    <cellStyle name="20% - Accent3 41" xfId="1288" xr:uid="{00000000-0005-0000-0000-0000EC040000}"/>
    <cellStyle name="20% - Accent3 42" xfId="1289" xr:uid="{00000000-0005-0000-0000-0000ED040000}"/>
    <cellStyle name="20% - Accent3 43" xfId="11565" xr:uid="{00000000-0005-0000-0000-0000EE040000}"/>
    <cellStyle name="20% - Accent3 44" xfId="11547" xr:uid="{00000000-0005-0000-0000-0000EF040000}"/>
    <cellStyle name="20% - Accent3 44 2" xfId="17041" xr:uid="{00000000-0005-0000-0000-0000F0040000}"/>
    <cellStyle name="20% - Accent3 45" xfId="17042" xr:uid="{00000000-0005-0000-0000-0000F1040000}"/>
    <cellStyle name="20% - Accent3 46" xfId="29428" xr:uid="{00000000-0005-0000-0000-0000F2040000}"/>
    <cellStyle name="20% - Accent3 47" xfId="29429" xr:uid="{00000000-0005-0000-0000-0000F3040000}"/>
    <cellStyle name="20% - Accent3 48" xfId="34261" xr:uid="{00000000-0005-0000-0000-0000F4040000}"/>
    <cellStyle name="20% - Accent3 49" xfId="485" xr:uid="{00000000-0005-0000-0000-0000F5040000}"/>
    <cellStyle name="20% - Accent3 5" xfId="1290" xr:uid="{00000000-0005-0000-0000-0000F6040000}"/>
    <cellStyle name="20% - Accent3 5 2" xfId="12831" xr:uid="{00000000-0005-0000-0000-0000F7040000}"/>
    <cellStyle name="20% - Accent3 5 2 2" xfId="29430" xr:uid="{00000000-0005-0000-0000-0000F8040000}"/>
    <cellStyle name="20% - Accent3 5 3" xfId="29431" xr:uid="{00000000-0005-0000-0000-0000F9040000}"/>
    <cellStyle name="20% - Accent3 5 3 2" xfId="29432" xr:uid="{00000000-0005-0000-0000-0000FA040000}"/>
    <cellStyle name="20% - Accent3 6" xfId="1291" xr:uid="{00000000-0005-0000-0000-0000FB040000}"/>
    <cellStyle name="20% - Accent3 6 2" xfId="29433" xr:uid="{00000000-0005-0000-0000-0000FC040000}"/>
    <cellStyle name="20% - Accent3 6 3" xfId="29434" xr:uid="{00000000-0005-0000-0000-0000FD040000}"/>
    <cellStyle name="20% - Accent3 7" xfId="1292" xr:uid="{00000000-0005-0000-0000-0000FE040000}"/>
    <cellStyle name="20% - Accent3 7 2" xfId="29435" xr:uid="{00000000-0005-0000-0000-0000FF040000}"/>
    <cellStyle name="20% - Accent3 7 3" xfId="29436" xr:uid="{00000000-0005-0000-0000-000000050000}"/>
    <cellStyle name="20% - Accent3 8" xfId="1293" xr:uid="{00000000-0005-0000-0000-000001050000}"/>
    <cellStyle name="20% - Accent3 8 2" xfId="29437" xr:uid="{00000000-0005-0000-0000-000002050000}"/>
    <cellStyle name="20% - Accent3 8 3" xfId="29438" xr:uid="{00000000-0005-0000-0000-000003050000}"/>
    <cellStyle name="20% - Accent3 9" xfId="1294" xr:uid="{00000000-0005-0000-0000-000004050000}"/>
    <cellStyle name="20% - Accent3 9 2" xfId="29439" xr:uid="{00000000-0005-0000-0000-000005050000}"/>
    <cellStyle name="20% - Accent3 9 3" xfId="29440" xr:uid="{00000000-0005-0000-0000-000006050000}"/>
    <cellStyle name="20% - Accent4" xfId="38" builtinId="42" customBuiltin="1"/>
    <cellStyle name="20% - Accent4 10" xfId="1295" xr:uid="{00000000-0005-0000-0000-000008050000}"/>
    <cellStyle name="20% - Accent4 10 2" xfId="29441" xr:uid="{00000000-0005-0000-0000-000009050000}"/>
    <cellStyle name="20% - Accent4 10 3" xfId="29442" xr:uid="{00000000-0005-0000-0000-00000A050000}"/>
    <cellStyle name="20% - Accent4 11" xfId="1296" xr:uid="{00000000-0005-0000-0000-00000B050000}"/>
    <cellStyle name="20% - Accent4 11 2" xfId="29443" xr:uid="{00000000-0005-0000-0000-00000C050000}"/>
    <cellStyle name="20% - Accent4 12" xfId="1297" xr:uid="{00000000-0005-0000-0000-00000D050000}"/>
    <cellStyle name="20% - Accent4 12 2" xfId="29444" xr:uid="{00000000-0005-0000-0000-00000E050000}"/>
    <cellStyle name="20% - Accent4 13" xfId="1298" xr:uid="{00000000-0005-0000-0000-00000F050000}"/>
    <cellStyle name="20% - Accent4 13 2" xfId="29445" xr:uid="{00000000-0005-0000-0000-000010050000}"/>
    <cellStyle name="20% - Accent4 14" xfId="1299" xr:uid="{00000000-0005-0000-0000-000011050000}"/>
    <cellStyle name="20% - Accent4 14 2" xfId="29446" xr:uid="{00000000-0005-0000-0000-000012050000}"/>
    <cellStyle name="20% - Accent4 15" xfId="1300" xr:uid="{00000000-0005-0000-0000-000013050000}"/>
    <cellStyle name="20% - Accent4 15 2" xfId="29447" xr:uid="{00000000-0005-0000-0000-000014050000}"/>
    <cellStyle name="20% - Accent4 16" xfId="1301" xr:uid="{00000000-0005-0000-0000-000015050000}"/>
    <cellStyle name="20% - Accent4 16 2" xfId="29448" xr:uid="{00000000-0005-0000-0000-000016050000}"/>
    <cellStyle name="20% - Accent4 17" xfId="1302" xr:uid="{00000000-0005-0000-0000-000017050000}"/>
    <cellStyle name="20% - Accent4 17 2" xfId="29449" xr:uid="{00000000-0005-0000-0000-000018050000}"/>
    <cellStyle name="20% - Accent4 18" xfId="1303" xr:uid="{00000000-0005-0000-0000-000019050000}"/>
    <cellStyle name="20% - Accent4 19" xfId="1304" xr:uid="{00000000-0005-0000-0000-00001A050000}"/>
    <cellStyle name="20% - Accent4 2" xfId="61" xr:uid="{00000000-0005-0000-0000-00001B050000}"/>
    <cellStyle name="20% - Accent4 2 10" xfId="1306" xr:uid="{00000000-0005-0000-0000-00001C050000}"/>
    <cellStyle name="20% - Accent4 2 11" xfId="1307" xr:uid="{00000000-0005-0000-0000-00001D050000}"/>
    <cellStyle name="20% - Accent4 2 12" xfId="1308" xr:uid="{00000000-0005-0000-0000-00001E050000}"/>
    <cellStyle name="20% - Accent4 2 13" xfId="1309" xr:uid="{00000000-0005-0000-0000-00001F050000}"/>
    <cellStyle name="20% - Accent4 2 14" xfId="1310" xr:uid="{00000000-0005-0000-0000-000020050000}"/>
    <cellStyle name="20% - Accent4 2 15" xfId="1311" xr:uid="{00000000-0005-0000-0000-000021050000}"/>
    <cellStyle name="20% - Accent4 2 16" xfId="1312" xr:uid="{00000000-0005-0000-0000-000022050000}"/>
    <cellStyle name="20% - Accent4 2 16 2" xfId="1313" xr:uid="{00000000-0005-0000-0000-000023050000}"/>
    <cellStyle name="20% - Accent4 2 17" xfId="1314" xr:uid="{00000000-0005-0000-0000-000024050000}"/>
    <cellStyle name="20% - Accent4 2 18" xfId="1315" xr:uid="{00000000-0005-0000-0000-000025050000}"/>
    <cellStyle name="20% - Accent4 2 19" xfId="1316" xr:uid="{00000000-0005-0000-0000-000026050000}"/>
    <cellStyle name="20% - Accent4 2 2" xfId="426" xr:uid="{00000000-0005-0000-0000-000027050000}"/>
    <cellStyle name="20% - Accent4 2 2 10" xfId="1318" xr:uid="{00000000-0005-0000-0000-000028050000}"/>
    <cellStyle name="20% - Accent4 2 2 11" xfId="1319" xr:uid="{00000000-0005-0000-0000-000029050000}"/>
    <cellStyle name="20% - Accent4 2 2 12" xfId="1320" xr:uid="{00000000-0005-0000-0000-00002A050000}"/>
    <cellStyle name="20% - Accent4 2 2 13" xfId="1321" xr:uid="{00000000-0005-0000-0000-00002B050000}"/>
    <cellStyle name="20% - Accent4 2 2 14" xfId="1322" xr:uid="{00000000-0005-0000-0000-00002C050000}"/>
    <cellStyle name="20% - Accent4 2 2 14 2" xfId="1323" xr:uid="{00000000-0005-0000-0000-00002D050000}"/>
    <cellStyle name="20% - Accent4 2 2 15" xfId="1324" xr:uid="{00000000-0005-0000-0000-00002E050000}"/>
    <cellStyle name="20% - Accent4 2 2 16" xfId="1325" xr:uid="{00000000-0005-0000-0000-00002F050000}"/>
    <cellStyle name="20% - Accent4 2 2 17" xfId="1326" xr:uid="{00000000-0005-0000-0000-000030050000}"/>
    <cellStyle name="20% - Accent4 2 2 18" xfId="1327" xr:uid="{00000000-0005-0000-0000-000031050000}"/>
    <cellStyle name="20% - Accent4 2 2 19" xfId="1328" xr:uid="{00000000-0005-0000-0000-000032050000}"/>
    <cellStyle name="20% - Accent4 2 2 2" xfId="1329" xr:uid="{00000000-0005-0000-0000-000033050000}"/>
    <cellStyle name="20% - Accent4 2 2 2 10" xfId="1330" xr:uid="{00000000-0005-0000-0000-000034050000}"/>
    <cellStyle name="20% - Accent4 2 2 2 11" xfId="1331" xr:uid="{00000000-0005-0000-0000-000035050000}"/>
    <cellStyle name="20% - Accent4 2 2 2 12" xfId="1332" xr:uid="{00000000-0005-0000-0000-000036050000}"/>
    <cellStyle name="20% - Accent4 2 2 2 13" xfId="1333" xr:uid="{00000000-0005-0000-0000-000037050000}"/>
    <cellStyle name="20% - Accent4 2 2 2 14" xfId="1334" xr:uid="{00000000-0005-0000-0000-000038050000}"/>
    <cellStyle name="20% - Accent4 2 2 2 15" xfId="1335" xr:uid="{00000000-0005-0000-0000-000039050000}"/>
    <cellStyle name="20% - Accent4 2 2 2 16" xfId="1336" xr:uid="{00000000-0005-0000-0000-00003A050000}"/>
    <cellStyle name="20% - Accent4 2 2 2 17" xfId="1337" xr:uid="{00000000-0005-0000-0000-00003B050000}"/>
    <cellStyle name="20% - Accent4 2 2 2 18" xfId="1338" xr:uid="{00000000-0005-0000-0000-00003C050000}"/>
    <cellStyle name="20% - Accent4 2 2 2 19" xfId="1339" xr:uid="{00000000-0005-0000-0000-00003D050000}"/>
    <cellStyle name="20% - Accent4 2 2 2 2" xfId="1340" xr:uid="{00000000-0005-0000-0000-00003E050000}"/>
    <cellStyle name="20% - Accent4 2 2 2 2 10" xfId="1341" xr:uid="{00000000-0005-0000-0000-00003F050000}"/>
    <cellStyle name="20% - Accent4 2 2 2 2 11" xfId="1342" xr:uid="{00000000-0005-0000-0000-000040050000}"/>
    <cellStyle name="20% - Accent4 2 2 2 2 12" xfId="1343" xr:uid="{00000000-0005-0000-0000-000041050000}"/>
    <cellStyle name="20% - Accent4 2 2 2 2 13" xfId="1344" xr:uid="{00000000-0005-0000-0000-000042050000}"/>
    <cellStyle name="20% - Accent4 2 2 2 2 14" xfId="1345" xr:uid="{00000000-0005-0000-0000-000043050000}"/>
    <cellStyle name="20% - Accent4 2 2 2 2 15" xfId="1346" xr:uid="{00000000-0005-0000-0000-000044050000}"/>
    <cellStyle name="20% - Accent4 2 2 2 2 16" xfId="1347" xr:uid="{00000000-0005-0000-0000-000045050000}"/>
    <cellStyle name="20% - Accent4 2 2 2 2 17" xfId="1348" xr:uid="{00000000-0005-0000-0000-000046050000}"/>
    <cellStyle name="20% - Accent4 2 2 2 2 18" xfId="1349" xr:uid="{00000000-0005-0000-0000-000047050000}"/>
    <cellStyle name="20% - Accent4 2 2 2 2 19" xfId="1350" xr:uid="{00000000-0005-0000-0000-000048050000}"/>
    <cellStyle name="20% - Accent4 2 2 2 2 2" xfId="1351" xr:uid="{00000000-0005-0000-0000-000049050000}"/>
    <cellStyle name="20% - Accent4 2 2 2 2 2 10" xfId="1352" xr:uid="{00000000-0005-0000-0000-00004A050000}"/>
    <cellStyle name="20% - Accent4 2 2 2 2 2 11" xfId="1353" xr:uid="{00000000-0005-0000-0000-00004B050000}"/>
    <cellStyle name="20% - Accent4 2 2 2 2 2 11 2" xfId="1354" xr:uid="{00000000-0005-0000-0000-00004C050000}"/>
    <cellStyle name="20% - Accent4 2 2 2 2 2 12" xfId="29450" xr:uid="{00000000-0005-0000-0000-00004D050000}"/>
    <cellStyle name="20% - Accent4 2 2 2 2 2 13" xfId="29451" xr:uid="{00000000-0005-0000-0000-00004E050000}"/>
    <cellStyle name="20% - Accent4 2 2 2 2 2 14" xfId="33698" xr:uid="{00000000-0005-0000-0000-00004F050000}"/>
    <cellStyle name="20% - Accent4 2 2 2 2 2 2" xfId="1355" xr:uid="{00000000-0005-0000-0000-000050050000}"/>
    <cellStyle name="20% - Accent4 2 2 2 2 2 2 10" xfId="1356" xr:uid="{00000000-0005-0000-0000-000051050000}"/>
    <cellStyle name="20% - Accent4 2 2 2 2 2 2 11" xfId="1357" xr:uid="{00000000-0005-0000-0000-000052050000}"/>
    <cellStyle name="20% - Accent4 2 2 2 2 2 2 11 2" xfId="1358" xr:uid="{00000000-0005-0000-0000-000053050000}"/>
    <cellStyle name="20% - Accent4 2 2 2 2 2 2 2" xfId="1359" xr:uid="{00000000-0005-0000-0000-000054050000}"/>
    <cellStyle name="20% - Accent4 2 2 2 2 2 2 2 2" xfId="1360" xr:uid="{00000000-0005-0000-0000-000055050000}"/>
    <cellStyle name="20% - Accent4 2 2 2 2 2 2 2 2 2" xfId="1361" xr:uid="{00000000-0005-0000-0000-000056050000}"/>
    <cellStyle name="20% - Accent4 2 2 2 2 2 2 2 2 2 2" xfId="1362" xr:uid="{00000000-0005-0000-0000-000057050000}"/>
    <cellStyle name="20% - Accent4 2 2 2 2 2 2 2 2 3" xfId="1363" xr:uid="{00000000-0005-0000-0000-000058050000}"/>
    <cellStyle name="20% - Accent4 2 2 2 2 2 2 2 3" xfId="1364" xr:uid="{00000000-0005-0000-0000-000059050000}"/>
    <cellStyle name="20% - Accent4 2 2 2 2 2 2 2 3 2" xfId="1365" xr:uid="{00000000-0005-0000-0000-00005A050000}"/>
    <cellStyle name="20% - Accent4 2 2 2 2 2 2 3" xfId="1366" xr:uid="{00000000-0005-0000-0000-00005B050000}"/>
    <cellStyle name="20% - Accent4 2 2 2 2 2 2 4" xfId="1367" xr:uid="{00000000-0005-0000-0000-00005C050000}"/>
    <cellStyle name="20% - Accent4 2 2 2 2 2 2 5" xfId="1368" xr:uid="{00000000-0005-0000-0000-00005D050000}"/>
    <cellStyle name="20% - Accent4 2 2 2 2 2 2 6" xfId="1369" xr:uid="{00000000-0005-0000-0000-00005E050000}"/>
    <cellStyle name="20% - Accent4 2 2 2 2 2 2 7" xfId="1370" xr:uid="{00000000-0005-0000-0000-00005F050000}"/>
    <cellStyle name="20% - Accent4 2 2 2 2 2 2 8" xfId="1371" xr:uid="{00000000-0005-0000-0000-000060050000}"/>
    <cellStyle name="20% - Accent4 2 2 2 2 2 2 9" xfId="1372" xr:uid="{00000000-0005-0000-0000-000061050000}"/>
    <cellStyle name="20% - Accent4 2 2 2 2 2 3" xfId="1373" xr:uid="{00000000-0005-0000-0000-000062050000}"/>
    <cellStyle name="20% - Accent4 2 2 2 2 2 3 2" xfId="1374" xr:uid="{00000000-0005-0000-0000-000063050000}"/>
    <cellStyle name="20% - Accent4 2 2 2 2 2 4" xfId="1375" xr:uid="{00000000-0005-0000-0000-000064050000}"/>
    <cellStyle name="20% - Accent4 2 2 2 2 2 5" xfId="1376" xr:uid="{00000000-0005-0000-0000-000065050000}"/>
    <cellStyle name="20% - Accent4 2 2 2 2 2 6" xfId="1377" xr:uid="{00000000-0005-0000-0000-000066050000}"/>
    <cellStyle name="20% - Accent4 2 2 2 2 2 7" xfId="1378" xr:uid="{00000000-0005-0000-0000-000067050000}"/>
    <cellStyle name="20% - Accent4 2 2 2 2 2 8" xfId="1379" xr:uid="{00000000-0005-0000-0000-000068050000}"/>
    <cellStyle name="20% - Accent4 2 2 2 2 2 9" xfId="1380" xr:uid="{00000000-0005-0000-0000-000069050000}"/>
    <cellStyle name="20% - Accent4 2 2 2 2 20" xfId="1381" xr:uid="{00000000-0005-0000-0000-00006A050000}"/>
    <cellStyle name="20% - Accent4 2 2 2 2 20 2" xfId="1382" xr:uid="{00000000-0005-0000-0000-00006B050000}"/>
    <cellStyle name="20% - Accent4 2 2 2 2 21" xfId="1383" xr:uid="{00000000-0005-0000-0000-00006C050000}"/>
    <cellStyle name="20% - Accent4 2 2 2 2 22" xfId="1384" xr:uid="{00000000-0005-0000-0000-00006D050000}"/>
    <cellStyle name="20% - Accent4 2 2 2 2 23" xfId="1385" xr:uid="{00000000-0005-0000-0000-00006E050000}"/>
    <cellStyle name="20% - Accent4 2 2 2 2 24" xfId="1386" xr:uid="{00000000-0005-0000-0000-00006F050000}"/>
    <cellStyle name="20% - Accent4 2 2 2 2 25" xfId="1387" xr:uid="{00000000-0005-0000-0000-000070050000}"/>
    <cellStyle name="20% - Accent4 2 2 2 2 26" xfId="1388" xr:uid="{00000000-0005-0000-0000-000071050000}"/>
    <cellStyle name="20% - Accent4 2 2 2 2 27" xfId="1389" xr:uid="{00000000-0005-0000-0000-000072050000}"/>
    <cellStyle name="20% - Accent4 2 2 2 2 28" xfId="1390" xr:uid="{00000000-0005-0000-0000-000073050000}"/>
    <cellStyle name="20% - Accent4 2 2 2 2 28 2" xfId="1391" xr:uid="{00000000-0005-0000-0000-000074050000}"/>
    <cellStyle name="20% - Accent4 2 2 2 2 29" xfId="29452" xr:uid="{00000000-0005-0000-0000-000075050000}"/>
    <cellStyle name="20% - Accent4 2 2 2 2 3" xfId="1392" xr:uid="{00000000-0005-0000-0000-000076050000}"/>
    <cellStyle name="20% - Accent4 2 2 2 2 3 2" xfId="33927" xr:uid="{00000000-0005-0000-0000-000077050000}"/>
    <cellStyle name="20% - Accent4 2 2 2 2 30" xfId="29453" xr:uid="{00000000-0005-0000-0000-000078050000}"/>
    <cellStyle name="20% - Accent4 2 2 2 2 31" xfId="29454" xr:uid="{00000000-0005-0000-0000-000079050000}"/>
    <cellStyle name="20% - Accent4 2 2 2 2 32" xfId="33314" xr:uid="{00000000-0005-0000-0000-00007A050000}"/>
    <cellStyle name="20% - Accent4 2 2 2 2 4" xfId="1393" xr:uid="{00000000-0005-0000-0000-00007B050000}"/>
    <cellStyle name="20% - Accent4 2 2 2 2 4 2" xfId="34141" xr:uid="{00000000-0005-0000-0000-00007C050000}"/>
    <cellStyle name="20% - Accent4 2 2 2 2 5" xfId="1394" xr:uid="{00000000-0005-0000-0000-00007D050000}"/>
    <cellStyle name="20% - Accent4 2 2 2 2 6" xfId="1395" xr:uid="{00000000-0005-0000-0000-00007E050000}"/>
    <cellStyle name="20% - Accent4 2 2 2 2 7" xfId="1396" xr:uid="{00000000-0005-0000-0000-00007F050000}"/>
    <cellStyle name="20% - Accent4 2 2 2 2 8" xfId="1397" xr:uid="{00000000-0005-0000-0000-000080050000}"/>
    <cellStyle name="20% - Accent4 2 2 2 2 9" xfId="1398" xr:uid="{00000000-0005-0000-0000-000081050000}"/>
    <cellStyle name="20% - Accent4 2 2 2 2_loan Analysis " xfId="13005" xr:uid="{00000000-0005-0000-0000-000082050000}"/>
    <cellStyle name="20% - Accent4 2 2 2 20" xfId="1399" xr:uid="{00000000-0005-0000-0000-000083050000}"/>
    <cellStyle name="20% - Accent4 2 2 2 20 2" xfId="1400" xr:uid="{00000000-0005-0000-0000-000084050000}"/>
    <cellStyle name="20% - Accent4 2 2 2 21" xfId="1401" xr:uid="{00000000-0005-0000-0000-000085050000}"/>
    <cellStyle name="20% - Accent4 2 2 2 22" xfId="1402" xr:uid="{00000000-0005-0000-0000-000086050000}"/>
    <cellStyle name="20% - Accent4 2 2 2 23" xfId="1403" xr:uid="{00000000-0005-0000-0000-000087050000}"/>
    <cellStyle name="20% - Accent4 2 2 2 24" xfId="1404" xr:uid="{00000000-0005-0000-0000-000088050000}"/>
    <cellStyle name="20% - Accent4 2 2 2 25" xfId="1405" xr:uid="{00000000-0005-0000-0000-000089050000}"/>
    <cellStyle name="20% - Accent4 2 2 2 26" xfId="1406" xr:uid="{00000000-0005-0000-0000-00008A050000}"/>
    <cellStyle name="20% - Accent4 2 2 2 27" xfId="1407" xr:uid="{00000000-0005-0000-0000-00008B050000}"/>
    <cellStyle name="20% - Accent4 2 2 2 28" xfId="1408" xr:uid="{00000000-0005-0000-0000-00008C050000}"/>
    <cellStyle name="20% - Accent4 2 2 2 28 2" xfId="1409" xr:uid="{00000000-0005-0000-0000-00008D050000}"/>
    <cellStyle name="20% - Accent4 2 2 2 29" xfId="29455" xr:uid="{00000000-0005-0000-0000-00008E050000}"/>
    <cellStyle name="20% - Accent4 2 2 2 3" xfId="1410" xr:uid="{00000000-0005-0000-0000-00008F050000}"/>
    <cellStyle name="20% - Accent4 2 2 2 3 2" xfId="1411" xr:uid="{00000000-0005-0000-0000-000090050000}"/>
    <cellStyle name="20% - Accent4 2 2 2 3 3" xfId="29456" xr:uid="{00000000-0005-0000-0000-000091050000}"/>
    <cellStyle name="20% - Accent4 2 2 2 3 4" xfId="29457" xr:uid="{00000000-0005-0000-0000-000092050000}"/>
    <cellStyle name="20% - Accent4 2 2 2 3 5" xfId="33590" xr:uid="{00000000-0005-0000-0000-000093050000}"/>
    <cellStyle name="20% - Accent4 2 2 2 30" xfId="29458" xr:uid="{00000000-0005-0000-0000-000094050000}"/>
    <cellStyle name="20% - Accent4 2 2 2 31" xfId="29459" xr:uid="{00000000-0005-0000-0000-000095050000}"/>
    <cellStyle name="20% - Accent4 2 2 2 32" xfId="29460" xr:uid="{00000000-0005-0000-0000-000096050000}"/>
    <cellStyle name="20% - Accent4 2 2 2 33" xfId="33210" xr:uid="{00000000-0005-0000-0000-000097050000}"/>
    <cellStyle name="20% - Accent4 2 2 2 4" xfId="1412" xr:uid="{00000000-0005-0000-0000-000098050000}"/>
    <cellStyle name="20% - Accent4 2 2 2 4 2" xfId="33825" xr:uid="{00000000-0005-0000-0000-000099050000}"/>
    <cellStyle name="20% - Accent4 2 2 2 5" xfId="1413" xr:uid="{00000000-0005-0000-0000-00009A050000}"/>
    <cellStyle name="20% - Accent4 2 2 2 5 2" xfId="34044" xr:uid="{00000000-0005-0000-0000-00009B050000}"/>
    <cellStyle name="20% - Accent4 2 2 2 6" xfId="1414" xr:uid="{00000000-0005-0000-0000-00009C050000}"/>
    <cellStyle name="20% - Accent4 2 2 2 7" xfId="1415" xr:uid="{00000000-0005-0000-0000-00009D050000}"/>
    <cellStyle name="20% - Accent4 2 2 2 8" xfId="1416" xr:uid="{00000000-0005-0000-0000-00009E050000}"/>
    <cellStyle name="20% - Accent4 2 2 2 9" xfId="1417" xr:uid="{00000000-0005-0000-0000-00009F050000}"/>
    <cellStyle name="20% - Accent4 2 2 2_loan Analysis " xfId="13006" xr:uid="{00000000-0005-0000-0000-0000A0050000}"/>
    <cellStyle name="20% - Accent4 2 2 20" xfId="1418" xr:uid="{00000000-0005-0000-0000-0000A1050000}"/>
    <cellStyle name="20% - Accent4 2 2 21" xfId="1419" xr:uid="{00000000-0005-0000-0000-0000A2050000}"/>
    <cellStyle name="20% - Accent4 2 2 22" xfId="1420" xr:uid="{00000000-0005-0000-0000-0000A3050000}"/>
    <cellStyle name="20% - Accent4 2 2 23" xfId="1421" xr:uid="{00000000-0005-0000-0000-0000A4050000}"/>
    <cellStyle name="20% - Accent4 2 2 24" xfId="1422" xr:uid="{00000000-0005-0000-0000-0000A5050000}"/>
    <cellStyle name="20% - Accent4 2 2 25" xfId="1423" xr:uid="{00000000-0005-0000-0000-0000A6050000}"/>
    <cellStyle name="20% - Accent4 2 2 26" xfId="1424" xr:uid="{00000000-0005-0000-0000-0000A7050000}"/>
    <cellStyle name="20% - Accent4 2 2 27" xfId="1425" xr:uid="{00000000-0005-0000-0000-0000A8050000}"/>
    <cellStyle name="20% - Accent4 2 2 28" xfId="1426" xr:uid="{00000000-0005-0000-0000-0000A9050000}"/>
    <cellStyle name="20% - Accent4 2 2 29" xfId="1427" xr:uid="{00000000-0005-0000-0000-0000AA050000}"/>
    <cellStyle name="20% - Accent4 2 2 3" xfId="1428" xr:uid="{00000000-0005-0000-0000-0000AB050000}"/>
    <cellStyle name="20% - Accent4 2 2 3 2" xfId="13007" xr:uid="{00000000-0005-0000-0000-0000AC050000}"/>
    <cellStyle name="20% - Accent4 2 2 3 2 2" xfId="17045" xr:uid="{00000000-0005-0000-0000-0000AD050000}"/>
    <cellStyle name="20% - Accent4 2 2 3 2 3" xfId="29461" xr:uid="{00000000-0005-0000-0000-0000AE050000}"/>
    <cellStyle name="20% - Accent4 2 2 3 2 4" xfId="29462" xr:uid="{00000000-0005-0000-0000-0000AF050000}"/>
    <cellStyle name="20% - Accent4 2 2 3 2 5" xfId="33657" xr:uid="{00000000-0005-0000-0000-0000B0050000}"/>
    <cellStyle name="20% - Accent4 2 2 3 3" xfId="29463" xr:uid="{00000000-0005-0000-0000-0000B1050000}"/>
    <cellStyle name="20% - Accent4 2 2 3 3 2" xfId="33885" xr:uid="{00000000-0005-0000-0000-0000B2050000}"/>
    <cellStyle name="20% - Accent4 2 2 3 4" xfId="29464" xr:uid="{00000000-0005-0000-0000-0000B3050000}"/>
    <cellStyle name="20% - Accent4 2 2 3 4 2" xfId="34100" xr:uid="{00000000-0005-0000-0000-0000B4050000}"/>
    <cellStyle name="20% - Accent4 2 2 3 5" xfId="33273" xr:uid="{00000000-0005-0000-0000-0000B5050000}"/>
    <cellStyle name="20% - Accent4 2 2 3_loan Analysis " xfId="13008" xr:uid="{00000000-0005-0000-0000-0000B6050000}"/>
    <cellStyle name="20% - Accent4 2 2 30" xfId="1429" xr:uid="{00000000-0005-0000-0000-0000B7050000}"/>
    <cellStyle name="20% - Accent4 2 2 31" xfId="1430" xr:uid="{00000000-0005-0000-0000-0000B8050000}"/>
    <cellStyle name="20% - Accent4 2 2 31 2" xfId="1431" xr:uid="{00000000-0005-0000-0000-0000B9050000}"/>
    <cellStyle name="20% - Accent4 2 2 32" xfId="1432" xr:uid="{00000000-0005-0000-0000-0000BA050000}"/>
    <cellStyle name="20% - Accent4 2 2 33" xfId="1433" xr:uid="{00000000-0005-0000-0000-0000BB050000}"/>
    <cellStyle name="20% - Accent4 2 2 34" xfId="1434" xr:uid="{00000000-0005-0000-0000-0000BC050000}"/>
    <cellStyle name="20% - Accent4 2 2 35" xfId="1435" xr:uid="{00000000-0005-0000-0000-0000BD050000}"/>
    <cellStyle name="20% - Accent4 2 2 36" xfId="1436" xr:uid="{00000000-0005-0000-0000-0000BE050000}"/>
    <cellStyle name="20% - Accent4 2 2 37" xfId="1437" xr:uid="{00000000-0005-0000-0000-0000BF050000}"/>
    <cellStyle name="20% - Accent4 2 2 38" xfId="1438" xr:uid="{00000000-0005-0000-0000-0000C0050000}"/>
    <cellStyle name="20% - Accent4 2 2 39" xfId="1439" xr:uid="{00000000-0005-0000-0000-0000C1050000}"/>
    <cellStyle name="20% - Accent4 2 2 39 2" xfId="1440" xr:uid="{00000000-0005-0000-0000-0000C2050000}"/>
    <cellStyle name="20% - Accent4 2 2 4" xfId="1441" xr:uid="{00000000-0005-0000-0000-0000C3050000}"/>
    <cellStyle name="20% - Accent4 2 2 4 2" xfId="29465" xr:uid="{00000000-0005-0000-0000-0000C4050000}"/>
    <cellStyle name="20% - Accent4 2 2 4 3" xfId="29466" xr:uid="{00000000-0005-0000-0000-0000C5050000}"/>
    <cellStyle name="20% - Accent4 2 2 4 4" xfId="29467" xr:uid="{00000000-0005-0000-0000-0000C6050000}"/>
    <cellStyle name="20% - Accent4 2 2 4 5" xfId="33442" xr:uid="{00000000-0005-0000-0000-0000C7050000}"/>
    <cellStyle name="20% - Accent4 2 2 40" xfId="29468" xr:uid="{00000000-0005-0000-0000-0000C8050000}"/>
    <cellStyle name="20% - Accent4 2 2 41" xfId="29469" xr:uid="{00000000-0005-0000-0000-0000C9050000}"/>
    <cellStyle name="20% - Accent4 2 2 42" xfId="29470" xr:uid="{00000000-0005-0000-0000-0000CA050000}"/>
    <cellStyle name="20% - Accent4 2 2 43" xfId="29471" xr:uid="{00000000-0005-0000-0000-0000CB050000}"/>
    <cellStyle name="20% - Accent4 2 2 44" xfId="29472" xr:uid="{00000000-0005-0000-0000-0000CC050000}"/>
    <cellStyle name="20% - Accent4 2 2 45" xfId="29473" xr:uid="{00000000-0005-0000-0000-0000CD050000}"/>
    <cellStyle name="20% - Accent4 2 2 46" xfId="29474" xr:uid="{00000000-0005-0000-0000-0000CE050000}"/>
    <cellStyle name="20% - Accent4 2 2 47" xfId="29475" xr:uid="{00000000-0005-0000-0000-0000CF050000}"/>
    <cellStyle name="20% - Accent4 2 2 48" xfId="33121" xr:uid="{00000000-0005-0000-0000-0000D0050000}"/>
    <cellStyle name="20% - Accent4 2 2 49" xfId="1317" xr:uid="{00000000-0005-0000-0000-0000D1050000}"/>
    <cellStyle name="20% - Accent4 2 2 5" xfId="1442" xr:uid="{00000000-0005-0000-0000-0000D2050000}"/>
    <cellStyle name="20% - Accent4 2 2 5 2" xfId="33569" xr:uid="{00000000-0005-0000-0000-0000D3050000}"/>
    <cellStyle name="20% - Accent4 2 2 6" xfId="1443" xr:uid="{00000000-0005-0000-0000-0000D4050000}"/>
    <cellStyle name="20% - Accent4 2 2 6 2" xfId="33430" xr:uid="{00000000-0005-0000-0000-0000D5050000}"/>
    <cellStyle name="20% - Accent4 2 2 7" xfId="1444" xr:uid="{00000000-0005-0000-0000-0000D6050000}"/>
    <cellStyle name="20% - Accent4 2 2 8" xfId="1445" xr:uid="{00000000-0005-0000-0000-0000D7050000}"/>
    <cellStyle name="20% - Accent4 2 2 9" xfId="1446" xr:uid="{00000000-0005-0000-0000-0000D8050000}"/>
    <cellStyle name="20% - Accent4 2 2_loan Analysis " xfId="13009" xr:uid="{00000000-0005-0000-0000-0000D9050000}"/>
    <cellStyle name="20% - Accent4 2 20" xfId="1447" xr:uid="{00000000-0005-0000-0000-0000DA050000}"/>
    <cellStyle name="20% - Accent4 2 21" xfId="1448" xr:uid="{00000000-0005-0000-0000-0000DB050000}"/>
    <cellStyle name="20% - Accent4 2 22" xfId="1449" xr:uid="{00000000-0005-0000-0000-0000DC050000}"/>
    <cellStyle name="20% - Accent4 2 23" xfId="1450" xr:uid="{00000000-0005-0000-0000-0000DD050000}"/>
    <cellStyle name="20% - Accent4 2 24" xfId="1451" xr:uid="{00000000-0005-0000-0000-0000DE050000}"/>
    <cellStyle name="20% - Accent4 2 25" xfId="1452" xr:uid="{00000000-0005-0000-0000-0000DF050000}"/>
    <cellStyle name="20% - Accent4 2 26" xfId="1453" xr:uid="{00000000-0005-0000-0000-0000E0050000}"/>
    <cellStyle name="20% - Accent4 2 27" xfId="1454" xr:uid="{00000000-0005-0000-0000-0000E1050000}"/>
    <cellStyle name="20% - Accent4 2 28" xfId="1455" xr:uid="{00000000-0005-0000-0000-0000E2050000}"/>
    <cellStyle name="20% - Accent4 2 29" xfId="1456" xr:uid="{00000000-0005-0000-0000-0000E3050000}"/>
    <cellStyle name="20% - Accent4 2 3" xfId="1457" xr:uid="{00000000-0005-0000-0000-0000E4050000}"/>
    <cellStyle name="20% - Accent4 2 3 10" xfId="33122" xr:uid="{00000000-0005-0000-0000-0000E5050000}"/>
    <cellStyle name="20% - Accent4 2 3 2" xfId="13010" xr:uid="{00000000-0005-0000-0000-0000E6050000}"/>
    <cellStyle name="20% - Accent4 2 3 2 2" xfId="13011" xr:uid="{00000000-0005-0000-0000-0000E7050000}"/>
    <cellStyle name="20% - Accent4 2 3 2 2 2" xfId="13012" xr:uid="{00000000-0005-0000-0000-0000E8050000}"/>
    <cellStyle name="20% - Accent4 2 3 2 2 2 2" xfId="17049" xr:uid="{00000000-0005-0000-0000-0000E9050000}"/>
    <cellStyle name="20% - Accent4 2 3 2 2 2 3" xfId="29476" xr:uid="{00000000-0005-0000-0000-0000EA050000}"/>
    <cellStyle name="20% - Accent4 2 3 2 2 2 4" xfId="29477" xr:uid="{00000000-0005-0000-0000-0000EB050000}"/>
    <cellStyle name="20% - Accent4 2 3 2 2 2 5" xfId="33699" xr:uid="{00000000-0005-0000-0000-0000EC050000}"/>
    <cellStyle name="20% - Accent4 2 3 2 2 3" xfId="17048" xr:uid="{00000000-0005-0000-0000-0000ED050000}"/>
    <cellStyle name="20% - Accent4 2 3 2 2 3 2" xfId="33928" xr:uid="{00000000-0005-0000-0000-0000EE050000}"/>
    <cellStyle name="20% - Accent4 2 3 2 2 4" xfId="29478" xr:uid="{00000000-0005-0000-0000-0000EF050000}"/>
    <cellStyle name="20% - Accent4 2 3 2 2 4 2" xfId="34142" xr:uid="{00000000-0005-0000-0000-0000F0050000}"/>
    <cellStyle name="20% - Accent4 2 3 2 2 5" xfId="29479" xr:uid="{00000000-0005-0000-0000-0000F1050000}"/>
    <cellStyle name="20% - Accent4 2 3 2 2 6" xfId="33315" xr:uid="{00000000-0005-0000-0000-0000F2050000}"/>
    <cellStyle name="20% - Accent4 2 3 2 2_loan Analysis " xfId="13013" xr:uid="{00000000-0005-0000-0000-0000F3050000}"/>
    <cellStyle name="20% - Accent4 2 3 2 3" xfId="13014" xr:uid="{00000000-0005-0000-0000-0000F4050000}"/>
    <cellStyle name="20% - Accent4 2 3 2 3 2" xfId="17050" xr:uid="{00000000-0005-0000-0000-0000F5050000}"/>
    <cellStyle name="20% - Accent4 2 3 2 3 3" xfId="29480" xr:uid="{00000000-0005-0000-0000-0000F6050000}"/>
    <cellStyle name="20% - Accent4 2 3 2 3 4" xfId="29481" xr:uid="{00000000-0005-0000-0000-0000F7050000}"/>
    <cellStyle name="20% - Accent4 2 3 2 3 5" xfId="33591" xr:uid="{00000000-0005-0000-0000-0000F8050000}"/>
    <cellStyle name="20% - Accent4 2 3 2 4" xfId="17047" xr:uid="{00000000-0005-0000-0000-0000F9050000}"/>
    <cellStyle name="20% - Accent4 2 3 2 4 2" xfId="33826" xr:uid="{00000000-0005-0000-0000-0000FA050000}"/>
    <cellStyle name="20% - Accent4 2 3 2 5" xfId="29482" xr:uid="{00000000-0005-0000-0000-0000FB050000}"/>
    <cellStyle name="20% - Accent4 2 3 2 5 2" xfId="34045" xr:uid="{00000000-0005-0000-0000-0000FC050000}"/>
    <cellStyle name="20% - Accent4 2 3 2 6" xfId="29483" xr:uid="{00000000-0005-0000-0000-0000FD050000}"/>
    <cellStyle name="20% - Accent4 2 3 2 7" xfId="33211" xr:uid="{00000000-0005-0000-0000-0000FE050000}"/>
    <cellStyle name="20% - Accent4 2 3 2_loan Analysis " xfId="13015" xr:uid="{00000000-0005-0000-0000-0000FF050000}"/>
    <cellStyle name="20% - Accent4 2 3 3" xfId="13016" xr:uid="{00000000-0005-0000-0000-000000060000}"/>
    <cellStyle name="20% - Accent4 2 3 3 2" xfId="13017" xr:uid="{00000000-0005-0000-0000-000001060000}"/>
    <cellStyle name="20% - Accent4 2 3 3 2 2" xfId="17052" xr:uid="{00000000-0005-0000-0000-000002060000}"/>
    <cellStyle name="20% - Accent4 2 3 3 2 3" xfId="29484" xr:uid="{00000000-0005-0000-0000-000003060000}"/>
    <cellStyle name="20% - Accent4 2 3 3 2 4" xfId="29485" xr:uid="{00000000-0005-0000-0000-000004060000}"/>
    <cellStyle name="20% - Accent4 2 3 3 2 5" xfId="33658" xr:uid="{00000000-0005-0000-0000-000005060000}"/>
    <cellStyle name="20% - Accent4 2 3 3 3" xfId="17051" xr:uid="{00000000-0005-0000-0000-000006060000}"/>
    <cellStyle name="20% - Accent4 2 3 3 3 2" xfId="33886" xr:uid="{00000000-0005-0000-0000-000007060000}"/>
    <cellStyle name="20% - Accent4 2 3 3 4" xfId="29486" xr:uid="{00000000-0005-0000-0000-000008060000}"/>
    <cellStyle name="20% - Accent4 2 3 3 4 2" xfId="34101" xr:uid="{00000000-0005-0000-0000-000009060000}"/>
    <cellStyle name="20% - Accent4 2 3 3 5" xfId="29487" xr:uid="{00000000-0005-0000-0000-00000A060000}"/>
    <cellStyle name="20% - Accent4 2 3 3 6" xfId="33274" xr:uid="{00000000-0005-0000-0000-00000B060000}"/>
    <cellStyle name="20% - Accent4 2 3 3_loan Analysis " xfId="13018" xr:uid="{00000000-0005-0000-0000-00000C060000}"/>
    <cellStyle name="20% - Accent4 2 3 4" xfId="13019" xr:uid="{00000000-0005-0000-0000-00000D060000}"/>
    <cellStyle name="20% - Accent4 2 3 4 2" xfId="17053" xr:uid="{00000000-0005-0000-0000-00000E060000}"/>
    <cellStyle name="20% - Accent4 2 3 4 3" xfId="29488" xr:uid="{00000000-0005-0000-0000-00000F060000}"/>
    <cellStyle name="20% - Accent4 2 3 4 4" xfId="29489" xr:uid="{00000000-0005-0000-0000-000010060000}"/>
    <cellStyle name="20% - Accent4 2 3 4 5" xfId="29490" xr:uid="{00000000-0005-0000-0000-000011060000}"/>
    <cellStyle name="20% - Accent4 2 3 4 6" xfId="33443" xr:uid="{00000000-0005-0000-0000-000012060000}"/>
    <cellStyle name="20% - Accent4 2 3 5" xfId="29491" xr:uid="{00000000-0005-0000-0000-000013060000}"/>
    <cellStyle name="20% - Accent4 2 3 5 2" xfId="33568" xr:uid="{00000000-0005-0000-0000-000014060000}"/>
    <cellStyle name="20% - Accent4 2 3 6" xfId="29492" xr:uid="{00000000-0005-0000-0000-000015060000}"/>
    <cellStyle name="20% - Accent4 2 3 6 2" xfId="33431" xr:uid="{00000000-0005-0000-0000-000016060000}"/>
    <cellStyle name="20% - Accent4 2 3 7" xfId="29493" xr:uid="{00000000-0005-0000-0000-000017060000}"/>
    <cellStyle name="20% - Accent4 2 3 8" xfId="29494" xr:uid="{00000000-0005-0000-0000-000018060000}"/>
    <cellStyle name="20% - Accent4 2 3 9" xfId="29495" xr:uid="{00000000-0005-0000-0000-000019060000}"/>
    <cellStyle name="20% - Accent4 2 3_loan Analysis " xfId="13020" xr:uid="{00000000-0005-0000-0000-00001A060000}"/>
    <cellStyle name="20% - Accent4 2 30" xfId="1458" xr:uid="{00000000-0005-0000-0000-00001B060000}"/>
    <cellStyle name="20% - Accent4 2 31" xfId="1459" xr:uid="{00000000-0005-0000-0000-00001C060000}"/>
    <cellStyle name="20% - Accent4 2 32" xfId="1460" xr:uid="{00000000-0005-0000-0000-00001D060000}"/>
    <cellStyle name="20% - Accent4 2 33" xfId="1461" xr:uid="{00000000-0005-0000-0000-00001E060000}"/>
    <cellStyle name="20% - Accent4 2 33 2" xfId="1462" xr:uid="{00000000-0005-0000-0000-00001F060000}"/>
    <cellStyle name="20% - Accent4 2 34" xfId="1463" xr:uid="{00000000-0005-0000-0000-000020060000}"/>
    <cellStyle name="20% - Accent4 2 35" xfId="1464" xr:uid="{00000000-0005-0000-0000-000021060000}"/>
    <cellStyle name="20% - Accent4 2 36" xfId="1465" xr:uid="{00000000-0005-0000-0000-000022060000}"/>
    <cellStyle name="20% - Accent4 2 37" xfId="1466" xr:uid="{00000000-0005-0000-0000-000023060000}"/>
    <cellStyle name="20% - Accent4 2 38" xfId="1467" xr:uid="{00000000-0005-0000-0000-000024060000}"/>
    <cellStyle name="20% - Accent4 2 39" xfId="1468" xr:uid="{00000000-0005-0000-0000-000025060000}"/>
    <cellStyle name="20% - Accent4 2 4" xfId="1469" xr:uid="{00000000-0005-0000-0000-000026060000}"/>
    <cellStyle name="20% - Accent4 2 4 2" xfId="13021" xr:uid="{00000000-0005-0000-0000-000027060000}"/>
    <cellStyle name="20% - Accent4 2 4 2 2" xfId="13022" xr:uid="{00000000-0005-0000-0000-000028060000}"/>
    <cellStyle name="20% - Accent4 2 4 2 2 2" xfId="13023" xr:uid="{00000000-0005-0000-0000-000029060000}"/>
    <cellStyle name="20% - Accent4 2 4 2 2 2 2" xfId="17057" xr:uid="{00000000-0005-0000-0000-00002A060000}"/>
    <cellStyle name="20% - Accent4 2 4 2 2 2 3" xfId="29496" xr:uid="{00000000-0005-0000-0000-00002B060000}"/>
    <cellStyle name="20% - Accent4 2 4 2 2 2 4" xfId="29497" xr:uid="{00000000-0005-0000-0000-00002C060000}"/>
    <cellStyle name="20% - Accent4 2 4 2 2 2 5" xfId="33700" xr:uid="{00000000-0005-0000-0000-00002D060000}"/>
    <cellStyle name="20% - Accent4 2 4 2 2 3" xfId="17056" xr:uid="{00000000-0005-0000-0000-00002E060000}"/>
    <cellStyle name="20% - Accent4 2 4 2 2 3 2" xfId="33929" xr:uid="{00000000-0005-0000-0000-00002F060000}"/>
    <cellStyle name="20% - Accent4 2 4 2 2 4" xfId="29498" xr:uid="{00000000-0005-0000-0000-000030060000}"/>
    <cellStyle name="20% - Accent4 2 4 2 2 4 2" xfId="34143" xr:uid="{00000000-0005-0000-0000-000031060000}"/>
    <cellStyle name="20% - Accent4 2 4 2 2 5" xfId="29499" xr:uid="{00000000-0005-0000-0000-000032060000}"/>
    <cellStyle name="20% - Accent4 2 4 2 2 6" xfId="33316" xr:uid="{00000000-0005-0000-0000-000033060000}"/>
    <cellStyle name="20% - Accent4 2 4 2 2_loan Analysis " xfId="13024" xr:uid="{00000000-0005-0000-0000-000034060000}"/>
    <cellStyle name="20% - Accent4 2 4 2 3" xfId="13025" xr:uid="{00000000-0005-0000-0000-000035060000}"/>
    <cellStyle name="20% - Accent4 2 4 2 3 2" xfId="17058" xr:uid="{00000000-0005-0000-0000-000036060000}"/>
    <cellStyle name="20% - Accent4 2 4 2 3 3" xfId="29500" xr:uid="{00000000-0005-0000-0000-000037060000}"/>
    <cellStyle name="20% - Accent4 2 4 2 3 4" xfId="29501" xr:uid="{00000000-0005-0000-0000-000038060000}"/>
    <cellStyle name="20% - Accent4 2 4 2 3 5" xfId="33592" xr:uid="{00000000-0005-0000-0000-000039060000}"/>
    <cellStyle name="20% - Accent4 2 4 2 4" xfId="17055" xr:uid="{00000000-0005-0000-0000-00003A060000}"/>
    <cellStyle name="20% - Accent4 2 4 2 4 2" xfId="33827" xr:uid="{00000000-0005-0000-0000-00003B060000}"/>
    <cellStyle name="20% - Accent4 2 4 2 5" xfId="29502" xr:uid="{00000000-0005-0000-0000-00003C060000}"/>
    <cellStyle name="20% - Accent4 2 4 2 5 2" xfId="34046" xr:uid="{00000000-0005-0000-0000-00003D060000}"/>
    <cellStyle name="20% - Accent4 2 4 2 6" xfId="29503" xr:uid="{00000000-0005-0000-0000-00003E060000}"/>
    <cellStyle name="20% - Accent4 2 4 2 7" xfId="33212" xr:uid="{00000000-0005-0000-0000-00003F060000}"/>
    <cellStyle name="20% - Accent4 2 4 2_loan Analysis " xfId="13026" xr:uid="{00000000-0005-0000-0000-000040060000}"/>
    <cellStyle name="20% - Accent4 2 4 3" xfId="13027" xr:uid="{00000000-0005-0000-0000-000041060000}"/>
    <cellStyle name="20% - Accent4 2 4 3 2" xfId="13028" xr:uid="{00000000-0005-0000-0000-000042060000}"/>
    <cellStyle name="20% - Accent4 2 4 3 2 2" xfId="17060" xr:uid="{00000000-0005-0000-0000-000043060000}"/>
    <cellStyle name="20% - Accent4 2 4 3 2 3" xfId="29504" xr:uid="{00000000-0005-0000-0000-000044060000}"/>
    <cellStyle name="20% - Accent4 2 4 3 2 4" xfId="29505" xr:uid="{00000000-0005-0000-0000-000045060000}"/>
    <cellStyle name="20% - Accent4 2 4 3 2 5" xfId="33659" xr:uid="{00000000-0005-0000-0000-000046060000}"/>
    <cellStyle name="20% - Accent4 2 4 3 3" xfId="17059" xr:uid="{00000000-0005-0000-0000-000047060000}"/>
    <cellStyle name="20% - Accent4 2 4 3 3 2" xfId="33887" xr:uid="{00000000-0005-0000-0000-000048060000}"/>
    <cellStyle name="20% - Accent4 2 4 3 4" xfId="29506" xr:uid="{00000000-0005-0000-0000-000049060000}"/>
    <cellStyle name="20% - Accent4 2 4 3 4 2" xfId="34102" xr:uid="{00000000-0005-0000-0000-00004A060000}"/>
    <cellStyle name="20% - Accent4 2 4 3 5" xfId="29507" xr:uid="{00000000-0005-0000-0000-00004B060000}"/>
    <cellStyle name="20% - Accent4 2 4 3 6" xfId="33275" xr:uid="{00000000-0005-0000-0000-00004C060000}"/>
    <cellStyle name="20% - Accent4 2 4 3_loan Analysis " xfId="13029" xr:uid="{00000000-0005-0000-0000-00004D060000}"/>
    <cellStyle name="20% - Accent4 2 4 4" xfId="13030" xr:uid="{00000000-0005-0000-0000-00004E060000}"/>
    <cellStyle name="20% - Accent4 2 4 4 2" xfId="17061" xr:uid="{00000000-0005-0000-0000-00004F060000}"/>
    <cellStyle name="20% - Accent4 2 4 4 3" xfId="29508" xr:uid="{00000000-0005-0000-0000-000050060000}"/>
    <cellStyle name="20% - Accent4 2 4 4 4" xfId="29509" xr:uid="{00000000-0005-0000-0000-000051060000}"/>
    <cellStyle name="20% - Accent4 2 4 4 5" xfId="29510" xr:uid="{00000000-0005-0000-0000-000052060000}"/>
    <cellStyle name="20% - Accent4 2 4 4 6" xfId="33444" xr:uid="{00000000-0005-0000-0000-000053060000}"/>
    <cellStyle name="20% - Accent4 2 4 5" xfId="29511" xr:uid="{00000000-0005-0000-0000-000054060000}"/>
    <cellStyle name="20% - Accent4 2 4 5 2" xfId="33567" xr:uid="{00000000-0005-0000-0000-000055060000}"/>
    <cellStyle name="20% - Accent4 2 4 6" xfId="29512" xr:uid="{00000000-0005-0000-0000-000056060000}"/>
    <cellStyle name="20% - Accent4 2 4 6 2" xfId="33432" xr:uid="{00000000-0005-0000-0000-000057060000}"/>
    <cellStyle name="20% - Accent4 2 4 7" xfId="29513" xr:uid="{00000000-0005-0000-0000-000058060000}"/>
    <cellStyle name="20% - Accent4 2 4 8" xfId="33123" xr:uid="{00000000-0005-0000-0000-000059060000}"/>
    <cellStyle name="20% - Accent4 2 4_loan Analysis " xfId="13031" xr:uid="{00000000-0005-0000-0000-00005A060000}"/>
    <cellStyle name="20% - Accent4 2 40" xfId="1470" xr:uid="{00000000-0005-0000-0000-00005B060000}"/>
    <cellStyle name="20% - Accent4 2 41" xfId="1471" xr:uid="{00000000-0005-0000-0000-00005C060000}"/>
    <cellStyle name="20% - Accent4 2 41 2" xfId="1472" xr:uid="{00000000-0005-0000-0000-00005D060000}"/>
    <cellStyle name="20% - Accent4 2 42" xfId="29514" xr:uid="{00000000-0005-0000-0000-00005E060000}"/>
    <cellStyle name="20% - Accent4 2 43" xfId="29515" xr:uid="{00000000-0005-0000-0000-00005F060000}"/>
    <cellStyle name="20% - Accent4 2 44" xfId="29516" xr:uid="{00000000-0005-0000-0000-000060060000}"/>
    <cellStyle name="20% - Accent4 2 45" xfId="29517" xr:uid="{00000000-0005-0000-0000-000061060000}"/>
    <cellStyle name="20% - Accent4 2 46" xfId="29518" xr:uid="{00000000-0005-0000-0000-000062060000}"/>
    <cellStyle name="20% - Accent4 2 47" xfId="29519" xr:uid="{00000000-0005-0000-0000-000063060000}"/>
    <cellStyle name="20% - Accent4 2 48" xfId="29520" xr:uid="{00000000-0005-0000-0000-000064060000}"/>
    <cellStyle name="20% - Accent4 2 49" xfId="29521" xr:uid="{00000000-0005-0000-0000-000065060000}"/>
    <cellStyle name="20% - Accent4 2 5" xfId="1473" xr:uid="{00000000-0005-0000-0000-000066060000}"/>
    <cellStyle name="20% - Accent4 2 5 2" xfId="1474" xr:uid="{00000000-0005-0000-0000-000067060000}"/>
    <cellStyle name="20% - Accent4 2 5 3" xfId="29522" xr:uid="{00000000-0005-0000-0000-000068060000}"/>
    <cellStyle name="20% - Accent4 2 50" xfId="29523" xr:uid="{00000000-0005-0000-0000-000069060000}"/>
    <cellStyle name="20% - Accent4 2 51" xfId="29524" xr:uid="{00000000-0005-0000-0000-00006A060000}"/>
    <cellStyle name="20% - Accent4 2 52" xfId="29525" xr:uid="{00000000-0005-0000-0000-00006B060000}"/>
    <cellStyle name="20% - Accent4 2 53" xfId="33120" xr:uid="{00000000-0005-0000-0000-00006C060000}"/>
    <cellStyle name="20% - Accent4 2 54" xfId="33194" xr:uid="{00000000-0005-0000-0000-00006D060000}"/>
    <cellStyle name="20% - Accent4 2 55" xfId="1305" xr:uid="{00000000-0005-0000-0000-00006E060000}"/>
    <cellStyle name="20% - Accent4 2 6" xfId="1475" xr:uid="{00000000-0005-0000-0000-00006F060000}"/>
    <cellStyle name="20% - Accent4 2 6 2" xfId="29526" xr:uid="{00000000-0005-0000-0000-000070060000}"/>
    <cellStyle name="20% - Accent4 2 6 3" xfId="29527" xr:uid="{00000000-0005-0000-0000-000071060000}"/>
    <cellStyle name="20% - Accent4 2 7" xfId="1476" xr:uid="{00000000-0005-0000-0000-000072060000}"/>
    <cellStyle name="20% - Accent4 2 8" xfId="1477" xr:uid="{00000000-0005-0000-0000-000073060000}"/>
    <cellStyle name="20% - Accent4 2 9" xfId="1478" xr:uid="{00000000-0005-0000-0000-000074060000}"/>
    <cellStyle name="20% - Accent4 2_Loan Classification" xfId="11403" xr:uid="{00000000-0005-0000-0000-000075060000}"/>
    <cellStyle name="20% - Accent4 20" xfId="1479" xr:uid="{00000000-0005-0000-0000-000076060000}"/>
    <cellStyle name="20% - Accent4 21" xfId="1480" xr:uid="{00000000-0005-0000-0000-000077060000}"/>
    <cellStyle name="20% - Accent4 22" xfId="1481" xr:uid="{00000000-0005-0000-0000-000078060000}"/>
    <cellStyle name="20% - Accent4 23" xfId="1482" xr:uid="{00000000-0005-0000-0000-000079060000}"/>
    <cellStyle name="20% - Accent4 24" xfId="1483" xr:uid="{00000000-0005-0000-0000-00007A060000}"/>
    <cellStyle name="20% - Accent4 25" xfId="1484" xr:uid="{00000000-0005-0000-0000-00007B060000}"/>
    <cellStyle name="20% - Accent4 26" xfId="1485" xr:uid="{00000000-0005-0000-0000-00007C060000}"/>
    <cellStyle name="20% - Accent4 27" xfId="1486" xr:uid="{00000000-0005-0000-0000-00007D060000}"/>
    <cellStyle name="20% - Accent4 28" xfId="1487" xr:uid="{00000000-0005-0000-0000-00007E060000}"/>
    <cellStyle name="20% - Accent4 29" xfId="1488" xr:uid="{00000000-0005-0000-0000-00007F060000}"/>
    <cellStyle name="20% - Accent4 3" xfId="62" xr:uid="{00000000-0005-0000-0000-000080060000}"/>
    <cellStyle name="20% - Accent4 3 2" xfId="425" xr:uid="{00000000-0005-0000-0000-000081060000}"/>
    <cellStyle name="20% - Accent4 3 2 2" xfId="29529" xr:uid="{00000000-0005-0000-0000-000082060000}"/>
    <cellStyle name="20% - Accent4 3 2 3" xfId="29528" xr:uid="{00000000-0005-0000-0000-000083060000}"/>
    <cellStyle name="20% - Accent4 3 3" xfId="29530" xr:uid="{00000000-0005-0000-0000-000084060000}"/>
    <cellStyle name="20% - Accent4 3 4" xfId="1489" xr:uid="{00000000-0005-0000-0000-000085060000}"/>
    <cellStyle name="20% - Accent4 30" xfId="1490" xr:uid="{00000000-0005-0000-0000-000086060000}"/>
    <cellStyle name="20% - Accent4 31" xfId="1491" xr:uid="{00000000-0005-0000-0000-000087060000}"/>
    <cellStyle name="20% - Accent4 32" xfId="1492" xr:uid="{00000000-0005-0000-0000-000088060000}"/>
    <cellStyle name="20% - Accent4 33" xfId="1493" xr:uid="{00000000-0005-0000-0000-000089060000}"/>
    <cellStyle name="20% - Accent4 34" xfId="1494" xr:uid="{00000000-0005-0000-0000-00008A060000}"/>
    <cellStyle name="20% - Accent4 35" xfId="1495" xr:uid="{00000000-0005-0000-0000-00008B060000}"/>
    <cellStyle name="20% - Accent4 36" xfId="1496" xr:uid="{00000000-0005-0000-0000-00008C060000}"/>
    <cellStyle name="20% - Accent4 37" xfId="1497" xr:uid="{00000000-0005-0000-0000-00008D060000}"/>
    <cellStyle name="20% - Accent4 38" xfId="1498" xr:uid="{00000000-0005-0000-0000-00008E060000}"/>
    <cellStyle name="20% - Accent4 39" xfId="1499" xr:uid="{00000000-0005-0000-0000-00008F060000}"/>
    <cellStyle name="20% - Accent4 4" xfId="1500" xr:uid="{00000000-0005-0000-0000-000090060000}"/>
    <cellStyle name="20% - Accent4 4 2" xfId="29531" xr:uid="{00000000-0005-0000-0000-000091060000}"/>
    <cellStyle name="20% - Accent4 4 2 2" xfId="29532" xr:uid="{00000000-0005-0000-0000-000092060000}"/>
    <cellStyle name="20% - Accent4 4 3" xfId="29533" xr:uid="{00000000-0005-0000-0000-000093060000}"/>
    <cellStyle name="20% - Accent4 40" xfId="1501" xr:uid="{00000000-0005-0000-0000-000094060000}"/>
    <cellStyle name="20% - Accent4 41" xfId="1502" xr:uid="{00000000-0005-0000-0000-000095060000}"/>
    <cellStyle name="20% - Accent4 42" xfId="1503" xr:uid="{00000000-0005-0000-0000-000096060000}"/>
    <cellStyle name="20% - Accent4 43" xfId="11566" xr:uid="{00000000-0005-0000-0000-000097060000}"/>
    <cellStyle name="20% - Accent4 44" xfId="11551" xr:uid="{00000000-0005-0000-0000-000098060000}"/>
    <cellStyle name="20% - Accent4 44 2" xfId="17063" xr:uid="{00000000-0005-0000-0000-000099060000}"/>
    <cellStyle name="20% - Accent4 45" xfId="17064" xr:uid="{00000000-0005-0000-0000-00009A060000}"/>
    <cellStyle name="20% - Accent4 46" xfId="29534" xr:uid="{00000000-0005-0000-0000-00009B060000}"/>
    <cellStyle name="20% - Accent4 47" xfId="29535" xr:uid="{00000000-0005-0000-0000-00009C060000}"/>
    <cellStyle name="20% - Accent4 48" xfId="34263" xr:uid="{00000000-0005-0000-0000-00009D060000}"/>
    <cellStyle name="20% - Accent4 49" xfId="486" xr:uid="{00000000-0005-0000-0000-00009E060000}"/>
    <cellStyle name="20% - Accent4 5" xfId="1504" xr:uid="{00000000-0005-0000-0000-00009F060000}"/>
    <cellStyle name="20% - Accent4 5 2" xfId="12832" xr:uid="{00000000-0005-0000-0000-0000A0060000}"/>
    <cellStyle name="20% - Accent4 5 2 2" xfId="29536" xr:uid="{00000000-0005-0000-0000-0000A1060000}"/>
    <cellStyle name="20% - Accent4 5 3" xfId="29537" xr:uid="{00000000-0005-0000-0000-0000A2060000}"/>
    <cellStyle name="20% - Accent4 5 3 2" xfId="29538" xr:uid="{00000000-0005-0000-0000-0000A3060000}"/>
    <cellStyle name="20% - Accent4 6" xfId="1505" xr:uid="{00000000-0005-0000-0000-0000A4060000}"/>
    <cellStyle name="20% - Accent4 6 2" xfId="29539" xr:uid="{00000000-0005-0000-0000-0000A5060000}"/>
    <cellStyle name="20% - Accent4 6 3" xfId="29540" xr:uid="{00000000-0005-0000-0000-0000A6060000}"/>
    <cellStyle name="20% - Accent4 7" xfId="1506" xr:uid="{00000000-0005-0000-0000-0000A7060000}"/>
    <cellStyle name="20% - Accent4 7 2" xfId="29541" xr:uid="{00000000-0005-0000-0000-0000A8060000}"/>
    <cellStyle name="20% - Accent4 7 3" xfId="29542" xr:uid="{00000000-0005-0000-0000-0000A9060000}"/>
    <cellStyle name="20% - Accent4 8" xfId="1507" xr:uid="{00000000-0005-0000-0000-0000AA060000}"/>
    <cellStyle name="20% - Accent4 8 2" xfId="29543" xr:uid="{00000000-0005-0000-0000-0000AB060000}"/>
    <cellStyle name="20% - Accent4 8 3" xfId="29544" xr:uid="{00000000-0005-0000-0000-0000AC060000}"/>
    <cellStyle name="20% - Accent4 9" xfId="1508" xr:uid="{00000000-0005-0000-0000-0000AD060000}"/>
    <cellStyle name="20% - Accent4 9 2" xfId="29545" xr:uid="{00000000-0005-0000-0000-0000AE060000}"/>
    <cellStyle name="20% - Accent4 9 3" xfId="29546" xr:uid="{00000000-0005-0000-0000-0000AF060000}"/>
    <cellStyle name="20% - Accent5" xfId="42" builtinId="46" customBuiltin="1"/>
    <cellStyle name="20% - Accent5 10" xfId="1509" xr:uid="{00000000-0005-0000-0000-0000B1060000}"/>
    <cellStyle name="20% - Accent5 10 2" xfId="29547" xr:uid="{00000000-0005-0000-0000-0000B2060000}"/>
    <cellStyle name="20% - Accent5 11" xfId="1510" xr:uid="{00000000-0005-0000-0000-0000B3060000}"/>
    <cellStyle name="20% - Accent5 11 2" xfId="29548" xr:uid="{00000000-0005-0000-0000-0000B4060000}"/>
    <cellStyle name="20% - Accent5 12" xfId="1511" xr:uid="{00000000-0005-0000-0000-0000B5060000}"/>
    <cellStyle name="20% - Accent5 12 2" xfId="29549" xr:uid="{00000000-0005-0000-0000-0000B6060000}"/>
    <cellStyle name="20% - Accent5 13" xfId="1512" xr:uid="{00000000-0005-0000-0000-0000B7060000}"/>
    <cellStyle name="20% - Accent5 13 2" xfId="29550" xr:uid="{00000000-0005-0000-0000-0000B8060000}"/>
    <cellStyle name="20% - Accent5 14" xfId="1513" xr:uid="{00000000-0005-0000-0000-0000B9060000}"/>
    <cellStyle name="20% - Accent5 14 2" xfId="29551" xr:uid="{00000000-0005-0000-0000-0000BA060000}"/>
    <cellStyle name="20% - Accent5 15" xfId="1514" xr:uid="{00000000-0005-0000-0000-0000BB060000}"/>
    <cellStyle name="20% - Accent5 15 2" xfId="29552" xr:uid="{00000000-0005-0000-0000-0000BC060000}"/>
    <cellStyle name="20% - Accent5 16" xfId="1515" xr:uid="{00000000-0005-0000-0000-0000BD060000}"/>
    <cellStyle name="20% - Accent5 16 2" xfId="29553" xr:uid="{00000000-0005-0000-0000-0000BE060000}"/>
    <cellStyle name="20% - Accent5 17" xfId="1516" xr:uid="{00000000-0005-0000-0000-0000BF060000}"/>
    <cellStyle name="20% - Accent5 17 2" xfId="29554" xr:uid="{00000000-0005-0000-0000-0000C0060000}"/>
    <cellStyle name="20% - Accent5 18" xfId="1517" xr:uid="{00000000-0005-0000-0000-0000C1060000}"/>
    <cellStyle name="20% - Accent5 19" xfId="1518" xr:uid="{00000000-0005-0000-0000-0000C2060000}"/>
    <cellStyle name="20% - Accent5 2" xfId="448" xr:uid="{00000000-0005-0000-0000-0000C3060000}"/>
    <cellStyle name="20% - Accent5 2 10" xfId="1520" xr:uid="{00000000-0005-0000-0000-0000C4060000}"/>
    <cellStyle name="20% - Accent5 2 11" xfId="1521" xr:uid="{00000000-0005-0000-0000-0000C5060000}"/>
    <cellStyle name="20% - Accent5 2 12" xfId="1522" xr:uid="{00000000-0005-0000-0000-0000C6060000}"/>
    <cellStyle name="20% - Accent5 2 13" xfId="1523" xr:uid="{00000000-0005-0000-0000-0000C7060000}"/>
    <cellStyle name="20% - Accent5 2 14" xfId="1524" xr:uid="{00000000-0005-0000-0000-0000C8060000}"/>
    <cellStyle name="20% - Accent5 2 15" xfId="1525" xr:uid="{00000000-0005-0000-0000-0000C9060000}"/>
    <cellStyle name="20% - Accent5 2 16" xfId="1526" xr:uid="{00000000-0005-0000-0000-0000CA060000}"/>
    <cellStyle name="20% - Accent5 2 16 2" xfId="1527" xr:uid="{00000000-0005-0000-0000-0000CB060000}"/>
    <cellStyle name="20% - Accent5 2 17" xfId="1528" xr:uid="{00000000-0005-0000-0000-0000CC060000}"/>
    <cellStyle name="20% - Accent5 2 18" xfId="1529" xr:uid="{00000000-0005-0000-0000-0000CD060000}"/>
    <cellStyle name="20% - Accent5 2 19" xfId="1530" xr:uid="{00000000-0005-0000-0000-0000CE060000}"/>
    <cellStyle name="20% - Accent5 2 2" xfId="1531" xr:uid="{00000000-0005-0000-0000-0000CF060000}"/>
    <cellStyle name="20% - Accent5 2 2 10" xfId="1532" xr:uid="{00000000-0005-0000-0000-0000D0060000}"/>
    <cellStyle name="20% - Accent5 2 2 11" xfId="1533" xr:uid="{00000000-0005-0000-0000-0000D1060000}"/>
    <cellStyle name="20% - Accent5 2 2 12" xfId="1534" xr:uid="{00000000-0005-0000-0000-0000D2060000}"/>
    <cellStyle name="20% - Accent5 2 2 13" xfId="1535" xr:uid="{00000000-0005-0000-0000-0000D3060000}"/>
    <cellStyle name="20% - Accent5 2 2 14" xfId="1536" xr:uid="{00000000-0005-0000-0000-0000D4060000}"/>
    <cellStyle name="20% - Accent5 2 2 14 2" xfId="1537" xr:uid="{00000000-0005-0000-0000-0000D5060000}"/>
    <cellStyle name="20% - Accent5 2 2 15" xfId="1538" xr:uid="{00000000-0005-0000-0000-0000D6060000}"/>
    <cellStyle name="20% - Accent5 2 2 16" xfId="1539" xr:uid="{00000000-0005-0000-0000-0000D7060000}"/>
    <cellStyle name="20% - Accent5 2 2 17" xfId="1540" xr:uid="{00000000-0005-0000-0000-0000D8060000}"/>
    <cellStyle name="20% - Accent5 2 2 18" xfId="1541" xr:uid="{00000000-0005-0000-0000-0000D9060000}"/>
    <cellStyle name="20% - Accent5 2 2 19" xfId="1542" xr:uid="{00000000-0005-0000-0000-0000DA060000}"/>
    <cellStyle name="20% - Accent5 2 2 2" xfId="1543" xr:uid="{00000000-0005-0000-0000-0000DB060000}"/>
    <cellStyle name="20% - Accent5 2 2 2 10" xfId="1544" xr:uid="{00000000-0005-0000-0000-0000DC060000}"/>
    <cellStyle name="20% - Accent5 2 2 2 11" xfId="1545" xr:uid="{00000000-0005-0000-0000-0000DD060000}"/>
    <cellStyle name="20% - Accent5 2 2 2 12" xfId="1546" xr:uid="{00000000-0005-0000-0000-0000DE060000}"/>
    <cellStyle name="20% - Accent5 2 2 2 13" xfId="1547" xr:uid="{00000000-0005-0000-0000-0000DF060000}"/>
    <cellStyle name="20% - Accent5 2 2 2 14" xfId="1548" xr:uid="{00000000-0005-0000-0000-0000E0060000}"/>
    <cellStyle name="20% - Accent5 2 2 2 15" xfId="1549" xr:uid="{00000000-0005-0000-0000-0000E1060000}"/>
    <cellStyle name="20% - Accent5 2 2 2 16" xfId="1550" xr:uid="{00000000-0005-0000-0000-0000E2060000}"/>
    <cellStyle name="20% - Accent5 2 2 2 17" xfId="1551" xr:uid="{00000000-0005-0000-0000-0000E3060000}"/>
    <cellStyle name="20% - Accent5 2 2 2 18" xfId="1552" xr:uid="{00000000-0005-0000-0000-0000E4060000}"/>
    <cellStyle name="20% - Accent5 2 2 2 19" xfId="1553" xr:uid="{00000000-0005-0000-0000-0000E5060000}"/>
    <cellStyle name="20% - Accent5 2 2 2 2" xfId="1554" xr:uid="{00000000-0005-0000-0000-0000E6060000}"/>
    <cellStyle name="20% - Accent5 2 2 2 2 10" xfId="1555" xr:uid="{00000000-0005-0000-0000-0000E7060000}"/>
    <cellStyle name="20% - Accent5 2 2 2 2 11" xfId="1556" xr:uid="{00000000-0005-0000-0000-0000E8060000}"/>
    <cellStyle name="20% - Accent5 2 2 2 2 12" xfId="1557" xr:uid="{00000000-0005-0000-0000-0000E9060000}"/>
    <cellStyle name="20% - Accent5 2 2 2 2 13" xfId="1558" xr:uid="{00000000-0005-0000-0000-0000EA060000}"/>
    <cellStyle name="20% - Accent5 2 2 2 2 14" xfId="1559" xr:uid="{00000000-0005-0000-0000-0000EB060000}"/>
    <cellStyle name="20% - Accent5 2 2 2 2 15" xfId="1560" xr:uid="{00000000-0005-0000-0000-0000EC060000}"/>
    <cellStyle name="20% - Accent5 2 2 2 2 16" xfId="1561" xr:uid="{00000000-0005-0000-0000-0000ED060000}"/>
    <cellStyle name="20% - Accent5 2 2 2 2 17" xfId="1562" xr:uid="{00000000-0005-0000-0000-0000EE060000}"/>
    <cellStyle name="20% - Accent5 2 2 2 2 18" xfId="1563" xr:uid="{00000000-0005-0000-0000-0000EF060000}"/>
    <cellStyle name="20% - Accent5 2 2 2 2 19" xfId="1564" xr:uid="{00000000-0005-0000-0000-0000F0060000}"/>
    <cellStyle name="20% - Accent5 2 2 2 2 2" xfId="1565" xr:uid="{00000000-0005-0000-0000-0000F1060000}"/>
    <cellStyle name="20% - Accent5 2 2 2 2 2 10" xfId="1566" xr:uid="{00000000-0005-0000-0000-0000F2060000}"/>
    <cellStyle name="20% - Accent5 2 2 2 2 2 11" xfId="1567" xr:uid="{00000000-0005-0000-0000-0000F3060000}"/>
    <cellStyle name="20% - Accent5 2 2 2 2 2 11 2" xfId="1568" xr:uid="{00000000-0005-0000-0000-0000F4060000}"/>
    <cellStyle name="20% - Accent5 2 2 2 2 2 12" xfId="29555" xr:uid="{00000000-0005-0000-0000-0000F5060000}"/>
    <cellStyle name="20% - Accent5 2 2 2 2 2 13" xfId="29556" xr:uid="{00000000-0005-0000-0000-0000F6060000}"/>
    <cellStyle name="20% - Accent5 2 2 2 2 2 14" xfId="33701" xr:uid="{00000000-0005-0000-0000-0000F7060000}"/>
    <cellStyle name="20% - Accent5 2 2 2 2 2 2" xfId="1569" xr:uid="{00000000-0005-0000-0000-0000F8060000}"/>
    <cellStyle name="20% - Accent5 2 2 2 2 2 2 10" xfId="1570" xr:uid="{00000000-0005-0000-0000-0000F9060000}"/>
    <cellStyle name="20% - Accent5 2 2 2 2 2 2 11" xfId="1571" xr:uid="{00000000-0005-0000-0000-0000FA060000}"/>
    <cellStyle name="20% - Accent5 2 2 2 2 2 2 11 2" xfId="1572" xr:uid="{00000000-0005-0000-0000-0000FB060000}"/>
    <cellStyle name="20% - Accent5 2 2 2 2 2 2 2" xfId="1573" xr:uid="{00000000-0005-0000-0000-0000FC060000}"/>
    <cellStyle name="20% - Accent5 2 2 2 2 2 2 2 2" xfId="1574" xr:uid="{00000000-0005-0000-0000-0000FD060000}"/>
    <cellStyle name="20% - Accent5 2 2 2 2 2 2 2 2 2" xfId="1575" xr:uid="{00000000-0005-0000-0000-0000FE060000}"/>
    <cellStyle name="20% - Accent5 2 2 2 2 2 2 2 2 2 2" xfId="1576" xr:uid="{00000000-0005-0000-0000-0000FF060000}"/>
    <cellStyle name="20% - Accent5 2 2 2 2 2 2 2 2 3" xfId="1577" xr:uid="{00000000-0005-0000-0000-000000070000}"/>
    <cellStyle name="20% - Accent5 2 2 2 2 2 2 2 3" xfId="1578" xr:uid="{00000000-0005-0000-0000-000001070000}"/>
    <cellStyle name="20% - Accent5 2 2 2 2 2 2 2 3 2" xfId="1579" xr:uid="{00000000-0005-0000-0000-000002070000}"/>
    <cellStyle name="20% - Accent5 2 2 2 2 2 2 3" xfId="1580" xr:uid="{00000000-0005-0000-0000-000003070000}"/>
    <cellStyle name="20% - Accent5 2 2 2 2 2 2 4" xfId="1581" xr:uid="{00000000-0005-0000-0000-000004070000}"/>
    <cellStyle name="20% - Accent5 2 2 2 2 2 2 5" xfId="1582" xr:uid="{00000000-0005-0000-0000-000005070000}"/>
    <cellStyle name="20% - Accent5 2 2 2 2 2 2 6" xfId="1583" xr:uid="{00000000-0005-0000-0000-000006070000}"/>
    <cellStyle name="20% - Accent5 2 2 2 2 2 2 7" xfId="1584" xr:uid="{00000000-0005-0000-0000-000007070000}"/>
    <cellStyle name="20% - Accent5 2 2 2 2 2 2 8" xfId="1585" xr:uid="{00000000-0005-0000-0000-000008070000}"/>
    <cellStyle name="20% - Accent5 2 2 2 2 2 2 9" xfId="1586" xr:uid="{00000000-0005-0000-0000-000009070000}"/>
    <cellStyle name="20% - Accent5 2 2 2 2 2 3" xfId="1587" xr:uid="{00000000-0005-0000-0000-00000A070000}"/>
    <cellStyle name="20% - Accent5 2 2 2 2 2 3 2" xfId="1588" xr:uid="{00000000-0005-0000-0000-00000B070000}"/>
    <cellStyle name="20% - Accent5 2 2 2 2 2 4" xfId="1589" xr:uid="{00000000-0005-0000-0000-00000C070000}"/>
    <cellStyle name="20% - Accent5 2 2 2 2 2 5" xfId="1590" xr:uid="{00000000-0005-0000-0000-00000D070000}"/>
    <cellStyle name="20% - Accent5 2 2 2 2 2 6" xfId="1591" xr:uid="{00000000-0005-0000-0000-00000E070000}"/>
    <cellStyle name="20% - Accent5 2 2 2 2 2 7" xfId="1592" xr:uid="{00000000-0005-0000-0000-00000F070000}"/>
    <cellStyle name="20% - Accent5 2 2 2 2 2 8" xfId="1593" xr:uid="{00000000-0005-0000-0000-000010070000}"/>
    <cellStyle name="20% - Accent5 2 2 2 2 2 9" xfId="1594" xr:uid="{00000000-0005-0000-0000-000011070000}"/>
    <cellStyle name="20% - Accent5 2 2 2 2 20" xfId="1595" xr:uid="{00000000-0005-0000-0000-000012070000}"/>
    <cellStyle name="20% - Accent5 2 2 2 2 20 2" xfId="1596" xr:uid="{00000000-0005-0000-0000-000013070000}"/>
    <cellStyle name="20% - Accent5 2 2 2 2 21" xfId="1597" xr:uid="{00000000-0005-0000-0000-000014070000}"/>
    <cellStyle name="20% - Accent5 2 2 2 2 22" xfId="1598" xr:uid="{00000000-0005-0000-0000-000015070000}"/>
    <cellStyle name="20% - Accent5 2 2 2 2 23" xfId="1599" xr:uid="{00000000-0005-0000-0000-000016070000}"/>
    <cellStyle name="20% - Accent5 2 2 2 2 24" xfId="1600" xr:uid="{00000000-0005-0000-0000-000017070000}"/>
    <cellStyle name="20% - Accent5 2 2 2 2 25" xfId="1601" xr:uid="{00000000-0005-0000-0000-000018070000}"/>
    <cellStyle name="20% - Accent5 2 2 2 2 26" xfId="1602" xr:uid="{00000000-0005-0000-0000-000019070000}"/>
    <cellStyle name="20% - Accent5 2 2 2 2 27" xfId="1603" xr:uid="{00000000-0005-0000-0000-00001A070000}"/>
    <cellStyle name="20% - Accent5 2 2 2 2 28" xfId="1604" xr:uid="{00000000-0005-0000-0000-00001B070000}"/>
    <cellStyle name="20% - Accent5 2 2 2 2 28 2" xfId="1605" xr:uid="{00000000-0005-0000-0000-00001C070000}"/>
    <cellStyle name="20% - Accent5 2 2 2 2 29" xfId="29557" xr:uid="{00000000-0005-0000-0000-00001D070000}"/>
    <cellStyle name="20% - Accent5 2 2 2 2 3" xfId="1606" xr:uid="{00000000-0005-0000-0000-00001E070000}"/>
    <cellStyle name="20% - Accent5 2 2 2 2 3 2" xfId="33930" xr:uid="{00000000-0005-0000-0000-00001F070000}"/>
    <cellStyle name="20% - Accent5 2 2 2 2 30" xfId="29558" xr:uid="{00000000-0005-0000-0000-000020070000}"/>
    <cellStyle name="20% - Accent5 2 2 2 2 31" xfId="33317" xr:uid="{00000000-0005-0000-0000-000021070000}"/>
    <cellStyle name="20% - Accent5 2 2 2 2 4" xfId="1607" xr:uid="{00000000-0005-0000-0000-000022070000}"/>
    <cellStyle name="20% - Accent5 2 2 2 2 4 2" xfId="34144" xr:uid="{00000000-0005-0000-0000-000023070000}"/>
    <cellStyle name="20% - Accent5 2 2 2 2 5" xfId="1608" xr:uid="{00000000-0005-0000-0000-000024070000}"/>
    <cellStyle name="20% - Accent5 2 2 2 2 6" xfId="1609" xr:uid="{00000000-0005-0000-0000-000025070000}"/>
    <cellStyle name="20% - Accent5 2 2 2 2 7" xfId="1610" xr:uid="{00000000-0005-0000-0000-000026070000}"/>
    <cellStyle name="20% - Accent5 2 2 2 2 8" xfId="1611" xr:uid="{00000000-0005-0000-0000-000027070000}"/>
    <cellStyle name="20% - Accent5 2 2 2 2 9" xfId="1612" xr:uid="{00000000-0005-0000-0000-000028070000}"/>
    <cellStyle name="20% - Accent5 2 2 2 2_loan Analysis " xfId="13032" xr:uid="{00000000-0005-0000-0000-000029070000}"/>
    <cellStyle name="20% - Accent5 2 2 2 20" xfId="1613" xr:uid="{00000000-0005-0000-0000-00002A070000}"/>
    <cellStyle name="20% - Accent5 2 2 2 20 2" xfId="1614" xr:uid="{00000000-0005-0000-0000-00002B070000}"/>
    <cellStyle name="20% - Accent5 2 2 2 21" xfId="1615" xr:uid="{00000000-0005-0000-0000-00002C070000}"/>
    <cellStyle name="20% - Accent5 2 2 2 22" xfId="1616" xr:uid="{00000000-0005-0000-0000-00002D070000}"/>
    <cellStyle name="20% - Accent5 2 2 2 23" xfId="1617" xr:uid="{00000000-0005-0000-0000-00002E070000}"/>
    <cellStyle name="20% - Accent5 2 2 2 24" xfId="1618" xr:uid="{00000000-0005-0000-0000-00002F070000}"/>
    <cellStyle name="20% - Accent5 2 2 2 25" xfId="1619" xr:uid="{00000000-0005-0000-0000-000030070000}"/>
    <cellStyle name="20% - Accent5 2 2 2 26" xfId="1620" xr:uid="{00000000-0005-0000-0000-000031070000}"/>
    <cellStyle name="20% - Accent5 2 2 2 27" xfId="1621" xr:uid="{00000000-0005-0000-0000-000032070000}"/>
    <cellStyle name="20% - Accent5 2 2 2 28" xfId="1622" xr:uid="{00000000-0005-0000-0000-000033070000}"/>
    <cellStyle name="20% - Accent5 2 2 2 28 2" xfId="1623" xr:uid="{00000000-0005-0000-0000-000034070000}"/>
    <cellStyle name="20% - Accent5 2 2 2 29" xfId="29559" xr:uid="{00000000-0005-0000-0000-000035070000}"/>
    <cellStyle name="20% - Accent5 2 2 2 3" xfId="1624" xr:uid="{00000000-0005-0000-0000-000036070000}"/>
    <cellStyle name="20% - Accent5 2 2 2 3 2" xfId="1625" xr:uid="{00000000-0005-0000-0000-000037070000}"/>
    <cellStyle name="20% - Accent5 2 2 2 3 3" xfId="29560" xr:uid="{00000000-0005-0000-0000-000038070000}"/>
    <cellStyle name="20% - Accent5 2 2 2 3 4" xfId="29561" xr:uid="{00000000-0005-0000-0000-000039070000}"/>
    <cellStyle name="20% - Accent5 2 2 2 3 5" xfId="33593" xr:uid="{00000000-0005-0000-0000-00003A070000}"/>
    <cellStyle name="20% - Accent5 2 2 2 30" xfId="29562" xr:uid="{00000000-0005-0000-0000-00003B070000}"/>
    <cellStyle name="20% - Accent5 2 2 2 31" xfId="29563" xr:uid="{00000000-0005-0000-0000-00003C070000}"/>
    <cellStyle name="20% - Accent5 2 2 2 32" xfId="33213" xr:uid="{00000000-0005-0000-0000-00003D070000}"/>
    <cellStyle name="20% - Accent5 2 2 2 4" xfId="1626" xr:uid="{00000000-0005-0000-0000-00003E070000}"/>
    <cellStyle name="20% - Accent5 2 2 2 4 2" xfId="33828" xr:uid="{00000000-0005-0000-0000-00003F070000}"/>
    <cellStyle name="20% - Accent5 2 2 2 5" xfId="1627" xr:uid="{00000000-0005-0000-0000-000040070000}"/>
    <cellStyle name="20% - Accent5 2 2 2 5 2" xfId="34047" xr:uid="{00000000-0005-0000-0000-000041070000}"/>
    <cellStyle name="20% - Accent5 2 2 2 6" xfId="1628" xr:uid="{00000000-0005-0000-0000-000042070000}"/>
    <cellStyle name="20% - Accent5 2 2 2 7" xfId="1629" xr:uid="{00000000-0005-0000-0000-000043070000}"/>
    <cellStyle name="20% - Accent5 2 2 2 8" xfId="1630" xr:uid="{00000000-0005-0000-0000-000044070000}"/>
    <cellStyle name="20% - Accent5 2 2 2 9" xfId="1631" xr:uid="{00000000-0005-0000-0000-000045070000}"/>
    <cellStyle name="20% - Accent5 2 2 2_loan Analysis " xfId="13033" xr:uid="{00000000-0005-0000-0000-000046070000}"/>
    <cellStyle name="20% - Accent5 2 2 20" xfId="1632" xr:uid="{00000000-0005-0000-0000-000047070000}"/>
    <cellStyle name="20% - Accent5 2 2 21" xfId="1633" xr:uid="{00000000-0005-0000-0000-000048070000}"/>
    <cellStyle name="20% - Accent5 2 2 22" xfId="1634" xr:uid="{00000000-0005-0000-0000-000049070000}"/>
    <cellStyle name="20% - Accent5 2 2 23" xfId="1635" xr:uid="{00000000-0005-0000-0000-00004A070000}"/>
    <cellStyle name="20% - Accent5 2 2 24" xfId="1636" xr:uid="{00000000-0005-0000-0000-00004B070000}"/>
    <cellStyle name="20% - Accent5 2 2 25" xfId="1637" xr:uid="{00000000-0005-0000-0000-00004C070000}"/>
    <cellStyle name="20% - Accent5 2 2 26" xfId="1638" xr:uid="{00000000-0005-0000-0000-00004D070000}"/>
    <cellStyle name="20% - Accent5 2 2 27" xfId="1639" xr:uid="{00000000-0005-0000-0000-00004E070000}"/>
    <cellStyle name="20% - Accent5 2 2 28" xfId="1640" xr:uid="{00000000-0005-0000-0000-00004F070000}"/>
    <cellStyle name="20% - Accent5 2 2 29" xfId="1641" xr:uid="{00000000-0005-0000-0000-000050070000}"/>
    <cellStyle name="20% - Accent5 2 2 3" xfId="1642" xr:uid="{00000000-0005-0000-0000-000051070000}"/>
    <cellStyle name="20% - Accent5 2 2 3 2" xfId="13034" xr:uid="{00000000-0005-0000-0000-000052070000}"/>
    <cellStyle name="20% - Accent5 2 2 3 2 2" xfId="17074" xr:uid="{00000000-0005-0000-0000-000053070000}"/>
    <cellStyle name="20% - Accent5 2 2 3 2 3" xfId="33660" xr:uid="{00000000-0005-0000-0000-000054070000}"/>
    <cellStyle name="20% - Accent5 2 2 3 3" xfId="29564" xr:uid="{00000000-0005-0000-0000-000055070000}"/>
    <cellStyle name="20% - Accent5 2 2 3 3 2" xfId="33888" xr:uid="{00000000-0005-0000-0000-000056070000}"/>
    <cellStyle name="20% - Accent5 2 2 3 4" xfId="34103" xr:uid="{00000000-0005-0000-0000-000057070000}"/>
    <cellStyle name="20% - Accent5 2 2 3 5" xfId="33276" xr:uid="{00000000-0005-0000-0000-000058070000}"/>
    <cellStyle name="20% - Accent5 2 2 3_loan Analysis " xfId="13035" xr:uid="{00000000-0005-0000-0000-000059070000}"/>
    <cellStyle name="20% - Accent5 2 2 30" xfId="1643" xr:uid="{00000000-0005-0000-0000-00005A070000}"/>
    <cellStyle name="20% - Accent5 2 2 31" xfId="1644" xr:uid="{00000000-0005-0000-0000-00005B070000}"/>
    <cellStyle name="20% - Accent5 2 2 31 2" xfId="1645" xr:uid="{00000000-0005-0000-0000-00005C070000}"/>
    <cellStyle name="20% - Accent5 2 2 32" xfId="1646" xr:uid="{00000000-0005-0000-0000-00005D070000}"/>
    <cellStyle name="20% - Accent5 2 2 33" xfId="1647" xr:uid="{00000000-0005-0000-0000-00005E070000}"/>
    <cellStyle name="20% - Accent5 2 2 34" xfId="1648" xr:uid="{00000000-0005-0000-0000-00005F070000}"/>
    <cellStyle name="20% - Accent5 2 2 35" xfId="1649" xr:uid="{00000000-0005-0000-0000-000060070000}"/>
    <cellStyle name="20% - Accent5 2 2 36" xfId="1650" xr:uid="{00000000-0005-0000-0000-000061070000}"/>
    <cellStyle name="20% - Accent5 2 2 37" xfId="1651" xr:uid="{00000000-0005-0000-0000-000062070000}"/>
    <cellStyle name="20% - Accent5 2 2 38" xfId="1652" xr:uid="{00000000-0005-0000-0000-000063070000}"/>
    <cellStyle name="20% - Accent5 2 2 39" xfId="1653" xr:uid="{00000000-0005-0000-0000-000064070000}"/>
    <cellStyle name="20% - Accent5 2 2 39 2" xfId="1654" xr:uid="{00000000-0005-0000-0000-000065070000}"/>
    <cellStyle name="20% - Accent5 2 2 4" xfId="1655" xr:uid="{00000000-0005-0000-0000-000066070000}"/>
    <cellStyle name="20% - Accent5 2 2 4 2" xfId="29565" xr:uid="{00000000-0005-0000-0000-000067070000}"/>
    <cellStyle name="20% - Accent5 2 2 4 3" xfId="29566" xr:uid="{00000000-0005-0000-0000-000068070000}"/>
    <cellStyle name="20% - Accent5 2 2 4 4" xfId="29567" xr:uid="{00000000-0005-0000-0000-000069070000}"/>
    <cellStyle name="20% - Accent5 2 2 4 5" xfId="33448" xr:uid="{00000000-0005-0000-0000-00006A070000}"/>
    <cellStyle name="20% - Accent5 2 2 40" xfId="29568" xr:uid="{00000000-0005-0000-0000-00006B070000}"/>
    <cellStyle name="20% - Accent5 2 2 41" xfId="29569" xr:uid="{00000000-0005-0000-0000-00006C070000}"/>
    <cellStyle name="20% - Accent5 2 2 42" xfId="29570" xr:uid="{00000000-0005-0000-0000-00006D070000}"/>
    <cellStyle name="20% - Accent5 2 2 43" xfId="29571" xr:uid="{00000000-0005-0000-0000-00006E070000}"/>
    <cellStyle name="20% - Accent5 2 2 44" xfId="29572" xr:uid="{00000000-0005-0000-0000-00006F070000}"/>
    <cellStyle name="20% - Accent5 2 2 45" xfId="29573" xr:uid="{00000000-0005-0000-0000-000070070000}"/>
    <cellStyle name="20% - Accent5 2 2 46" xfId="29574" xr:uid="{00000000-0005-0000-0000-000071070000}"/>
    <cellStyle name="20% - Accent5 2 2 47" xfId="33124" xr:uid="{00000000-0005-0000-0000-000072070000}"/>
    <cellStyle name="20% - Accent5 2 2 5" xfId="1656" xr:uid="{00000000-0005-0000-0000-000073070000}"/>
    <cellStyle name="20% - Accent5 2 2 5 2" xfId="33566" xr:uid="{00000000-0005-0000-0000-000074070000}"/>
    <cellStyle name="20% - Accent5 2 2 6" xfId="1657" xr:uid="{00000000-0005-0000-0000-000075070000}"/>
    <cellStyle name="20% - Accent5 2 2 6 2" xfId="33436" xr:uid="{00000000-0005-0000-0000-000076070000}"/>
    <cellStyle name="20% - Accent5 2 2 7" xfId="1658" xr:uid="{00000000-0005-0000-0000-000077070000}"/>
    <cellStyle name="20% - Accent5 2 2 8" xfId="1659" xr:uid="{00000000-0005-0000-0000-000078070000}"/>
    <cellStyle name="20% - Accent5 2 2 9" xfId="1660" xr:uid="{00000000-0005-0000-0000-000079070000}"/>
    <cellStyle name="20% - Accent5 2 2_loan Analysis " xfId="13036" xr:uid="{00000000-0005-0000-0000-00007A070000}"/>
    <cellStyle name="20% - Accent5 2 20" xfId="1661" xr:uid="{00000000-0005-0000-0000-00007B070000}"/>
    <cellStyle name="20% - Accent5 2 21" xfId="1662" xr:uid="{00000000-0005-0000-0000-00007C070000}"/>
    <cellStyle name="20% - Accent5 2 22" xfId="1663" xr:uid="{00000000-0005-0000-0000-00007D070000}"/>
    <cellStyle name="20% - Accent5 2 23" xfId="1664" xr:uid="{00000000-0005-0000-0000-00007E070000}"/>
    <cellStyle name="20% - Accent5 2 24" xfId="1665" xr:uid="{00000000-0005-0000-0000-00007F070000}"/>
    <cellStyle name="20% - Accent5 2 25" xfId="1666" xr:uid="{00000000-0005-0000-0000-000080070000}"/>
    <cellStyle name="20% - Accent5 2 26" xfId="1667" xr:uid="{00000000-0005-0000-0000-000081070000}"/>
    <cellStyle name="20% - Accent5 2 27" xfId="1668" xr:uid="{00000000-0005-0000-0000-000082070000}"/>
    <cellStyle name="20% - Accent5 2 28" xfId="1669" xr:uid="{00000000-0005-0000-0000-000083070000}"/>
    <cellStyle name="20% - Accent5 2 29" xfId="1670" xr:uid="{00000000-0005-0000-0000-000084070000}"/>
    <cellStyle name="20% - Accent5 2 3" xfId="1671" xr:uid="{00000000-0005-0000-0000-000085070000}"/>
    <cellStyle name="20% - Accent5 2 3 2" xfId="13037" xr:uid="{00000000-0005-0000-0000-000086070000}"/>
    <cellStyle name="20% - Accent5 2 3 2 2" xfId="13038" xr:uid="{00000000-0005-0000-0000-000087070000}"/>
    <cellStyle name="20% - Accent5 2 3 2 2 2" xfId="13039" xr:uid="{00000000-0005-0000-0000-000088070000}"/>
    <cellStyle name="20% - Accent5 2 3 2 2 2 2" xfId="17079" xr:uid="{00000000-0005-0000-0000-000089070000}"/>
    <cellStyle name="20% - Accent5 2 3 2 2 2 3" xfId="33702" xr:uid="{00000000-0005-0000-0000-00008A070000}"/>
    <cellStyle name="20% - Accent5 2 3 2 2 3" xfId="17078" xr:uid="{00000000-0005-0000-0000-00008B070000}"/>
    <cellStyle name="20% - Accent5 2 3 2 2 3 2" xfId="33931" xr:uid="{00000000-0005-0000-0000-00008C070000}"/>
    <cellStyle name="20% - Accent5 2 3 2 2 4" xfId="34145" xr:uid="{00000000-0005-0000-0000-00008D070000}"/>
    <cellStyle name="20% - Accent5 2 3 2 2 5" xfId="33318" xr:uid="{00000000-0005-0000-0000-00008E070000}"/>
    <cellStyle name="20% - Accent5 2 3 2 2_loan Analysis " xfId="13040" xr:uid="{00000000-0005-0000-0000-00008F070000}"/>
    <cellStyle name="20% - Accent5 2 3 2 3" xfId="13041" xr:uid="{00000000-0005-0000-0000-000090070000}"/>
    <cellStyle name="20% - Accent5 2 3 2 3 2" xfId="17080" xr:uid="{00000000-0005-0000-0000-000091070000}"/>
    <cellStyle name="20% - Accent5 2 3 2 3 3" xfId="33594" xr:uid="{00000000-0005-0000-0000-000092070000}"/>
    <cellStyle name="20% - Accent5 2 3 2 4" xfId="17077" xr:uid="{00000000-0005-0000-0000-000093070000}"/>
    <cellStyle name="20% - Accent5 2 3 2 4 2" xfId="33829" xr:uid="{00000000-0005-0000-0000-000094070000}"/>
    <cellStyle name="20% - Accent5 2 3 2 5" xfId="34048" xr:uid="{00000000-0005-0000-0000-000095070000}"/>
    <cellStyle name="20% - Accent5 2 3 2 6" xfId="33214" xr:uid="{00000000-0005-0000-0000-000096070000}"/>
    <cellStyle name="20% - Accent5 2 3 2_loan Analysis " xfId="13042" xr:uid="{00000000-0005-0000-0000-000097070000}"/>
    <cellStyle name="20% - Accent5 2 3 3" xfId="13043" xr:uid="{00000000-0005-0000-0000-000098070000}"/>
    <cellStyle name="20% - Accent5 2 3 3 2" xfId="13044" xr:uid="{00000000-0005-0000-0000-000099070000}"/>
    <cellStyle name="20% - Accent5 2 3 3 2 2" xfId="17082" xr:uid="{00000000-0005-0000-0000-00009A070000}"/>
    <cellStyle name="20% - Accent5 2 3 3 2 3" xfId="33661" xr:uid="{00000000-0005-0000-0000-00009B070000}"/>
    <cellStyle name="20% - Accent5 2 3 3 3" xfId="17081" xr:uid="{00000000-0005-0000-0000-00009C070000}"/>
    <cellStyle name="20% - Accent5 2 3 3 3 2" xfId="33889" xr:uid="{00000000-0005-0000-0000-00009D070000}"/>
    <cellStyle name="20% - Accent5 2 3 3 4" xfId="34104" xr:uid="{00000000-0005-0000-0000-00009E070000}"/>
    <cellStyle name="20% - Accent5 2 3 3 5" xfId="33277" xr:uid="{00000000-0005-0000-0000-00009F070000}"/>
    <cellStyle name="20% - Accent5 2 3 3_loan Analysis " xfId="13045" xr:uid="{00000000-0005-0000-0000-0000A0070000}"/>
    <cellStyle name="20% - Accent5 2 3 4" xfId="13046" xr:uid="{00000000-0005-0000-0000-0000A1070000}"/>
    <cellStyle name="20% - Accent5 2 3 4 2" xfId="17083" xr:uid="{00000000-0005-0000-0000-0000A2070000}"/>
    <cellStyle name="20% - Accent5 2 3 4 3" xfId="29575" xr:uid="{00000000-0005-0000-0000-0000A3070000}"/>
    <cellStyle name="20% - Accent5 2 3 4 4" xfId="33449" xr:uid="{00000000-0005-0000-0000-0000A4070000}"/>
    <cellStyle name="20% - Accent5 2 3 5" xfId="29576" xr:uid="{00000000-0005-0000-0000-0000A5070000}"/>
    <cellStyle name="20% - Accent5 2 3 5 2" xfId="33565" xr:uid="{00000000-0005-0000-0000-0000A6070000}"/>
    <cellStyle name="20% - Accent5 2 3 6" xfId="29577" xr:uid="{00000000-0005-0000-0000-0000A7070000}"/>
    <cellStyle name="20% - Accent5 2 3 6 2" xfId="33917" xr:uid="{00000000-0005-0000-0000-0000A8070000}"/>
    <cellStyle name="20% - Accent5 2 3 7" xfId="29578" xr:uid="{00000000-0005-0000-0000-0000A9070000}"/>
    <cellStyle name="20% - Accent5 2 3 8" xfId="33125" xr:uid="{00000000-0005-0000-0000-0000AA070000}"/>
    <cellStyle name="20% - Accent5 2 3_loan Analysis " xfId="13047" xr:uid="{00000000-0005-0000-0000-0000AB070000}"/>
    <cellStyle name="20% - Accent5 2 30" xfId="1672" xr:uid="{00000000-0005-0000-0000-0000AC070000}"/>
    <cellStyle name="20% - Accent5 2 31" xfId="1673" xr:uid="{00000000-0005-0000-0000-0000AD070000}"/>
    <cellStyle name="20% - Accent5 2 32" xfId="1674" xr:uid="{00000000-0005-0000-0000-0000AE070000}"/>
    <cellStyle name="20% - Accent5 2 33" xfId="1675" xr:uid="{00000000-0005-0000-0000-0000AF070000}"/>
    <cellStyle name="20% - Accent5 2 33 2" xfId="1676" xr:uid="{00000000-0005-0000-0000-0000B0070000}"/>
    <cellStyle name="20% - Accent5 2 34" xfId="1677" xr:uid="{00000000-0005-0000-0000-0000B1070000}"/>
    <cellStyle name="20% - Accent5 2 35" xfId="1678" xr:uid="{00000000-0005-0000-0000-0000B2070000}"/>
    <cellStyle name="20% - Accent5 2 36" xfId="1679" xr:uid="{00000000-0005-0000-0000-0000B3070000}"/>
    <cellStyle name="20% - Accent5 2 37" xfId="1680" xr:uid="{00000000-0005-0000-0000-0000B4070000}"/>
    <cellStyle name="20% - Accent5 2 38" xfId="1681" xr:uid="{00000000-0005-0000-0000-0000B5070000}"/>
    <cellStyle name="20% - Accent5 2 39" xfId="1682" xr:uid="{00000000-0005-0000-0000-0000B6070000}"/>
    <cellStyle name="20% - Accent5 2 4" xfId="1683" xr:uid="{00000000-0005-0000-0000-0000B7070000}"/>
    <cellStyle name="20% - Accent5 2 4 2" xfId="13048" xr:uid="{00000000-0005-0000-0000-0000B8070000}"/>
    <cellStyle name="20% - Accent5 2 4 2 2" xfId="13049" xr:uid="{00000000-0005-0000-0000-0000B9070000}"/>
    <cellStyle name="20% - Accent5 2 4 2 2 2" xfId="13050" xr:uid="{00000000-0005-0000-0000-0000BA070000}"/>
    <cellStyle name="20% - Accent5 2 4 2 2 2 2" xfId="17087" xr:uid="{00000000-0005-0000-0000-0000BB070000}"/>
    <cellStyle name="20% - Accent5 2 4 2 2 2 3" xfId="33703" xr:uid="{00000000-0005-0000-0000-0000BC070000}"/>
    <cellStyle name="20% - Accent5 2 4 2 2 3" xfId="17086" xr:uid="{00000000-0005-0000-0000-0000BD070000}"/>
    <cellStyle name="20% - Accent5 2 4 2 2 3 2" xfId="33932" xr:uid="{00000000-0005-0000-0000-0000BE070000}"/>
    <cellStyle name="20% - Accent5 2 4 2 2 4" xfId="34146" xr:uid="{00000000-0005-0000-0000-0000BF070000}"/>
    <cellStyle name="20% - Accent5 2 4 2 2 5" xfId="33319" xr:uid="{00000000-0005-0000-0000-0000C0070000}"/>
    <cellStyle name="20% - Accent5 2 4 2 2_loan Analysis " xfId="13051" xr:uid="{00000000-0005-0000-0000-0000C1070000}"/>
    <cellStyle name="20% - Accent5 2 4 2 3" xfId="13052" xr:uid="{00000000-0005-0000-0000-0000C2070000}"/>
    <cellStyle name="20% - Accent5 2 4 2 3 2" xfId="17088" xr:uid="{00000000-0005-0000-0000-0000C3070000}"/>
    <cellStyle name="20% - Accent5 2 4 2 3 3" xfId="33595" xr:uid="{00000000-0005-0000-0000-0000C4070000}"/>
    <cellStyle name="20% - Accent5 2 4 2 4" xfId="17085" xr:uid="{00000000-0005-0000-0000-0000C5070000}"/>
    <cellStyle name="20% - Accent5 2 4 2 4 2" xfId="33830" xr:uid="{00000000-0005-0000-0000-0000C6070000}"/>
    <cellStyle name="20% - Accent5 2 4 2 5" xfId="34049" xr:uid="{00000000-0005-0000-0000-0000C7070000}"/>
    <cellStyle name="20% - Accent5 2 4 2 6" xfId="33215" xr:uid="{00000000-0005-0000-0000-0000C8070000}"/>
    <cellStyle name="20% - Accent5 2 4 2_loan Analysis " xfId="13053" xr:uid="{00000000-0005-0000-0000-0000C9070000}"/>
    <cellStyle name="20% - Accent5 2 4 3" xfId="13054" xr:uid="{00000000-0005-0000-0000-0000CA070000}"/>
    <cellStyle name="20% - Accent5 2 4 3 2" xfId="13055" xr:uid="{00000000-0005-0000-0000-0000CB070000}"/>
    <cellStyle name="20% - Accent5 2 4 3 2 2" xfId="17090" xr:uid="{00000000-0005-0000-0000-0000CC070000}"/>
    <cellStyle name="20% - Accent5 2 4 3 2 3" xfId="33662" xr:uid="{00000000-0005-0000-0000-0000CD070000}"/>
    <cellStyle name="20% - Accent5 2 4 3 3" xfId="17089" xr:uid="{00000000-0005-0000-0000-0000CE070000}"/>
    <cellStyle name="20% - Accent5 2 4 3 3 2" xfId="33890" xr:uid="{00000000-0005-0000-0000-0000CF070000}"/>
    <cellStyle name="20% - Accent5 2 4 3 4" xfId="34105" xr:uid="{00000000-0005-0000-0000-0000D0070000}"/>
    <cellStyle name="20% - Accent5 2 4 3 5" xfId="33278" xr:uid="{00000000-0005-0000-0000-0000D1070000}"/>
    <cellStyle name="20% - Accent5 2 4 3_loan Analysis " xfId="13056" xr:uid="{00000000-0005-0000-0000-0000D2070000}"/>
    <cellStyle name="20% - Accent5 2 4 4" xfId="13057" xr:uid="{00000000-0005-0000-0000-0000D3070000}"/>
    <cellStyle name="20% - Accent5 2 4 4 2" xfId="17091" xr:uid="{00000000-0005-0000-0000-0000D4070000}"/>
    <cellStyle name="20% - Accent5 2 4 4 3" xfId="29579" xr:uid="{00000000-0005-0000-0000-0000D5070000}"/>
    <cellStyle name="20% - Accent5 2 4 4 4" xfId="33450" xr:uid="{00000000-0005-0000-0000-0000D6070000}"/>
    <cellStyle name="20% - Accent5 2 4 5" xfId="29580" xr:uid="{00000000-0005-0000-0000-0000D7070000}"/>
    <cellStyle name="20% - Accent5 2 4 5 2" xfId="33564" xr:uid="{00000000-0005-0000-0000-0000D8070000}"/>
    <cellStyle name="20% - Accent5 2 4 6" xfId="29581" xr:uid="{00000000-0005-0000-0000-0000D9070000}"/>
    <cellStyle name="20% - Accent5 2 4 6 2" xfId="33860" xr:uid="{00000000-0005-0000-0000-0000DA070000}"/>
    <cellStyle name="20% - Accent5 2 4 7" xfId="33126" xr:uid="{00000000-0005-0000-0000-0000DB070000}"/>
    <cellStyle name="20% - Accent5 2 4_loan Analysis " xfId="13058" xr:uid="{00000000-0005-0000-0000-0000DC070000}"/>
    <cellStyle name="20% - Accent5 2 40" xfId="1684" xr:uid="{00000000-0005-0000-0000-0000DD070000}"/>
    <cellStyle name="20% - Accent5 2 41" xfId="1685" xr:uid="{00000000-0005-0000-0000-0000DE070000}"/>
    <cellStyle name="20% - Accent5 2 41 2" xfId="1686" xr:uid="{00000000-0005-0000-0000-0000DF070000}"/>
    <cellStyle name="20% - Accent5 2 42" xfId="29582" xr:uid="{00000000-0005-0000-0000-0000E0070000}"/>
    <cellStyle name="20% - Accent5 2 43" xfId="29583" xr:uid="{00000000-0005-0000-0000-0000E1070000}"/>
    <cellStyle name="20% - Accent5 2 44" xfId="29584" xr:uid="{00000000-0005-0000-0000-0000E2070000}"/>
    <cellStyle name="20% - Accent5 2 45" xfId="29585" xr:uid="{00000000-0005-0000-0000-0000E3070000}"/>
    <cellStyle name="20% - Accent5 2 46" xfId="29586" xr:uid="{00000000-0005-0000-0000-0000E4070000}"/>
    <cellStyle name="20% - Accent5 2 47" xfId="29587" xr:uid="{00000000-0005-0000-0000-0000E5070000}"/>
    <cellStyle name="20% - Accent5 2 48" xfId="29588" xr:uid="{00000000-0005-0000-0000-0000E6070000}"/>
    <cellStyle name="20% - Accent5 2 49" xfId="1519" xr:uid="{00000000-0005-0000-0000-0000E7070000}"/>
    <cellStyle name="20% - Accent5 2 5" xfId="1687" xr:uid="{00000000-0005-0000-0000-0000E8070000}"/>
    <cellStyle name="20% - Accent5 2 5 2" xfId="1688" xr:uid="{00000000-0005-0000-0000-0000E9070000}"/>
    <cellStyle name="20% - Accent5 2 5 3" xfId="29589" xr:uid="{00000000-0005-0000-0000-0000EA070000}"/>
    <cellStyle name="20% - Accent5 2 6" xfId="1689" xr:uid="{00000000-0005-0000-0000-0000EB070000}"/>
    <cellStyle name="20% - Accent5 2 6 2" xfId="29590" xr:uid="{00000000-0005-0000-0000-0000EC070000}"/>
    <cellStyle name="20% - Accent5 2 6 3" xfId="29591" xr:uid="{00000000-0005-0000-0000-0000ED070000}"/>
    <cellStyle name="20% - Accent5 2 7" xfId="1690" xr:uid="{00000000-0005-0000-0000-0000EE070000}"/>
    <cellStyle name="20% - Accent5 2 8" xfId="1691" xr:uid="{00000000-0005-0000-0000-0000EF070000}"/>
    <cellStyle name="20% - Accent5 2 9" xfId="1692" xr:uid="{00000000-0005-0000-0000-0000F0070000}"/>
    <cellStyle name="20% - Accent5 2_Loan Classification" xfId="11404" xr:uid="{00000000-0005-0000-0000-0000F1070000}"/>
    <cellStyle name="20% - Accent5 20" xfId="1693" xr:uid="{00000000-0005-0000-0000-0000F2070000}"/>
    <cellStyle name="20% - Accent5 21" xfId="1694" xr:uid="{00000000-0005-0000-0000-0000F3070000}"/>
    <cellStyle name="20% - Accent5 22" xfId="1695" xr:uid="{00000000-0005-0000-0000-0000F4070000}"/>
    <cellStyle name="20% - Accent5 23" xfId="1696" xr:uid="{00000000-0005-0000-0000-0000F5070000}"/>
    <cellStyle name="20% - Accent5 24" xfId="1697" xr:uid="{00000000-0005-0000-0000-0000F6070000}"/>
    <cellStyle name="20% - Accent5 25" xfId="1698" xr:uid="{00000000-0005-0000-0000-0000F7070000}"/>
    <cellStyle name="20% - Accent5 26" xfId="1699" xr:uid="{00000000-0005-0000-0000-0000F8070000}"/>
    <cellStyle name="20% - Accent5 27" xfId="1700" xr:uid="{00000000-0005-0000-0000-0000F9070000}"/>
    <cellStyle name="20% - Accent5 28" xfId="1701" xr:uid="{00000000-0005-0000-0000-0000FA070000}"/>
    <cellStyle name="20% - Accent5 29" xfId="1702" xr:uid="{00000000-0005-0000-0000-0000FB070000}"/>
    <cellStyle name="20% - Accent5 3" xfId="458" xr:uid="{00000000-0005-0000-0000-0000FC070000}"/>
    <cellStyle name="20% - Accent5 3 2" xfId="29592" xr:uid="{00000000-0005-0000-0000-0000FD070000}"/>
    <cellStyle name="20% - Accent5 3 2 2" xfId="29593" xr:uid="{00000000-0005-0000-0000-0000FE070000}"/>
    <cellStyle name="20% - Accent5 3 3" xfId="29594" xr:uid="{00000000-0005-0000-0000-0000FF070000}"/>
    <cellStyle name="20% - Accent5 3 4" xfId="1703" xr:uid="{00000000-0005-0000-0000-000000080000}"/>
    <cellStyle name="20% - Accent5 30" xfId="1704" xr:uid="{00000000-0005-0000-0000-000001080000}"/>
    <cellStyle name="20% - Accent5 31" xfId="1705" xr:uid="{00000000-0005-0000-0000-000002080000}"/>
    <cellStyle name="20% - Accent5 32" xfId="1706" xr:uid="{00000000-0005-0000-0000-000003080000}"/>
    <cellStyle name="20% - Accent5 33" xfId="1707" xr:uid="{00000000-0005-0000-0000-000004080000}"/>
    <cellStyle name="20% - Accent5 34" xfId="1708" xr:uid="{00000000-0005-0000-0000-000005080000}"/>
    <cellStyle name="20% - Accent5 35" xfId="1709" xr:uid="{00000000-0005-0000-0000-000006080000}"/>
    <cellStyle name="20% - Accent5 36" xfId="1710" xr:uid="{00000000-0005-0000-0000-000007080000}"/>
    <cellStyle name="20% - Accent5 37" xfId="1711" xr:uid="{00000000-0005-0000-0000-000008080000}"/>
    <cellStyle name="20% - Accent5 38" xfId="1712" xr:uid="{00000000-0005-0000-0000-000009080000}"/>
    <cellStyle name="20% - Accent5 39" xfId="1713" xr:uid="{00000000-0005-0000-0000-00000A080000}"/>
    <cellStyle name="20% - Accent5 4" xfId="1714" xr:uid="{00000000-0005-0000-0000-00000B080000}"/>
    <cellStyle name="20% - Accent5 4 2" xfId="29595" xr:uid="{00000000-0005-0000-0000-00000C080000}"/>
    <cellStyle name="20% - Accent5 4 2 2" xfId="29596" xr:uid="{00000000-0005-0000-0000-00000D080000}"/>
    <cellStyle name="20% - Accent5 4 3" xfId="29597" xr:uid="{00000000-0005-0000-0000-00000E080000}"/>
    <cellStyle name="20% - Accent5 40" xfId="1715" xr:uid="{00000000-0005-0000-0000-00000F080000}"/>
    <cellStyle name="20% - Accent5 41" xfId="1716" xr:uid="{00000000-0005-0000-0000-000010080000}"/>
    <cellStyle name="20% - Accent5 42" xfId="1717" xr:uid="{00000000-0005-0000-0000-000011080000}"/>
    <cellStyle name="20% - Accent5 43" xfId="11567" xr:uid="{00000000-0005-0000-0000-000012080000}"/>
    <cellStyle name="20% - Accent5 44" xfId="11555" xr:uid="{00000000-0005-0000-0000-000013080000}"/>
    <cellStyle name="20% - Accent5 44 2" xfId="17094" xr:uid="{00000000-0005-0000-0000-000014080000}"/>
    <cellStyle name="20% - Accent5 45" xfId="17095" xr:uid="{00000000-0005-0000-0000-000015080000}"/>
    <cellStyle name="20% - Accent5 46" xfId="29598" xr:uid="{00000000-0005-0000-0000-000016080000}"/>
    <cellStyle name="20% - Accent5 47" xfId="34265" xr:uid="{00000000-0005-0000-0000-000017080000}"/>
    <cellStyle name="20% - Accent5 48" xfId="487" xr:uid="{00000000-0005-0000-0000-000018080000}"/>
    <cellStyle name="20% - Accent5 5" xfId="1718" xr:uid="{00000000-0005-0000-0000-000019080000}"/>
    <cellStyle name="20% - Accent5 5 2" xfId="12833" xr:uid="{00000000-0005-0000-0000-00001A080000}"/>
    <cellStyle name="20% - Accent5 5 2 2" xfId="29599" xr:uid="{00000000-0005-0000-0000-00001B080000}"/>
    <cellStyle name="20% - Accent5 5 3" xfId="29600" xr:uid="{00000000-0005-0000-0000-00001C080000}"/>
    <cellStyle name="20% - Accent5 5 3 2" xfId="29601" xr:uid="{00000000-0005-0000-0000-00001D080000}"/>
    <cellStyle name="20% - Accent5 6" xfId="1719" xr:uid="{00000000-0005-0000-0000-00001E080000}"/>
    <cellStyle name="20% - Accent5 6 2" xfId="29602" xr:uid="{00000000-0005-0000-0000-00001F080000}"/>
    <cellStyle name="20% - Accent5 7" xfId="1720" xr:uid="{00000000-0005-0000-0000-000020080000}"/>
    <cellStyle name="20% - Accent5 7 2" xfId="29603" xr:uid="{00000000-0005-0000-0000-000021080000}"/>
    <cellStyle name="20% - Accent5 8" xfId="1721" xr:uid="{00000000-0005-0000-0000-000022080000}"/>
    <cellStyle name="20% - Accent5 8 2" xfId="29604" xr:uid="{00000000-0005-0000-0000-000023080000}"/>
    <cellStyle name="20% - Accent5 9" xfId="1722" xr:uid="{00000000-0005-0000-0000-000024080000}"/>
    <cellStyle name="20% - Accent5 9 2" xfId="29605" xr:uid="{00000000-0005-0000-0000-000025080000}"/>
    <cellStyle name="20% - Accent6" xfId="46" builtinId="50" customBuiltin="1"/>
    <cellStyle name="20% - Accent6 10" xfId="1723" xr:uid="{00000000-0005-0000-0000-000027080000}"/>
    <cellStyle name="20% - Accent6 10 2" xfId="29606" xr:uid="{00000000-0005-0000-0000-000028080000}"/>
    <cellStyle name="20% - Accent6 11" xfId="1724" xr:uid="{00000000-0005-0000-0000-000029080000}"/>
    <cellStyle name="20% - Accent6 11 2" xfId="29607" xr:uid="{00000000-0005-0000-0000-00002A080000}"/>
    <cellStyle name="20% - Accent6 12" xfId="1725" xr:uid="{00000000-0005-0000-0000-00002B080000}"/>
    <cellStyle name="20% - Accent6 12 2" xfId="29608" xr:uid="{00000000-0005-0000-0000-00002C080000}"/>
    <cellStyle name="20% - Accent6 13" xfId="1726" xr:uid="{00000000-0005-0000-0000-00002D080000}"/>
    <cellStyle name="20% - Accent6 13 2" xfId="29609" xr:uid="{00000000-0005-0000-0000-00002E080000}"/>
    <cellStyle name="20% - Accent6 14" xfId="1727" xr:uid="{00000000-0005-0000-0000-00002F080000}"/>
    <cellStyle name="20% - Accent6 14 2" xfId="29610" xr:uid="{00000000-0005-0000-0000-000030080000}"/>
    <cellStyle name="20% - Accent6 15" xfId="1728" xr:uid="{00000000-0005-0000-0000-000031080000}"/>
    <cellStyle name="20% - Accent6 15 2" xfId="29611" xr:uid="{00000000-0005-0000-0000-000032080000}"/>
    <cellStyle name="20% - Accent6 16" xfId="1729" xr:uid="{00000000-0005-0000-0000-000033080000}"/>
    <cellStyle name="20% - Accent6 16 2" xfId="29612" xr:uid="{00000000-0005-0000-0000-000034080000}"/>
    <cellStyle name="20% - Accent6 17" xfId="1730" xr:uid="{00000000-0005-0000-0000-000035080000}"/>
    <cellStyle name="20% - Accent6 17 2" xfId="29613" xr:uid="{00000000-0005-0000-0000-000036080000}"/>
    <cellStyle name="20% - Accent6 18" xfId="1731" xr:uid="{00000000-0005-0000-0000-000037080000}"/>
    <cellStyle name="20% - Accent6 19" xfId="1732" xr:uid="{00000000-0005-0000-0000-000038080000}"/>
    <cellStyle name="20% - Accent6 2" xfId="446" xr:uid="{00000000-0005-0000-0000-000039080000}"/>
    <cellStyle name="20% - Accent6 2 10" xfId="1734" xr:uid="{00000000-0005-0000-0000-00003A080000}"/>
    <cellStyle name="20% - Accent6 2 11" xfId="1735" xr:uid="{00000000-0005-0000-0000-00003B080000}"/>
    <cellStyle name="20% - Accent6 2 12" xfId="1736" xr:uid="{00000000-0005-0000-0000-00003C080000}"/>
    <cellStyle name="20% - Accent6 2 13" xfId="1737" xr:uid="{00000000-0005-0000-0000-00003D080000}"/>
    <cellStyle name="20% - Accent6 2 14" xfId="1738" xr:uid="{00000000-0005-0000-0000-00003E080000}"/>
    <cellStyle name="20% - Accent6 2 15" xfId="1739" xr:uid="{00000000-0005-0000-0000-00003F080000}"/>
    <cellStyle name="20% - Accent6 2 16" xfId="1740" xr:uid="{00000000-0005-0000-0000-000040080000}"/>
    <cellStyle name="20% - Accent6 2 16 2" xfId="1741" xr:uid="{00000000-0005-0000-0000-000041080000}"/>
    <cellStyle name="20% - Accent6 2 17" xfId="1742" xr:uid="{00000000-0005-0000-0000-000042080000}"/>
    <cellStyle name="20% - Accent6 2 18" xfId="1743" xr:uid="{00000000-0005-0000-0000-000043080000}"/>
    <cellStyle name="20% - Accent6 2 19" xfId="1744" xr:uid="{00000000-0005-0000-0000-000044080000}"/>
    <cellStyle name="20% - Accent6 2 2" xfId="1745" xr:uid="{00000000-0005-0000-0000-000045080000}"/>
    <cellStyle name="20% - Accent6 2 2 10" xfId="1746" xr:uid="{00000000-0005-0000-0000-000046080000}"/>
    <cellStyle name="20% - Accent6 2 2 11" xfId="1747" xr:uid="{00000000-0005-0000-0000-000047080000}"/>
    <cellStyle name="20% - Accent6 2 2 12" xfId="1748" xr:uid="{00000000-0005-0000-0000-000048080000}"/>
    <cellStyle name="20% - Accent6 2 2 13" xfId="1749" xr:uid="{00000000-0005-0000-0000-000049080000}"/>
    <cellStyle name="20% - Accent6 2 2 14" xfId="1750" xr:uid="{00000000-0005-0000-0000-00004A080000}"/>
    <cellStyle name="20% - Accent6 2 2 14 2" xfId="1751" xr:uid="{00000000-0005-0000-0000-00004B080000}"/>
    <cellStyle name="20% - Accent6 2 2 15" xfId="1752" xr:uid="{00000000-0005-0000-0000-00004C080000}"/>
    <cellStyle name="20% - Accent6 2 2 16" xfId="1753" xr:uid="{00000000-0005-0000-0000-00004D080000}"/>
    <cellStyle name="20% - Accent6 2 2 17" xfId="1754" xr:uid="{00000000-0005-0000-0000-00004E080000}"/>
    <cellStyle name="20% - Accent6 2 2 18" xfId="1755" xr:uid="{00000000-0005-0000-0000-00004F080000}"/>
    <cellStyle name="20% - Accent6 2 2 19" xfId="1756" xr:uid="{00000000-0005-0000-0000-000050080000}"/>
    <cellStyle name="20% - Accent6 2 2 2" xfId="1757" xr:uid="{00000000-0005-0000-0000-000051080000}"/>
    <cellStyle name="20% - Accent6 2 2 2 10" xfId="1758" xr:uid="{00000000-0005-0000-0000-000052080000}"/>
    <cellStyle name="20% - Accent6 2 2 2 11" xfId="1759" xr:uid="{00000000-0005-0000-0000-000053080000}"/>
    <cellStyle name="20% - Accent6 2 2 2 12" xfId="1760" xr:uid="{00000000-0005-0000-0000-000054080000}"/>
    <cellStyle name="20% - Accent6 2 2 2 13" xfId="1761" xr:uid="{00000000-0005-0000-0000-000055080000}"/>
    <cellStyle name="20% - Accent6 2 2 2 14" xfId="1762" xr:uid="{00000000-0005-0000-0000-000056080000}"/>
    <cellStyle name="20% - Accent6 2 2 2 15" xfId="1763" xr:uid="{00000000-0005-0000-0000-000057080000}"/>
    <cellStyle name="20% - Accent6 2 2 2 16" xfId="1764" xr:uid="{00000000-0005-0000-0000-000058080000}"/>
    <cellStyle name="20% - Accent6 2 2 2 17" xfId="1765" xr:uid="{00000000-0005-0000-0000-000059080000}"/>
    <cellStyle name="20% - Accent6 2 2 2 18" xfId="1766" xr:uid="{00000000-0005-0000-0000-00005A080000}"/>
    <cellStyle name="20% - Accent6 2 2 2 19" xfId="1767" xr:uid="{00000000-0005-0000-0000-00005B080000}"/>
    <cellStyle name="20% - Accent6 2 2 2 2" xfId="1768" xr:uid="{00000000-0005-0000-0000-00005C080000}"/>
    <cellStyle name="20% - Accent6 2 2 2 2 10" xfId="1769" xr:uid="{00000000-0005-0000-0000-00005D080000}"/>
    <cellStyle name="20% - Accent6 2 2 2 2 11" xfId="1770" xr:uid="{00000000-0005-0000-0000-00005E080000}"/>
    <cellStyle name="20% - Accent6 2 2 2 2 12" xfId="1771" xr:uid="{00000000-0005-0000-0000-00005F080000}"/>
    <cellStyle name="20% - Accent6 2 2 2 2 13" xfId="1772" xr:uid="{00000000-0005-0000-0000-000060080000}"/>
    <cellStyle name="20% - Accent6 2 2 2 2 14" xfId="1773" xr:uid="{00000000-0005-0000-0000-000061080000}"/>
    <cellStyle name="20% - Accent6 2 2 2 2 15" xfId="1774" xr:uid="{00000000-0005-0000-0000-000062080000}"/>
    <cellStyle name="20% - Accent6 2 2 2 2 16" xfId="1775" xr:uid="{00000000-0005-0000-0000-000063080000}"/>
    <cellStyle name="20% - Accent6 2 2 2 2 17" xfId="1776" xr:uid="{00000000-0005-0000-0000-000064080000}"/>
    <cellStyle name="20% - Accent6 2 2 2 2 18" xfId="1777" xr:uid="{00000000-0005-0000-0000-000065080000}"/>
    <cellStyle name="20% - Accent6 2 2 2 2 19" xfId="1778" xr:uid="{00000000-0005-0000-0000-000066080000}"/>
    <cellStyle name="20% - Accent6 2 2 2 2 2" xfId="1779" xr:uid="{00000000-0005-0000-0000-000067080000}"/>
    <cellStyle name="20% - Accent6 2 2 2 2 2 10" xfId="1780" xr:uid="{00000000-0005-0000-0000-000068080000}"/>
    <cellStyle name="20% - Accent6 2 2 2 2 2 11" xfId="1781" xr:uid="{00000000-0005-0000-0000-000069080000}"/>
    <cellStyle name="20% - Accent6 2 2 2 2 2 11 2" xfId="1782" xr:uid="{00000000-0005-0000-0000-00006A080000}"/>
    <cellStyle name="20% - Accent6 2 2 2 2 2 12" xfId="29614" xr:uid="{00000000-0005-0000-0000-00006B080000}"/>
    <cellStyle name="20% - Accent6 2 2 2 2 2 13" xfId="29615" xr:uid="{00000000-0005-0000-0000-00006C080000}"/>
    <cellStyle name="20% - Accent6 2 2 2 2 2 14" xfId="33704" xr:uid="{00000000-0005-0000-0000-00006D080000}"/>
    <cellStyle name="20% - Accent6 2 2 2 2 2 2" xfId="1783" xr:uid="{00000000-0005-0000-0000-00006E080000}"/>
    <cellStyle name="20% - Accent6 2 2 2 2 2 2 10" xfId="1784" xr:uid="{00000000-0005-0000-0000-00006F080000}"/>
    <cellStyle name="20% - Accent6 2 2 2 2 2 2 11" xfId="1785" xr:uid="{00000000-0005-0000-0000-000070080000}"/>
    <cellStyle name="20% - Accent6 2 2 2 2 2 2 11 2" xfId="1786" xr:uid="{00000000-0005-0000-0000-000071080000}"/>
    <cellStyle name="20% - Accent6 2 2 2 2 2 2 2" xfId="1787" xr:uid="{00000000-0005-0000-0000-000072080000}"/>
    <cellStyle name="20% - Accent6 2 2 2 2 2 2 2 2" xfId="1788" xr:uid="{00000000-0005-0000-0000-000073080000}"/>
    <cellStyle name="20% - Accent6 2 2 2 2 2 2 2 2 2" xfId="1789" xr:uid="{00000000-0005-0000-0000-000074080000}"/>
    <cellStyle name="20% - Accent6 2 2 2 2 2 2 2 2 2 2" xfId="1790" xr:uid="{00000000-0005-0000-0000-000075080000}"/>
    <cellStyle name="20% - Accent6 2 2 2 2 2 2 2 2 3" xfId="1791" xr:uid="{00000000-0005-0000-0000-000076080000}"/>
    <cellStyle name="20% - Accent6 2 2 2 2 2 2 2 3" xfId="1792" xr:uid="{00000000-0005-0000-0000-000077080000}"/>
    <cellStyle name="20% - Accent6 2 2 2 2 2 2 2 3 2" xfId="1793" xr:uid="{00000000-0005-0000-0000-000078080000}"/>
    <cellStyle name="20% - Accent6 2 2 2 2 2 2 3" xfId="1794" xr:uid="{00000000-0005-0000-0000-000079080000}"/>
    <cellStyle name="20% - Accent6 2 2 2 2 2 2 4" xfId="1795" xr:uid="{00000000-0005-0000-0000-00007A080000}"/>
    <cellStyle name="20% - Accent6 2 2 2 2 2 2 5" xfId="1796" xr:uid="{00000000-0005-0000-0000-00007B080000}"/>
    <cellStyle name="20% - Accent6 2 2 2 2 2 2 6" xfId="1797" xr:uid="{00000000-0005-0000-0000-00007C080000}"/>
    <cellStyle name="20% - Accent6 2 2 2 2 2 2 7" xfId="1798" xr:uid="{00000000-0005-0000-0000-00007D080000}"/>
    <cellStyle name="20% - Accent6 2 2 2 2 2 2 8" xfId="1799" xr:uid="{00000000-0005-0000-0000-00007E080000}"/>
    <cellStyle name="20% - Accent6 2 2 2 2 2 2 9" xfId="1800" xr:uid="{00000000-0005-0000-0000-00007F080000}"/>
    <cellStyle name="20% - Accent6 2 2 2 2 2 3" xfId="1801" xr:uid="{00000000-0005-0000-0000-000080080000}"/>
    <cellStyle name="20% - Accent6 2 2 2 2 2 3 2" xfId="1802" xr:uid="{00000000-0005-0000-0000-000081080000}"/>
    <cellStyle name="20% - Accent6 2 2 2 2 2 4" xfId="1803" xr:uid="{00000000-0005-0000-0000-000082080000}"/>
    <cellStyle name="20% - Accent6 2 2 2 2 2 5" xfId="1804" xr:uid="{00000000-0005-0000-0000-000083080000}"/>
    <cellStyle name="20% - Accent6 2 2 2 2 2 6" xfId="1805" xr:uid="{00000000-0005-0000-0000-000084080000}"/>
    <cellStyle name="20% - Accent6 2 2 2 2 2 7" xfId="1806" xr:uid="{00000000-0005-0000-0000-000085080000}"/>
    <cellStyle name="20% - Accent6 2 2 2 2 2 8" xfId="1807" xr:uid="{00000000-0005-0000-0000-000086080000}"/>
    <cellStyle name="20% - Accent6 2 2 2 2 2 9" xfId="1808" xr:uid="{00000000-0005-0000-0000-000087080000}"/>
    <cellStyle name="20% - Accent6 2 2 2 2 20" xfId="1809" xr:uid="{00000000-0005-0000-0000-000088080000}"/>
    <cellStyle name="20% - Accent6 2 2 2 2 20 2" xfId="1810" xr:uid="{00000000-0005-0000-0000-000089080000}"/>
    <cellStyle name="20% - Accent6 2 2 2 2 21" xfId="1811" xr:uid="{00000000-0005-0000-0000-00008A080000}"/>
    <cellStyle name="20% - Accent6 2 2 2 2 22" xfId="1812" xr:uid="{00000000-0005-0000-0000-00008B080000}"/>
    <cellStyle name="20% - Accent6 2 2 2 2 23" xfId="1813" xr:uid="{00000000-0005-0000-0000-00008C080000}"/>
    <cellStyle name="20% - Accent6 2 2 2 2 24" xfId="1814" xr:uid="{00000000-0005-0000-0000-00008D080000}"/>
    <cellStyle name="20% - Accent6 2 2 2 2 25" xfId="1815" xr:uid="{00000000-0005-0000-0000-00008E080000}"/>
    <cellStyle name="20% - Accent6 2 2 2 2 26" xfId="1816" xr:uid="{00000000-0005-0000-0000-00008F080000}"/>
    <cellStyle name="20% - Accent6 2 2 2 2 27" xfId="1817" xr:uid="{00000000-0005-0000-0000-000090080000}"/>
    <cellStyle name="20% - Accent6 2 2 2 2 28" xfId="1818" xr:uid="{00000000-0005-0000-0000-000091080000}"/>
    <cellStyle name="20% - Accent6 2 2 2 2 28 2" xfId="1819" xr:uid="{00000000-0005-0000-0000-000092080000}"/>
    <cellStyle name="20% - Accent6 2 2 2 2 29" xfId="29616" xr:uid="{00000000-0005-0000-0000-000093080000}"/>
    <cellStyle name="20% - Accent6 2 2 2 2 3" xfId="1820" xr:uid="{00000000-0005-0000-0000-000094080000}"/>
    <cellStyle name="20% - Accent6 2 2 2 2 3 2" xfId="33933" xr:uid="{00000000-0005-0000-0000-000095080000}"/>
    <cellStyle name="20% - Accent6 2 2 2 2 30" xfId="29617" xr:uid="{00000000-0005-0000-0000-000096080000}"/>
    <cellStyle name="20% - Accent6 2 2 2 2 31" xfId="33320" xr:uid="{00000000-0005-0000-0000-000097080000}"/>
    <cellStyle name="20% - Accent6 2 2 2 2 4" xfId="1821" xr:uid="{00000000-0005-0000-0000-000098080000}"/>
    <cellStyle name="20% - Accent6 2 2 2 2 4 2" xfId="34147" xr:uid="{00000000-0005-0000-0000-000099080000}"/>
    <cellStyle name="20% - Accent6 2 2 2 2 5" xfId="1822" xr:uid="{00000000-0005-0000-0000-00009A080000}"/>
    <cellStyle name="20% - Accent6 2 2 2 2 6" xfId="1823" xr:uid="{00000000-0005-0000-0000-00009B080000}"/>
    <cellStyle name="20% - Accent6 2 2 2 2 7" xfId="1824" xr:uid="{00000000-0005-0000-0000-00009C080000}"/>
    <cellStyle name="20% - Accent6 2 2 2 2 8" xfId="1825" xr:uid="{00000000-0005-0000-0000-00009D080000}"/>
    <cellStyle name="20% - Accent6 2 2 2 2 9" xfId="1826" xr:uid="{00000000-0005-0000-0000-00009E080000}"/>
    <cellStyle name="20% - Accent6 2 2 2 2_loan Analysis " xfId="13059" xr:uid="{00000000-0005-0000-0000-00009F080000}"/>
    <cellStyle name="20% - Accent6 2 2 2 20" xfId="1827" xr:uid="{00000000-0005-0000-0000-0000A0080000}"/>
    <cellStyle name="20% - Accent6 2 2 2 20 2" xfId="1828" xr:uid="{00000000-0005-0000-0000-0000A1080000}"/>
    <cellStyle name="20% - Accent6 2 2 2 21" xfId="1829" xr:uid="{00000000-0005-0000-0000-0000A2080000}"/>
    <cellStyle name="20% - Accent6 2 2 2 22" xfId="1830" xr:uid="{00000000-0005-0000-0000-0000A3080000}"/>
    <cellStyle name="20% - Accent6 2 2 2 23" xfId="1831" xr:uid="{00000000-0005-0000-0000-0000A4080000}"/>
    <cellStyle name="20% - Accent6 2 2 2 24" xfId="1832" xr:uid="{00000000-0005-0000-0000-0000A5080000}"/>
    <cellStyle name="20% - Accent6 2 2 2 25" xfId="1833" xr:uid="{00000000-0005-0000-0000-0000A6080000}"/>
    <cellStyle name="20% - Accent6 2 2 2 26" xfId="1834" xr:uid="{00000000-0005-0000-0000-0000A7080000}"/>
    <cellStyle name="20% - Accent6 2 2 2 27" xfId="1835" xr:uid="{00000000-0005-0000-0000-0000A8080000}"/>
    <cellStyle name="20% - Accent6 2 2 2 28" xfId="1836" xr:uid="{00000000-0005-0000-0000-0000A9080000}"/>
    <cellStyle name="20% - Accent6 2 2 2 28 2" xfId="1837" xr:uid="{00000000-0005-0000-0000-0000AA080000}"/>
    <cellStyle name="20% - Accent6 2 2 2 29" xfId="29618" xr:uid="{00000000-0005-0000-0000-0000AB080000}"/>
    <cellStyle name="20% - Accent6 2 2 2 3" xfId="1838" xr:uid="{00000000-0005-0000-0000-0000AC080000}"/>
    <cellStyle name="20% - Accent6 2 2 2 3 2" xfId="1839" xr:uid="{00000000-0005-0000-0000-0000AD080000}"/>
    <cellStyle name="20% - Accent6 2 2 2 3 3" xfId="29619" xr:uid="{00000000-0005-0000-0000-0000AE080000}"/>
    <cellStyle name="20% - Accent6 2 2 2 3 4" xfId="29620" xr:uid="{00000000-0005-0000-0000-0000AF080000}"/>
    <cellStyle name="20% - Accent6 2 2 2 3 5" xfId="33596" xr:uid="{00000000-0005-0000-0000-0000B0080000}"/>
    <cellStyle name="20% - Accent6 2 2 2 30" xfId="29621" xr:uid="{00000000-0005-0000-0000-0000B1080000}"/>
    <cellStyle name="20% - Accent6 2 2 2 31" xfId="29622" xr:uid="{00000000-0005-0000-0000-0000B2080000}"/>
    <cellStyle name="20% - Accent6 2 2 2 32" xfId="33216" xr:uid="{00000000-0005-0000-0000-0000B3080000}"/>
    <cellStyle name="20% - Accent6 2 2 2 4" xfId="1840" xr:uid="{00000000-0005-0000-0000-0000B4080000}"/>
    <cellStyle name="20% - Accent6 2 2 2 4 2" xfId="33831" xr:uid="{00000000-0005-0000-0000-0000B5080000}"/>
    <cellStyle name="20% - Accent6 2 2 2 5" xfId="1841" xr:uid="{00000000-0005-0000-0000-0000B6080000}"/>
    <cellStyle name="20% - Accent6 2 2 2 5 2" xfId="34050" xr:uid="{00000000-0005-0000-0000-0000B7080000}"/>
    <cellStyle name="20% - Accent6 2 2 2 6" xfId="1842" xr:uid="{00000000-0005-0000-0000-0000B8080000}"/>
    <cellStyle name="20% - Accent6 2 2 2 7" xfId="1843" xr:uid="{00000000-0005-0000-0000-0000B9080000}"/>
    <cellStyle name="20% - Accent6 2 2 2 8" xfId="1844" xr:uid="{00000000-0005-0000-0000-0000BA080000}"/>
    <cellStyle name="20% - Accent6 2 2 2 9" xfId="1845" xr:uid="{00000000-0005-0000-0000-0000BB080000}"/>
    <cellStyle name="20% - Accent6 2 2 2_loan Analysis " xfId="13060" xr:uid="{00000000-0005-0000-0000-0000BC080000}"/>
    <cellStyle name="20% - Accent6 2 2 20" xfId="1846" xr:uid="{00000000-0005-0000-0000-0000BD080000}"/>
    <cellStyle name="20% - Accent6 2 2 21" xfId="1847" xr:uid="{00000000-0005-0000-0000-0000BE080000}"/>
    <cellStyle name="20% - Accent6 2 2 22" xfId="1848" xr:uid="{00000000-0005-0000-0000-0000BF080000}"/>
    <cellStyle name="20% - Accent6 2 2 23" xfId="1849" xr:uid="{00000000-0005-0000-0000-0000C0080000}"/>
    <cellStyle name="20% - Accent6 2 2 24" xfId="1850" xr:uid="{00000000-0005-0000-0000-0000C1080000}"/>
    <cellStyle name="20% - Accent6 2 2 25" xfId="1851" xr:uid="{00000000-0005-0000-0000-0000C2080000}"/>
    <cellStyle name="20% - Accent6 2 2 26" xfId="1852" xr:uid="{00000000-0005-0000-0000-0000C3080000}"/>
    <cellStyle name="20% - Accent6 2 2 27" xfId="1853" xr:uid="{00000000-0005-0000-0000-0000C4080000}"/>
    <cellStyle name="20% - Accent6 2 2 28" xfId="1854" xr:uid="{00000000-0005-0000-0000-0000C5080000}"/>
    <cellStyle name="20% - Accent6 2 2 29" xfId="1855" xr:uid="{00000000-0005-0000-0000-0000C6080000}"/>
    <cellStyle name="20% - Accent6 2 2 3" xfId="1856" xr:uid="{00000000-0005-0000-0000-0000C7080000}"/>
    <cellStyle name="20% - Accent6 2 2 3 2" xfId="13061" xr:uid="{00000000-0005-0000-0000-0000C8080000}"/>
    <cellStyle name="20% - Accent6 2 2 3 2 2" xfId="17103" xr:uid="{00000000-0005-0000-0000-0000C9080000}"/>
    <cellStyle name="20% - Accent6 2 2 3 2 3" xfId="33663" xr:uid="{00000000-0005-0000-0000-0000CA080000}"/>
    <cellStyle name="20% - Accent6 2 2 3 3" xfId="29623" xr:uid="{00000000-0005-0000-0000-0000CB080000}"/>
    <cellStyle name="20% - Accent6 2 2 3 3 2" xfId="33891" xr:uid="{00000000-0005-0000-0000-0000CC080000}"/>
    <cellStyle name="20% - Accent6 2 2 3 4" xfId="34106" xr:uid="{00000000-0005-0000-0000-0000CD080000}"/>
    <cellStyle name="20% - Accent6 2 2 3 5" xfId="33279" xr:uid="{00000000-0005-0000-0000-0000CE080000}"/>
    <cellStyle name="20% - Accent6 2 2 3_loan Analysis " xfId="13062" xr:uid="{00000000-0005-0000-0000-0000CF080000}"/>
    <cellStyle name="20% - Accent6 2 2 30" xfId="1857" xr:uid="{00000000-0005-0000-0000-0000D0080000}"/>
    <cellStyle name="20% - Accent6 2 2 31" xfId="1858" xr:uid="{00000000-0005-0000-0000-0000D1080000}"/>
    <cellStyle name="20% - Accent6 2 2 31 2" xfId="1859" xr:uid="{00000000-0005-0000-0000-0000D2080000}"/>
    <cellStyle name="20% - Accent6 2 2 32" xfId="1860" xr:uid="{00000000-0005-0000-0000-0000D3080000}"/>
    <cellStyle name="20% - Accent6 2 2 33" xfId="1861" xr:uid="{00000000-0005-0000-0000-0000D4080000}"/>
    <cellStyle name="20% - Accent6 2 2 34" xfId="1862" xr:uid="{00000000-0005-0000-0000-0000D5080000}"/>
    <cellStyle name="20% - Accent6 2 2 35" xfId="1863" xr:uid="{00000000-0005-0000-0000-0000D6080000}"/>
    <cellStyle name="20% - Accent6 2 2 36" xfId="1864" xr:uid="{00000000-0005-0000-0000-0000D7080000}"/>
    <cellStyle name="20% - Accent6 2 2 37" xfId="1865" xr:uid="{00000000-0005-0000-0000-0000D8080000}"/>
    <cellStyle name="20% - Accent6 2 2 38" xfId="1866" xr:uid="{00000000-0005-0000-0000-0000D9080000}"/>
    <cellStyle name="20% - Accent6 2 2 39" xfId="1867" xr:uid="{00000000-0005-0000-0000-0000DA080000}"/>
    <cellStyle name="20% - Accent6 2 2 39 2" xfId="1868" xr:uid="{00000000-0005-0000-0000-0000DB080000}"/>
    <cellStyle name="20% - Accent6 2 2 4" xfId="1869" xr:uid="{00000000-0005-0000-0000-0000DC080000}"/>
    <cellStyle name="20% - Accent6 2 2 4 2" xfId="29624" xr:uid="{00000000-0005-0000-0000-0000DD080000}"/>
    <cellStyle name="20% - Accent6 2 2 4 3" xfId="29625" xr:uid="{00000000-0005-0000-0000-0000DE080000}"/>
    <cellStyle name="20% - Accent6 2 2 4 4" xfId="29626" xr:uid="{00000000-0005-0000-0000-0000DF080000}"/>
    <cellStyle name="20% - Accent6 2 2 4 5" xfId="33452" xr:uid="{00000000-0005-0000-0000-0000E0080000}"/>
    <cellStyle name="20% - Accent6 2 2 40" xfId="29627" xr:uid="{00000000-0005-0000-0000-0000E1080000}"/>
    <cellStyle name="20% - Accent6 2 2 41" xfId="29628" xr:uid="{00000000-0005-0000-0000-0000E2080000}"/>
    <cellStyle name="20% - Accent6 2 2 42" xfId="29629" xr:uid="{00000000-0005-0000-0000-0000E3080000}"/>
    <cellStyle name="20% - Accent6 2 2 43" xfId="29630" xr:uid="{00000000-0005-0000-0000-0000E4080000}"/>
    <cellStyle name="20% - Accent6 2 2 44" xfId="29631" xr:uid="{00000000-0005-0000-0000-0000E5080000}"/>
    <cellStyle name="20% - Accent6 2 2 45" xfId="29632" xr:uid="{00000000-0005-0000-0000-0000E6080000}"/>
    <cellStyle name="20% - Accent6 2 2 46" xfId="29633" xr:uid="{00000000-0005-0000-0000-0000E7080000}"/>
    <cellStyle name="20% - Accent6 2 2 47" xfId="33129" xr:uid="{00000000-0005-0000-0000-0000E8080000}"/>
    <cellStyle name="20% - Accent6 2 2 5" xfId="1870" xr:uid="{00000000-0005-0000-0000-0000E9080000}"/>
    <cellStyle name="20% - Accent6 2 2 5 2" xfId="33562" xr:uid="{00000000-0005-0000-0000-0000EA080000}"/>
    <cellStyle name="20% - Accent6 2 2 6" xfId="1871" xr:uid="{00000000-0005-0000-0000-0000EB080000}"/>
    <cellStyle name="20% - Accent6 2 2 6 2" xfId="33445" xr:uid="{00000000-0005-0000-0000-0000EC080000}"/>
    <cellStyle name="20% - Accent6 2 2 7" xfId="1872" xr:uid="{00000000-0005-0000-0000-0000ED080000}"/>
    <cellStyle name="20% - Accent6 2 2 8" xfId="1873" xr:uid="{00000000-0005-0000-0000-0000EE080000}"/>
    <cellStyle name="20% - Accent6 2 2 9" xfId="1874" xr:uid="{00000000-0005-0000-0000-0000EF080000}"/>
    <cellStyle name="20% - Accent6 2 2_loan Analysis " xfId="13063" xr:uid="{00000000-0005-0000-0000-0000F0080000}"/>
    <cellStyle name="20% - Accent6 2 20" xfId="1875" xr:uid="{00000000-0005-0000-0000-0000F1080000}"/>
    <cellStyle name="20% - Accent6 2 21" xfId="1876" xr:uid="{00000000-0005-0000-0000-0000F2080000}"/>
    <cellStyle name="20% - Accent6 2 22" xfId="1877" xr:uid="{00000000-0005-0000-0000-0000F3080000}"/>
    <cellStyle name="20% - Accent6 2 23" xfId="1878" xr:uid="{00000000-0005-0000-0000-0000F4080000}"/>
    <cellStyle name="20% - Accent6 2 24" xfId="1879" xr:uid="{00000000-0005-0000-0000-0000F5080000}"/>
    <cellStyle name="20% - Accent6 2 25" xfId="1880" xr:uid="{00000000-0005-0000-0000-0000F6080000}"/>
    <cellStyle name="20% - Accent6 2 26" xfId="1881" xr:uid="{00000000-0005-0000-0000-0000F7080000}"/>
    <cellStyle name="20% - Accent6 2 27" xfId="1882" xr:uid="{00000000-0005-0000-0000-0000F8080000}"/>
    <cellStyle name="20% - Accent6 2 28" xfId="1883" xr:uid="{00000000-0005-0000-0000-0000F9080000}"/>
    <cellStyle name="20% - Accent6 2 29" xfId="1884" xr:uid="{00000000-0005-0000-0000-0000FA080000}"/>
    <cellStyle name="20% - Accent6 2 3" xfId="1885" xr:uid="{00000000-0005-0000-0000-0000FB080000}"/>
    <cellStyle name="20% - Accent6 2 3 2" xfId="13064" xr:uid="{00000000-0005-0000-0000-0000FC080000}"/>
    <cellStyle name="20% - Accent6 2 3 2 2" xfId="13065" xr:uid="{00000000-0005-0000-0000-0000FD080000}"/>
    <cellStyle name="20% - Accent6 2 3 2 2 2" xfId="13066" xr:uid="{00000000-0005-0000-0000-0000FE080000}"/>
    <cellStyle name="20% - Accent6 2 3 2 2 2 2" xfId="17107" xr:uid="{00000000-0005-0000-0000-0000FF080000}"/>
    <cellStyle name="20% - Accent6 2 3 2 2 2 3" xfId="33705" xr:uid="{00000000-0005-0000-0000-000000090000}"/>
    <cellStyle name="20% - Accent6 2 3 2 2 3" xfId="17106" xr:uid="{00000000-0005-0000-0000-000001090000}"/>
    <cellStyle name="20% - Accent6 2 3 2 2 3 2" xfId="33934" xr:uid="{00000000-0005-0000-0000-000002090000}"/>
    <cellStyle name="20% - Accent6 2 3 2 2 4" xfId="34148" xr:uid="{00000000-0005-0000-0000-000003090000}"/>
    <cellStyle name="20% - Accent6 2 3 2 2 5" xfId="33321" xr:uid="{00000000-0005-0000-0000-000004090000}"/>
    <cellStyle name="20% - Accent6 2 3 2 2_loan Analysis " xfId="13067" xr:uid="{00000000-0005-0000-0000-000005090000}"/>
    <cellStyle name="20% - Accent6 2 3 2 3" xfId="13068" xr:uid="{00000000-0005-0000-0000-000006090000}"/>
    <cellStyle name="20% - Accent6 2 3 2 3 2" xfId="17108" xr:uid="{00000000-0005-0000-0000-000007090000}"/>
    <cellStyle name="20% - Accent6 2 3 2 3 3" xfId="33597" xr:uid="{00000000-0005-0000-0000-000008090000}"/>
    <cellStyle name="20% - Accent6 2 3 2 4" xfId="17105" xr:uid="{00000000-0005-0000-0000-000009090000}"/>
    <cellStyle name="20% - Accent6 2 3 2 4 2" xfId="33832" xr:uid="{00000000-0005-0000-0000-00000A090000}"/>
    <cellStyle name="20% - Accent6 2 3 2 5" xfId="34051" xr:uid="{00000000-0005-0000-0000-00000B090000}"/>
    <cellStyle name="20% - Accent6 2 3 2 6" xfId="33217" xr:uid="{00000000-0005-0000-0000-00000C090000}"/>
    <cellStyle name="20% - Accent6 2 3 2_loan Analysis " xfId="13069" xr:uid="{00000000-0005-0000-0000-00000D090000}"/>
    <cellStyle name="20% - Accent6 2 3 3" xfId="13070" xr:uid="{00000000-0005-0000-0000-00000E090000}"/>
    <cellStyle name="20% - Accent6 2 3 3 2" xfId="13071" xr:uid="{00000000-0005-0000-0000-00000F090000}"/>
    <cellStyle name="20% - Accent6 2 3 3 2 2" xfId="17110" xr:uid="{00000000-0005-0000-0000-000010090000}"/>
    <cellStyle name="20% - Accent6 2 3 3 2 3" xfId="33664" xr:uid="{00000000-0005-0000-0000-000011090000}"/>
    <cellStyle name="20% - Accent6 2 3 3 3" xfId="17109" xr:uid="{00000000-0005-0000-0000-000012090000}"/>
    <cellStyle name="20% - Accent6 2 3 3 3 2" xfId="33892" xr:uid="{00000000-0005-0000-0000-000013090000}"/>
    <cellStyle name="20% - Accent6 2 3 3 4" xfId="34107" xr:uid="{00000000-0005-0000-0000-000014090000}"/>
    <cellStyle name="20% - Accent6 2 3 3 5" xfId="33280" xr:uid="{00000000-0005-0000-0000-000015090000}"/>
    <cellStyle name="20% - Accent6 2 3 3_loan Analysis " xfId="13072" xr:uid="{00000000-0005-0000-0000-000016090000}"/>
    <cellStyle name="20% - Accent6 2 3 4" xfId="13073" xr:uid="{00000000-0005-0000-0000-000017090000}"/>
    <cellStyle name="20% - Accent6 2 3 4 2" xfId="17111" xr:uid="{00000000-0005-0000-0000-000018090000}"/>
    <cellStyle name="20% - Accent6 2 3 4 3" xfId="29634" xr:uid="{00000000-0005-0000-0000-000019090000}"/>
    <cellStyle name="20% - Accent6 2 3 4 4" xfId="33453" xr:uid="{00000000-0005-0000-0000-00001A090000}"/>
    <cellStyle name="20% - Accent6 2 3 5" xfId="29635" xr:uid="{00000000-0005-0000-0000-00001B090000}"/>
    <cellStyle name="20% - Accent6 2 3 5 2" xfId="33631" xr:uid="{00000000-0005-0000-0000-00001C090000}"/>
    <cellStyle name="20% - Accent6 2 3 6" xfId="29636" xr:uid="{00000000-0005-0000-0000-00001D090000}"/>
    <cellStyle name="20% - Accent6 2 3 6 2" xfId="33446" xr:uid="{00000000-0005-0000-0000-00001E090000}"/>
    <cellStyle name="20% - Accent6 2 3 7" xfId="29637" xr:uid="{00000000-0005-0000-0000-00001F090000}"/>
    <cellStyle name="20% - Accent6 2 3 8" xfId="33130" xr:uid="{00000000-0005-0000-0000-000020090000}"/>
    <cellStyle name="20% - Accent6 2 3_loan Analysis " xfId="13074" xr:uid="{00000000-0005-0000-0000-000021090000}"/>
    <cellStyle name="20% - Accent6 2 30" xfId="1886" xr:uid="{00000000-0005-0000-0000-000022090000}"/>
    <cellStyle name="20% - Accent6 2 31" xfId="1887" xr:uid="{00000000-0005-0000-0000-000023090000}"/>
    <cellStyle name="20% - Accent6 2 32" xfId="1888" xr:uid="{00000000-0005-0000-0000-000024090000}"/>
    <cellStyle name="20% - Accent6 2 33" xfId="1889" xr:uid="{00000000-0005-0000-0000-000025090000}"/>
    <cellStyle name="20% - Accent6 2 33 2" xfId="1890" xr:uid="{00000000-0005-0000-0000-000026090000}"/>
    <cellStyle name="20% - Accent6 2 34" xfId="1891" xr:uid="{00000000-0005-0000-0000-000027090000}"/>
    <cellStyle name="20% - Accent6 2 35" xfId="1892" xr:uid="{00000000-0005-0000-0000-000028090000}"/>
    <cellStyle name="20% - Accent6 2 36" xfId="1893" xr:uid="{00000000-0005-0000-0000-000029090000}"/>
    <cellStyle name="20% - Accent6 2 37" xfId="1894" xr:uid="{00000000-0005-0000-0000-00002A090000}"/>
    <cellStyle name="20% - Accent6 2 38" xfId="1895" xr:uid="{00000000-0005-0000-0000-00002B090000}"/>
    <cellStyle name="20% - Accent6 2 39" xfId="1896" xr:uid="{00000000-0005-0000-0000-00002C090000}"/>
    <cellStyle name="20% - Accent6 2 4" xfId="1897" xr:uid="{00000000-0005-0000-0000-00002D090000}"/>
    <cellStyle name="20% - Accent6 2 4 2" xfId="13075" xr:uid="{00000000-0005-0000-0000-00002E090000}"/>
    <cellStyle name="20% - Accent6 2 4 2 2" xfId="13076" xr:uid="{00000000-0005-0000-0000-00002F090000}"/>
    <cellStyle name="20% - Accent6 2 4 2 2 2" xfId="13077" xr:uid="{00000000-0005-0000-0000-000030090000}"/>
    <cellStyle name="20% - Accent6 2 4 2 2 2 2" xfId="17115" xr:uid="{00000000-0005-0000-0000-000031090000}"/>
    <cellStyle name="20% - Accent6 2 4 2 2 2 3" xfId="33706" xr:uid="{00000000-0005-0000-0000-000032090000}"/>
    <cellStyle name="20% - Accent6 2 4 2 2 3" xfId="17114" xr:uid="{00000000-0005-0000-0000-000033090000}"/>
    <cellStyle name="20% - Accent6 2 4 2 2 3 2" xfId="33935" xr:uid="{00000000-0005-0000-0000-000034090000}"/>
    <cellStyle name="20% - Accent6 2 4 2 2 4" xfId="34149" xr:uid="{00000000-0005-0000-0000-000035090000}"/>
    <cellStyle name="20% - Accent6 2 4 2 2 5" xfId="33322" xr:uid="{00000000-0005-0000-0000-000036090000}"/>
    <cellStyle name="20% - Accent6 2 4 2 2_loan Analysis " xfId="13078" xr:uid="{00000000-0005-0000-0000-000037090000}"/>
    <cellStyle name="20% - Accent6 2 4 2 3" xfId="13079" xr:uid="{00000000-0005-0000-0000-000038090000}"/>
    <cellStyle name="20% - Accent6 2 4 2 3 2" xfId="17116" xr:uid="{00000000-0005-0000-0000-000039090000}"/>
    <cellStyle name="20% - Accent6 2 4 2 3 3" xfId="33598" xr:uid="{00000000-0005-0000-0000-00003A090000}"/>
    <cellStyle name="20% - Accent6 2 4 2 4" xfId="17113" xr:uid="{00000000-0005-0000-0000-00003B090000}"/>
    <cellStyle name="20% - Accent6 2 4 2 4 2" xfId="33833" xr:uid="{00000000-0005-0000-0000-00003C090000}"/>
    <cellStyle name="20% - Accent6 2 4 2 5" xfId="34052" xr:uid="{00000000-0005-0000-0000-00003D090000}"/>
    <cellStyle name="20% - Accent6 2 4 2 6" xfId="33218" xr:uid="{00000000-0005-0000-0000-00003E090000}"/>
    <cellStyle name="20% - Accent6 2 4 2_loan Analysis " xfId="13080" xr:uid="{00000000-0005-0000-0000-00003F090000}"/>
    <cellStyle name="20% - Accent6 2 4 3" xfId="13081" xr:uid="{00000000-0005-0000-0000-000040090000}"/>
    <cellStyle name="20% - Accent6 2 4 3 2" xfId="13082" xr:uid="{00000000-0005-0000-0000-000041090000}"/>
    <cellStyle name="20% - Accent6 2 4 3 2 2" xfId="17118" xr:uid="{00000000-0005-0000-0000-000042090000}"/>
    <cellStyle name="20% - Accent6 2 4 3 2 3" xfId="33665" xr:uid="{00000000-0005-0000-0000-000043090000}"/>
    <cellStyle name="20% - Accent6 2 4 3 3" xfId="17117" xr:uid="{00000000-0005-0000-0000-000044090000}"/>
    <cellStyle name="20% - Accent6 2 4 3 3 2" xfId="33893" xr:uid="{00000000-0005-0000-0000-000045090000}"/>
    <cellStyle name="20% - Accent6 2 4 3 4" xfId="34108" xr:uid="{00000000-0005-0000-0000-000046090000}"/>
    <cellStyle name="20% - Accent6 2 4 3 5" xfId="33281" xr:uid="{00000000-0005-0000-0000-000047090000}"/>
    <cellStyle name="20% - Accent6 2 4 3_loan Analysis " xfId="13083" xr:uid="{00000000-0005-0000-0000-000048090000}"/>
    <cellStyle name="20% - Accent6 2 4 4" xfId="13084" xr:uid="{00000000-0005-0000-0000-000049090000}"/>
    <cellStyle name="20% - Accent6 2 4 4 2" xfId="17119" xr:uid="{00000000-0005-0000-0000-00004A090000}"/>
    <cellStyle name="20% - Accent6 2 4 4 3" xfId="29638" xr:uid="{00000000-0005-0000-0000-00004B090000}"/>
    <cellStyle name="20% - Accent6 2 4 4 4" xfId="33454" xr:uid="{00000000-0005-0000-0000-00004C090000}"/>
    <cellStyle name="20% - Accent6 2 4 5" xfId="29639" xr:uid="{00000000-0005-0000-0000-00004D090000}"/>
    <cellStyle name="20% - Accent6 2 4 5 2" xfId="33630" xr:uid="{00000000-0005-0000-0000-00004E090000}"/>
    <cellStyle name="20% - Accent6 2 4 6" xfId="29640" xr:uid="{00000000-0005-0000-0000-00004F090000}"/>
    <cellStyle name="20% - Accent6 2 4 6 2" xfId="33859" xr:uid="{00000000-0005-0000-0000-000050090000}"/>
    <cellStyle name="20% - Accent6 2 4 7" xfId="33131" xr:uid="{00000000-0005-0000-0000-000051090000}"/>
    <cellStyle name="20% - Accent6 2 4_loan Analysis " xfId="13085" xr:uid="{00000000-0005-0000-0000-000052090000}"/>
    <cellStyle name="20% - Accent6 2 40" xfId="1898" xr:uid="{00000000-0005-0000-0000-000053090000}"/>
    <cellStyle name="20% - Accent6 2 41" xfId="1899" xr:uid="{00000000-0005-0000-0000-000054090000}"/>
    <cellStyle name="20% - Accent6 2 41 2" xfId="1900" xr:uid="{00000000-0005-0000-0000-000055090000}"/>
    <cellStyle name="20% - Accent6 2 42" xfId="29641" xr:uid="{00000000-0005-0000-0000-000056090000}"/>
    <cellStyle name="20% - Accent6 2 43" xfId="29642" xr:uid="{00000000-0005-0000-0000-000057090000}"/>
    <cellStyle name="20% - Accent6 2 44" xfId="29643" xr:uid="{00000000-0005-0000-0000-000058090000}"/>
    <cellStyle name="20% - Accent6 2 45" xfId="29644" xr:uid="{00000000-0005-0000-0000-000059090000}"/>
    <cellStyle name="20% - Accent6 2 46" xfId="29645" xr:uid="{00000000-0005-0000-0000-00005A090000}"/>
    <cellStyle name="20% - Accent6 2 47" xfId="29646" xr:uid="{00000000-0005-0000-0000-00005B090000}"/>
    <cellStyle name="20% - Accent6 2 48" xfId="29647" xr:uid="{00000000-0005-0000-0000-00005C090000}"/>
    <cellStyle name="20% - Accent6 2 49" xfId="29648" xr:uid="{00000000-0005-0000-0000-00005D090000}"/>
    <cellStyle name="20% - Accent6 2 5" xfId="1901" xr:uid="{00000000-0005-0000-0000-00005E090000}"/>
    <cellStyle name="20% - Accent6 2 5 2" xfId="1902" xr:uid="{00000000-0005-0000-0000-00005F090000}"/>
    <cellStyle name="20% - Accent6 2 5 3" xfId="29649" xr:uid="{00000000-0005-0000-0000-000060090000}"/>
    <cellStyle name="20% - Accent6 2 50" xfId="29650" xr:uid="{00000000-0005-0000-0000-000061090000}"/>
    <cellStyle name="20% - Accent6 2 51" xfId="29651" xr:uid="{00000000-0005-0000-0000-000062090000}"/>
    <cellStyle name="20% - Accent6 2 52" xfId="33128" xr:uid="{00000000-0005-0000-0000-000063090000}"/>
    <cellStyle name="20% - Accent6 2 53" xfId="33246" xr:uid="{00000000-0005-0000-0000-000064090000}"/>
    <cellStyle name="20% - Accent6 2 54" xfId="1733" xr:uid="{00000000-0005-0000-0000-000065090000}"/>
    <cellStyle name="20% - Accent6 2 6" xfId="1903" xr:uid="{00000000-0005-0000-0000-000066090000}"/>
    <cellStyle name="20% - Accent6 2 6 2" xfId="29652" xr:uid="{00000000-0005-0000-0000-000067090000}"/>
    <cellStyle name="20% - Accent6 2 6 3" xfId="29653" xr:uid="{00000000-0005-0000-0000-000068090000}"/>
    <cellStyle name="20% - Accent6 2 7" xfId="1904" xr:uid="{00000000-0005-0000-0000-000069090000}"/>
    <cellStyle name="20% - Accent6 2 8" xfId="1905" xr:uid="{00000000-0005-0000-0000-00006A090000}"/>
    <cellStyle name="20% - Accent6 2 9" xfId="1906" xr:uid="{00000000-0005-0000-0000-00006B090000}"/>
    <cellStyle name="20% - Accent6 2_Loan Classification" xfId="11405" xr:uid="{00000000-0005-0000-0000-00006C090000}"/>
    <cellStyle name="20% - Accent6 20" xfId="1907" xr:uid="{00000000-0005-0000-0000-00006D090000}"/>
    <cellStyle name="20% - Accent6 21" xfId="1908" xr:uid="{00000000-0005-0000-0000-00006E090000}"/>
    <cellStyle name="20% - Accent6 22" xfId="1909" xr:uid="{00000000-0005-0000-0000-00006F090000}"/>
    <cellStyle name="20% - Accent6 23" xfId="1910" xr:uid="{00000000-0005-0000-0000-000070090000}"/>
    <cellStyle name="20% - Accent6 24" xfId="1911" xr:uid="{00000000-0005-0000-0000-000071090000}"/>
    <cellStyle name="20% - Accent6 25" xfId="1912" xr:uid="{00000000-0005-0000-0000-000072090000}"/>
    <cellStyle name="20% - Accent6 26" xfId="1913" xr:uid="{00000000-0005-0000-0000-000073090000}"/>
    <cellStyle name="20% - Accent6 27" xfId="1914" xr:uid="{00000000-0005-0000-0000-000074090000}"/>
    <cellStyle name="20% - Accent6 28" xfId="1915" xr:uid="{00000000-0005-0000-0000-000075090000}"/>
    <cellStyle name="20% - Accent6 29" xfId="1916" xr:uid="{00000000-0005-0000-0000-000076090000}"/>
    <cellStyle name="20% - Accent6 3" xfId="460" xr:uid="{00000000-0005-0000-0000-000077090000}"/>
    <cellStyle name="20% - Accent6 3 2" xfId="29654" xr:uid="{00000000-0005-0000-0000-000078090000}"/>
    <cellStyle name="20% - Accent6 3 2 2" xfId="29655" xr:uid="{00000000-0005-0000-0000-000079090000}"/>
    <cellStyle name="20% - Accent6 3 3" xfId="29656" xr:uid="{00000000-0005-0000-0000-00007A090000}"/>
    <cellStyle name="20% - Accent6 3 4" xfId="1917" xr:uid="{00000000-0005-0000-0000-00007B090000}"/>
    <cellStyle name="20% - Accent6 30" xfId="1918" xr:uid="{00000000-0005-0000-0000-00007C090000}"/>
    <cellStyle name="20% - Accent6 31" xfId="1919" xr:uid="{00000000-0005-0000-0000-00007D090000}"/>
    <cellStyle name="20% - Accent6 32" xfId="1920" xr:uid="{00000000-0005-0000-0000-00007E090000}"/>
    <cellStyle name="20% - Accent6 33" xfId="1921" xr:uid="{00000000-0005-0000-0000-00007F090000}"/>
    <cellStyle name="20% - Accent6 34" xfId="1922" xr:uid="{00000000-0005-0000-0000-000080090000}"/>
    <cellStyle name="20% - Accent6 35" xfId="1923" xr:uid="{00000000-0005-0000-0000-000081090000}"/>
    <cellStyle name="20% - Accent6 36" xfId="1924" xr:uid="{00000000-0005-0000-0000-000082090000}"/>
    <cellStyle name="20% - Accent6 37" xfId="1925" xr:uid="{00000000-0005-0000-0000-000083090000}"/>
    <cellStyle name="20% - Accent6 38" xfId="1926" xr:uid="{00000000-0005-0000-0000-000084090000}"/>
    <cellStyle name="20% - Accent6 39" xfId="1927" xr:uid="{00000000-0005-0000-0000-000085090000}"/>
    <cellStyle name="20% - Accent6 4" xfId="1928" xr:uid="{00000000-0005-0000-0000-000086090000}"/>
    <cellStyle name="20% - Accent6 4 2" xfId="29657" xr:uid="{00000000-0005-0000-0000-000087090000}"/>
    <cellStyle name="20% - Accent6 4 2 2" xfId="29658" xr:uid="{00000000-0005-0000-0000-000088090000}"/>
    <cellStyle name="20% - Accent6 4 3" xfId="29659" xr:uid="{00000000-0005-0000-0000-000089090000}"/>
    <cellStyle name="20% - Accent6 40" xfId="1929" xr:uid="{00000000-0005-0000-0000-00008A090000}"/>
    <cellStyle name="20% - Accent6 41" xfId="1930" xr:uid="{00000000-0005-0000-0000-00008B090000}"/>
    <cellStyle name="20% - Accent6 42" xfId="1931" xr:uid="{00000000-0005-0000-0000-00008C090000}"/>
    <cellStyle name="20% - Accent6 43" xfId="11568" xr:uid="{00000000-0005-0000-0000-00008D090000}"/>
    <cellStyle name="20% - Accent6 44" xfId="11559" xr:uid="{00000000-0005-0000-0000-00008E090000}"/>
    <cellStyle name="20% - Accent6 44 2" xfId="17122" xr:uid="{00000000-0005-0000-0000-00008F090000}"/>
    <cellStyle name="20% - Accent6 45" xfId="17123" xr:uid="{00000000-0005-0000-0000-000090090000}"/>
    <cellStyle name="20% - Accent6 46" xfId="29660" xr:uid="{00000000-0005-0000-0000-000091090000}"/>
    <cellStyle name="20% - Accent6 47" xfId="34267" xr:uid="{00000000-0005-0000-0000-000092090000}"/>
    <cellStyle name="20% - Accent6 48" xfId="488" xr:uid="{00000000-0005-0000-0000-000093090000}"/>
    <cellStyle name="20% - Accent6 5" xfId="1932" xr:uid="{00000000-0005-0000-0000-000094090000}"/>
    <cellStyle name="20% - Accent6 5 2" xfId="12834" xr:uid="{00000000-0005-0000-0000-000095090000}"/>
    <cellStyle name="20% - Accent6 5 2 2" xfId="29661" xr:uid="{00000000-0005-0000-0000-000096090000}"/>
    <cellStyle name="20% - Accent6 5 3" xfId="29662" xr:uid="{00000000-0005-0000-0000-000097090000}"/>
    <cellStyle name="20% - Accent6 5 3 2" xfId="29663" xr:uid="{00000000-0005-0000-0000-000098090000}"/>
    <cellStyle name="20% - Accent6 6" xfId="1933" xr:uid="{00000000-0005-0000-0000-000099090000}"/>
    <cellStyle name="20% - Accent6 6 2" xfId="29664" xr:uid="{00000000-0005-0000-0000-00009A090000}"/>
    <cellStyle name="20% - Accent6 7" xfId="1934" xr:uid="{00000000-0005-0000-0000-00009B090000}"/>
    <cellStyle name="20% - Accent6 7 2" xfId="29665" xr:uid="{00000000-0005-0000-0000-00009C090000}"/>
    <cellStyle name="20% - Accent6 8" xfId="1935" xr:uid="{00000000-0005-0000-0000-00009D090000}"/>
    <cellStyle name="20% - Accent6 8 2" xfId="29666" xr:uid="{00000000-0005-0000-0000-00009E090000}"/>
    <cellStyle name="20% - Accent6 9" xfId="1936" xr:uid="{00000000-0005-0000-0000-00009F090000}"/>
    <cellStyle name="20% - Accent6 9 2" xfId="29667" xr:uid="{00000000-0005-0000-0000-0000A0090000}"/>
    <cellStyle name="40 % - Accent1" xfId="29668" xr:uid="{00000000-0005-0000-0000-0000A1090000}"/>
    <cellStyle name="40 % - Accent2" xfId="29669" xr:uid="{00000000-0005-0000-0000-0000A2090000}"/>
    <cellStyle name="40 % - Accent3" xfId="29670" xr:uid="{00000000-0005-0000-0000-0000A3090000}"/>
    <cellStyle name="40 % - Accent4" xfId="29671" xr:uid="{00000000-0005-0000-0000-0000A4090000}"/>
    <cellStyle name="40 % - Accent5" xfId="29672" xr:uid="{00000000-0005-0000-0000-0000A5090000}"/>
    <cellStyle name="40 % - Accent6" xfId="29673" xr:uid="{00000000-0005-0000-0000-0000A6090000}"/>
    <cellStyle name="40% - Accent1" xfId="27" builtinId="31" customBuiltin="1"/>
    <cellStyle name="40% - Accent1 10" xfId="1937" xr:uid="{00000000-0005-0000-0000-0000A8090000}"/>
    <cellStyle name="40% - Accent1 10 2" xfId="29674" xr:uid="{00000000-0005-0000-0000-0000A9090000}"/>
    <cellStyle name="40% - Accent1 11" xfId="1938" xr:uid="{00000000-0005-0000-0000-0000AA090000}"/>
    <cellStyle name="40% - Accent1 11 2" xfId="29675" xr:uid="{00000000-0005-0000-0000-0000AB090000}"/>
    <cellStyle name="40% - Accent1 12" xfId="1939" xr:uid="{00000000-0005-0000-0000-0000AC090000}"/>
    <cellStyle name="40% - Accent1 12 2" xfId="29676" xr:uid="{00000000-0005-0000-0000-0000AD090000}"/>
    <cellStyle name="40% - Accent1 13" xfId="1940" xr:uid="{00000000-0005-0000-0000-0000AE090000}"/>
    <cellStyle name="40% - Accent1 13 2" xfId="29677" xr:uid="{00000000-0005-0000-0000-0000AF090000}"/>
    <cellStyle name="40% - Accent1 14" xfId="1941" xr:uid="{00000000-0005-0000-0000-0000B0090000}"/>
    <cellStyle name="40% - Accent1 14 2" xfId="29678" xr:uid="{00000000-0005-0000-0000-0000B1090000}"/>
    <cellStyle name="40% - Accent1 15" xfId="1942" xr:uid="{00000000-0005-0000-0000-0000B2090000}"/>
    <cellStyle name="40% - Accent1 15 2" xfId="29679" xr:uid="{00000000-0005-0000-0000-0000B3090000}"/>
    <cellStyle name="40% - Accent1 16" xfId="1943" xr:uid="{00000000-0005-0000-0000-0000B4090000}"/>
    <cellStyle name="40% - Accent1 16 2" xfId="29680" xr:uid="{00000000-0005-0000-0000-0000B5090000}"/>
    <cellStyle name="40% - Accent1 17" xfId="1944" xr:uid="{00000000-0005-0000-0000-0000B6090000}"/>
    <cellStyle name="40% - Accent1 17 2" xfId="29681" xr:uid="{00000000-0005-0000-0000-0000B7090000}"/>
    <cellStyle name="40% - Accent1 18" xfId="1945" xr:uid="{00000000-0005-0000-0000-0000B8090000}"/>
    <cellStyle name="40% - Accent1 19" xfId="1946" xr:uid="{00000000-0005-0000-0000-0000B9090000}"/>
    <cellStyle name="40% - Accent1 2" xfId="63" xr:uid="{00000000-0005-0000-0000-0000BA090000}"/>
    <cellStyle name="40% - Accent1 2 10" xfId="1948" xr:uid="{00000000-0005-0000-0000-0000BB090000}"/>
    <cellStyle name="40% - Accent1 2 11" xfId="1949" xr:uid="{00000000-0005-0000-0000-0000BC090000}"/>
    <cellStyle name="40% - Accent1 2 12" xfId="1950" xr:uid="{00000000-0005-0000-0000-0000BD090000}"/>
    <cellStyle name="40% - Accent1 2 13" xfId="1951" xr:uid="{00000000-0005-0000-0000-0000BE090000}"/>
    <cellStyle name="40% - Accent1 2 14" xfId="1952" xr:uid="{00000000-0005-0000-0000-0000BF090000}"/>
    <cellStyle name="40% - Accent1 2 15" xfId="1953" xr:uid="{00000000-0005-0000-0000-0000C0090000}"/>
    <cellStyle name="40% - Accent1 2 16" xfId="1954" xr:uid="{00000000-0005-0000-0000-0000C1090000}"/>
    <cellStyle name="40% - Accent1 2 16 2" xfId="1955" xr:uid="{00000000-0005-0000-0000-0000C2090000}"/>
    <cellStyle name="40% - Accent1 2 17" xfId="1956" xr:uid="{00000000-0005-0000-0000-0000C3090000}"/>
    <cellStyle name="40% - Accent1 2 18" xfId="1957" xr:uid="{00000000-0005-0000-0000-0000C4090000}"/>
    <cellStyle name="40% - Accent1 2 19" xfId="1958" xr:uid="{00000000-0005-0000-0000-0000C5090000}"/>
    <cellStyle name="40% - Accent1 2 2" xfId="424" xr:uid="{00000000-0005-0000-0000-0000C6090000}"/>
    <cellStyle name="40% - Accent1 2 2 10" xfId="1960" xr:uid="{00000000-0005-0000-0000-0000C7090000}"/>
    <cellStyle name="40% - Accent1 2 2 11" xfId="1961" xr:uid="{00000000-0005-0000-0000-0000C8090000}"/>
    <cellStyle name="40% - Accent1 2 2 12" xfId="1962" xr:uid="{00000000-0005-0000-0000-0000C9090000}"/>
    <cellStyle name="40% - Accent1 2 2 13" xfId="1963" xr:uid="{00000000-0005-0000-0000-0000CA090000}"/>
    <cellStyle name="40% - Accent1 2 2 14" xfId="1964" xr:uid="{00000000-0005-0000-0000-0000CB090000}"/>
    <cellStyle name="40% - Accent1 2 2 14 2" xfId="1965" xr:uid="{00000000-0005-0000-0000-0000CC090000}"/>
    <cellStyle name="40% - Accent1 2 2 15" xfId="1966" xr:uid="{00000000-0005-0000-0000-0000CD090000}"/>
    <cellStyle name="40% - Accent1 2 2 16" xfId="1967" xr:uid="{00000000-0005-0000-0000-0000CE090000}"/>
    <cellStyle name="40% - Accent1 2 2 17" xfId="1968" xr:uid="{00000000-0005-0000-0000-0000CF090000}"/>
    <cellStyle name="40% - Accent1 2 2 18" xfId="1969" xr:uid="{00000000-0005-0000-0000-0000D0090000}"/>
    <cellStyle name="40% - Accent1 2 2 19" xfId="1970" xr:uid="{00000000-0005-0000-0000-0000D1090000}"/>
    <cellStyle name="40% - Accent1 2 2 2" xfId="1971" xr:uid="{00000000-0005-0000-0000-0000D2090000}"/>
    <cellStyle name="40% - Accent1 2 2 2 10" xfId="1972" xr:uid="{00000000-0005-0000-0000-0000D3090000}"/>
    <cellStyle name="40% - Accent1 2 2 2 11" xfId="1973" xr:uid="{00000000-0005-0000-0000-0000D4090000}"/>
    <cellStyle name="40% - Accent1 2 2 2 12" xfId="1974" xr:uid="{00000000-0005-0000-0000-0000D5090000}"/>
    <cellStyle name="40% - Accent1 2 2 2 13" xfId="1975" xr:uid="{00000000-0005-0000-0000-0000D6090000}"/>
    <cellStyle name="40% - Accent1 2 2 2 14" xfId="1976" xr:uid="{00000000-0005-0000-0000-0000D7090000}"/>
    <cellStyle name="40% - Accent1 2 2 2 15" xfId="1977" xr:uid="{00000000-0005-0000-0000-0000D8090000}"/>
    <cellStyle name="40% - Accent1 2 2 2 16" xfId="1978" xr:uid="{00000000-0005-0000-0000-0000D9090000}"/>
    <cellStyle name="40% - Accent1 2 2 2 17" xfId="1979" xr:uid="{00000000-0005-0000-0000-0000DA090000}"/>
    <cellStyle name="40% - Accent1 2 2 2 18" xfId="1980" xr:uid="{00000000-0005-0000-0000-0000DB090000}"/>
    <cellStyle name="40% - Accent1 2 2 2 19" xfId="1981" xr:uid="{00000000-0005-0000-0000-0000DC090000}"/>
    <cellStyle name="40% - Accent1 2 2 2 2" xfId="1982" xr:uid="{00000000-0005-0000-0000-0000DD090000}"/>
    <cellStyle name="40% - Accent1 2 2 2 2 10" xfId="1983" xr:uid="{00000000-0005-0000-0000-0000DE090000}"/>
    <cellStyle name="40% - Accent1 2 2 2 2 11" xfId="1984" xr:uid="{00000000-0005-0000-0000-0000DF090000}"/>
    <cellStyle name="40% - Accent1 2 2 2 2 12" xfId="1985" xr:uid="{00000000-0005-0000-0000-0000E0090000}"/>
    <cellStyle name="40% - Accent1 2 2 2 2 13" xfId="1986" xr:uid="{00000000-0005-0000-0000-0000E1090000}"/>
    <cellStyle name="40% - Accent1 2 2 2 2 14" xfId="1987" xr:uid="{00000000-0005-0000-0000-0000E2090000}"/>
    <cellStyle name="40% - Accent1 2 2 2 2 15" xfId="1988" xr:uid="{00000000-0005-0000-0000-0000E3090000}"/>
    <cellStyle name="40% - Accent1 2 2 2 2 16" xfId="1989" xr:uid="{00000000-0005-0000-0000-0000E4090000}"/>
    <cellStyle name="40% - Accent1 2 2 2 2 17" xfId="1990" xr:uid="{00000000-0005-0000-0000-0000E5090000}"/>
    <cellStyle name="40% - Accent1 2 2 2 2 18" xfId="1991" xr:uid="{00000000-0005-0000-0000-0000E6090000}"/>
    <cellStyle name="40% - Accent1 2 2 2 2 19" xfId="1992" xr:uid="{00000000-0005-0000-0000-0000E7090000}"/>
    <cellStyle name="40% - Accent1 2 2 2 2 2" xfId="1993" xr:uid="{00000000-0005-0000-0000-0000E8090000}"/>
    <cellStyle name="40% - Accent1 2 2 2 2 2 10" xfId="1994" xr:uid="{00000000-0005-0000-0000-0000E9090000}"/>
    <cellStyle name="40% - Accent1 2 2 2 2 2 11" xfId="1995" xr:uid="{00000000-0005-0000-0000-0000EA090000}"/>
    <cellStyle name="40% - Accent1 2 2 2 2 2 11 2" xfId="1996" xr:uid="{00000000-0005-0000-0000-0000EB090000}"/>
    <cellStyle name="40% - Accent1 2 2 2 2 2 12" xfId="29682" xr:uid="{00000000-0005-0000-0000-0000EC090000}"/>
    <cellStyle name="40% - Accent1 2 2 2 2 2 13" xfId="29683" xr:uid="{00000000-0005-0000-0000-0000ED090000}"/>
    <cellStyle name="40% - Accent1 2 2 2 2 2 14" xfId="33707" xr:uid="{00000000-0005-0000-0000-0000EE090000}"/>
    <cellStyle name="40% - Accent1 2 2 2 2 2 2" xfId="1997" xr:uid="{00000000-0005-0000-0000-0000EF090000}"/>
    <cellStyle name="40% - Accent1 2 2 2 2 2 2 10" xfId="1998" xr:uid="{00000000-0005-0000-0000-0000F0090000}"/>
    <cellStyle name="40% - Accent1 2 2 2 2 2 2 11" xfId="1999" xr:uid="{00000000-0005-0000-0000-0000F1090000}"/>
    <cellStyle name="40% - Accent1 2 2 2 2 2 2 11 2" xfId="2000" xr:uid="{00000000-0005-0000-0000-0000F2090000}"/>
    <cellStyle name="40% - Accent1 2 2 2 2 2 2 2" xfId="2001" xr:uid="{00000000-0005-0000-0000-0000F3090000}"/>
    <cellStyle name="40% - Accent1 2 2 2 2 2 2 2 2" xfId="2002" xr:uid="{00000000-0005-0000-0000-0000F4090000}"/>
    <cellStyle name="40% - Accent1 2 2 2 2 2 2 2 2 2" xfId="2003" xr:uid="{00000000-0005-0000-0000-0000F5090000}"/>
    <cellStyle name="40% - Accent1 2 2 2 2 2 2 2 2 2 2" xfId="2004" xr:uid="{00000000-0005-0000-0000-0000F6090000}"/>
    <cellStyle name="40% - Accent1 2 2 2 2 2 2 2 2 3" xfId="2005" xr:uid="{00000000-0005-0000-0000-0000F7090000}"/>
    <cellStyle name="40% - Accent1 2 2 2 2 2 2 2 3" xfId="2006" xr:uid="{00000000-0005-0000-0000-0000F8090000}"/>
    <cellStyle name="40% - Accent1 2 2 2 2 2 2 2 3 2" xfId="2007" xr:uid="{00000000-0005-0000-0000-0000F9090000}"/>
    <cellStyle name="40% - Accent1 2 2 2 2 2 2 3" xfId="2008" xr:uid="{00000000-0005-0000-0000-0000FA090000}"/>
    <cellStyle name="40% - Accent1 2 2 2 2 2 2 4" xfId="2009" xr:uid="{00000000-0005-0000-0000-0000FB090000}"/>
    <cellStyle name="40% - Accent1 2 2 2 2 2 2 5" xfId="2010" xr:uid="{00000000-0005-0000-0000-0000FC090000}"/>
    <cellStyle name="40% - Accent1 2 2 2 2 2 2 6" xfId="2011" xr:uid="{00000000-0005-0000-0000-0000FD090000}"/>
    <cellStyle name="40% - Accent1 2 2 2 2 2 2 7" xfId="2012" xr:uid="{00000000-0005-0000-0000-0000FE090000}"/>
    <cellStyle name="40% - Accent1 2 2 2 2 2 2 8" xfId="2013" xr:uid="{00000000-0005-0000-0000-0000FF090000}"/>
    <cellStyle name="40% - Accent1 2 2 2 2 2 2 9" xfId="2014" xr:uid="{00000000-0005-0000-0000-0000000A0000}"/>
    <cellStyle name="40% - Accent1 2 2 2 2 2 3" xfId="2015" xr:uid="{00000000-0005-0000-0000-0000010A0000}"/>
    <cellStyle name="40% - Accent1 2 2 2 2 2 3 2" xfId="2016" xr:uid="{00000000-0005-0000-0000-0000020A0000}"/>
    <cellStyle name="40% - Accent1 2 2 2 2 2 4" xfId="2017" xr:uid="{00000000-0005-0000-0000-0000030A0000}"/>
    <cellStyle name="40% - Accent1 2 2 2 2 2 5" xfId="2018" xr:uid="{00000000-0005-0000-0000-0000040A0000}"/>
    <cellStyle name="40% - Accent1 2 2 2 2 2 6" xfId="2019" xr:uid="{00000000-0005-0000-0000-0000050A0000}"/>
    <cellStyle name="40% - Accent1 2 2 2 2 2 7" xfId="2020" xr:uid="{00000000-0005-0000-0000-0000060A0000}"/>
    <cellStyle name="40% - Accent1 2 2 2 2 2 8" xfId="2021" xr:uid="{00000000-0005-0000-0000-0000070A0000}"/>
    <cellStyle name="40% - Accent1 2 2 2 2 2 9" xfId="2022" xr:uid="{00000000-0005-0000-0000-0000080A0000}"/>
    <cellStyle name="40% - Accent1 2 2 2 2 20" xfId="2023" xr:uid="{00000000-0005-0000-0000-0000090A0000}"/>
    <cellStyle name="40% - Accent1 2 2 2 2 20 2" xfId="2024" xr:uid="{00000000-0005-0000-0000-00000A0A0000}"/>
    <cellStyle name="40% - Accent1 2 2 2 2 21" xfId="2025" xr:uid="{00000000-0005-0000-0000-00000B0A0000}"/>
    <cellStyle name="40% - Accent1 2 2 2 2 22" xfId="2026" xr:uid="{00000000-0005-0000-0000-00000C0A0000}"/>
    <cellStyle name="40% - Accent1 2 2 2 2 23" xfId="2027" xr:uid="{00000000-0005-0000-0000-00000D0A0000}"/>
    <cellStyle name="40% - Accent1 2 2 2 2 24" xfId="2028" xr:uid="{00000000-0005-0000-0000-00000E0A0000}"/>
    <cellStyle name="40% - Accent1 2 2 2 2 25" xfId="2029" xr:uid="{00000000-0005-0000-0000-00000F0A0000}"/>
    <cellStyle name="40% - Accent1 2 2 2 2 26" xfId="2030" xr:uid="{00000000-0005-0000-0000-0000100A0000}"/>
    <cellStyle name="40% - Accent1 2 2 2 2 27" xfId="2031" xr:uid="{00000000-0005-0000-0000-0000110A0000}"/>
    <cellStyle name="40% - Accent1 2 2 2 2 28" xfId="2032" xr:uid="{00000000-0005-0000-0000-0000120A0000}"/>
    <cellStyle name="40% - Accent1 2 2 2 2 28 2" xfId="2033" xr:uid="{00000000-0005-0000-0000-0000130A0000}"/>
    <cellStyle name="40% - Accent1 2 2 2 2 29" xfId="29684" xr:uid="{00000000-0005-0000-0000-0000140A0000}"/>
    <cellStyle name="40% - Accent1 2 2 2 2 3" xfId="2034" xr:uid="{00000000-0005-0000-0000-0000150A0000}"/>
    <cellStyle name="40% - Accent1 2 2 2 2 3 2" xfId="33936" xr:uid="{00000000-0005-0000-0000-0000160A0000}"/>
    <cellStyle name="40% - Accent1 2 2 2 2 30" xfId="29685" xr:uid="{00000000-0005-0000-0000-0000170A0000}"/>
    <cellStyle name="40% - Accent1 2 2 2 2 31" xfId="33323" xr:uid="{00000000-0005-0000-0000-0000180A0000}"/>
    <cellStyle name="40% - Accent1 2 2 2 2 4" xfId="2035" xr:uid="{00000000-0005-0000-0000-0000190A0000}"/>
    <cellStyle name="40% - Accent1 2 2 2 2 4 2" xfId="34150" xr:uid="{00000000-0005-0000-0000-00001A0A0000}"/>
    <cellStyle name="40% - Accent1 2 2 2 2 5" xfId="2036" xr:uid="{00000000-0005-0000-0000-00001B0A0000}"/>
    <cellStyle name="40% - Accent1 2 2 2 2 6" xfId="2037" xr:uid="{00000000-0005-0000-0000-00001C0A0000}"/>
    <cellStyle name="40% - Accent1 2 2 2 2 7" xfId="2038" xr:uid="{00000000-0005-0000-0000-00001D0A0000}"/>
    <cellStyle name="40% - Accent1 2 2 2 2 8" xfId="2039" xr:uid="{00000000-0005-0000-0000-00001E0A0000}"/>
    <cellStyle name="40% - Accent1 2 2 2 2 9" xfId="2040" xr:uid="{00000000-0005-0000-0000-00001F0A0000}"/>
    <cellStyle name="40% - Accent1 2 2 2 2_loan Analysis " xfId="13086" xr:uid="{00000000-0005-0000-0000-0000200A0000}"/>
    <cellStyle name="40% - Accent1 2 2 2 20" xfId="2041" xr:uid="{00000000-0005-0000-0000-0000210A0000}"/>
    <cellStyle name="40% - Accent1 2 2 2 20 2" xfId="2042" xr:uid="{00000000-0005-0000-0000-0000220A0000}"/>
    <cellStyle name="40% - Accent1 2 2 2 21" xfId="2043" xr:uid="{00000000-0005-0000-0000-0000230A0000}"/>
    <cellStyle name="40% - Accent1 2 2 2 22" xfId="2044" xr:uid="{00000000-0005-0000-0000-0000240A0000}"/>
    <cellStyle name="40% - Accent1 2 2 2 23" xfId="2045" xr:uid="{00000000-0005-0000-0000-0000250A0000}"/>
    <cellStyle name="40% - Accent1 2 2 2 24" xfId="2046" xr:uid="{00000000-0005-0000-0000-0000260A0000}"/>
    <cellStyle name="40% - Accent1 2 2 2 25" xfId="2047" xr:uid="{00000000-0005-0000-0000-0000270A0000}"/>
    <cellStyle name="40% - Accent1 2 2 2 26" xfId="2048" xr:uid="{00000000-0005-0000-0000-0000280A0000}"/>
    <cellStyle name="40% - Accent1 2 2 2 27" xfId="2049" xr:uid="{00000000-0005-0000-0000-0000290A0000}"/>
    <cellStyle name="40% - Accent1 2 2 2 28" xfId="2050" xr:uid="{00000000-0005-0000-0000-00002A0A0000}"/>
    <cellStyle name="40% - Accent1 2 2 2 28 2" xfId="2051" xr:uid="{00000000-0005-0000-0000-00002B0A0000}"/>
    <cellStyle name="40% - Accent1 2 2 2 29" xfId="29686" xr:uid="{00000000-0005-0000-0000-00002C0A0000}"/>
    <cellStyle name="40% - Accent1 2 2 2 3" xfId="2052" xr:uid="{00000000-0005-0000-0000-00002D0A0000}"/>
    <cellStyle name="40% - Accent1 2 2 2 3 2" xfId="2053" xr:uid="{00000000-0005-0000-0000-00002E0A0000}"/>
    <cellStyle name="40% - Accent1 2 2 2 3 3" xfId="29687" xr:uid="{00000000-0005-0000-0000-00002F0A0000}"/>
    <cellStyle name="40% - Accent1 2 2 2 3 4" xfId="29688" xr:uid="{00000000-0005-0000-0000-0000300A0000}"/>
    <cellStyle name="40% - Accent1 2 2 2 3 5" xfId="33599" xr:uid="{00000000-0005-0000-0000-0000310A0000}"/>
    <cellStyle name="40% - Accent1 2 2 2 30" xfId="29689" xr:uid="{00000000-0005-0000-0000-0000320A0000}"/>
    <cellStyle name="40% - Accent1 2 2 2 31" xfId="29690" xr:uid="{00000000-0005-0000-0000-0000330A0000}"/>
    <cellStyle name="40% - Accent1 2 2 2 32" xfId="33219" xr:uid="{00000000-0005-0000-0000-0000340A0000}"/>
    <cellStyle name="40% - Accent1 2 2 2 4" xfId="2054" xr:uid="{00000000-0005-0000-0000-0000350A0000}"/>
    <cellStyle name="40% - Accent1 2 2 2 4 2" xfId="33834" xr:uid="{00000000-0005-0000-0000-0000360A0000}"/>
    <cellStyle name="40% - Accent1 2 2 2 5" xfId="2055" xr:uid="{00000000-0005-0000-0000-0000370A0000}"/>
    <cellStyle name="40% - Accent1 2 2 2 5 2" xfId="34053" xr:uid="{00000000-0005-0000-0000-0000380A0000}"/>
    <cellStyle name="40% - Accent1 2 2 2 6" xfId="2056" xr:uid="{00000000-0005-0000-0000-0000390A0000}"/>
    <cellStyle name="40% - Accent1 2 2 2 7" xfId="2057" xr:uid="{00000000-0005-0000-0000-00003A0A0000}"/>
    <cellStyle name="40% - Accent1 2 2 2 8" xfId="2058" xr:uid="{00000000-0005-0000-0000-00003B0A0000}"/>
    <cellStyle name="40% - Accent1 2 2 2 9" xfId="2059" xr:uid="{00000000-0005-0000-0000-00003C0A0000}"/>
    <cellStyle name="40% - Accent1 2 2 2_loan Analysis " xfId="13087" xr:uid="{00000000-0005-0000-0000-00003D0A0000}"/>
    <cellStyle name="40% - Accent1 2 2 20" xfId="2060" xr:uid="{00000000-0005-0000-0000-00003E0A0000}"/>
    <cellStyle name="40% - Accent1 2 2 21" xfId="2061" xr:uid="{00000000-0005-0000-0000-00003F0A0000}"/>
    <cellStyle name="40% - Accent1 2 2 22" xfId="2062" xr:uid="{00000000-0005-0000-0000-0000400A0000}"/>
    <cellStyle name="40% - Accent1 2 2 23" xfId="2063" xr:uid="{00000000-0005-0000-0000-0000410A0000}"/>
    <cellStyle name="40% - Accent1 2 2 24" xfId="2064" xr:uid="{00000000-0005-0000-0000-0000420A0000}"/>
    <cellStyle name="40% - Accent1 2 2 25" xfId="2065" xr:uid="{00000000-0005-0000-0000-0000430A0000}"/>
    <cellStyle name="40% - Accent1 2 2 26" xfId="2066" xr:uid="{00000000-0005-0000-0000-0000440A0000}"/>
    <cellStyle name="40% - Accent1 2 2 27" xfId="2067" xr:uid="{00000000-0005-0000-0000-0000450A0000}"/>
    <cellStyle name="40% - Accent1 2 2 28" xfId="2068" xr:uid="{00000000-0005-0000-0000-0000460A0000}"/>
    <cellStyle name="40% - Accent1 2 2 29" xfId="2069" xr:uid="{00000000-0005-0000-0000-0000470A0000}"/>
    <cellStyle name="40% - Accent1 2 2 3" xfId="2070" xr:uid="{00000000-0005-0000-0000-0000480A0000}"/>
    <cellStyle name="40% - Accent1 2 2 3 2" xfId="13088" xr:uid="{00000000-0005-0000-0000-0000490A0000}"/>
    <cellStyle name="40% - Accent1 2 2 3 2 2" xfId="17133" xr:uid="{00000000-0005-0000-0000-00004A0A0000}"/>
    <cellStyle name="40% - Accent1 2 2 3 2 3" xfId="33666" xr:uid="{00000000-0005-0000-0000-00004B0A0000}"/>
    <cellStyle name="40% - Accent1 2 2 3 3" xfId="29691" xr:uid="{00000000-0005-0000-0000-00004C0A0000}"/>
    <cellStyle name="40% - Accent1 2 2 3 3 2" xfId="33894" xr:uid="{00000000-0005-0000-0000-00004D0A0000}"/>
    <cellStyle name="40% - Accent1 2 2 3 4" xfId="34109" xr:uid="{00000000-0005-0000-0000-00004E0A0000}"/>
    <cellStyle name="40% - Accent1 2 2 3 5" xfId="33282" xr:uid="{00000000-0005-0000-0000-00004F0A0000}"/>
    <cellStyle name="40% - Accent1 2 2 3_loan Analysis " xfId="13089" xr:uid="{00000000-0005-0000-0000-0000500A0000}"/>
    <cellStyle name="40% - Accent1 2 2 30" xfId="2071" xr:uid="{00000000-0005-0000-0000-0000510A0000}"/>
    <cellStyle name="40% - Accent1 2 2 31" xfId="2072" xr:uid="{00000000-0005-0000-0000-0000520A0000}"/>
    <cellStyle name="40% - Accent1 2 2 31 2" xfId="2073" xr:uid="{00000000-0005-0000-0000-0000530A0000}"/>
    <cellStyle name="40% - Accent1 2 2 32" xfId="2074" xr:uid="{00000000-0005-0000-0000-0000540A0000}"/>
    <cellStyle name="40% - Accent1 2 2 33" xfId="2075" xr:uid="{00000000-0005-0000-0000-0000550A0000}"/>
    <cellStyle name="40% - Accent1 2 2 34" xfId="2076" xr:uid="{00000000-0005-0000-0000-0000560A0000}"/>
    <cellStyle name="40% - Accent1 2 2 35" xfId="2077" xr:uid="{00000000-0005-0000-0000-0000570A0000}"/>
    <cellStyle name="40% - Accent1 2 2 36" xfId="2078" xr:uid="{00000000-0005-0000-0000-0000580A0000}"/>
    <cellStyle name="40% - Accent1 2 2 37" xfId="2079" xr:uid="{00000000-0005-0000-0000-0000590A0000}"/>
    <cellStyle name="40% - Accent1 2 2 38" xfId="2080" xr:uid="{00000000-0005-0000-0000-00005A0A0000}"/>
    <cellStyle name="40% - Accent1 2 2 39" xfId="2081" xr:uid="{00000000-0005-0000-0000-00005B0A0000}"/>
    <cellStyle name="40% - Accent1 2 2 39 2" xfId="2082" xr:uid="{00000000-0005-0000-0000-00005C0A0000}"/>
    <cellStyle name="40% - Accent1 2 2 4" xfId="2083" xr:uid="{00000000-0005-0000-0000-00005D0A0000}"/>
    <cellStyle name="40% - Accent1 2 2 4 2" xfId="29692" xr:uid="{00000000-0005-0000-0000-00005E0A0000}"/>
    <cellStyle name="40% - Accent1 2 2 4 3" xfId="29693" xr:uid="{00000000-0005-0000-0000-00005F0A0000}"/>
    <cellStyle name="40% - Accent1 2 2 4 4" xfId="29694" xr:uid="{00000000-0005-0000-0000-0000600A0000}"/>
    <cellStyle name="40% - Accent1 2 2 4 5" xfId="33457" xr:uid="{00000000-0005-0000-0000-0000610A0000}"/>
    <cellStyle name="40% - Accent1 2 2 40" xfId="29695" xr:uid="{00000000-0005-0000-0000-0000620A0000}"/>
    <cellStyle name="40% - Accent1 2 2 41" xfId="29696" xr:uid="{00000000-0005-0000-0000-0000630A0000}"/>
    <cellStyle name="40% - Accent1 2 2 42" xfId="29697" xr:uid="{00000000-0005-0000-0000-0000640A0000}"/>
    <cellStyle name="40% - Accent1 2 2 43" xfId="29698" xr:uid="{00000000-0005-0000-0000-0000650A0000}"/>
    <cellStyle name="40% - Accent1 2 2 44" xfId="29699" xr:uid="{00000000-0005-0000-0000-0000660A0000}"/>
    <cellStyle name="40% - Accent1 2 2 45" xfId="29700" xr:uid="{00000000-0005-0000-0000-0000670A0000}"/>
    <cellStyle name="40% - Accent1 2 2 46" xfId="29701" xr:uid="{00000000-0005-0000-0000-0000680A0000}"/>
    <cellStyle name="40% - Accent1 2 2 47" xfId="33133" xr:uid="{00000000-0005-0000-0000-0000690A0000}"/>
    <cellStyle name="40% - Accent1 2 2 48" xfId="1959" xr:uid="{00000000-0005-0000-0000-00006A0A0000}"/>
    <cellStyle name="40% - Accent1 2 2 5" xfId="2084" xr:uid="{00000000-0005-0000-0000-00006B0A0000}"/>
    <cellStyle name="40% - Accent1 2 2 5 2" xfId="33744" xr:uid="{00000000-0005-0000-0000-00006C0A0000}"/>
    <cellStyle name="40% - Accent1 2 2 6" xfId="2085" xr:uid="{00000000-0005-0000-0000-00006D0A0000}"/>
    <cellStyle name="40% - Accent1 2 2 6 2" xfId="33858" xr:uid="{00000000-0005-0000-0000-00006E0A0000}"/>
    <cellStyle name="40% - Accent1 2 2 7" xfId="2086" xr:uid="{00000000-0005-0000-0000-00006F0A0000}"/>
    <cellStyle name="40% - Accent1 2 2 8" xfId="2087" xr:uid="{00000000-0005-0000-0000-0000700A0000}"/>
    <cellStyle name="40% - Accent1 2 2 9" xfId="2088" xr:uid="{00000000-0005-0000-0000-0000710A0000}"/>
    <cellStyle name="40% - Accent1 2 2_loan Analysis " xfId="13090" xr:uid="{00000000-0005-0000-0000-0000720A0000}"/>
    <cellStyle name="40% - Accent1 2 20" xfId="2089" xr:uid="{00000000-0005-0000-0000-0000730A0000}"/>
    <cellStyle name="40% - Accent1 2 21" xfId="2090" xr:uid="{00000000-0005-0000-0000-0000740A0000}"/>
    <cellStyle name="40% - Accent1 2 22" xfId="2091" xr:uid="{00000000-0005-0000-0000-0000750A0000}"/>
    <cellStyle name="40% - Accent1 2 23" xfId="2092" xr:uid="{00000000-0005-0000-0000-0000760A0000}"/>
    <cellStyle name="40% - Accent1 2 24" xfId="2093" xr:uid="{00000000-0005-0000-0000-0000770A0000}"/>
    <cellStyle name="40% - Accent1 2 25" xfId="2094" xr:uid="{00000000-0005-0000-0000-0000780A0000}"/>
    <cellStyle name="40% - Accent1 2 26" xfId="2095" xr:uid="{00000000-0005-0000-0000-0000790A0000}"/>
    <cellStyle name="40% - Accent1 2 27" xfId="2096" xr:uid="{00000000-0005-0000-0000-00007A0A0000}"/>
    <cellStyle name="40% - Accent1 2 28" xfId="2097" xr:uid="{00000000-0005-0000-0000-00007B0A0000}"/>
    <cellStyle name="40% - Accent1 2 29" xfId="2098" xr:uid="{00000000-0005-0000-0000-00007C0A0000}"/>
    <cellStyle name="40% - Accent1 2 3" xfId="2099" xr:uid="{00000000-0005-0000-0000-00007D0A0000}"/>
    <cellStyle name="40% - Accent1 2 3 2" xfId="13091" xr:uid="{00000000-0005-0000-0000-00007E0A0000}"/>
    <cellStyle name="40% - Accent1 2 3 2 2" xfId="13092" xr:uid="{00000000-0005-0000-0000-00007F0A0000}"/>
    <cellStyle name="40% - Accent1 2 3 2 2 2" xfId="13093" xr:uid="{00000000-0005-0000-0000-0000800A0000}"/>
    <cellStyle name="40% - Accent1 2 3 2 2 2 2" xfId="17139" xr:uid="{00000000-0005-0000-0000-0000810A0000}"/>
    <cellStyle name="40% - Accent1 2 3 2 2 2 3" xfId="33708" xr:uid="{00000000-0005-0000-0000-0000820A0000}"/>
    <cellStyle name="40% - Accent1 2 3 2 2 3" xfId="17138" xr:uid="{00000000-0005-0000-0000-0000830A0000}"/>
    <cellStyle name="40% - Accent1 2 3 2 2 3 2" xfId="33937" xr:uid="{00000000-0005-0000-0000-0000840A0000}"/>
    <cellStyle name="40% - Accent1 2 3 2 2 4" xfId="34151" xr:uid="{00000000-0005-0000-0000-0000850A0000}"/>
    <cellStyle name="40% - Accent1 2 3 2 2 5" xfId="33324" xr:uid="{00000000-0005-0000-0000-0000860A0000}"/>
    <cellStyle name="40% - Accent1 2 3 2 2_loan Analysis " xfId="13094" xr:uid="{00000000-0005-0000-0000-0000870A0000}"/>
    <cellStyle name="40% - Accent1 2 3 2 3" xfId="13095" xr:uid="{00000000-0005-0000-0000-0000880A0000}"/>
    <cellStyle name="40% - Accent1 2 3 2 3 2" xfId="17140" xr:uid="{00000000-0005-0000-0000-0000890A0000}"/>
    <cellStyle name="40% - Accent1 2 3 2 3 3" xfId="33600" xr:uid="{00000000-0005-0000-0000-00008A0A0000}"/>
    <cellStyle name="40% - Accent1 2 3 2 4" xfId="17137" xr:uid="{00000000-0005-0000-0000-00008B0A0000}"/>
    <cellStyle name="40% - Accent1 2 3 2 4 2" xfId="33835" xr:uid="{00000000-0005-0000-0000-00008C0A0000}"/>
    <cellStyle name="40% - Accent1 2 3 2 5" xfId="34054" xr:uid="{00000000-0005-0000-0000-00008D0A0000}"/>
    <cellStyle name="40% - Accent1 2 3 2 6" xfId="33220" xr:uid="{00000000-0005-0000-0000-00008E0A0000}"/>
    <cellStyle name="40% - Accent1 2 3 2_loan Analysis " xfId="13096" xr:uid="{00000000-0005-0000-0000-00008F0A0000}"/>
    <cellStyle name="40% - Accent1 2 3 3" xfId="13097" xr:uid="{00000000-0005-0000-0000-0000900A0000}"/>
    <cellStyle name="40% - Accent1 2 3 3 2" xfId="13098" xr:uid="{00000000-0005-0000-0000-0000910A0000}"/>
    <cellStyle name="40% - Accent1 2 3 3 2 2" xfId="17142" xr:uid="{00000000-0005-0000-0000-0000920A0000}"/>
    <cellStyle name="40% - Accent1 2 3 3 2 3" xfId="33667" xr:uid="{00000000-0005-0000-0000-0000930A0000}"/>
    <cellStyle name="40% - Accent1 2 3 3 3" xfId="17141" xr:uid="{00000000-0005-0000-0000-0000940A0000}"/>
    <cellStyle name="40% - Accent1 2 3 3 3 2" xfId="33895" xr:uid="{00000000-0005-0000-0000-0000950A0000}"/>
    <cellStyle name="40% - Accent1 2 3 3 4" xfId="34110" xr:uid="{00000000-0005-0000-0000-0000960A0000}"/>
    <cellStyle name="40% - Accent1 2 3 3 5" xfId="33283" xr:uid="{00000000-0005-0000-0000-0000970A0000}"/>
    <cellStyle name="40% - Accent1 2 3 3_loan Analysis " xfId="13099" xr:uid="{00000000-0005-0000-0000-0000980A0000}"/>
    <cellStyle name="40% - Accent1 2 3 4" xfId="13100" xr:uid="{00000000-0005-0000-0000-0000990A0000}"/>
    <cellStyle name="40% - Accent1 2 3 4 2" xfId="17143" xr:uid="{00000000-0005-0000-0000-00009A0A0000}"/>
    <cellStyle name="40% - Accent1 2 3 4 3" xfId="29702" xr:uid="{00000000-0005-0000-0000-00009B0A0000}"/>
    <cellStyle name="40% - Accent1 2 3 4 4" xfId="33458" xr:uid="{00000000-0005-0000-0000-00009C0A0000}"/>
    <cellStyle name="40% - Accent1 2 3 5" xfId="29703" xr:uid="{00000000-0005-0000-0000-00009D0A0000}"/>
    <cellStyle name="40% - Accent1 2 3 5 2" xfId="33561" xr:uid="{00000000-0005-0000-0000-00009E0A0000}"/>
    <cellStyle name="40% - Accent1 2 3 6" xfId="29704" xr:uid="{00000000-0005-0000-0000-00009F0A0000}"/>
    <cellStyle name="40% - Accent1 2 3 6 2" xfId="33455" xr:uid="{00000000-0005-0000-0000-0000A00A0000}"/>
    <cellStyle name="40% - Accent1 2 3 7" xfId="29705" xr:uid="{00000000-0005-0000-0000-0000A10A0000}"/>
    <cellStyle name="40% - Accent1 2 3 8" xfId="33134" xr:uid="{00000000-0005-0000-0000-0000A20A0000}"/>
    <cellStyle name="40% - Accent1 2 3_loan Analysis " xfId="13101" xr:uid="{00000000-0005-0000-0000-0000A30A0000}"/>
    <cellStyle name="40% - Accent1 2 30" xfId="2100" xr:uid="{00000000-0005-0000-0000-0000A40A0000}"/>
    <cellStyle name="40% - Accent1 2 31" xfId="2101" xr:uid="{00000000-0005-0000-0000-0000A50A0000}"/>
    <cellStyle name="40% - Accent1 2 32" xfId="2102" xr:uid="{00000000-0005-0000-0000-0000A60A0000}"/>
    <cellStyle name="40% - Accent1 2 33" xfId="2103" xr:uid="{00000000-0005-0000-0000-0000A70A0000}"/>
    <cellStyle name="40% - Accent1 2 33 2" xfId="2104" xr:uid="{00000000-0005-0000-0000-0000A80A0000}"/>
    <cellStyle name="40% - Accent1 2 34" xfId="2105" xr:uid="{00000000-0005-0000-0000-0000A90A0000}"/>
    <cellStyle name="40% - Accent1 2 35" xfId="2106" xr:uid="{00000000-0005-0000-0000-0000AA0A0000}"/>
    <cellStyle name="40% - Accent1 2 36" xfId="2107" xr:uid="{00000000-0005-0000-0000-0000AB0A0000}"/>
    <cellStyle name="40% - Accent1 2 37" xfId="2108" xr:uid="{00000000-0005-0000-0000-0000AC0A0000}"/>
    <cellStyle name="40% - Accent1 2 38" xfId="2109" xr:uid="{00000000-0005-0000-0000-0000AD0A0000}"/>
    <cellStyle name="40% - Accent1 2 39" xfId="2110" xr:uid="{00000000-0005-0000-0000-0000AE0A0000}"/>
    <cellStyle name="40% - Accent1 2 4" xfId="2111" xr:uid="{00000000-0005-0000-0000-0000AF0A0000}"/>
    <cellStyle name="40% - Accent1 2 4 2" xfId="13102" xr:uid="{00000000-0005-0000-0000-0000B00A0000}"/>
    <cellStyle name="40% - Accent1 2 4 2 2" xfId="13103" xr:uid="{00000000-0005-0000-0000-0000B10A0000}"/>
    <cellStyle name="40% - Accent1 2 4 2 2 2" xfId="13104" xr:uid="{00000000-0005-0000-0000-0000B20A0000}"/>
    <cellStyle name="40% - Accent1 2 4 2 2 2 2" xfId="17146" xr:uid="{00000000-0005-0000-0000-0000B30A0000}"/>
    <cellStyle name="40% - Accent1 2 4 2 2 2 3" xfId="33709" xr:uid="{00000000-0005-0000-0000-0000B40A0000}"/>
    <cellStyle name="40% - Accent1 2 4 2 2 3" xfId="17145" xr:uid="{00000000-0005-0000-0000-0000B50A0000}"/>
    <cellStyle name="40% - Accent1 2 4 2 2 3 2" xfId="33938" xr:uid="{00000000-0005-0000-0000-0000B60A0000}"/>
    <cellStyle name="40% - Accent1 2 4 2 2 4" xfId="34152" xr:uid="{00000000-0005-0000-0000-0000B70A0000}"/>
    <cellStyle name="40% - Accent1 2 4 2 2 5" xfId="33325" xr:uid="{00000000-0005-0000-0000-0000B80A0000}"/>
    <cellStyle name="40% - Accent1 2 4 2 2_loan Analysis " xfId="13105" xr:uid="{00000000-0005-0000-0000-0000B90A0000}"/>
    <cellStyle name="40% - Accent1 2 4 2 3" xfId="13106" xr:uid="{00000000-0005-0000-0000-0000BA0A0000}"/>
    <cellStyle name="40% - Accent1 2 4 2 3 2" xfId="17147" xr:uid="{00000000-0005-0000-0000-0000BB0A0000}"/>
    <cellStyle name="40% - Accent1 2 4 2 3 3" xfId="33601" xr:uid="{00000000-0005-0000-0000-0000BC0A0000}"/>
    <cellStyle name="40% - Accent1 2 4 2 4" xfId="17144" xr:uid="{00000000-0005-0000-0000-0000BD0A0000}"/>
    <cellStyle name="40% - Accent1 2 4 2 4 2" xfId="33836" xr:uid="{00000000-0005-0000-0000-0000BE0A0000}"/>
    <cellStyle name="40% - Accent1 2 4 2 5" xfId="34055" xr:uid="{00000000-0005-0000-0000-0000BF0A0000}"/>
    <cellStyle name="40% - Accent1 2 4 2 6" xfId="33221" xr:uid="{00000000-0005-0000-0000-0000C00A0000}"/>
    <cellStyle name="40% - Accent1 2 4 2_loan Analysis " xfId="13107" xr:uid="{00000000-0005-0000-0000-0000C10A0000}"/>
    <cellStyle name="40% - Accent1 2 4 3" xfId="13108" xr:uid="{00000000-0005-0000-0000-0000C20A0000}"/>
    <cellStyle name="40% - Accent1 2 4 3 2" xfId="13109" xr:uid="{00000000-0005-0000-0000-0000C30A0000}"/>
    <cellStyle name="40% - Accent1 2 4 3 2 2" xfId="17149" xr:uid="{00000000-0005-0000-0000-0000C40A0000}"/>
    <cellStyle name="40% - Accent1 2 4 3 2 3" xfId="33668" xr:uid="{00000000-0005-0000-0000-0000C50A0000}"/>
    <cellStyle name="40% - Accent1 2 4 3 3" xfId="17148" xr:uid="{00000000-0005-0000-0000-0000C60A0000}"/>
    <cellStyle name="40% - Accent1 2 4 3 3 2" xfId="33896" xr:uid="{00000000-0005-0000-0000-0000C70A0000}"/>
    <cellStyle name="40% - Accent1 2 4 3 4" xfId="34111" xr:uid="{00000000-0005-0000-0000-0000C80A0000}"/>
    <cellStyle name="40% - Accent1 2 4 3 5" xfId="33284" xr:uid="{00000000-0005-0000-0000-0000C90A0000}"/>
    <cellStyle name="40% - Accent1 2 4 3_loan Analysis " xfId="13110" xr:uid="{00000000-0005-0000-0000-0000CA0A0000}"/>
    <cellStyle name="40% - Accent1 2 4 4" xfId="13111" xr:uid="{00000000-0005-0000-0000-0000CB0A0000}"/>
    <cellStyle name="40% - Accent1 2 4 4 2" xfId="17150" xr:uid="{00000000-0005-0000-0000-0000CC0A0000}"/>
    <cellStyle name="40% - Accent1 2 4 4 3" xfId="29706" xr:uid="{00000000-0005-0000-0000-0000CD0A0000}"/>
    <cellStyle name="40% - Accent1 2 4 4 4" xfId="33459" xr:uid="{00000000-0005-0000-0000-0000CE0A0000}"/>
    <cellStyle name="40% - Accent1 2 4 5" xfId="29707" xr:uid="{00000000-0005-0000-0000-0000CF0A0000}"/>
    <cellStyle name="40% - Accent1 2 4 5 2" xfId="33560" xr:uid="{00000000-0005-0000-0000-0000D00A0000}"/>
    <cellStyle name="40% - Accent1 2 4 6" xfId="29708" xr:uid="{00000000-0005-0000-0000-0000D10A0000}"/>
    <cellStyle name="40% - Accent1 2 4 6 2" xfId="33456" xr:uid="{00000000-0005-0000-0000-0000D20A0000}"/>
    <cellStyle name="40% - Accent1 2 4 7" xfId="33135" xr:uid="{00000000-0005-0000-0000-0000D30A0000}"/>
    <cellStyle name="40% - Accent1 2 4_loan Analysis " xfId="13112" xr:uid="{00000000-0005-0000-0000-0000D40A0000}"/>
    <cellStyle name="40% - Accent1 2 40" xfId="2112" xr:uid="{00000000-0005-0000-0000-0000D50A0000}"/>
    <cellStyle name="40% - Accent1 2 41" xfId="2113" xr:uid="{00000000-0005-0000-0000-0000D60A0000}"/>
    <cellStyle name="40% - Accent1 2 41 2" xfId="2114" xr:uid="{00000000-0005-0000-0000-0000D70A0000}"/>
    <cellStyle name="40% - Accent1 2 42" xfId="29709" xr:uid="{00000000-0005-0000-0000-0000D80A0000}"/>
    <cellStyle name="40% - Accent1 2 43" xfId="29710" xr:uid="{00000000-0005-0000-0000-0000D90A0000}"/>
    <cellStyle name="40% - Accent1 2 44" xfId="29711" xr:uid="{00000000-0005-0000-0000-0000DA0A0000}"/>
    <cellStyle name="40% - Accent1 2 45" xfId="29712" xr:uid="{00000000-0005-0000-0000-0000DB0A0000}"/>
    <cellStyle name="40% - Accent1 2 46" xfId="29713" xr:uid="{00000000-0005-0000-0000-0000DC0A0000}"/>
    <cellStyle name="40% - Accent1 2 47" xfId="29714" xr:uid="{00000000-0005-0000-0000-0000DD0A0000}"/>
    <cellStyle name="40% - Accent1 2 48" xfId="29715" xr:uid="{00000000-0005-0000-0000-0000DE0A0000}"/>
    <cellStyle name="40% - Accent1 2 49" xfId="29716" xr:uid="{00000000-0005-0000-0000-0000DF0A0000}"/>
    <cellStyle name="40% - Accent1 2 5" xfId="2115" xr:uid="{00000000-0005-0000-0000-0000E00A0000}"/>
    <cellStyle name="40% - Accent1 2 5 2" xfId="2116" xr:uid="{00000000-0005-0000-0000-0000E10A0000}"/>
    <cellStyle name="40% - Accent1 2 5 3" xfId="29717" xr:uid="{00000000-0005-0000-0000-0000E20A0000}"/>
    <cellStyle name="40% - Accent1 2 50" xfId="29718" xr:uid="{00000000-0005-0000-0000-0000E30A0000}"/>
    <cellStyle name="40% - Accent1 2 51" xfId="29719" xr:uid="{00000000-0005-0000-0000-0000E40A0000}"/>
    <cellStyle name="40% - Accent1 2 52" xfId="33132" xr:uid="{00000000-0005-0000-0000-0000E50A0000}"/>
    <cellStyle name="40% - Accent1 2 53" xfId="33193" xr:uid="{00000000-0005-0000-0000-0000E60A0000}"/>
    <cellStyle name="40% - Accent1 2 54" xfId="1947" xr:uid="{00000000-0005-0000-0000-0000E70A0000}"/>
    <cellStyle name="40% - Accent1 2 6" xfId="2117" xr:uid="{00000000-0005-0000-0000-0000E80A0000}"/>
    <cellStyle name="40% - Accent1 2 6 2" xfId="29720" xr:uid="{00000000-0005-0000-0000-0000E90A0000}"/>
    <cellStyle name="40% - Accent1 2 6 3" xfId="29721" xr:uid="{00000000-0005-0000-0000-0000EA0A0000}"/>
    <cellStyle name="40% - Accent1 2 7" xfId="2118" xr:uid="{00000000-0005-0000-0000-0000EB0A0000}"/>
    <cellStyle name="40% - Accent1 2 8" xfId="2119" xr:uid="{00000000-0005-0000-0000-0000EC0A0000}"/>
    <cellStyle name="40% - Accent1 2 9" xfId="2120" xr:uid="{00000000-0005-0000-0000-0000ED0A0000}"/>
    <cellStyle name="40% - Accent1 2_Loan Classification" xfId="11406" xr:uid="{00000000-0005-0000-0000-0000EE0A0000}"/>
    <cellStyle name="40% - Accent1 20" xfId="2121" xr:uid="{00000000-0005-0000-0000-0000EF0A0000}"/>
    <cellStyle name="40% - Accent1 21" xfId="2122" xr:uid="{00000000-0005-0000-0000-0000F00A0000}"/>
    <cellStyle name="40% - Accent1 22" xfId="2123" xr:uid="{00000000-0005-0000-0000-0000F10A0000}"/>
    <cellStyle name="40% - Accent1 23" xfId="2124" xr:uid="{00000000-0005-0000-0000-0000F20A0000}"/>
    <cellStyle name="40% - Accent1 24" xfId="2125" xr:uid="{00000000-0005-0000-0000-0000F30A0000}"/>
    <cellStyle name="40% - Accent1 25" xfId="2126" xr:uid="{00000000-0005-0000-0000-0000F40A0000}"/>
    <cellStyle name="40% - Accent1 26" xfId="2127" xr:uid="{00000000-0005-0000-0000-0000F50A0000}"/>
    <cellStyle name="40% - Accent1 27" xfId="2128" xr:uid="{00000000-0005-0000-0000-0000F60A0000}"/>
    <cellStyle name="40% - Accent1 28" xfId="2129" xr:uid="{00000000-0005-0000-0000-0000F70A0000}"/>
    <cellStyle name="40% - Accent1 29" xfId="2130" xr:uid="{00000000-0005-0000-0000-0000F80A0000}"/>
    <cellStyle name="40% - Accent1 3" xfId="64" xr:uid="{00000000-0005-0000-0000-0000F90A0000}"/>
    <cellStyle name="40% - Accent1 3 2" xfId="423" xr:uid="{00000000-0005-0000-0000-0000FA0A0000}"/>
    <cellStyle name="40% - Accent1 3 2 2" xfId="29723" xr:uid="{00000000-0005-0000-0000-0000FB0A0000}"/>
    <cellStyle name="40% - Accent1 3 2 3" xfId="29722" xr:uid="{00000000-0005-0000-0000-0000FC0A0000}"/>
    <cellStyle name="40% - Accent1 3 3" xfId="29724" xr:uid="{00000000-0005-0000-0000-0000FD0A0000}"/>
    <cellStyle name="40% - Accent1 3 4" xfId="2131" xr:uid="{00000000-0005-0000-0000-0000FE0A0000}"/>
    <cellStyle name="40% - Accent1 30" xfId="2132" xr:uid="{00000000-0005-0000-0000-0000FF0A0000}"/>
    <cellStyle name="40% - Accent1 31" xfId="2133" xr:uid="{00000000-0005-0000-0000-0000000B0000}"/>
    <cellStyle name="40% - Accent1 32" xfId="2134" xr:uid="{00000000-0005-0000-0000-0000010B0000}"/>
    <cellStyle name="40% - Accent1 33" xfId="2135" xr:uid="{00000000-0005-0000-0000-0000020B0000}"/>
    <cellStyle name="40% - Accent1 34" xfId="2136" xr:uid="{00000000-0005-0000-0000-0000030B0000}"/>
    <cellStyle name="40% - Accent1 35" xfId="2137" xr:uid="{00000000-0005-0000-0000-0000040B0000}"/>
    <cellStyle name="40% - Accent1 36" xfId="2138" xr:uid="{00000000-0005-0000-0000-0000050B0000}"/>
    <cellStyle name="40% - Accent1 37" xfId="2139" xr:uid="{00000000-0005-0000-0000-0000060B0000}"/>
    <cellStyle name="40% - Accent1 38" xfId="2140" xr:uid="{00000000-0005-0000-0000-0000070B0000}"/>
    <cellStyle name="40% - Accent1 39" xfId="2141" xr:uid="{00000000-0005-0000-0000-0000080B0000}"/>
    <cellStyle name="40% - Accent1 4" xfId="2142" xr:uid="{00000000-0005-0000-0000-0000090B0000}"/>
    <cellStyle name="40% - Accent1 4 2" xfId="29725" xr:uid="{00000000-0005-0000-0000-00000A0B0000}"/>
    <cellStyle name="40% - Accent1 4 2 2" xfId="29726" xr:uid="{00000000-0005-0000-0000-00000B0B0000}"/>
    <cellStyle name="40% - Accent1 4 3" xfId="29727" xr:uid="{00000000-0005-0000-0000-00000C0B0000}"/>
    <cellStyle name="40% - Accent1 40" xfId="2143" xr:uid="{00000000-0005-0000-0000-00000D0B0000}"/>
    <cellStyle name="40% - Accent1 41" xfId="2144" xr:uid="{00000000-0005-0000-0000-00000E0B0000}"/>
    <cellStyle name="40% - Accent1 42" xfId="2145" xr:uid="{00000000-0005-0000-0000-00000F0B0000}"/>
    <cellStyle name="40% - Accent1 43" xfId="11569" xr:uid="{00000000-0005-0000-0000-0000100B0000}"/>
    <cellStyle name="40% - Accent1 44" xfId="11540" xr:uid="{00000000-0005-0000-0000-0000110B0000}"/>
    <cellStyle name="40% - Accent1 44 2" xfId="17155" xr:uid="{00000000-0005-0000-0000-0000120B0000}"/>
    <cellStyle name="40% - Accent1 45" xfId="17156" xr:uid="{00000000-0005-0000-0000-0000130B0000}"/>
    <cellStyle name="40% - Accent1 46" xfId="29728" xr:uid="{00000000-0005-0000-0000-0000140B0000}"/>
    <cellStyle name="40% - Accent1 47" xfId="34258" xr:uid="{00000000-0005-0000-0000-0000150B0000}"/>
    <cellStyle name="40% - Accent1 48" xfId="489" xr:uid="{00000000-0005-0000-0000-0000160B0000}"/>
    <cellStyle name="40% - Accent1 5" xfId="2146" xr:uid="{00000000-0005-0000-0000-0000170B0000}"/>
    <cellStyle name="40% - Accent1 5 2" xfId="12835" xr:uid="{00000000-0005-0000-0000-0000180B0000}"/>
    <cellStyle name="40% - Accent1 5 2 2" xfId="29729" xr:uid="{00000000-0005-0000-0000-0000190B0000}"/>
    <cellStyle name="40% - Accent1 5 3" xfId="29730" xr:uid="{00000000-0005-0000-0000-00001A0B0000}"/>
    <cellStyle name="40% - Accent1 5 3 2" xfId="29731" xr:uid="{00000000-0005-0000-0000-00001B0B0000}"/>
    <cellStyle name="40% - Accent1 6" xfId="2147" xr:uid="{00000000-0005-0000-0000-00001C0B0000}"/>
    <cellStyle name="40% - Accent1 6 2" xfId="29732" xr:uid="{00000000-0005-0000-0000-00001D0B0000}"/>
    <cellStyle name="40% - Accent1 7" xfId="2148" xr:uid="{00000000-0005-0000-0000-00001E0B0000}"/>
    <cellStyle name="40% - Accent1 7 2" xfId="29733" xr:uid="{00000000-0005-0000-0000-00001F0B0000}"/>
    <cellStyle name="40% - Accent1 8" xfId="2149" xr:uid="{00000000-0005-0000-0000-0000200B0000}"/>
    <cellStyle name="40% - Accent1 8 2" xfId="29734" xr:uid="{00000000-0005-0000-0000-0000210B0000}"/>
    <cellStyle name="40% - Accent1 9" xfId="2150" xr:uid="{00000000-0005-0000-0000-0000220B0000}"/>
    <cellStyle name="40% - Accent1 9 2" xfId="29735" xr:uid="{00000000-0005-0000-0000-0000230B0000}"/>
    <cellStyle name="40% - Accent2" xfId="31" builtinId="35" customBuiltin="1"/>
    <cellStyle name="40% - Accent2 10" xfId="2151" xr:uid="{00000000-0005-0000-0000-0000250B0000}"/>
    <cellStyle name="40% - Accent2 10 2" xfId="29736" xr:uid="{00000000-0005-0000-0000-0000260B0000}"/>
    <cellStyle name="40% - Accent2 11" xfId="2152" xr:uid="{00000000-0005-0000-0000-0000270B0000}"/>
    <cellStyle name="40% - Accent2 11 2" xfId="29737" xr:uid="{00000000-0005-0000-0000-0000280B0000}"/>
    <cellStyle name="40% - Accent2 12" xfId="2153" xr:uid="{00000000-0005-0000-0000-0000290B0000}"/>
    <cellStyle name="40% - Accent2 12 2" xfId="29738" xr:uid="{00000000-0005-0000-0000-00002A0B0000}"/>
    <cellStyle name="40% - Accent2 13" xfId="2154" xr:uid="{00000000-0005-0000-0000-00002B0B0000}"/>
    <cellStyle name="40% - Accent2 13 2" xfId="29739" xr:uid="{00000000-0005-0000-0000-00002C0B0000}"/>
    <cellStyle name="40% - Accent2 14" xfId="2155" xr:uid="{00000000-0005-0000-0000-00002D0B0000}"/>
    <cellStyle name="40% - Accent2 14 2" xfId="29740" xr:uid="{00000000-0005-0000-0000-00002E0B0000}"/>
    <cellStyle name="40% - Accent2 15" xfId="2156" xr:uid="{00000000-0005-0000-0000-00002F0B0000}"/>
    <cellStyle name="40% - Accent2 15 2" xfId="29741" xr:uid="{00000000-0005-0000-0000-0000300B0000}"/>
    <cellStyle name="40% - Accent2 16" xfId="2157" xr:uid="{00000000-0005-0000-0000-0000310B0000}"/>
    <cellStyle name="40% - Accent2 16 2" xfId="29742" xr:uid="{00000000-0005-0000-0000-0000320B0000}"/>
    <cellStyle name="40% - Accent2 17" xfId="2158" xr:uid="{00000000-0005-0000-0000-0000330B0000}"/>
    <cellStyle name="40% - Accent2 17 2" xfId="29743" xr:uid="{00000000-0005-0000-0000-0000340B0000}"/>
    <cellStyle name="40% - Accent2 18" xfId="2159" xr:uid="{00000000-0005-0000-0000-0000350B0000}"/>
    <cellStyle name="40% - Accent2 19" xfId="2160" xr:uid="{00000000-0005-0000-0000-0000360B0000}"/>
    <cellStyle name="40% - Accent2 2" xfId="449" xr:uid="{00000000-0005-0000-0000-0000370B0000}"/>
    <cellStyle name="40% - Accent2 2 10" xfId="2162" xr:uid="{00000000-0005-0000-0000-0000380B0000}"/>
    <cellStyle name="40% - Accent2 2 11" xfId="2163" xr:uid="{00000000-0005-0000-0000-0000390B0000}"/>
    <cellStyle name="40% - Accent2 2 12" xfId="2164" xr:uid="{00000000-0005-0000-0000-00003A0B0000}"/>
    <cellStyle name="40% - Accent2 2 13" xfId="2165" xr:uid="{00000000-0005-0000-0000-00003B0B0000}"/>
    <cellStyle name="40% - Accent2 2 14" xfId="2166" xr:uid="{00000000-0005-0000-0000-00003C0B0000}"/>
    <cellStyle name="40% - Accent2 2 15" xfId="2167" xr:uid="{00000000-0005-0000-0000-00003D0B0000}"/>
    <cellStyle name="40% - Accent2 2 16" xfId="2168" xr:uid="{00000000-0005-0000-0000-00003E0B0000}"/>
    <cellStyle name="40% - Accent2 2 16 2" xfId="2169" xr:uid="{00000000-0005-0000-0000-00003F0B0000}"/>
    <cellStyle name="40% - Accent2 2 17" xfId="2170" xr:uid="{00000000-0005-0000-0000-0000400B0000}"/>
    <cellStyle name="40% - Accent2 2 18" xfId="2171" xr:uid="{00000000-0005-0000-0000-0000410B0000}"/>
    <cellStyle name="40% - Accent2 2 19" xfId="2172" xr:uid="{00000000-0005-0000-0000-0000420B0000}"/>
    <cellStyle name="40% - Accent2 2 2" xfId="2173" xr:uid="{00000000-0005-0000-0000-0000430B0000}"/>
    <cellStyle name="40% - Accent2 2 2 10" xfId="2174" xr:uid="{00000000-0005-0000-0000-0000440B0000}"/>
    <cellStyle name="40% - Accent2 2 2 11" xfId="2175" xr:uid="{00000000-0005-0000-0000-0000450B0000}"/>
    <cellStyle name="40% - Accent2 2 2 12" xfId="2176" xr:uid="{00000000-0005-0000-0000-0000460B0000}"/>
    <cellStyle name="40% - Accent2 2 2 13" xfId="2177" xr:uid="{00000000-0005-0000-0000-0000470B0000}"/>
    <cellStyle name="40% - Accent2 2 2 14" xfId="2178" xr:uid="{00000000-0005-0000-0000-0000480B0000}"/>
    <cellStyle name="40% - Accent2 2 2 14 2" xfId="2179" xr:uid="{00000000-0005-0000-0000-0000490B0000}"/>
    <cellStyle name="40% - Accent2 2 2 15" xfId="2180" xr:uid="{00000000-0005-0000-0000-00004A0B0000}"/>
    <cellStyle name="40% - Accent2 2 2 16" xfId="2181" xr:uid="{00000000-0005-0000-0000-00004B0B0000}"/>
    <cellStyle name="40% - Accent2 2 2 17" xfId="2182" xr:uid="{00000000-0005-0000-0000-00004C0B0000}"/>
    <cellStyle name="40% - Accent2 2 2 18" xfId="2183" xr:uid="{00000000-0005-0000-0000-00004D0B0000}"/>
    <cellStyle name="40% - Accent2 2 2 19" xfId="2184" xr:uid="{00000000-0005-0000-0000-00004E0B0000}"/>
    <cellStyle name="40% - Accent2 2 2 2" xfId="2185" xr:uid="{00000000-0005-0000-0000-00004F0B0000}"/>
    <cellStyle name="40% - Accent2 2 2 2 10" xfId="2186" xr:uid="{00000000-0005-0000-0000-0000500B0000}"/>
    <cellStyle name="40% - Accent2 2 2 2 11" xfId="2187" xr:uid="{00000000-0005-0000-0000-0000510B0000}"/>
    <cellStyle name="40% - Accent2 2 2 2 12" xfId="2188" xr:uid="{00000000-0005-0000-0000-0000520B0000}"/>
    <cellStyle name="40% - Accent2 2 2 2 13" xfId="2189" xr:uid="{00000000-0005-0000-0000-0000530B0000}"/>
    <cellStyle name="40% - Accent2 2 2 2 14" xfId="2190" xr:uid="{00000000-0005-0000-0000-0000540B0000}"/>
    <cellStyle name="40% - Accent2 2 2 2 15" xfId="2191" xr:uid="{00000000-0005-0000-0000-0000550B0000}"/>
    <cellStyle name="40% - Accent2 2 2 2 16" xfId="2192" xr:uid="{00000000-0005-0000-0000-0000560B0000}"/>
    <cellStyle name="40% - Accent2 2 2 2 17" xfId="2193" xr:uid="{00000000-0005-0000-0000-0000570B0000}"/>
    <cellStyle name="40% - Accent2 2 2 2 18" xfId="2194" xr:uid="{00000000-0005-0000-0000-0000580B0000}"/>
    <cellStyle name="40% - Accent2 2 2 2 19" xfId="2195" xr:uid="{00000000-0005-0000-0000-0000590B0000}"/>
    <cellStyle name="40% - Accent2 2 2 2 2" xfId="2196" xr:uid="{00000000-0005-0000-0000-00005A0B0000}"/>
    <cellStyle name="40% - Accent2 2 2 2 2 10" xfId="2197" xr:uid="{00000000-0005-0000-0000-00005B0B0000}"/>
    <cellStyle name="40% - Accent2 2 2 2 2 11" xfId="2198" xr:uid="{00000000-0005-0000-0000-00005C0B0000}"/>
    <cellStyle name="40% - Accent2 2 2 2 2 12" xfId="2199" xr:uid="{00000000-0005-0000-0000-00005D0B0000}"/>
    <cellStyle name="40% - Accent2 2 2 2 2 13" xfId="2200" xr:uid="{00000000-0005-0000-0000-00005E0B0000}"/>
    <cellStyle name="40% - Accent2 2 2 2 2 14" xfId="2201" xr:uid="{00000000-0005-0000-0000-00005F0B0000}"/>
    <cellStyle name="40% - Accent2 2 2 2 2 15" xfId="2202" xr:uid="{00000000-0005-0000-0000-0000600B0000}"/>
    <cellStyle name="40% - Accent2 2 2 2 2 16" xfId="2203" xr:uid="{00000000-0005-0000-0000-0000610B0000}"/>
    <cellStyle name="40% - Accent2 2 2 2 2 17" xfId="2204" xr:uid="{00000000-0005-0000-0000-0000620B0000}"/>
    <cellStyle name="40% - Accent2 2 2 2 2 18" xfId="2205" xr:uid="{00000000-0005-0000-0000-0000630B0000}"/>
    <cellStyle name="40% - Accent2 2 2 2 2 19" xfId="2206" xr:uid="{00000000-0005-0000-0000-0000640B0000}"/>
    <cellStyle name="40% - Accent2 2 2 2 2 2" xfId="2207" xr:uid="{00000000-0005-0000-0000-0000650B0000}"/>
    <cellStyle name="40% - Accent2 2 2 2 2 2 10" xfId="2208" xr:uid="{00000000-0005-0000-0000-0000660B0000}"/>
    <cellStyle name="40% - Accent2 2 2 2 2 2 11" xfId="2209" xr:uid="{00000000-0005-0000-0000-0000670B0000}"/>
    <cellStyle name="40% - Accent2 2 2 2 2 2 11 2" xfId="2210" xr:uid="{00000000-0005-0000-0000-0000680B0000}"/>
    <cellStyle name="40% - Accent2 2 2 2 2 2 12" xfId="29744" xr:uid="{00000000-0005-0000-0000-0000690B0000}"/>
    <cellStyle name="40% - Accent2 2 2 2 2 2 13" xfId="29745" xr:uid="{00000000-0005-0000-0000-00006A0B0000}"/>
    <cellStyle name="40% - Accent2 2 2 2 2 2 14" xfId="33710" xr:uid="{00000000-0005-0000-0000-00006B0B0000}"/>
    <cellStyle name="40% - Accent2 2 2 2 2 2 2" xfId="2211" xr:uid="{00000000-0005-0000-0000-00006C0B0000}"/>
    <cellStyle name="40% - Accent2 2 2 2 2 2 2 10" xfId="2212" xr:uid="{00000000-0005-0000-0000-00006D0B0000}"/>
    <cellStyle name="40% - Accent2 2 2 2 2 2 2 11" xfId="2213" xr:uid="{00000000-0005-0000-0000-00006E0B0000}"/>
    <cellStyle name="40% - Accent2 2 2 2 2 2 2 11 2" xfId="2214" xr:uid="{00000000-0005-0000-0000-00006F0B0000}"/>
    <cellStyle name="40% - Accent2 2 2 2 2 2 2 2" xfId="2215" xr:uid="{00000000-0005-0000-0000-0000700B0000}"/>
    <cellStyle name="40% - Accent2 2 2 2 2 2 2 2 2" xfId="2216" xr:uid="{00000000-0005-0000-0000-0000710B0000}"/>
    <cellStyle name="40% - Accent2 2 2 2 2 2 2 2 2 2" xfId="2217" xr:uid="{00000000-0005-0000-0000-0000720B0000}"/>
    <cellStyle name="40% - Accent2 2 2 2 2 2 2 2 2 2 2" xfId="2218" xr:uid="{00000000-0005-0000-0000-0000730B0000}"/>
    <cellStyle name="40% - Accent2 2 2 2 2 2 2 2 2 3" xfId="2219" xr:uid="{00000000-0005-0000-0000-0000740B0000}"/>
    <cellStyle name="40% - Accent2 2 2 2 2 2 2 2 3" xfId="2220" xr:uid="{00000000-0005-0000-0000-0000750B0000}"/>
    <cellStyle name="40% - Accent2 2 2 2 2 2 2 2 3 2" xfId="2221" xr:uid="{00000000-0005-0000-0000-0000760B0000}"/>
    <cellStyle name="40% - Accent2 2 2 2 2 2 2 3" xfId="2222" xr:uid="{00000000-0005-0000-0000-0000770B0000}"/>
    <cellStyle name="40% - Accent2 2 2 2 2 2 2 4" xfId="2223" xr:uid="{00000000-0005-0000-0000-0000780B0000}"/>
    <cellStyle name="40% - Accent2 2 2 2 2 2 2 5" xfId="2224" xr:uid="{00000000-0005-0000-0000-0000790B0000}"/>
    <cellStyle name="40% - Accent2 2 2 2 2 2 2 6" xfId="2225" xr:uid="{00000000-0005-0000-0000-00007A0B0000}"/>
    <cellStyle name="40% - Accent2 2 2 2 2 2 2 7" xfId="2226" xr:uid="{00000000-0005-0000-0000-00007B0B0000}"/>
    <cellStyle name="40% - Accent2 2 2 2 2 2 2 8" xfId="2227" xr:uid="{00000000-0005-0000-0000-00007C0B0000}"/>
    <cellStyle name="40% - Accent2 2 2 2 2 2 2 9" xfId="2228" xr:uid="{00000000-0005-0000-0000-00007D0B0000}"/>
    <cellStyle name="40% - Accent2 2 2 2 2 2 3" xfId="2229" xr:uid="{00000000-0005-0000-0000-00007E0B0000}"/>
    <cellStyle name="40% - Accent2 2 2 2 2 2 3 2" xfId="2230" xr:uid="{00000000-0005-0000-0000-00007F0B0000}"/>
    <cellStyle name="40% - Accent2 2 2 2 2 2 4" xfId="2231" xr:uid="{00000000-0005-0000-0000-0000800B0000}"/>
    <cellStyle name="40% - Accent2 2 2 2 2 2 5" xfId="2232" xr:uid="{00000000-0005-0000-0000-0000810B0000}"/>
    <cellStyle name="40% - Accent2 2 2 2 2 2 6" xfId="2233" xr:uid="{00000000-0005-0000-0000-0000820B0000}"/>
    <cellStyle name="40% - Accent2 2 2 2 2 2 7" xfId="2234" xr:uid="{00000000-0005-0000-0000-0000830B0000}"/>
    <cellStyle name="40% - Accent2 2 2 2 2 2 8" xfId="2235" xr:uid="{00000000-0005-0000-0000-0000840B0000}"/>
    <cellStyle name="40% - Accent2 2 2 2 2 2 9" xfId="2236" xr:uid="{00000000-0005-0000-0000-0000850B0000}"/>
    <cellStyle name="40% - Accent2 2 2 2 2 20" xfId="2237" xr:uid="{00000000-0005-0000-0000-0000860B0000}"/>
    <cellStyle name="40% - Accent2 2 2 2 2 20 2" xfId="2238" xr:uid="{00000000-0005-0000-0000-0000870B0000}"/>
    <cellStyle name="40% - Accent2 2 2 2 2 21" xfId="2239" xr:uid="{00000000-0005-0000-0000-0000880B0000}"/>
    <cellStyle name="40% - Accent2 2 2 2 2 22" xfId="2240" xr:uid="{00000000-0005-0000-0000-0000890B0000}"/>
    <cellStyle name="40% - Accent2 2 2 2 2 23" xfId="2241" xr:uid="{00000000-0005-0000-0000-00008A0B0000}"/>
    <cellStyle name="40% - Accent2 2 2 2 2 24" xfId="2242" xr:uid="{00000000-0005-0000-0000-00008B0B0000}"/>
    <cellStyle name="40% - Accent2 2 2 2 2 25" xfId="2243" xr:uid="{00000000-0005-0000-0000-00008C0B0000}"/>
    <cellStyle name="40% - Accent2 2 2 2 2 26" xfId="2244" xr:uid="{00000000-0005-0000-0000-00008D0B0000}"/>
    <cellStyle name="40% - Accent2 2 2 2 2 27" xfId="2245" xr:uid="{00000000-0005-0000-0000-00008E0B0000}"/>
    <cellStyle name="40% - Accent2 2 2 2 2 28" xfId="2246" xr:uid="{00000000-0005-0000-0000-00008F0B0000}"/>
    <cellStyle name="40% - Accent2 2 2 2 2 28 2" xfId="2247" xr:uid="{00000000-0005-0000-0000-0000900B0000}"/>
    <cellStyle name="40% - Accent2 2 2 2 2 29" xfId="29746" xr:uid="{00000000-0005-0000-0000-0000910B0000}"/>
    <cellStyle name="40% - Accent2 2 2 2 2 3" xfId="2248" xr:uid="{00000000-0005-0000-0000-0000920B0000}"/>
    <cellStyle name="40% - Accent2 2 2 2 2 3 2" xfId="33939" xr:uid="{00000000-0005-0000-0000-0000930B0000}"/>
    <cellStyle name="40% - Accent2 2 2 2 2 30" xfId="29747" xr:uid="{00000000-0005-0000-0000-0000940B0000}"/>
    <cellStyle name="40% - Accent2 2 2 2 2 31" xfId="33326" xr:uid="{00000000-0005-0000-0000-0000950B0000}"/>
    <cellStyle name="40% - Accent2 2 2 2 2 4" xfId="2249" xr:uid="{00000000-0005-0000-0000-0000960B0000}"/>
    <cellStyle name="40% - Accent2 2 2 2 2 4 2" xfId="34153" xr:uid="{00000000-0005-0000-0000-0000970B0000}"/>
    <cellStyle name="40% - Accent2 2 2 2 2 5" xfId="2250" xr:uid="{00000000-0005-0000-0000-0000980B0000}"/>
    <cellStyle name="40% - Accent2 2 2 2 2 6" xfId="2251" xr:uid="{00000000-0005-0000-0000-0000990B0000}"/>
    <cellStyle name="40% - Accent2 2 2 2 2 7" xfId="2252" xr:uid="{00000000-0005-0000-0000-00009A0B0000}"/>
    <cellStyle name="40% - Accent2 2 2 2 2 8" xfId="2253" xr:uid="{00000000-0005-0000-0000-00009B0B0000}"/>
    <cellStyle name="40% - Accent2 2 2 2 2 9" xfId="2254" xr:uid="{00000000-0005-0000-0000-00009C0B0000}"/>
    <cellStyle name="40% - Accent2 2 2 2 2_loan Analysis " xfId="13113" xr:uid="{00000000-0005-0000-0000-00009D0B0000}"/>
    <cellStyle name="40% - Accent2 2 2 2 20" xfId="2255" xr:uid="{00000000-0005-0000-0000-00009E0B0000}"/>
    <cellStyle name="40% - Accent2 2 2 2 20 2" xfId="2256" xr:uid="{00000000-0005-0000-0000-00009F0B0000}"/>
    <cellStyle name="40% - Accent2 2 2 2 21" xfId="2257" xr:uid="{00000000-0005-0000-0000-0000A00B0000}"/>
    <cellStyle name="40% - Accent2 2 2 2 22" xfId="2258" xr:uid="{00000000-0005-0000-0000-0000A10B0000}"/>
    <cellStyle name="40% - Accent2 2 2 2 23" xfId="2259" xr:uid="{00000000-0005-0000-0000-0000A20B0000}"/>
    <cellStyle name="40% - Accent2 2 2 2 24" xfId="2260" xr:uid="{00000000-0005-0000-0000-0000A30B0000}"/>
    <cellStyle name="40% - Accent2 2 2 2 25" xfId="2261" xr:uid="{00000000-0005-0000-0000-0000A40B0000}"/>
    <cellStyle name="40% - Accent2 2 2 2 26" xfId="2262" xr:uid="{00000000-0005-0000-0000-0000A50B0000}"/>
    <cellStyle name="40% - Accent2 2 2 2 27" xfId="2263" xr:uid="{00000000-0005-0000-0000-0000A60B0000}"/>
    <cellStyle name="40% - Accent2 2 2 2 28" xfId="2264" xr:uid="{00000000-0005-0000-0000-0000A70B0000}"/>
    <cellStyle name="40% - Accent2 2 2 2 28 2" xfId="2265" xr:uid="{00000000-0005-0000-0000-0000A80B0000}"/>
    <cellStyle name="40% - Accent2 2 2 2 29" xfId="29748" xr:uid="{00000000-0005-0000-0000-0000A90B0000}"/>
    <cellStyle name="40% - Accent2 2 2 2 3" xfId="2266" xr:uid="{00000000-0005-0000-0000-0000AA0B0000}"/>
    <cellStyle name="40% - Accent2 2 2 2 3 2" xfId="2267" xr:uid="{00000000-0005-0000-0000-0000AB0B0000}"/>
    <cellStyle name="40% - Accent2 2 2 2 3 3" xfId="29749" xr:uid="{00000000-0005-0000-0000-0000AC0B0000}"/>
    <cellStyle name="40% - Accent2 2 2 2 3 4" xfId="29750" xr:uid="{00000000-0005-0000-0000-0000AD0B0000}"/>
    <cellStyle name="40% - Accent2 2 2 2 3 5" xfId="33602" xr:uid="{00000000-0005-0000-0000-0000AE0B0000}"/>
    <cellStyle name="40% - Accent2 2 2 2 30" xfId="29751" xr:uid="{00000000-0005-0000-0000-0000AF0B0000}"/>
    <cellStyle name="40% - Accent2 2 2 2 31" xfId="29752" xr:uid="{00000000-0005-0000-0000-0000B00B0000}"/>
    <cellStyle name="40% - Accent2 2 2 2 32" xfId="33222" xr:uid="{00000000-0005-0000-0000-0000B10B0000}"/>
    <cellStyle name="40% - Accent2 2 2 2 4" xfId="2268" xr:uid="{00000000-0005-0000-0000-0000B20B0000}"/>
    <cellStyle name="40% - Accent2 2 2 2 4 2" xfId="33837" xr:uid="{00000000-0005-0000-0000-0000B30B0000}"/>
    <cellStyle name="40% - Accent2 2 2 2 5" xfId="2269" xr:uid="{00000000-0005-0000-0000-0000B40B0000}"/>
    <cellStyle name="40% - Accent2 2 2 2 5 2" xfId="34056" xr:uid="{00000000-0005-0000-0000-0000B50B0000}"/>
    <cellStyle name="40% - Accent2 2 2 2 6" xfId="2270" xr:uid="{00000000-0005-0000-0000-0000B60B0000}"/>
    <cellStyle name="40% - Accent2 2 2 2 7" xfId="2271" xr:uid="{00000000-0005-0000-0000-0000B70B0000}"/>
    <cellStyle name="40% - Accent2 2 2 2 8" xfId="2272" xr:uid="{00000000-0005-0000-0000-0000B80B0000}"/>
    <cellStyle name="40% - Accent2 2 2 2 9" xfId="2273" xr:uid="{00000000-0005-0000-0000-0000B90B0000}"/>
    <cellStyle name="40% - Accent2 2 2 2_loan Analysis " xfId="13114" xr:uid="{00000000-0005-0000-0000-0000BA0B0000}"/>
    <cellStyle name="40% - Accent2 2 2 20" xfId="2274" xr:uid="{00000000-0005-0000-0000-0000BB0B0000}"/>
    <cellStyle name="40% - Accent2 2 2 21" xfId="2275" xr:uid="{00000000-0005-0000-0000-0000BC0B0000}"/>
    <cellStyle name="40% - Accent2 2 2 22" xfId="2276" xr:uid="{00000000-0005-0000-0000-0000BD0B0000}"/>
    <cellStyle name="40% - Accent2 2 2 23" xfId="2277" xr:uid="{00000000-0005-0000-0000-0000BE0B0000}"/>
    <cellStyle name="40% - Accent2 2 2 24" xfId="2278" xr:uid="{00000000-0005-0000-0000-0000BF0B0000}"/>
    <cellStyle name="40% - Accent2 2 2 25" xfId="2279" xr:uid="{00000000-0005-0000-0000-0000C00B0000}"/>
    <cellStyle name="40% - Accent2 2 2 26" xfId="2280" xr:uid="{00000000-0005-0000-0000-0000C10B0000}"/>
    <cellStyle name="40% - Accent2 2 2 27" xfId="2281" xr:uid="{00000000-0005-0000-0000-0000C20B0000}"/>
    <cellStyle name="40% - Accent2 2 2 28" xfId="2282" xr:uid="{00000000-0005-0000-0000-0000C30B0000}"/>
    <cellStyle name="40% - Accent2 2 2 29" xfId="2283" xr:uid="{00000000-0005-0000-0000-0000C40B0000}"/>
    <cellStyle name="40% - Accent2 2 2 3" xfId="2284" xr:uid="{00000000-0005-0000-0000-0000C50B0000}"/>
    <cellStyle name="40% - Accent2 2 2 3 2" xfId="13115" xr:uid="{00000000-0005-0000-0000-0000C60B0000}"/>
    <cellStyle name="40% - Accent2 2 2 3 2 2" xfId="17169" xr:uid="{00000000-0005-0000-0000-0000C70B0000}"/>
    <cellStyle name="40% - Accent2 2 2 3 2 3" xfId="33669" xr:uid="{00000000-0005-0000-0000-0000C80B0000}"/>
    <cellStyle name="40% - Accent2 2 2 3 3" xfId="29753" xr:uid="{00000000-0005-0000-0000-0000C90B0000}"/>
    <cellStyle name="40% - Accent2 2 2 3 3 2" xfId="33897" xr:uid="{00000000-0005-0000-0000-0000CA0B0000}"/>
    <cellStyle name="40% - Accent2 2 2 3 4" xfId="34112" xr:uid="{00000000-0005-0000-0000-0000CB0B0000}"/>
    <cellStyle name="40% - Accent2 2 2 3 5" xfId="33285" xr:uid="{00000000-0005-0000-0000-0000CC0B0000}"/>
    <cellStyle name="40% - Accent2 2 2 3_loan Analysis " xfId="13116" xr:uid="{00000000-0005-0000-0000-0000CD0B0000}"/>
    <cellStyle name="40% - Accent2 2 2 30" xfId="2285" xr:uid="{00000000-0005-0000-0000-0000CE0B0000}"/>
    <cellStyle name="40% - Accent2 2 2 31" xfId="2286" xr:uid="{00000000-0005-0000-0000-0000CF0B0000}"/>
    <cellStyle name="40% - Accent2 2 2 31 2" xfId="2287" xr:uid="{00000000-0005-0000-0000-0000D00B0000}"/>
    <cellStyle name="40% - Accent2 2 2 32" xfId="2288" xr:uid="{00000000-0005-0000-0000-0000D10B0000}"/>
    <cellStyle name="40% - Accent2 2 2 33" xfId="2289" xr:uid="{00000000-0005-0000-0000-0000D20B0000}"/>
    <cellStyle name="40% - Accent2 2 2 34" xfId="2290" xr:uid="{00000000-0005-0000-0000-0000D30B0000}"/>
    <cellStyle name="40% - Accent2 2 2 35" xfId="2291" xr:uid="{00000000-0005-0000-0000-0000D40B0000}"/>
    <cellStyle name="40% - Accent2 2 2 36" xfId="2292" xr:uid="{00000000-0005-0000-0000-0000D50B0000}"/>
    <cellStyle name="40% - Accent2 2 2 37" xfId="2293" xr:uid="{00000000-0005-0000-0000-0000D60B0000}"/>
    <cellStyle name="40% - Accent2 2 2 38" xfId="2294" xr:uid="{00000000-0005-0000-0000-0000D70B0000}"/>
    <cellStyle name="40% - Accent2 2 2 39" xfId="2295" xr:uid="{00000000-0005-0000-0000-0000D80B0000}"/>
    <cellStyle name="40% - Accent2 2 2 39 2" xfId="2296" xr:uid="{00000000-0005-0000-0000-0000D90B0000}"/>
    <cellStyle name="40% - Accent2 2 2 4" xfId="2297" xr:uid="{00000000-0005-0000-0000-0000DA0B0000}"/>
    <cellStyle name="40% - Accent2 2 2 4 2" xfId="29754" xr:uid="{00000000-0005-0000-0000-0000DB0B0000}"/>
    <cellStyle name="40% - Accent2 2 2 4 3" xfId="29755" xr:uid="{00000000-0005-0000-0000-0000DC0B0000}"/>
    <cellStyle name="40% - Accent2 2 2 4 4" xfId="29756" xr:uid="{00000000-0005-0000-0000-0000DD0B0000}"/>
    <cellStyle name="40% - Accent2 2 2 4 5" xfId="33462" xr:uid="{00000000-0005-0000-0000-0000DE0B0000}"/>
    <cellStyle name="40% - Accent2 2 2 40" xfId="29757" xr:uid="{00000000-0005-0000-0000-0000DF0B0000}"/>
    <cellStyle name="40% - Accent2 2 2 41" xfId="29758" xr:uid="{00000000-0005-0000-0000-0000E00B0000}"/>
    <cellStyle name="40% - Accent2 2 2 42" xfId="29759" xr:uid="{00000000-0005-0000-0000-0000E10B0000}"/>
    <cellStyle name="40% - Accent2 2 2 43" xfId="29760" xr:uid="{00000000-0005-0000-0000-0000E20B0000}"/>
    <cellStyle name="40% - Accent2 2 2 44" xfId="29761" xr:uid="{00000000-0005-0000-0000-0000E30B0000}"/>
    <cellStyle name="40% - Accent2 2 2 45" xfId="29762" xr:uid="{00000000-0005-0000-0000-0000E40B0000}"/>
    <cellStyle name="40% - Accent2 2 2 46" xfId="29763" xr:uid="{00000000-0005-0000-0000-0000E50B0000}"/>
    <cellStyle name="40% - Accent2 2 2 47" xfId="33137" xr:uid="{00000000-0005-0000-0000-0000E60B0000}"/>
    <cellStyle name="40% - Accent2 2 2 5" xfId="2298" xr:uid="{00000000-0005-0000-0000-0000E70B0000}"/>
    <cellStyle name="40% - Accent2 2 2 5 2" xfId="33559" xr:uid="{00000000-0005-0000-0000-0000E80B0000}"/>
    <cellStyle name="40% - Accent2 2 2 6" xfId="2299" xr:uid="{00000000-0005-0000-0000-0000E90B0000}"/>
    <cellStyle name="40% - Accent2 2 2 6 2" xfId="33460" xr:uid="{00000000-0005-0000-0000-0000EA0B0000}"/>
    <cellStyle name="40% - Accent2 2 2 7" xfId="2300" xr:uid="{00000000-0005-0000-0000-0000EB0B0000}"/>
    <cellStyle name="40% - Accent2 2 2 8" xfId="2301" xr:uid="{00000000-0005-0000-0000-0000EC0B0000}"/>
    <cellStyle name="40% - Accent2 2 2 9" xfId="2302" xr:uid="{00000000-0005-0000-0000-0000ED0B0000}"/>
    <cellStyle name="40% - Accent2 2 2_loan Analysis " xfId="13117" xr:uid="{00000000-0005-0000-0000-0000EE0B0000}"/>
    <cellStyle name="40% - Accent2 2 20" xfId="2303" xr:uid="{00000000-0005-0000-0000-0000EF0B0000}"/>
    <cellStyle name="40% - Accent2 2 21" xfId="2304" xr:uid="{00000000-0005-0000-0000-0000F00B0000}"/>
    <cellStyle name="40% - Accent2 2 22" xfId="2305" xr:uid="{00000000-0005-0000-0000-0000F10B0000}"/>
    <cellStyle name="40% - Accent2 2 23" xfId="2306" xr:uid="{00000000-0005-0000-0000-0000F20B0000}"/>
    <cellStyle name="40% - Accent2 2 24" xfId="2307" xr:uid="{00000000-0005-0000-0000-0000F30B0000}"/>
    <cellStyle name="40% - Accent2 2 25" xfId="2308" xr:uid="{00000000-0005-0000-0000-0000F40B0000}"/>
    <cellStyle name="40% - Accent2 2 26" xfId="2309" xr:uid="{00000000-0005-0000-0000-0000F50B0000}"/>
    <cellStyle name="40% - Accent2 2 27" xfId="2310" xr:uid="{00000000-0005-0000-0000-0000F60B0000}"/>
    <cellStyle name="40% - Accent2 2 28" xfId="2311" xr:uid="{00000000-0005-0000-0000-0000F70B0000}"/>
    <cellStyle name="40% - Accent2 2 29" xfId="2312" xr:uid="{00000000-0005-0000-0000-0000F80B0000}"/>
    <cellStyle name="40% - Accent2 2 3" xfId="2313" xr:uid="{00000000-0005-0000-0000-0000F90B0000}"/>
    <cellStyle name="40% - Accent2 2 3 2" xfId="13118" xr:uid="{00000000-0005-0000-0000-0000FA0B0000}"/>
    <cellStyle name="40% - Accent2 2 3 2 2" xfId="13119" xr:uid="{00000000-0005-0000-0000-0000FB0B0000}"/>
    <cellStyle name="40% - Accent2 2 3 2 2 2" xfId="13120" xr:uid="{00000000-0005-0000-0000-0000FC0B0000}"/>
    <cellStyle name="40% - Accent2 2 3 2 2 2 2" xfId="17173" xr:uid="{00000000-0005-0000-0000-0000FD0B0000}"/>
    <cellStyle name="40% - Accent2 2 3 2 2 2 3" xfId="33711" xr:uid="{00000000-0005-0000-0000-0000FE0B0000}"/>
    <cellStyle name="40% - Accent2 2 3 2 2 3" xfId="17172" xr:uid="{00000000-0005-0000-0000-0000FF0B0000}"/>
    <cellStyle name="40% - Accent2 2 3 2 2 3 2" xfId="33940" xr:uid="{00000000-0005-0000-0000-0000000C0000}"/>
    <cellStyle name="40% - Accent2 2 3 2 2 4" xfId="34154" xr:uid="{00000000-0005-0000-0000-0000010C0000}"/>
    <cellStyle name="40% - Accent2 2 3 2 2 5" xfId="33327" xr:uid="{00000000-0005-0000-0000-0000020C0000}"/>
    <cellStyle name="40% - Accent2 2 3 2 2_loan Analysis " xfId="13121" xr:uid="{00000000-0005-0000-0000-0000030C0000}"/>
    <cellStyle name="40% - Accent2 2 3 2 3" xfId="13122" xr:uid="{00000000-0005-0000-0000-0000040C0000}"/>
    <cellStyle name="40% - Accent2 2 3 2 3 2" xfId="17174" xr:uid="{00000000-0005-0000-0000-0000050C0000}"/>
    <cellStyle name="40% - Accent2 2 3 2 3 3" xfId="33603" xr:uid="{00000000-0005-0000-0000-0000060C0000}"/>
    <cellStyle name="40% - Accent2 2 3 2 4" xfId="17171" xr:uid="{00000000-0005-0000-0000-0000070C0000}"/>
    <cellStyle name="40% - Accent2 2 3 2 4 2" xfId="33838" xr:uid="{00000000-0005-0000-0000-0000080C0000}"/>
    <cellStyle name="40% - Accent2 2 3 2 5" xfId="34057" xr:uid="{00000000-0005-0000-0000-0000090C0000}"/>
    <cellStyle name="40% - Accent2 2 3 2 6" xfId="33223" xr:uid="{00000000-0005-0000-0000-00000A0C0000}"/>
    <cellStyle name="40% - Accent2 2 3 2_loan Analysis " xfId="13123" xr:uid="{00000000-0005-0000-0000-00000B0C0000}"/>
    <cellStyle name="40% - Accent2 2 3 3" xfId="13124" xr:uid="{00000000-0005-0000-0000-00000C0C0000}"/>
    <cellStyle name="40% - Accent2 2 3 3 2" xfId="13125" xr:uid="{00000000-0005-0000-0000-00000D0C0000}"/>
    <cellStyle name="40% - Accent2 2 3 3 2 2" xfId="17176" xr:uid="{00000000-0005-0000-0000-00000E0C0000}"/>
    <cellStyle name="40% - Accent2 2 3 3 2 3" xfId="33670" xr:uid="{00000000-0005-0000-0000-00000F0C0000}"/>
    <cellStyle name="40% - Accent2 2 3 3 3" xfId="17175" xr:uid="{00000000-0005-0000-0000-0000100C0000}"/>
    <cellStyle name="40% - Accent2 2 3 3 3 2" xfId="33898" xr:uid="{00000000-0005-0000-0000-0000110C0000}"/>
    <cellStyle name="40% - Accent2 2 3 3 4" xfId="34113" xr:uid="{00000000-0005-0000-0000-0000120C0000}"/>
    <cellStyle name="40% - Accent2 2 3 3 5" xfId="33286" xr:uid="{00000000-0005-0000-0000-0000130C0000}"/>
    <cellStyle name="40% - Accent2 2 3 3_loan Analysis " xfId="13126" xr:uid="{00000000-0005-0000-0000-0000140C0000}"/>
    <cellStyle name="40% - Accent2 2 3 4" xfId="13127" xr:uid="{00000000-0005-0000-0000-0000150C0000}"/>
    <cellStyle name="40% - Accent2 2 3 4 2" xfId="17177" xr:uid="{00000000-0005-0000-0000-0000160C0000}"/>
    <cellStyle name="40% - Accent2 2 3 4 3" xfId="29764" xr:uid="{00000000-0005-0000-0000-0000170C0000}"/>
    <cellStyle name="40% - Accent2 2 3 4 4" xfId="33463" xr:uid="{00000000-0005-0000-0000-0000180C0000}"/>
    <cellStyle name="40% - Accent2 2 3 5" xfId="29765" xr:uid="{00000000-0005-0000-0000-0000190C0000}"/>
    <cellStyle name="40% - Accent2 2 3 5 2" xfId="33558" xr:uid="{00000000-0005-0000-0000-00001A0C0000}"/>
    <cellStyle name="40% - Accent2 2 3 6" xfId="29766" xr:uid="{00000000-0005-0000-0000-00001B0C0000}"/>
    <cellStyle name="40% - Accent2 2 3 6 2" xfId="33461" xr:uid="{00000000-0005-0000-0000-00001C0C0000}"/>
    <cellStyle name="40% - Accent2 2 3 7" xfId="29767" xr:uid="{00000000-0005-0000-0000-00001D0C0000}"/>
    <cellStyle name="40% - Accent2 2 3 8" xfId="33138" xr:uid="{00000000-0005-0000-0000-00001E0C0000}"/>
    <cellStyle name="40% - Accent2 2 3_loan Analysis " xfId="13128" xr:uid="{00000000-0005-0000-0000-00001F0C0000}"/>
    <cellStyle name="40% - Accent2 2 30" xfId="2314" xr:uid="{00000000-0005-0000-0000-0000200C0000}"/>
    <cellStyle name="40% - Accent2 2 31" xfId="2315" xr:uid="{00000000-0005-0000-0000-0000210C0000}"/>
    <cellStyle name="40% - Accent2 2 32" xfId="2316" xr:uid="{00000000-0005-0000-0000-0000220C0000}"/>
    <cellStyle name="40% - Accent2 2 33" xfId="2317" xr:uid="{00000000-0005-0000-0000-0000230C0000}"/>
    <cellStyle name="40% - Accent2 2 33 2" xfId="2318" xr:uid="{00000000-0005-0000-0000-0000240C0000}"/>
    <cellStyle name="40% - Accent2 2 34" xfId="2319" xr:uid="{00000000-0005-0000-0000-0000250C0000}"/>
    <cellStyle name="40% - Accent2 2 35" xfId="2320" xr:uid="{00000000-0005-0000-0000-0000260C0000}"/>
    <cellStyle name="40% - Accent2 2 36" xfId="2321" xr:uid="{00000000-0005-0000-0000-0000270C0000}"/>
    <cellStyle name="40% - Accent2 2 37" xfId="2322" xr:uid="{00000000-0005-0000-0000-0000280C0000}"/>
    <cellStyle name="40% - Accent2 2 38" xfId="2323" xr:uid="{00000000-0005-0000-0000-0000290C0000}"/>
    <cellStyle name="40% - Accent2 2 39" xfId="2324" xr:uid="{00000000-0005-0000-0000-00002A0C0000}"/>
    <cellStyle name="40% - Accent2 2 4" xfId="2325" xr:uid="{00000000-0005-0000-0000-00002B0C0000}"/>
    <cellStyle name="40% - Accent2 2 4 2" xfId="13129" xr:uid="{00000000-0005-0000-0000-00002C0C0000}"/>
    <cellStyle name="40% - Accent2 2 4 2 2" xfId="13130" xr:uid="{00000000-0005-0000-0000-00002D0C0000}"/>
    <cellStyle name="40% - Accent2 2 4 2 2 2" xfId="13131" xr:uid="{00000000-0005-0000-0000-00002E0C0000}"/>
    <cellStyle name="40% - Accent2 2 4 2 2 2 2" xfId="17181" xr:uid="{00000000-0005-0000-0000-00002F0C0000}"/>
    <cellStyle name="40% - Accent2 2 4 2 2 2 3" xfId="33712" xr:uid="{00000000-0005-0000-0000-0000300C0000}"/>
    <cellStyle name="40% - Accent2 2 4 2 2 3" xfId="17180" xr:uid="{00000000-0005-0000-0000-0000310C0000}"/>
    <cellStyle name="40% - Accent2 2 4 2 2 3 2" xfId="33941" xr:uid="{00000000-0005-0000-0000-0000320C0000}"/>
    <cellStyle name="40% - Accent2 2 4 2 2 4" xfId="34155" xr:uid="{00000000-0005-0000-0000-0000330C0000}"/>
    <cellStyle name="40% - Accent2 2 4 2 2 5" xfId="33328" xr:uid="{00000000-0005-0000-0000-0000340C0000}"/>
    <cellStyle name="40% - Accent2 2 4 2 2_loan Analysis " xfId="13132" xr:uid="{00000000-0005-0000-0000-0000350C0000}"/>
    <cellStyle name="40% - Accent2 2 4 2 3" xfId="13133" xr:uid="{00000000-0005-0000-0000-0000360C0000}"/>
    <cellStyle name="40% - Accent2 2 4 2 3 2" xfId="17182" xr:uid="{00000000-0005-0000-0000-0000370C0000}"/>
    <cellStyle name="40% - Accent2 2 4 2 3 3" xfId="33604" xr:uid="{00000000-0005-0000-0000-0000380C0000}"/>
    <cellStyle name="40% - Accent2 2 4 2 4" xfId="17179" xr:uid="{00000000-0005-0000-0000-0000390C0000}"/>
    <cellStyle name="40% - Accent2 2 4 2 4 2" xfId="33839" xr:uid="{00000000-0005-0000-0000-00003A0C0000}"/>
    <cellStyle name="40% - Accent2 2 4 2 5" xfId="34058" xr:uid="{00000000-0005-0000-0000-00003B0C0000}"/>
    <cellStyle name="40% - Accent2 2 4 2 6" xfId="33224" xr:uid="{00000000-0005-0000-0000-00003C0C0000}"/>
    <cellStyle name="40% - Accent2 2 4 2_loan Analysis " xfId="13134" xr:uid="{00000000-0005-0000-0000-00003D0C0000}"/>
    <cellStyle name="40% - Accent2 2 4 3" xfId="13135" xr:uid="{00000000-0005-0000-0000-00003E0C0000}"/>
    <cellStyle name="40% - Accent2 2 4 3 2" xfId="13136" xr:uid="{00000000-0005-0000-0000-00003F0C0000}"/>
    <cellStyle name="40% - Accent2 2 4 3 2 2" xfId="17184" xr:uid="{00000000-0005-0000-0000-0000400C0000}"/>
    <cellStyle name="40% - Accent2 2 4 3 2 3" xfId="33671" xr:uid="{00000000-0005-0000-0000-0000410C0000}"/>
    <cellStyle name="40% - Accent2 2 4 3 3" xfId="17183" xr:uid="{00000000-0005-0000-0000-0000420C0000}"/>
    <cellStyle name="40% - Accent2 2 4 3 3 2" xfId="33899" xr:uid="{00000000-0005-0000-0000-0000430C0000}"/>
    <cellStyle name="40% - Accent2 2 4 3 4" xfId="34114" xr:uid="{00000000-0005-0000-0000-0000440C0000}"/>
    <cellStyle name="40% - Accent2 2 4 3 5" xfId="33287" xr:uid="{00000000-0005-0000-0000-0000450C0000}"/>
    <cellStyle name="40% - Accent2 2 4 3_loan Analysis " xfId="13137" xr:uid="{00000000-0005-0000-0000-0000460C0000}"/>
    <cellStyle name="40% - Accent2 2 4 4" xfId="13138" xr:uid="{00000000-0005-0000-0000-0000470C0000}"/>
    <cellStyle name="40% - Accent2 2 4 4 2" xfId="17185" xr:uid="{00000000-0005-0000-0000-0000480C0000}"/>
    <cellStyle name="40% - Accent2 2 4 4 3" xfId="29768" xr:uid="{00000000-0005-0000-0000-0000490C0000}"/>
    <cellStyle name="40% - Accent2 2 4 4 4" xfId="33464" xr:uid="{00000000-0005-0000-0000-00004A0C0000}"/>
    <cellStyle name="40% - Accent2 2 4 5" xfId="29769" xr:uid="{00000000-0005-0000-0000-00004B0C0000}"/>
    <cellStyle name="40% - Accent2 2 4 5 2" xfId="33557" xr:uid="{00000000-0005-0000-0000-00004C0C0000}"/>
    <cellStyle name="40% - Accent2 2 4 6" xfId="29770" xr:uid="{00000000-0005-0000-0000-00004D0C0000}"/>
    <cellStyle name="40% - Accent2 2 4 6 2" xfId="33465" xr:uid="{00000000-0005-0000-0000-00004E0C0000}"/>
    <cellStyle name="40% - Accent2 2 4 7" xfId="33139" xr:uid="{00000000-0005-0000-0000-00004F0C0000}"/>
    <cellStyle name="40% - Accent2 2 4_loan Analysis " xfId="13139" xr:uid="{00000000-0005-0000-0000-0000500C0000}"/>
    <cellStyle name="40% - Accent2 2 40" xfId="2326" xr:uid="{00000000-0005-0000-0000-0000510C0000}"/>
    <cellStyle name="40% - Accent2 2 41" xfId="2327" xr:uid="{00000000-0005-0000-0000-0000520C0000}"/>
    <cellStyle name="40% - Accent2 2 41 2" xfId="2328" xr:uid="{00000000-0005-0000-0000-0000530C0000}"/>
    <cellStyle name="40% - Accent2 2 42" xfId="29771" xr:uid="{00000000-0005-0000-0000-0000540C0000}"/>
    <cellStyle name="40% - Accent2 2 43" xfId="29772" xr:uid="{00000000-0005-0000-0000-0000550C0000}"/>
    <cellStyle name="40% - Accent2 2 44" xfId="29773" xr:uid="{00000000-0005-0000-0000-0000560C0000}"/>
    <cellStyle name="40% - Accent2 2 45" xfId="29774" xr:uid="{00000000-0005-0000-0000-0000570C0000}"/>
    <cellStyle name="40% - Accent2 2 46" xfId="29775" xr:uid="{00000000-0005-0000-0000-0000580C0000}"/>
    <cellStyle name="40% - Accent2 2 47" xfId="29776" xr:uid="{00000000-0005-0000-0000-0000590C0000}"/>
    <cellStyle name="40% - Accent2 2 48" xfId="29777" xr:uid="{00000000-0005-0000-0000-00005A0C0000}"/>
    <cellStyle name="40% - Accent2 2 49" xfId="2161" xr:uid="{00000000-0005-0000-0000-00005B0C0000}"/>
    <cellStyle name="40% - Accent2 2 5" xfId="2329" xr:uid="{00000000-0005-0000-0000-00005C0C0000}"/>
    <cellStyle name="40% - Accent2 2 5 2" xfId="2330" xr:uid="{00000000-0005-0000-0000-00005D0C0000}"/>
    <cellStyle name="40% - Accent2 2 5 3" xfId="29778" xr:uid="{00000000-0005-0000-0000-00005E0C0000}"/>
    <cellStyle name="40% - Accent2 2 6" xfId="2331" xr:uid="{00000000-0005-0000-0000-00005F0C0000}"/>
    <cellStyle name="40% - Accent2 2 6 2" xfId="29779" xr:uid="{00000000-0005-0000-0000-0000600C0000}"/>
    <cellStyle name="40% - Accent2 2 6 3" xfId="29780" xr:uid="{00000000-0005-0000-0000-0000610C0000}"/>
    <cellStyle name="40% - Accent2 2 7" xfId="2332" xr:uid="{00000000-0005-0000-0000-0000620C0000}"/>
    <cellStyle name="40% - Accent2 2 8" xfId="2333" xr:uid="{00000000-0005-0000-0000-0000630C0000}"/>
    <cellStyle name="40% - Accent2 2 9" xfId="2334" xr:uid="{00000000-0005-0000-0000-0000640C0000}"/>
    <cellStyle name="40% - Accent2 2_Loan Classification" xfId="11407" xr:uid="{00000000-0005-0000-0000-0000650C0000}"/>
    <cellStyle name="40% - Accent2 20" xfId="2335" xr:uid="{00000000-0005-0000-0000-0000660C0000}"/>
    <cellStyle name="40% - Accent2 21" xfId="2336" xr:uid="{00000000-0005-0000-0000-0000670C0000}"/>
    <cellStyle name="40% - Accent2 22" xfId="2337" xr:uid="{00000000-0005-0000-0000-0000680C0000}"/>
    <cellStyle name="40% - Accent2 23" xfId="2338" xr:uid="{00000000-0005-0000-0000-0000690C0000}"/>
    <cellStyle name="40% - Accent2 24" xfId="2339" xr:uid="{00000000-0005-0000-0000-00006A0C0000}"/>
    <cellStyle name="40% - Accent2 25" xfId="2340" xr:uid="{00000000-0005-0000-0000-00006B0C0000}"/>
    <cellStyle name="40% - Accent2 26" xfId="2341" xr:uid="{00000000-0005-0000-0000-00006C0C0000}"/>
    <cellStyle name="40% - Accent2 27" xfId="2342" xr:uid="{00000000-0005-0000-0000-00006D0C0000}"/>
    <cellStyle name="40% - Accent2 28" xfId="2343" xr:uid="{00000000-0005-0000-0000-00006E0C0000}"/>
    <cellStyle name="40% - Accent2 29" xfId="2344" xr:uid="{00000000-0005-0000-0000-00006F0C0000}"/>
    <cellStyle name="40% - Accent2 3" xfId="457" xr:uid="{00000000-0005-0000-0000-0000700C0000}"/>
    <cellStyle name="40% - Accent2 3 2" xfId="29781" xr:uid="{00000000-0005-0000-0000-0000710C0000}"/>
    <cellStyle name="40% - Accent2 3 2 2" xfId="29782" xr:uid="{00000000-0005-0000-0000-0000720C0000}"/>
    <cellStyle name="40% - Accent2 3 3" xfId="29783" xr:uid="{00000000-0005-0000-0000-0000730C0000}"/>
    <cellStyle name="40% - Accent2 3 4" xfId="2345" xr:uid="{00000000-0005-0000-0000-0000740C0000}"/>
    <cellStyle name="40% - Accent2 30" xfId="2346" xr:uid="{00000000-0005-0000-0000-0000750C0000}"/>
    <cellStyle name="40% - Accent2 31" xfId="2347" xr:uid="{00000000-0005-0000-0000-0000760C0000}"/>
    <cellStyle name="40% - Accent2 32" xfId="2348" xr:uid="{00000000-0005-0000-0000-0000770C0000}"/>
    <cellStyle name="40% - Accent2 33" xfId="2349" xr:uid="{00000000-0005-0000-0000-0000780C0000}"/>
    <cellStyle name="40% - Accent2 34" xfId="2350" xr:uid="{00000000-0005-0000-0000-0000790C0000}"/>
    <cellStyle name="40% - Accent2 35" xfId="2351" xr:uid="{00000000-0005-0000-0000-00007A0C0000}"/>
    <cellStyle name="40% - Accent2 36" xfId="2352" xr:uid="{00000000-0005-0000-0000-00007B0C0000}"/>
    <cellStyle name="40% - Accent2 37" xfId="2353" xr:uid="{00000000-0005-0000-0000-00007C0C0000}"/>
    <cellStyle name="40% - Accent2 38" xfId="2354" xr:uid="{00000000-0005-0000-0000-00007D0C0000}"/>
    <cellStyle name="40% - Accent2 39" xfId="2355" xr:uid="{00000000-0005-0000-0000-00007E0C0000}"/>
    <cellStyle name="40% - Accent2 4" xfId="2356" xr:uid="{00000000-0005-0000-0000-00007F0C0000}"/>
    <cellStyle name="40% - Accent2 4 2" xfId="29784" xr:uid="{00000000-0005-0000-0000-0000800C0000}"/>
    <cellStyle name="40% - Accent2 4 2 2" xfId="29785" xr:uid="{00000000-0005-0000-0000-0000810C0000}"/>
    <cellStyle name="40% - Accent2 4 3" xfId="29786" xr:uid="{00000000-0005-0000-0000-0000820C0000}"/>
    <cellStyle name="40% - Accent2 40" xfId="2357" xr:uid="{00000000-0005-0000-0000-0000830C0000}"/>
    <cellStyle name="40% - Accent2 41" xfId="2358" xr:uid="{00000000-0005-0000-0000-0000840C0000}"/>
    <cellStyle name="40% - Accent2 42" xfId="2359" xr:uid="{00000000-0005-0000-0000-0000850C0000}"/>
    <cellStyle name="40% - Accent2 43" xfId="11570" xr:uid="{00000000-0005-0000-0000-0000860C0000}"/>
    <cellStyle name="40% - Accent2 44" xfId="11544" xr:uid="{00000000-0005-0000-0000-0000870C0000}"/>
    <cellStyle name="40% - Accent2 44 2" xfId="17188" xr:uid="{00000000-0005-0000-0000-0000880C0000}"/>
    <cellStyle name="40% - Accent2 45" xfId="17189" xr:uid="{00000000-0005-0000-0000-0000890C0000}"/>
    <cellStyle name="40% - Accent2 46" xfId="29787" xr:uid="{00000000-0005-0000-0000-00008A0C0000}"/>
    <cellStyle name="40% - Accent2 47" xfId="34260" xr:uid="{00000000-0005-0000-0000-00008B0C0000}"/>
    <cellStyle name="40% - Accent2 48" xfId="490" xr:uid="{00000000-0005-0000-0000-00008C0C0000}"/>
    <cellStyle name="40% - Accent2 5" xfId="2360" xr:uid="{00000000-0005-0000-0000-00008D0C0000}"/>
    <cellStyle name="40% - Accent2 5 2" xfId="12836" xr:uid="{00000000-0005-0000-0000-00008E0C0000}"/>
    <cellStyle name="40% - Accent2 5 2 2" xfId="29788" xr:uid="{00000000-0005-0000-0000-00008F0C0000}"/>
    <cellStyle name="40% - Accent2 5 3" xfId="29789" xr:uid="{00000000-0005-0000-0000-0000900C0000}"/>
    <cellStyle name="40% - Accent2 5 3 2" xfId="29790" xr:uid="{00000000-0005-0000-0000-0000910C0000}"/>
    <cellStyle name="40% - Accent2 6" xfId="2361" xr:uid="{00000000-0005-0000-0000-0000920C0000}"/>
    <cellStyle name="40% - Accent2 6 2" xfId="29791" xr:uid="{00000000-0005-0000-0000-0000930C0000}"/>
    <cellStyle name="40% - Accent2 7" xfId="2362" xr:uid="{00000000-0005-0000-0000-0000940C0000}"/>
    <cellStyle name="40% - Accent2 7 2" xfId="29792" xr:uid="{00000000-0005-0000-0000-0000950C0000}"/>
    <cellStyle name="40% - Accent2 8" xfId="2363" xr:uid="{00000000-0005-0000-0000-0000960C0000}"/>
    <cellStyle name="40% - Accent2 8 2" xfId="29793" xr:uid="{00000000-0005-0000-0000-0000970C0000}"/>
    <cellStyle name="40% - Accent2 9" xfId="2364" xr:uid="{00000000-0005-0000-0000-0000980C0000}"/>
    <cellStyle name="40% - Accent2 9 2" xfId="29794" xr:uid="{00000000-0005-0000-0000-0000990C0000}"/>
    <cellStyle name="40% - Accent3" xfId="35" builtinId="39" customBuiltin="1"/>
    <cellStyle name="40% - Accent3 10" xfId="2365" xr:uid="{00000000-0005-0000-0000-00009B0C0000}"/>
    <cellStyle name="40% - Accent3 10 2" xfId="29795" xr:uid="{00000000-0005-0000-0000-00009C0C0000}"/>
    <cellStyle name="40% - Accent3 10 3" xfId="29796" xr:uid="{00000000-0005-0000-0000-00009D0C0000}"/>
    <cellStyle name="40% - Accent3 11" xfId="2366" xr:uid="{00000000-0005-0000-0000-00009E0C0000}"/>
    <cellStyle name="40% - Accent3 11 2" xfId="29797" xr:uid="{00000000-0005-0000-0000-00009F0C0000}"/>
    <cellStyle name="40% - Accent3 12" xfId="2367" xr:uid="{00000000-0005-0000-0000-0000A00C0000}"/>
    <cellStyle name="40% - Accent3 12 2" xfId="29798" xr:uid="{00000000-0005-0000-0000-0000A10C0000}"/>
    <cellStyle name="40% - Accent3 13" xfId="2368" xr:uid="{00000000-0005-0000-0000-0000A20C0000}"/>
    <cellStyle name="40% - Accent3 13 2" xfId="29799" xr:uid="{00000000-0005-0000-0000-0000A30C0000}"/>
    <cellStyle name="40% - Accent3 14" xfId="2369" xr:uid="{00000000-0005-0000-0000-0000A40C0000}"/>
    <cellStyle name="40% - Accent3 14 2" xfId="29800" xr:uid="{00000000-0005-0000-0000-0000A50C0000}"/>
    <cellStyle name="40% - Accent3 15" xfId="2370" xr:uid="{00000000-0005-0000-0000-0000A60C0000}"/>
    <cellStyle name="40% - Accent3 15 2" xfId="29801" xr:uid="{00000000-0005-0000-0000-0000A70C0000}"/>
    <cellStyle name="40% - Accent3 16" xfId="2371" xr:uid="{00000000-0005-0000-0000-0000A80C0000}"/>
    <cellStyle name="40% - Accent3 16 2" xfId="29802" xr:uid="{00000000-0005-0000-0000-0000A90C0000}"/>
    <cellStyle name="40% - Accent3 17" xfId="2372" xr:uid="{00000000-0005-0000-0000-0000AA0C0000}"/>
    <cellStyle name="40% - Accent3 17 2" xfId="29803" xr:uid="{00000000-0005-0000-0000-0000AB0C0000}"/>
    <cellStyle name="40% - Accent3 18" xfId="2373" xr:uid="{00000000-0005-0000-0000-0000AC0C0000}"/>
    <cellStyle name="40% - Accent3 19" xfId="2374" xr:uid="{00000000-0005-0000-0000-0000AD0C0000}"/>
    <cellStyle name="40% - Accent3 2" xfId="65" xr:uid="{00000000-0005-0000-0000-0000AE0C0000}"/>
    <cellStyle name="40% - Accent3 2 10" xfId="2376" xr:uid="{00000000-0005-0000-0000-0000AF0C0000}"/>
    <cellStyle name="40% - Accent3 2 11" xfId="2377" xr:uid="{00000000-0005-0000-0000-0000B00C0000}"/>
    <cellStyle name="40% - Accent3 2 12" xfId="2378" xr:uid="{00000000-0005-0000-0000-0000B10C0000}"/>
    <cellStyle name="40% - Accent3 2 13" xfId="2379" xr:uid="{00000000-0005-0000-0000-0000B20C0000}"/>
    <cellStyle name="40% - Accent3 2 14" xfId="2380" xr:uid="{00000000-0005-0000-0000-0000B30C0000}"/>
    <cellStyle name="40% - Accent3 2 15" xfId="2381" xr:uid="{00000000-0005-0000-0000-0000B40C0000}"/>
    <cellStyle name="40% - Accent3 2 16" xfId="2382" xr:uid="{00000000-0005-0000-0000-0000B50C0000}"/>
    <cellStyle name="40% - Accent3 2 16 2" xfId="2383" xr:uid="{00000000-0005-0000-0000-0000B60C0000}"/>
    <cellStyle name="40% - Accent3 2 17" xfId="2384" xr:uid="{00000000-0005-0000-0000-0000B70C0000}"/>
    <cellStyle name="40% - Accent3 2 18" xfId="2385" xr:uid="{00000000-0005-0000-0000-0000B80C0000}"/>
    <cellStyle name="40% - Accent3 2 19" xfId="2386" xr:uid="{00000000-0005-0000-0000-0000B90C0000}"/>
    <cellStyle name="40% - Accent3 2 2" xfId="422" xr:uid="{00000000-0005-0000-0000-0000BA0C0000}"/>
    <cellStyle name="40% - Accent3 2 2 10" xfId="2388" xr:uid="{00000000-0005-0000-0000-0000BB0C0000}"/>
    <cellStyle name="40% - Accent3 2 2 11" xfId="2389" xr:uid="{00000000-0005-0000-0000-0000BC0C0000}"/>
    <cellStyle name="40% - Accent3 2 2 12" xfId="2390" xr:uid="{00000000-0005-0000-0000-0000BD0C0000}"/>
    <cellStyle name="40% - Accent3 2 2 13" xfId="2391" xr:uid="{00000000-0005-0000-0000-0000BE0C0000}"/>
    <cellStyle name="40% - Accent3 2 2 14" xfId="2392" xr:uid="{00000000-0005-0000-0000-0000BF0C0000}"/>
    <cellStyle name="40% - Accent3 2 2 14 2" xfId="2393" xr:uid="{00000000-0005-0000-0000-0000C00C0000}"/>
    <cellStyle name="40% - Accent3 2 2 15" xfId="2394" xr:uid="{00000000-0005-0000-0000-0000C10C0000}"/>
    <cellStyle name="40% - Accent3 2 2 16" xfId="2395" xr:uid="{00000000-0005-0000-0000-0000C20C0000}"/>
    <cellStyle name="40% - Accent3 2 2 17" xfId="2396" xr:uid="{00000000-0005-0000-0000-0000C30C0000}"/>
    <cellStyle name="40% - Accent3 2 2 18" xfId="2397" xr:uid="{00000000-0005-0000-0000-0000C40C0000}"/>
    <cellStyle name="40% - Accent3 2 2 19" xfId="2398" xr:uid="{00000000-0005-0000-0000-0000C50C0000}"/>
    <cellStyle name="40% - Accent3 2 2 2" xfId="2399" xr:uid="{00000000-0005-0000-0000-0000C60C0000}"/>
    <cellStyle name="40% - Accent3 2 2 2 10" xfId="2400" xr:uid="{00000000-0005-0000-0000-0000C70C0000}"/>
    <cellStyle name="40% - Accent3 2 2 2 11" xfId="2401" xr:uid="{00000000-0005-0000-0000-0000C80C0000}"/>
    <cellStyle name="40% - Accent3 2 2 2 12" xfId="2402" xr:uid="{00000000-0005-0000-0000-0000C90C0000}"/>
    <cellStyle name="40% - Accent3 2 2 2 13" xfId="2403" xr:uid="{00000000-0005-0000-0000-0000CA0C0000}"/>
    <cellStyle name="40% - Accent3 2 2 2 14" xfId="2404" xr:uid="{00000000-0005-0000-0000-0000CB0C0000}"/>
    <cellStyle name="40% - Accent3 2 2 2 15" xfId="2405" xr:uid="{00000000-0005-0000-0000-0000CC0C0000}"/>
    <cellStyle name="40% - Accent3 2 2 2 16" xfId="2406" xr:uid="{00000000-0005-0000-0000-0000CD0C0000}"/>
    <cellStyle name="40% - Accent3 2 2 2 17" xfId="2407" xr:uid="{00000000-0005-0000-0000-0000CE0C0000}"/>
    <cellStyle name="40% - Accent3 2 2 2 18" xfId="2408" xr:uid="{00000000-0005-0000-0000-0000CF0C0000}"/>
    <cellStyle name="40% - Accent3 2 2 2 19" xfId="2409" xr:uid="{00000000-0005-0000-0000-0000D00C0000}"/>
    <cellStyle name="40% - Accent3 2 2 2 2" xfId="2410" xr:uid="{00000000-0005-0000-0000-0000D10C0000}"/>
    <cellStyle name="40% - Accent3 2 2 2 2 10" xfId="2411" xr:uid="{00000000-0005-0000-0000-0000D20C0000}"/>
    <cellStyle name="40% - Accent3 2 2 2 2 11" xfId="2412" xr:uid="{00000000-0005-0000-0000-0000D30C0000}"/>
    <cellStyle name="40% - Accent3 2 2 2 2 12" xfId="2413" xr:uid="{00000000-0005-0000-0000-0000D40C0000}"/>
    <cellStyle name="40% - Accent3 2 2 2 2 13" xfId="2414" xr:uid="{00000000-0005-0000-0000-0000D50C0000}"/>
    <cellStyle name="40% - Accent3 2 2 2 2 14" xfId="2415" xr:uid="{00000000-0005-0000-0000-0000D60C0000}"/>
    <cellStyle name="40% - Accent3 2 2 2 2 15" xfId="2416" xr:uid="{00000000-0005-0000-0000-0000D70C0000}"/>
    <cellStyle name="40% - Accent3 2 2 2 2 16" xfId="2417" xr:uid="{00000000-0005-0000-0000-0000D80C0000}"/>
    <cellStyle name="40% - Accent3 2 2 2 2 17" xfId="2418" xr:uid="{00000000-0005-0000-0000-0000D90C0000}"/>
    <cellStyle name="40% - Accent3 2 2 2 2 18" xfId="2419" xr:uid="{00000000-0005-0000-0000-0000DA0C0000}"/>
    <cellStyle name="40% - Accent3 2 2 2 2 19" xfId="2420" xr:uid="{00000000-0005-0000-0000-0000DB0C0000}"/>
    <cellStyle name="40% - Accent3 2 2 2 2 2" xfId="2421" xr:uid="{00000000-0005-0000-0000-0000DC0C0000}"/>
    <cellStyle name="40% - Accent3 2 2 2 2 2 10" xfId="2422" xr:uid="{00000000-0005-0000-0000-0000DD0C0000}"/>
    <cellStyle name="40% - Accent3 2 2 2 2 2 11" xfId="2423" xr:uid="{00000000-0005-0000-0000-0000DE0C0000}"/>
    <cellStyle name="40% - Accent3 2 2 2 2 2 11 2" xfId="2424" xr:uid="{00000000-0005-0000-0000-0000DF0C0000}"/>
    <cellStyle name="40% - Accent3 2 2 2 2 2 12" xfId="29804" xr:uid="{00000000-0005-0000-0000-0000E00C0000}"/>
    <cellStyle name="40% - Accent3 2 2 2 2 2 13" xfId="29805" xr:uid="{00000000-0005-0000-0000-0000E10C0000}"/>
    <cellStyle name="40% - Accent3 2 2 2 2 2 14" xfId="33713" xr:uid="{00000000-0005-0000-0000-0000E20C0000}"/>
    <cellStyle name="40% - Accent3 2 2 2 2 2 2" xfId="2425" xr:uid="{00000000-0005-0000-0000-0000E30C0000}"/>
    <cellStyle name="40% - Accent3 2 2 2 2 2 2 10" xfId="2426" xr:uid="{00000000-0005-0000-0000-0000E40C0000}"/>
    <cellStyle name="40% - Accent3 2 2 2 2 2 2 11" xfId="2427" xr:uid="{00000000-0005-0000-0000-0000E50C0000}"/>
    <cellStyle name="40% - Accent3 2 2 2 2 2 2 11 2" xfId="2428" xr:uid="{00000000-0005-0000-0000-0000E60C0000}"/>
    <cellStyle name="40% - Accent3 2 2 2 2 2 2 2" xfId="2429" xr:uid="{00000000-0005-0000-0000-0000E70C0000}"/>
    <cellStyle name="40% - Accent3 2 2 2 2 2 2 2 2" xfId="2430" xr:uid="{00000000-0005-0000-0000-0000E80C0000}"/>
    <cellStyle name="40% - Accent3 2 2 2 2 2 2 2 2 2" xfId="2431" xr:uid="{00000000-0005-0000-0000-0000E90C0000}"/>
    <cellStyle name="40% - Accent3 2 2 2 2 2 2 2 2 2 2" xfId="2432" xr:uid="{00000000-0005-0000-0000-0000EA0C0000}"/>
    <cellStyle name="40% - Accent3 2 2 2 2 2 2 2 2 3" xfId="2433" xr:uid="{00000000-0005-0000-0000-0000EB0C0000}"/>
    <cellStyle name="40% - Accent3 2 2 2 2 2 2 2 3" xfId="2434" xr:uid="{00000000-0005-0000-0000-0000EC0C0000}"/>
    <cellStyle name="40% - Accent3 2 2 2 2 2 2 2 3 2" xfId="2435" xr:uid="{00000000-0005-0000-0000-0000ED0C0000}"/>
    <cellStyle name="40% - Accent3 2 2 2 2 2 2 3" xfId="2436" xr:uid="{00000000-0005-0000-0000-0000EE0C0000}"/>
    <cellStyle name="40% - Accent3 2 2 2 2 2 2 4" xfId="2437" xr:uid="{00000000-0005-0000-0000-0000EF0C0000}"/>
    <cellStyle name="40% - Accent3 2 2 2 2 2 2 5" xfId="2438" xr:uid="{00000000-0005-0000-0000-0000F00C0000}"/>
    <cellStyle name="40% - Accent3 2 2 2 2 2 2 6" xfId="2439" xr:uid="{00000000-0005-0000-0000-0000F10C0000}"/>
    <cellStyle name="40% - Accent3 2 2 2 2 2 2 7" xfId="2440" xr:uid="{00000000-0005-0000-0000-0000F20C0000}"/>
    <cellStyle name="40% - Accent3 2 2 2 2 2 2 8" xfId="2441" xr:uid="{00000000-0005-0000-0000-0000F30C0000}"/>
    <cellStyle name="40% - Accent3 2 2 2 2 2 2 9" xfId="2442" xr:uid="{00000000-0005-0000-0000-0000F40C0000}"/>
    <cellStyle name="40% - Accent3 2 2 2 2 2 3" xfId="2443" xr:uid="{00000000-0005-0000-0000-0000F50C0000}"/>
    <cellStyle name="40% - Accent3 2 2 2 2 2 3 2" xfId="2444" xr:uid="{00000000-0005-0000-0000-0000F60C0000}"/>
    <cellStyle name="40% - Accent3 2 2 2 2 2 4" xfId="2445" xr:uid="{00000000-0005-0000-0000-0000F70C0000}"/>
    <cellStyle name="40% - Accent3 2 2 2 2 2 5" xfId="2446" xr:uid="{00000000-0005-0000-0000-0000F80C0000}"/>
    <cellStyle name="40% - Accent3 2 2 2 2 2 6" xfId="2447" xr:uid="{00000000-0005-0000-0000-0000F90C0000}"/>
    <cellStyle name="40% - Accent3 2 2 2 2 2 7" xfId="2448" xr:uid="{00000000-0005-0000-0000-0000FA0C0000}"/>
    <cellStyle name="40% - Accent3 2 2 2 2 2 8" xfId="2449" xr:uid="{00000000-0005-0000-0000-0000FB0C0000}"/>
    <cellStyle name="40% - Accent3 2 2 2 2 2 9" xfId="2450" xr:uid="{00000000-0005-0000-0000-0000FC0C0000}"/>
    <cellStyle name="40% - Accent3 2 2 2 2 20" xfId="2451" xr:uid="{00000000-0005-0000-0000-0000FD0C0000}"/>
    <cellStyle name="40% - Accent3 2 2 2 2 20 2" xfId="2452" xr:uid="{00000000-0005-0000-0000-0000FE0C0000}"/>
    <cellStyle name="40% - Accent3 2 2 2 2 21" xfId="2453" xr:uid="{00000000-0005-0000-0000-0000FF0C0000}"/>
    <cellStyle name="40% - Accent3 2 2 2 2 22" xfId="2454" xr:uid="{00000000-0005-0000-0000-0000000D0000}"/>
    <cellStyle name="40% - Accent3 2 2 2 2 23" xfId="2455" xr:uid="{00000000-0005-0000-0000-0000010D0000}"/>
    <cellStyle name="40% - Accent3 2 2 2 2 24" xfId="2456" xr:uid="{00000000-0005-0000-0000-0000020D0000}"/>
    <cellStyle name="40% - Accent3 2 2 2 2 25" xfId="2457" xr:uid="{00000000-0005-0000-0000-0000030D0000}"/>
    <cellStyle name="40% - Accent3 2 2 2 2 26" xfId="2458" xr:uid="{00000000-0005-0000-0000-0000040D0000}"/>
    <cellStyle name="40% - Accent3 2 2 2 2 27" xfId="2459" xr:uid="{00000000-0005-0000-0000-0000050D0000}"/>
    <cellStyle name="40% - Accent3 2 2 2 2 28" xfId="2460" xr:uid="{00000000-0005-0000-0000-0000060D0000}"/>
    <cellStyle name="40% - Accent3 2 2 2 2 28 2" xfId="2461" xr:uid="{00000000-0005-0000-0000-0000070D0000}"/>
    <cellStyle name="40% - Accent3 2 2 2 2 29" xfId="29806" xr:uid="{00000000-0005-0000-0000-0000080D0000}"/>
    <cellStyle name="40% - Accent3 2 2 2 2 3" xfId="2462" xr:uid="{00000000-0005-0000-0000-0000090D0000}"/>
    <cellStyle name="40% - Accent3 2 2 2 2 3 2" xfId="33942" xr:uid="{00000000-0005-0000-0000-00000A0D0000}"/>
    <cellStyle name="40% - Accent3 2 2 2 2 30" xfId="29807" xr:uid="{00000000-0005-0000-0000-00000B0D0000}"/>
    <cellStyle name="40% - Accent3 2 2 2 2 31" xfId="29808" xr:uid="{00000000-0005-0000-0000-00000C0D0000}"/>
    <cellStyle name="40% - Accent3 2 2 2 2 32" xfId="33329" xr:uid="{00000000-0005-0000-0000-00000D0D0000}"/>
    <cellStyle name="40% - Accent3 2 2 2 2 4" xfId="2463" xr:uid="{00000000-0005-0000-0000-00000E0D0000}"/>
    <cellStyle name="40% - Accent3 2 2 2 2 4 2" xfId="34156" xr:uid="{00000000-0005-0000-0000-00000F0D0000}"/>
    <cellStyle name="40% - Accent3 2 2 2 2 5" xfId="2464" xr:uid="{00000000-0005-0000-0000-0000100D0000}"/>
    <cellStyle name="40% - Accent3 2 2 2 2 6" xfId="2465" xr:uid="{00000000-0005-0000-0000-0000110D0000}"/>
    <cellStyle name="40% - Accent3 2 2 2 2 7" xfId="2466" xr:uid="{00000000-0005-0000-0000-0000120D0000}"/>
    <cellStyle name="40% - Accent3 2 2 2 2 8" xfId="2467" xr:uid="{00000000-0005-0000-0000-0000130D0000}"/>
    <cellStyle name="40% - Accent3 2 2 2 2 9" xfId="2468" xr:uid="{00000000-0005-0000-0000-0000140D0000}"/>
    <cellStyle name="40% - Accent3 2 2 2 2_loan Analysis " xfId="13140" xr:uid="{00000000-0005-0000-0000-0000150D0000}"/>
    <cellStyle name="40% - Accent3 2 2 2 20" xfId="2469" xr:uid="{00000000-0005-0000-0000-0000160D0000}"/>
    <cellStyle name="40% - Accent3 2 2 2 20 2" xfId="2470" xr:uid="{00000000-0005-0000-0000-0000170D0000}"/>
    <cellStyle name="40% - Accent3 2 2 2 21" xfId="2471" xr:uid="{00000000-0005-0000-0000-0000180D0000}"/>
    <cellStyle name="40% - Accent3 2 2 2 22" xfId="2472" xr:uid="{00000000-0005-0000-0000-0000190D0000}"/>
    <cellStyle name="40% - Accent3 2 2 2 23" xfId="2473" xr:uid="{00000000-0005-0000-0000-00001A0D0000}"/>
    <cellStyle name="40% - Accent3 2 2 2 24" xfId="2474" xr:uid="{00000000-0005-0000-0000-00001B0D0000}"/>
    <cellStyle name="40% - Accent3 2 2 2 25" xfId="2475" xr:uid="{00000000-0005-0000-0000-00001C0D0000}"/>
    <cellStyle name="40% - Accent3 2 2 2 26" xfId="2476" xr:uid="{00000000-0005-0000-0000-00001D0D0000}"/>
    <cellStyle name="40% - Accent3 2 2 2 27" xfId="2477" xr:uid="{00000000-0005-0000-0000-00001E0D0000}"/>
    <cellStyle name="40% - Accent3 2 2 2 28" xfId="2478" xr:uid="{00000000-0005-0000-0000-00001F0D0000}"/>
    <cellStyle name="40% - Accent3 2 2 2 28 2" xfId="2479" xr:uid="{00000000-0005-0000-0000-0000200D0000}"/>
    <cellStyle name="40% - Accent3 2 2 2 29" xfId="29809" xr:uid="{00000000-0005-0000-0000-0000210D0000}"/>
    <cellStyle name="40% - Accent3 2 2 2 3" xfId="2480" xr:uid="{00000000-0005-0000-0000-0000220D0000}"/>
    <cellStyle name="40% - Accent3 2 2 2 3 2" xfId="2481" xr:uid="{00000000-0005-0000-0000-0000230D0000}"/>
    <cellStyle name="40% - Accent3 2 2 2 3 3" xfId="29810" xr:uid="{00000000-0005-0000-0000-0000240D0000}"/>
    <cellStyle name="40% - Accent3 2 2 2 3 4" xfId="29811" xr:uid="{00000000-0005-0000-0000-0000250D0000}"/>
    <cellStyle name="40% - Accent3 2 2 2 3 5" xfId="33605" xr:uid="{00000000-0005-0000-0000-0000260D0000}"/>
    <cellStyle name="40% - Accent3 2 2 2 30" xfId="29812" xr:uid="{00000000-0005-0000-0000-0000270D0000}"/>
    <cellStyle name="40% - Accent3 2 2 2 31" xfId="29813" xr:uid="{00000000-0005-0000-0000-0000280D0000}"/>
    <cellStyle name="40% - Accent3 2 2 2 32" xfId="29814" xr:uid="{00000000-0005-0000-0000-0000290D0000}"/>
    <cellStyle name="40% - Accent3 2 2 2 33" xfId="33225" xr:uid="{00000000-0005-0000-0000-00002A0D0000}"/>
    <cellStyle name="40% - Accent3 2 2 2 4" xfId="2482" xr:uid="{00000000-0005-0000-0000-00002B0D0000}"/>
    <cellStyle name="40% - Accent3 2 2 2 4 2" xfId="33840" xr:uid="{00000000-0005-0000-0000-00002C0D0000}"/>
    <cellStyle name="40% - Accent3 2 2 2 5" xfId="2483" xr:uid="{00000000-0005-0000-0000-00002D0D0000}"/>
    <cellStyle name="40% - Accent3 2 2 2 5 2" xfId="34059" xr:uid="{00000000-0005-0000-0000-00002E0D0000}"/>
    <cellStyle name="40% - Accent3 2 2 2 6" xfId="2484" xr:uid="{00000000-0005-0000-0000-00002F0D0000}"/>
    <cellStyle name="40% - Accent3 2 2 2 7" xfId="2485" xr:uid="{00000000-0005-0000-0000-0000300D0000}"/>
    <cellStyle name="40% - Accent3 2 2 2 8" xfId="2486" xr:uid="{00000000-0005-0000-0000-0000310D0000}"/>
    <cellStyle name="40% - Accent3 2 2 2 9" xfId="2487" xr:uid="{00000000-0005-0000-0000-0000320D0000}"/>
    <cellStyle name="40% - Accent3 2 2 2_loan Analysis " xfId="13141" xr:uid="{00000000-0005-0000-0000-0000330D0000}"/>
    <cellStyle name="40% - Accent3 2 2 20" xfId="2488" xr:uid="{00000000-0005-0000-0000-0000340D0000}"/>
    <cellStyle name="40% - Accent3 2 2 21" xfId="2489" xr:uid="{00000000-0005-0000-0000-0000350D0000}"/>
    <cellStyle name="40% - Accent3 2 2 22" xfId="2490" xr:uid="{00000000-0005-0000-0000-0000360D0000}"/>
    <cellStyle name="40% - Accent3 2 2 23" xfId="2491" xr:uid="{00000000-0005-0000-0000-0000370D0000}"/>
    <cellStyle name="40% - Accent3 2 2 24" xfId="2492" xr:uid="{00000000-0005-0000-0000-0000380D0000}"/>
    <cellStyle name="40% - Accent3 2 2 25" xfId="2493" xr:uid="{00000000-0005-0000-0000-0000390D0000}"/>
    <cellStyle name="40% - Accent3 2 2 26" xfId="2494" xr:uid="{00000000-0005-0000-0000-00003A0D0000}"/>
    <cellStyle name="40% - Accent3 2 2 27" xfId="2495" xr:uid="{00000000-0005-0000-0000-00003B0D0000}"/>
    <cellStyle name="40% - Accent3 2 2 28" xfId="2496" xr:uid="{00000000-0005-0000-0000-00003C0D0000}"/>
    <cellStyle name="40% - Accent3 2 2 29" xfId="2497" xr:uid="{00000000-0005-0000-0000-00003D0D0000}"/>
    <cellStyle name="40% - Accent3 2 2 3" xfId="2498" xr:uid="{00000000-0005-0000-0000-00003E0D0000}"/>
    <cellStyle name="40% - Accent3 2 2 3 2" xfId="13142" xr:uid="{00000000-0005-0000-0000-00003F0D0000}"/>
    <cellStyle name="40% - Accent3 2 2 3 2 2" xfId="17203" xr:uid="{00000000-0005-0000-0000-0000400D0000}"/>
    <cellStyle name="40% - Accent3 2 2 3 2 3" xfId="29815" xr:uid="{00000000-0005-0000-0000-0000410D0000}"/>
    <cellStyle name="40% - Accent3 2 2 3 2 4" xfId="29816" xr:uid="{00000000-0005-0000-0000-0000420D0000}"/>
    <cellStyle name="40% - Accent3 2 2 3 2 5" xfId="33672" xr:uid="{00000000-0005-0000-0000-0000430D0000}"/>
    <cellStyle name="40% - Accent3 2 2 3 3" xfId="29817" xr:uid="{00000000-0005-0000-0000-0000440D0000}"/>
    <cellStyle name="40% - Accent3 2 2 3 3 2" xfId="33900" xr:uid="{00000000-0005-0000-0000-0000450D0000}"/>
    <cellStyle name="40% - Accent3 2 2 3 4" xfId="29818" xr:uid="{00000000-0005-0000-0000-0000460D0000}"/>
    <cellStyle name="40% - Accent3 2 2 3 4 2" xfId="34115" xr:uid="{00000000-0005-0000-0000-0000470D0000}"/>
    <cellStyle name="40% - Accent3 2 2 3 5" xfId="33288" xr:uid="{00000000-0005-0000-0000-0000480D0000}"/>
    <cellStyle name="40% - Accent3 2 2 3_loan Analysis " xfId="13143" xr:uid="{00000000-0005-0000-0000-0000490D0000}"/>
    <cellStyle name="40% - Accent3 2 2 30" xfId="2499" xr:uid="{00000000-0005-0000-0000-00004A0D0000}"/>
    <cellStyle name="40% - Accent3 2 2 31" xfId="2500" xr:uid="{00000000-0005-0000-0000-00004B0D0000}"/>
    <cellStyle name="40% - Accent3 2 2 31 2" xfId="2501" xr:uid="{00000000-0005-0000-0000-00004C0D0000}"/>
    <cellStyle name="40% - Accent3 2 2 32" xfId="2502" xr:uid="{00000000-0005-0000-0000-00004D0D0000}"/>
    <cellStyle name="40% - Accent3 2 2 33" xfId="2503" xr:uid="{00000000-0005-0000-0000-00004E0D0000}"/>
    <cellStyle name="40% - Accent3 2 2 34" xfId="2504" xr:uid="{00000000-0005-0000-0000-00004F0D0000}"/>
    <cellStyle name="40% - Accent3 2 2 35" xfId="2505" xr:uid="{00000000-0005-0000-0000-0000500D0000}"/>
    <cellStyle name="40% - Accent3 2 2 36" xfId="2506" xr:uid="{00000000-0005-0000-0000-0000510D0000}"/>
    <cellStyle name="40% - Accent3 2 2 37" xfId="2507" xr:uid="{00000000-0005-0000-0000-0000520D0000}"/>
    <cellStyle name="40% - Accent3 2 2 38" xfId="2508" xr:uid="{00000000-0005-0000-0000-0000530D0000}"/>
    <cellStyle name="40% - Accent3 2 2 39" xfId="2509" xr:uid="{00000000-0005-0000-0000-0000540D0000}"/>
    <cellStyle name="40% - Accent3 2 2 39 2" xfId="2510" xr:uid="{00000000-0005-0000-0000-0000550D0000}"/>
    <cellStyle name="40% - Accent3 2 2 4" xfId="2511" xr:uid="{00000000-0005-0000-0000-0000560D0000}"/>
    <cellStyle name="40% - Accent3 2 2 4 2" xfId="29819" xr:uid="{00000000-0005-0000-0000-0000570D0000}"/>
    <cellStyle name="40% - Accent3 2 2 4 3" xfId="29820" xr:uid="{00000000-0005-0000-0000-0000580D0000}"/>
    <cellStyle name="40% - Accent3 2 2 4 4" xfId="29821" xr:uid="{00000000-0005-0000-0000-0000590D0000}"/>
    <cellStyle name="40% - Accent3 2 2 4 5" xfId="33466" xr:uid="{00000000-0005-0000-0000-00005A0D0000}"/>
    <cellStyle name="40% - Accent3 2 2 40" xfId="29822" xr:uid="{00000000-0005-0000-0000-00005B0D0000}"/>
    <cellStyle name="40% - Accent3 2 2 41" xfId="29823" xr:uid="{00000000-0005-0000-0000-00005C0D0000}"/>
    <cellStyle name="40% - Accent3 2 2 42" xfId="29824" xr:uid="{00000000-0005-0000-0000-00005D0D0000}"/>
    <cellStyle name="40% - Accent3 2 2 43" xfId="29825" xr:uid="{00000000-0005-0000-0000-00005E0D0000}"/>
    <cellStyle name="40% - Accent3 2 2 44" xfId="29826" xr:uid="{00000000-0005-0000-0000-00005F0D0000}"/>
    <cellStyle name="40% - Accent3 2 2 45" xfId="29827" xr:uid="{00000000-0005-0000-0000-0000600D0000}"/>
    <cellStyle name="40% - Accent3 2 2 46" xfId="29828" xr:uid="{00000000-0005-0000-0000-0000610D0000}"/>
    <cellStyle name="40% - Accent3 2 2 47" xfId="29829" xr:uid="{00000000-0005-0000-0000-0000620D0000}"/>
    <cellStyle name="40% - Accent3 2 2 48" xfId="33141" xr:uid="{00000000-0005-0000-0000-0000630D0000}"/>
    <cellStyle name="40% - Accent3 2 2 49" xfId="2387" xr:uid="{00000000-0005-0000-0000-0000640D0000}"/>
    <cellStyle name="40% - Accent3 2 2 5" xfId="2512" xr:uid="{00000000-0005-0000-0000-0000650D0000}"/>
    <cellStyle name="40% - Accent3 2 2 5 2" xfId="33556" xr:uid="{00000000-0005-0000-0000-0000660D0000}"/>
    <cellStyle name="40% - Accent3 2 2 6" xfId="2513" xr:uid="{00000000-0005-0000-0000-0000670D0000}"/>
    <cellStyle name="40% - Accent3 2 2 6 2" xfId="33469" xr:uid="{00000000-0005-0000-0000-0000680D0000}"/>
    <cellStyle name="40% - Accent3 2 2 7" xfId="2514" xr:uid="{00000000-0005-0000-0000-0000690D0000}"/>
    <cellStyle name="40% - Accent3 2 2 8" xfId="2515" xr:uid="{00000000-0005-0000-0000-00006A0D0000}"/>
    <cellStyle name="40% - Accent3 2 2 9" xfId="2516" xr:uid="{00000000-0005-0000-0000-00006B0D0000}"/>
    <cellStyle name="40% - Accent3 2 2_loan Analysis " xfId="13144" xr:uid="{00000000-0005-0000-0000-00006C0D0000}"/>
    <cellStyle name="40% - Accent3 2 20" xfId="2517" xr:uid="{00000000-0005-0000-0000-00006D0D0000}"/>
    <cellStyle name="40% - Accent3 2 21" xfId="2518" xr:uid="{00000000-0005-0000-0000-00006E0D0000}"/>
    <cellStyle name="40% - Accent3 2 22" xfId="2519" xr:uid="{00000000-0005-0000-0000-00006F0D0000}"/>
    <cellStyle name="40% - Accent3 2 23" xfId="2520" xr:uid="{00000000-0005-0000-0000-0000700D0000}"/>
    <cellStyle name="40% - Accent3 2 24" xfId="2521" xr:uid="{00000000-0005-0000-0000-0000710D0000}"/>
    <cellStyle name="40% - Accent3 2 25" xfId="2522" xr:uid="{00000000-0005-0000-0000-0000720D0000}"/>
    <cellStyle name="40% - Accent3 2 26" xfId="2523" xr:uid="{00000000-0005-0000-0000-0000730D0000}"/>
    <cellStyle name="40% - Accent3 2 27" xfId="2524" xr:uid="{00000000-0005-0000-0000-0000740D0000}"/>
    <cellStyle name="40% - Accent3 2 28" xfId="2525" xr:uid="{00000000-0005-0000-0000-0000750D0000}"/>
    <cellStyle name="40% - Accent3 2 29" xfId="2526" xr:uid="{00000000-0005-0000-0000-0000760D0000}"/>
    <cellStyle name="40% - Accent3 2 3" xfId="2527" xr:uid="{00000000-0005-0000-0000-0000770D0000}"/>
    <cellStyle name="40% - Accent3 2 3 10" xfId="33142" xr:uid="{00000000-0005-0000-0000-0000780D0000}"/>
    <cellStyle name="40% - Accent3 2 3 2" xfId="13145" xr:uid="{00000000-0005-0000-0000-0000790D0000}"/>
    <cellStyle name="40% - Accent3 2 3 2 2" xfId="13146" xr:uid="{00000000-0005-0000-0000-00007A0D0000}"/>
    <cellStyle name="40% - Accent3 2 3 2 2 2" xfId="13147" xr:uid="{00000000-0005-0000-0000-00007B0D0000}"/>
    <cellStyle name="40% - Accent3 2 3 2 2 2 2" xfId="17207" xr:uid="{00000000-0005-0000-0000-00007C0D0000}"/>
    <cellStyle name="40% - Accent3 2 3 2 2 2 3" xfId="29830" xr:uid="{00000000-0005-0000-0000-00007D0D0000}"/>
    <cellStyle name="40% - Accent3 2 3 2 2 2 4" xfId="29831" xr:uid="{00000000-0005-0000-0000-00007E0D0000}"/>
    <cellStyle name="40% - Accent3 2 3 2 2 2 5" xfId="33714" xr:uid="{00000000-0005-0000-0000-00007F0D0000}"/>
    <cellStyle name="40% - Accent3 2 3 2 2 3" xfId="17206" xr:uid="{00000000-0005-0000-0000-0000800D0000}"/>
    <cellStyle name="40% - Accent3 2 3 2 2 3 2" xfId="33943" xr:uid="{00000000-0005-0000-0000-0000810D0000}"/>
    <cellStyle name="40% - Accent3 2 3 2 2 4" xfId="29832" xr:uid="{00000000-0005-0000-0000-0000820D0000}"/>
    <cellStyle name="40% - Accent3 2 3 2 2 4 2" xfId="34157" xr:uid="{00000000-0005-0000-0000-0000830D0000}"/>
    <cellStyle name="40% - Accent3 2 3 2 2 5" xfId="29833" xr:uid="{00000000-0005-0000-0000-0000840D0000}"/>
    <cellStyle name="40% - Accent3 2 3 2 2 6" xfId="33330" xr:uid="{00000000-0005-0000-0000-0000850D0000}"/>
    <cellStyle name="40% - Accent3 2 3 2 2_loan Analysis " xfId="13148" xr:uid="{00000000-0005-0000-0000-0000860D0000}"/>
    <cellStyle name="40% - Accent3 2 3 2 3" xfId="13149" xr:uid="{00000000-0005-0000-0000-0000870D0000}"/>
    <cellStyle name="40% - Accent3 2 3 2 3 2" xfId="17208" xr:uid="{00000000-0005-0000-0000-0000880D0000}"/>
    <cellStyle name="40% - Accent3 2 3 2 3 3" xfId="29834" xr:uid="{00000000-0005-0000-0000-0000890D0000}"/>
    <cellStyle name="40% - Accent3 2 3 2 3 4" xfId="29835" xr:uid="{00000000-0005-0000-0000-00008A0D0000}"/>
    <cellStyle name="40% - Accent3 2 3 2 3 5" xfId="33606" xr:uid="{00000000-0005-0000-0000-00008B0D0000}"/>
    <cellStyle name="40% - Accent3 2 3 2 4" xfId="17205" xr:uid="{00000000-0005-0000-0000-00008C0D0000}"/>
    <cellStyle name="40% - Accent3 2 3 2 4 2" xfId="33841" xr:uid="{00000000-0005-0000-0000-00008D0D0000}"/>
    <cellStyle name="40% - Accent3 2 3 2 5" xfId="29836" xr:uid="{00000000-0005-0000-0000-00008E0D0000}"/>
    <cellStyle name="40% - Accent3 2 3 2 5 2" xfId="34060" xr:uid="{00000000-0005-0000-0000-00008F0D0000}"/>
    <cellStyle name="40% - Accent3 2 3 2 6" xfId="29837" xr:uid="{00000000-0005-0000-0000-0000900D0000}"/>
    <cellStyle name="40% - Accent3 2 3 2 7" xfId="33226" xr:uid="{00000000-0005-0000-0000-0000910D0000}"/>
    <cellStyle name="40% - Accent3 2 3 2_loan Analysis " xfId="13150" xr:uid="{00000000-0005-0000-0000-0000920D0000}"/>
    <cellStyle name="40% - Accent3 2 3 3" xfId="13151" xr:uid="{00000000-0005-0000-0000-0000930D0000}"/>
    <cellStyle name="40% - Accent3 2 3 3 2" xfId="13152" xr:uid="{00000000-0005-0000-0000-0000940D0000}"/>
    <cellStyle name="40% - Accent3 2 3 3 2 2" xfId="17210" xr:uid="{00000000-0005-0000-0000-0000950D0000}"/>
    <cellStyle name="40% - Accent3 2 3 3 2 3" xfId="29838" xr:uid="{00000000-0005-0000-0000-0000960D0000}"/>
    <cellStyle name="40% - Accent3 2 3 3 2 4" xfId="29839" xr:uid="{00000000-0005-0000-0000-0000970D0000}"/>
    <cellStyle name="40% - Accent3 2 3 3 2 5" xfId="33673" xr:uid="{00000000-0005-0000-0000-0000980D0000}"/>
    <cellStyle name="40% - Accent3 2 3 3 3" xfId="17209" xr:uid="{00000000-0005-0000-0000-0000990D0000}"/>
    <cellStyle name="40% - Accent3 2 3 3 3 2" xfId="33901" xr:uid="{00000000-0005-0000-0000-00009A0D0000}"/>
    <cellStyle name="40% - Accent3 2 3 3 4" xfId="29840" xr:uid="{00000000-0005-0000-0000-00009B0D0000}"/>
    <cellStyle name="40% - Accent3 2 3 3 4 2" xfId="34116" xr:uid="{00000000-0005-0000-0000-00009C0D0000}"/>
    <cellStyle name="40% - Accent3 2 3 3 5" xfId="29841" xr:uid="{00000000-0005-0000-0000-00009D0D0000}"/>
    <cellStyle name="40% - Accent3 2 3 3 6" xfId="33289" xr:uid="{00000000-0005-0000-0000-00009E0D0000}"/>
    <cellStyle name="40% - Accent3 2 3 3_loan Analysis " xfId="13153" xr:uid="{00000000-0005-0000-0000-00009F0D0000}"/>
    <cellStyle name="40% - Accent3 2 3 4" xfId="13154" xr:uid="{00000000-0005-0000-0000-0000A00D0000}"/>
    <cellStyle name="40% - Accent3 2 3 4 2" xfId="17211" xr:uid="{00000000-0005-0000-0000-0000A10D0000}"/>
    <cellStyle name="40% - Accent3 2 3 4 3" xfId="29842" xr:uid="{00000000-0005-0000-0000-0000A20D0000}"/>
    <cellStyle name="40% - Accent3 2 3 4 4" xfId="29843" xr:uid="{00000000-0005-0000-0000-0000A30D0000}"/>
    <cellStyle name="40% - Accent3 2 3 4 5" xfId="29844" xr:uid="{00000000-0005-0000-0000-0000A40D0000}"/>
    <cellStyle name="40% - Accent3 2 3 4 6" xfId="33467" xr:uid="{00000000-0005-0000-0000-0000A50D0000}"/>
    <cellStyle name="40% - Accent3 2 3 5" xfId="29845" xr:uid="{00000000-0005-0000-0000-0000A60D0000}"/>
    <cellStyle name="40% - Accent3 2 3 5 2" xfId="33555" xr:uid="{00000000-0005-0000-0000-0000A70D0000}"/>
    <cellStyle name="40% - Accent3 2 3 6" xfId="29846" xr:uid="{00000000-0005-0000-0000-0000A80D0000}"/>
    <cellStyle name="40% - Accent3 2 3 6 2" xfId="33470" xr:uid="{00000000-0005-0000-0000-0000A90D0000}"/>
    <cellStyle name="40% - Accent3 2 3 7" xfId="29847" xr:uid="{00000000-0005-0000-0000-0000AA0D0000}"/>
    <cellStyle name="40% - Accent3 2 3 8" xfId="29848" xr:uid="{00000000-0005-0000-0000-0000AB0D0000}"/>
    <cellStyle name="40% - Accent3 2 3 9" xfId="29849" xr:uid="{00000000-0005-0000-0000-0000AC0D0000}"/>
    <cellStyle name="40% - Accent3 2 3_loan Analysis " xfId="13155" xr:uid="{00000000-0005-0000-0000-0000AD0D0000}"/>
    <cellStyle name="40% - Accent3 2 30" xfId="2528" xr:uid="{00000000-0005-0000-0000-0000AE0D0000}"/>
    <cellStyle name="40% - Accent3 2 31" xfId="2529" xr:uid="{00000000-0005-0000-0000-0000AF0D0000}"/>
    <cellStyle name="40% - Accent3 2 32" xfId="2530" xr:uid="{00000000-0005-0000-0000-0000B00D0000}"/>
    <cellStyle name="40% - Accent3 2 33" xfId="2531" xr:uid="{00000000-0005-0000-0000-0000B10D0000}"/>
    <cellStyle name="40% - Accent3 2 33 2" xfId="2532" xr:uid="{00000000-0005-0000-0000-0000B20D0000}"/>
    <cellStyle name="40% - Accent3 2 34" xfId="2533" xr:uid="{00000000-0005-0000-0000-0000B30D0000}"/>
    <cellStyle name="40% - Accent3 2 35" xfId="2534" xr:uid="{00000000-0005-0000-0000-0000B40D0000}"/>
    <cellStyle name="40% - Accent3 2 36" xfId="2535" xr:uid="{00000000-0005-0000-0000-0000B50D0000}"/>
    <cellStyle name="40% - Accent3 2 37" xfId="2536" xr:uid="{00000000-0005-0000-0000-0000B60D0000}"/>
    <cellStyle name="40% - Accent3 2 38" xfId="2537" xr:uid="{00000000-0005-0000-0000-0000B70D0000}"/>
    <cellStyle name="40% - Accent3 2 39" xfId="2538" xr:uid="{00000000-0005-0000-0000-0000B80D0000}"/>
    <cellStyle name="40% - Accent3 2 4" xfId="2539" xr:uid="{00000000-0005-0000-0000-0000B90D0000}"/>
    <cellStyle name="40% - Accent3 2 4 2" xfId="13156" xr:uid="{00000000-0005-0000-0000-0000BA0D0000}"/>
    <cellStyle name="40% - Accent3 2 4 2 2" xfId="13157" xr:uid="{00000000-0005-0000-0000-0000BB0D0000}"/>
    <cellStyle name="40% - Accent3 2 4 2 2 2" xfId="13158" xr:uid="{00000000-0005-0000-0000-0000BC0D0000}"/>
    <cellStyle name="40% - Accent3 2 4 2 2 2 2" xfId="17215" xr:uid="{00000000-0005-0000-0000-0000BD0D0000}"/>
    <cellStyle name="40% - Accent3 2 4 2 2 2 3" xfId="29850" xr:uid="{00000000-0005-0000-0000-0000BE0D0000}"/>
    <cellStyle name="40% - Accent3 2 4 2 2 2 4" xfId="29851" xr:uid="{00000000-0005-0000-0000-0000BF0D0000}"/>
    <cellStyle name="40% - Accent3 2 4 2 2 2 5" xfId="33715" xr:uid="{00000000-0005-0000-0000-0000C00D0000}"/>
    <cellStyle name="40% - Accent3 2 4 2 2 3" xfId="17214" xr:uid="{00000000-0005-0000-0000-0000C10D0000}"/>
    <cellStyle name="40% - Accent3 2 4 2 2 3 2" xfId="33944" xr:uid="{00000000-0005-0000-0000-0000C20D0000}"/>
    <cellStyle name="40% - Accent3 2 4 2 2 4" xfId="29852" xr:uid="{00000000-0005-0000-0000-0000C30D0000}"/>
    <cellStyle name="40% - Accent3 2 4 2 2 4 2" xfId="34158" xr:uid="{00000000-0005-0000-0000-0000C40D0000}"/>
    <cellStyle name="40% - Accent3 2 4 2 2 5" xfId="29853" xr:uid="{00000000-0005-0000-0000-0000C50D0000}"/>
    <cellStyle name="40% - Accent3 2 4 2 2 6" xfId="33331" xr:uid="{00000000-0005-0000-0000-0000C60D0000}"/>
    <cellStyle name="40% - Accent3 2 4 2 2_loan Analysis " xfId="13159" xr:uid="{00000000-0005-0000-0000-0000C70D0000}"/>
    <cellStyle name="40% - Accent3 2 4 2 3" xfId="13160" xr:uid="{00000000-0005-0000-0000-0000C80D0000}"/>
    <cellStyle name="40% - Accent3 2 4 2 3 2" xfId="17216" xr:uid="{00000000-0005-0000-0000-0000C90D0000}"/>
    <cellStyle name="40% - Accent3 2 4 2 3 3" xfId="29854" xr:uid="{00000000-0005-0000-0000-0000CA0D0000}"/>
    <cellStyle name="40% - Accent3 2 4 2 3 4" xfId="29855" xr:uid="{00000000-0005-0000-0000-0000CB0D0000}"/>
    <cellStyle name="40% - Accent3 2 4 2 3 5" xfId="33607" xr:uid="{00000000-0005-0000-0000-0000CC0D0000}"/>
    <cellStyle name="40% - Accent3 2 4 2 4" xfId="17213" xr:uid="{00000000-0005-0000-0000-0000CD0D0000}"/>
    <cellStyle name="40% - Accent3 2 4 2 4 2" xfId="33842" xr:uid="{00000000-0005-0000-0000-0000CE0D0000}"/>
    <cellStyle name="40% - Accent3 2 4 2 5" xfId="29856" xr:uid="{00000000-0005-0000-0000-0000CF0D0000}"/>
    <cellStyle name="40% - Accent3 2 4 2 5 2" xfId="34061" xr:uid="{00000000-0005-0000-0000-0000D00D0000}"/>
    <cellStyle name="40% - Accent3 2 4 2 6" xfId="29857" xr:uid="{00000000-0005-0000-0000-0000D10D0000}"/>
    <cellStyle name="40% - Accent3 2 4 2 7" xfId="33227" xr:uid="{00000000-0005-0000-0000-0000D20D0000}"/>
    <cellStyle name="40% - Accent3 2 4 2_loan Analysis " xfId="13161" xr:uid="{00000000-0005-0000-0000-0000D30D0000}"/>
    <cellStyle name="40% - Accent3 2 4 3" xfId="13162" xr:uid="{00000000-0005-0000-0000-0000D40D0000}"/>
    <cellStyle name="40% - Accent3 2 4 3 2" xfId="13163" xr:uid="{00000000-0005-0000-0000-0000D50D0000}"/>
    <cellStyle name="40% - Accent3 2 4 3 2 2" xfId="17218" xr:uid="{00000000-0005-0000-0000-0000D60D0000}"/>
    <cellStyle name="40% - Accent3 2 4 3 2 3" xfId="29858" xr:uid="{00000000-0005-0000-0000-0000D70D0000}"/>
    <cellStyle name="40% - Accent3 2 4 3 2 4" xfId="29859" xr:uid="{00000000-0005-0000-0000-0000D80D0000}"/>
    <cellStyle name="40% - Accent3 2 4 3 2 5" xfId="33674" xr:uid="{00000000-0005-0000-0000-0000D90D0000}"/>
    <cellStyle name="40% - Accent3 2 4 3 3" xfId="17217" xr:uid="{00000000-0005-0000-0000-0000DA0D0000}"/>
    <cellStyle name="40% - Accent3 2 4 3 3 2" xfId="33902" xr:uid="{00000000-0005-0000-0000-0000DB0D0000}"/>
    <cellStyle name="40% - Accent3 2 4 3 4" xfId="29860" xr:uid="{00000000-0005-0000-0000-0000DC0D0000}"/>
    <cellStyle name="40% - Accent3 2 4 3 4 2" xfId="34117" xr:uid="{00000000-0005-0000-0000-0000DD0D0000}"/>
    <cellStyle name="40% - Accent3 2 4 3 5" xfId="29861" xr:uid="{00000000-0005-0000-0000-0000DE0D0000}"/>
    <cellStyle name="40% - Accent3 2 4 3 6" xfId="33290" xr:uid="{00000000-0005-0000-0000-0000DF0D0000}"/>
    <cellStyle name="40% - Accent3 2 4 3_loan Analysis " xfId="13164" xr:uid="{00000000-0005-0000-0000-0000E00D0000}"/>
    <cellStyle name="40% - Accent3 2 4 4" xfId="13165" xr:uid="{00000000-0005-0000-0000-0000E10D0000}"/>
    <cellStyle name="40% - Accent3 2 4 4 2" xfId="17219" xr:uid="{00000000-0005-0000-0000-0000E20D0000}"/>
    <cellStyle name="40% - Accent3 2 4 4 3" xfId="29862" xr:uid="{00000000-0005-0000-0000-0000E30D0000}"/>
    <cellStyle name="40% - Accent3 2 4 4 4" xfId="29863" xr:uid="{00000000-0005-0000-0000-0000E40D0000}"/>
    <cellStyle name="40% - Accent3 2 4 4 5" xfId="29864" xr:uid="{00000000-0005-0000-0000-0000E50D0000}"/>
    <cellStyle name="40% - Accent3 2 4 4 6" xfId="33468" xr:uid="{00000000-0005-0000-0000-0000E60D0000}"/>
    <cellStyle name="40% - Accent3 2 4 5" xfId="29865" xr:uid="{00000000-0005-0000-0000-0000E70D0000}"/>
    <cellStyle name="40% - Accent3 2 4 5 2" xfId="33554" xr:uid="{00000000-0005-0000-0000-0000E80D0000}"/>
    <cellStyle name="40% - Accent3 2 4 6" xfId="29866" xr:uid="{00000000-0005-0000-0000-0000E90D0000}"/>
    <cellStyle name="40% - Accent3 2 4 6 2" xfId="33471" xr:uid="{00000000-0005-0000-0000-0000EA0D0000}"/>
    <cellStyle name="40% - Accent3 2 4 7" xfId="29867" xr:uid="{00000000-0005-0000-0000-0000EB0D0000}"/>
    <cellStyle name="40% - Accent3 2 4 8" xfId="33143" xr:uid="{00000000-0005-0000-0000-0000EC0D0000}"/>
    <cellStyle name="40% - Accent3 2 4_loan Analysis " xfId="13166" xr:uid="{00000000-0005-0000-0000-0000ED0D0000}"/>
    <cellStyle name="40% - Accent3 2 40" xfId="2540" xr:uid="{00000000-0005-0000-0000-0000EE0D0000}"/>
    <cellStyle name="40% - Accent3 2 41" xfId="2541" xr:uid="{00000000-0005-0000-0000-0000EF0D0000}"/>
    <cellStyle name="40% - Accent3 2 41 2" xfId="2542" xr:uid="{00000000-0005-0000-0000-0000F00D0000}"/>
    <cellStyle name="40% - Accent3 2 42" xfId="29868" xr:uid="{00000000-0005-0000-0000-0000F10D0000}"/>
    <cellStyle name="40% - Accent3 2 43" xfId="29869" xr:uid="{00000000-0005-0000-0000-0000F20D0000}"/>
    <cellStyle name="40% - Accent3 2 44" xfId="29870" xr:uid="{00000000-0005-0000-0000-0000F30D0000}"/>
    <cellStyle name="40% - Accent3 2 45" xfId="29871" xr:uid="{00000000-0005-0000-0000-0000F40D0000}"/>
    <cellStyle name="40% - Accent3 2 46" xfId="29872" xr:uid="{00000000-0005-0000-0000-0000F50D0000}"/>
    <cellStyle name="40% - Accent3 2 47" xfId="29873" xr:uid="{00000000-0005-0000-0000-0000F60D0000}"/>
    <cellStyle name="40% - Accent3 2 48" xfId="29874" xr:uid="{00000000-0005-0000-0000-0000F70D0000}"/>
    <cellStyle name="40% - Accent3 2 49" xfId="29875" xr:uid="{00000000-0005-0000-0000-0000F80D0000}"/>
    <cellStyle name="40% - Accent3 2 5" xfId="2543" xr:uid="{00000000-0005-0000-0000-0000F90D0000}"/>
    <cellStyle name="40% - Accent3 2 5 2" xfId="2544" xr:uid="{00000000-0005-0000-0000-0000FA0D0000}"/>
    <cellStyle name="40% - Accent3 2 5 3" xfId="29876" xr:uid="{00000000-0005-0000-0000-0000FB0D0000}"/>
    <cellStyle name="40% - Accent3 2 50" xfId="29877" xr:uid="{00000000-0005-0000-0000-0000FC0D0000}"/>
    <cellStyle name="40% - Accent3 2 51" xfId="29878" xr:uid="{00000000-0005-0000-0000-0000FD0D0000}"/>
    <cellStyle name="40% - Accent3 2 52" xfId="29879" xr:uid="{00000000-0005-0000-0000-0000FE0D0000}"/>
    <cellStyle name="40% - Accent3 2 53" xfId="33140" xr:uid="{00000000-0005-0000-0000-0000FF0D0000}"/>
    <cellStyle name="40% - Accent3 2 54" xfId="33192" xr:uid="{00000000-0005-0000-0000-0000000E0000}"/>
    <cellStyle name="40% - Accent3 2 55" xfId="2375" xr:uid="{00000000-0005-0000-0000-0000010E0000}"/>
    <cellStyle name="40% - Accent3 2 6" xfId="2545" xr:uid="{00000000-0005-0000-0000-0000020E0000}"/>
    <cellStyle name="40% - Accent3 2 6 2" xfId="29880" xr:uid="{00000000-0005-0000-0000-0000030E0000}"/>
    <cellStyle name="40% - Accent3 2 6 3" xfId="29881" xr:uid="{00000000-0005-0000-0000-0000040E0000}"/>
    <cellStyle name="40% - Accent3 2 7" xfId="2546" xr:uid="{00000000-0005-0000-0000-0000050E0000}"/>
    <cellStyle name="40% - Accent3 2 8" xfId="2547" xr:uid="{00000000-0005-0000-0000-0000060E0000}"/>
    <cellStyle name="40% - Accent3 2 9" xfId="2548" xr:uid="{00000000-0005-0000-0000-0000070E0000}"/>
    <cellStyle name="40% - Accent3 2_Loan Classification" xfId="11408" xr:uid="{00000000-0005-0000-0000-0000080E0000}"/>
    <cellStyle name="40% - Accent3 20" xfId="2549" xr:uid="{00000000-0005-0000-0000-0000090E0000}"/>
    <cellStyle name="40% - Accent3 21" xfId="2550" xr:uid="{00000000-0005-0000-0000-00000A0E0000}"/>
    <cellStyle name="40% - Accent3 22" xfId="2551" xr:uid="{00000000-0005-0000-0000-00000B0E0000}"/>
    <cellStyle name="40% - Accent3 23" xfId="2552" xr:uid="{00000000-0005-0000-0000-00000C0E0000}"/>
    <cellStyle name="40% - Accent3 24" xfId="2553" xr:uid="{00000000-0005-0000-0000-00000D0E0000}"/>
    <cellStyle name="40% - Accent3 25" xfId="2554" xr:uid="{00000000-0005-0000-0000-00000E0E0000}"/>
    <cellStyle name="40% - Accent3 26" xfId="2555" xr:uid="{00000000-0005-0000-0000-00000F0E0000}"/>
    <cellStyle name="40% - Accent3 27" xfId="2556" xr:uid="{00000000-0005-0000-0000-0000100E0000}"/>
    <cellStyle name="40% - Accent3 28" xfId="2557" xr:uid="{00000000-0005-0000-0000-0000110E0000}"/>
    <cellStyle name="40% - Accent3 29" xfId="2558" xr:uid="{00000000-0005-0000-0000-0000120E0000}"/>
    <cellStyle name="40% - Accent3 3" xfId="66" xr:uid="{00000000-0005-0000-0000-0000130E0000}"/>
    <cellStyle name="40% - Accent3 3 2" xfId="421" xr:uid="{00000000-0005-0000-0000-0000140E0000}"/>
    <cellStyle name="40% - Accent3 3 2 2" xfId="29883" xr:uid="{00000000-0005-0000-0000-0000150E0000}"/>
    <cellStyle name="40% - Accent3 3 2 3" xfId="29882" xr:uid="{00000000-0005-0000-0000-0000160E0000}"/>
    <cellStyle name="40% - Accent3 3 3" xfId="29884" xr:uid="{00000000-0005-0000-0000-0000170E0000}"/>
    <cellStyle name="40% - Accent3 3 4" xfId="2559" xr:uid="{00000000-0005-0000-0000-0000180E0000}"/>
    <cellStyle name="40% - Accent3 30" xfId="2560" xr:uid="{00000000-0005-0000-0000-0000190E0000}"/>
    <cellStyle name="40% - Accent3 31" xfId="2561" xr:uid="{00000000-0005-0000-0000-00001A0E0000}"/>
    <cellStyle name="40% - Accent3 32" xfId="2562" xr:uid="{00000000-0005-0000-0000-00001B0E0000}"/>
    <cellStyle name="40% - Accent3 33" xfId="2563" xr:uid="{00000000-0005-0000-0000-00001C0E0000}"/>
    <cellStyle name="40% - Accent3 34" xfId="2564" xr:uid="{00000000-0005-0000-0000-00001D0E0000}"/>
    <cellStyle name="40% - Accent3 35" xfId="2565" xr:uid="{00000000-0005-0000-0000-00001E0E0000}"/>
    <cellStyle name="40% - Accent3 36" xfId="2566" xr:uid="{00000000-0005-0000-0000-00001F0E0000}"/>
    <cellStyle name="40% - Accent3 37" xfId="2567" xr:uid="{00000000-0005-0000-0000-0000200E0000}"/>
    <cellStyle name="40% - Accent3 38" xfId="2568" xr:uid="{00000000-0005-0000-0000-0000210E0000}"/>
    <cellStyle name="40% - Accent3 39" xfId="2569" xr:uid="{00000000-0005-0000-0000-0000220E0000}"/>
    <cellStyle name="40% - Accent3 4" xfId="2570" xr:uid="{00000000-0005-0000-0000-0000230E0000}"/>
    <cellStyle name="40% - Accent3 4 2" xfId="29885" xr:uid="{00000000-0005-0000-0000-0000240E0000}"/>
    <cellStyle name="40% - Accent3 4 2 2" xfId="29886" xr:uid="{00000000-0005-0000-0000-0000250E0000}"/>
    <cellStyle name="40% - Accent3 4 3" xfId="29887" xr:uid="{00000000-0005-0000-0000-0000260E0000}"/>
    <cellStyle name="40% - Accent3 40" xfId="2571" xr:uid="{00000000-0005-0000-0000-0000270E0000}"/>
    <cellStyle name="40% - Accent3 41" xfId="2572" xr:uid="{00000000-0005-0000-0000-0000280E0000}"/>
    <cellStyle name="40% - Accent3 42" xfId="2573" xr:uid="{00000000-0005-0000-0000-0000290E0000}"/>
    <cellStyle name="40% - Accent3 43" xfId="11571" xr:uid="{00000000-0005-0000-0000-00002A0E0000}"/>
    <cellStyle name="40% - Accent3 44" xfId="11548" xr:uid="{00000000-0005-0000-0000-00002B0E0000}"/>
    <cellStyle name="40% - Accent3 44 2" xfId="17222" xr:uid="{00000000-0005-0000-0000-00002C0E0000}"/>
    <cellStyle name="40% - Accent3 45" xfId="17223" xr:uid="{00000000-0005-0000-0000-00002D0E0000}"/>
    <cellStyle name="40% - Accent3 46" xfId="29888" xr:uid="{00000000-0005-0000-0000-00002E0E0000}"/>
    <cellStyle name="40% - Accent3 47" xfId="29889" xr:uid="{00000000-0005-0000-0000-00002F0E0000}"/>
    <cellStyle name="40% - Accent3 48" xfId="34262" xr:uid="{00000000-0005-0000-0000-0000300E0000}"/>
    <cellStyle name="40% - Accent3 49" xfId="491" xr:uid="{00000000-0005-0000-0000-0000310E0000}"/>
    <cellStyle name="40% - Accent3 5" xfId="2574" xr:uid="{00000000-0005-0000-0000-0000320E0000}"/>
    <cellStyle name="40% - Accent3 5 2" xfId="12837" xr:uid="{00000000-0005-0000-0000-0000330E0000}"/>
    <cellStyle name="40% - Accent3 5 2 2" xfId="29890" xr:uid="{00000000-0005-0000-0000-0000340E0000}"/>
    <cellStyle name="40% - Accent3 5 3" xfId="29891" xr:uid="{00000000-0005-0000-0000-0000350E0000}"/>
    <cellStyle name="40% - Accent3 5 3 2" xfId="29892" xr:uid="{00000000-0005-0000-0000-0000360E0000}"/>
    <cellStyle name="40% - Accent3 6" xfId="2575" xr:uid="{00000000-0005-0000-0000-0000370E0000}"/>
    <cellStyle name="40% - Accent3 6 2" xfId="29893" xr:uid="{00000000-0005-0000-0000-0000380E0000}"/>
    <cellStyle name="40% - Accent3 6 3" xfId="29894" xr:uid="{00000000-0005-0000-0000-0000390E0000}"/>
    <cellStyle name="40% - Accent3 7" xfId="2576" xr:uid="{00000000-0005-0000-0000-00003A0E0000}"/>
    <cellStyle name="40% - Accent3 7 2" xfId="29895" xr:uid="{00000000-0005-0000-0000-00003B0E0000}"/>
    <cellStyle name="40% - Accent3 7 3" xfId="29896" xr:uid="{00000000-0005-0000-0000-00003C0E0000}"/>
    <cellStyle name="40% - Accent3 8" xfId="2577" xr:uid="{00000000-0005-0000-0000-00003D0E0000}"/>
    <cellStyle name="40% - Accent3 8 2" xfId="29897" xr:uid="{00000000-0005-0000-0000-00003E0E0000}"/>
    <cellStyle name="40% - Accent3 8 3" xfId="29898" xr:uid="{00000000-0005-0000-0000-00003F0E0000}"/>
    <cellStyle name="40% - Accent3 9" xfId="2578" xr:uid="{00000000-0005-0000-0000-0000400E0000}"/>
    <cellStyle name="40% - Accent3 9 2" xfId="29899" xr:uid="{00000000-0005-0000-0000-0000410E0000}"/>
    <cellStyle name="40% - Accent3 9 3" xfId="29900" xr:uid="{00000000-0005-0000-0000-0000420E0000}"/>
    <cellStyle name="40% - Accent4" xfId="39" builtinId="43" customBuiltin="1"/>
    <cellStyle name="40% - Accent4 10" xfId="2579" xr:uid="{00000000-0005-0000-0000-0000440E0000}"/>
    <cellStyle name="40% - Accent4 10 2" xfId="29901" xr:uid="{00000000-0005-0000-0000-0000450E0000}"/>
    <cellStyle name="40% - Accent4 11" xfId="2580" xr:uid="{00000000-0005-0000-0000-0000460E0000}"/>
    <cellStyle name="40% - Accent4 11 2" xfId="29902" xr:uid="{00000000-0005-0000-0000-0000470E0000}"/>
    <cellStyle name="40% - Accent4 12" xfId="2581" xr:uid="{00000000-0005-0000-0000-0000480E0000}"/>
    <cellStyle name="40% - Accent4 12 2" xfId="29903" xr:uid="{00000000-0005-0000-0000-0000490E0000}"/>
    <cellStyle name="40% - Accent4 13" xfId="2582" xr:uid="{00000000-0005-0000-0000-00004A0E0000}"/>
    <cellStyle name="40% - Accent4 13 2" xfId="29904" xr:uid="{00000000-0005-0000-0000-00004B0E0000}"/>
    <cellStyle name="40% - Accent4 14" xfId="2583" xr:uid="{00000000-0005-0000-0000-00004C0E0000}"/>
    <cellStyle name="40% - Accent4 14 2" xfId="29905" xr:uid="{00000000-0005-0000-0000-00004D0E0000}"/>
    <cellStyle name="40% - Accent4 15" xfId="2584" xr:uid="{00000000-0005-0000-0000-00004E0E0000}"/>
    <cellStyle name="40% - Accent4 15 2" xfId="29906" xr:uid="{00000000-0005-0000-0000-00004F0E0000}"/>
    <cellStyle name="40% - Accent4 16" xfId="2585" xr:uid="{00000000-0005-0000-0000-0000500E0000}"/>
    <cellStyle name="40% - Accent4 16 2" xfId="29907" xr:uid="{00000000-0005-0000-0000-0000510E0000}"/>
    <cellStyle name="40% - Accent4 17" xfId="2586" xr:uid="{00000000-0005-0000-0000-0000520E0000}"/>
    <cellStyle name="40% - Accent4 17 2" xfId="29908" xr:uid="{00000000-0005-0000-0000-0000530E0000}"/>
    <cellStyle name="40% - Accent4 18" xfId="2587" xr:uid="{00000000-0005-0000-0000-0000540E0000}"/>
    <cellStyle name="40% - Accent4 19" xfId="2588" xr:uid="{00000000-0005-0000-0000-0000550E0000}"/>
    <cellStyle name="40% - Accent4 2" xfId="67" xr:uid="{00000000-0005-0000-0000-0000560E0000}"/>
    <cellStyle name="40% - Accent4 2 10" xfId="2590" xr:uid="{00000000-0005-0000-0000-0000570E0000}"/>
    <cellStyle name="40% - Accent4 2 11" xfId="2591" xr:uid="{00000000-0005-0000-0000-0000580E0000}"/>
    <cellStyle name="40% - Accent4 2 12" xfId="2592" xr:uid="{00000000-0005-0000-0000-0000590E0000}"/>
    <cellStyle name="40% - Accent4 2 13" xfId="2593" xr:uid="{00000000-0005-0000-0000-00005A0E0000}"/>
    <cellStyle name="40% - Accent4 2 14" xfId="2594" xr:uid="{00000000-0005-0000-0000-00005B0E0000}"/>
    <cellStyle name="40% - Accent4 2 15" xfId="2595" xr:uid="{00000000-0005-0000-0000-00005C0E0000}"/>
    <cellStyle name="40% - Accent4 2 16" xfId="2596" xr:uid="{00000000-0005-0000-0000-00005D0E0000}"/>
    <cellStyle name="40% - Accent4 2 16 2" xfId="2597" xr:uid="{00000000-0005-0000-0000-00005E0E0000}"/>
    <cellStyle name="40% - Accent4 2 17" xfId="2598" xr:uid="{00000000-0005-0000-0000-00005F0E0000}"/>
    <cellStyle name="40% - Accent4 2 18" xfId="2599" xr:uid="{00000000-0005-0000-0000-0000600E0000}"/>
    <cellStyle name="40% - Accent4 2 19" xfId="2600" xr:uid="{00000000-0005-0000-0000-0000610E0000}"/>
    <cellStyle name="40% - Accent4 2 2" xfId="420" xr:uid="{00000000-0005-0000-0000-0000620E0000}"/>
    <cellStyle name="40% - Accent4 2 2 10" xfId="2602" xr:uid="{00000000-0005-0000-0000-0000630E0000}"/>
    <cellStyle name="40% - Accent4 2 2 11" xfId="2603" xr:uid="{00000000-0005-0000-0000-0000640E0000}"/>
    <cellStyle name="40% - Accent4 2 2 12" xfId="2604" xr:uid="{00000000-0005-0000-0000-0000650E0000}"/>
    <cellStyle name="40% - Accent4 2 2 13" xfId="2605" xr:uid="{00000000-0005-0000-0000-0000660E0000}"/>
    <cellStyle name="40% - Accent4 2 2 14" xfId="2606" xr:uid="{00000000-0005-0000-0000-0000670E0000}"/>
    <cellStyle name="40% - Accent4 2 2 14 2" xfId="2607" xr:uid="{00000000-0005-0000-0000-0000680E0000}"/>
    <cellStyle name="40% - Accent4 2 2 15" xfId="2608" xr:uid="{00000000-0005-0000-0000-0000690E0000}"/>
    <cellStyle name="40% - Accent4 2 2 16" xfId="2609" xr:uid="{00000000-0005-0000-0000-00006A0E0000}"/>
    <cellStyle name="40% - Accent4 2 2 17" xfId="2610" xr:uid="{00000000-0005-0000-0000-00006B0E0000}"/>
    <cellStyle name="40% - Accent4 2 2 18" xfId="2611" xr:uid="{00000000-0005-0000-0000-00006C0E0000}"/>
    <cellStyle name="40% - Accent4 2 2 19" xfId="2612" xr:uid="{00000000-0005-0000-0000-00006D0E0000}"/>
    <cellStyle name="40% - Accent4 2 2 2" xfId="2613" xr:uid="{00000000-0005-0000-0000-00006E0E0000}"/>
    <cellStyle name="40% - Accent4 2 2 2 10" xfId="2614" xr:uid="{00000000-0005-0000-0000-00006F0E0000}"/>
    <cellStyle name="40% - Accent4 2 2 2 11" xfId="2615" xr:uid="{00000000-0005-0000-0000-0000700E0000}"/>
    <cellStyle name="40% - Accent4 2 2 2 12" xfId="2616" xr:uid="{00000000-0005-0000-0000-0000710E0000}"/>
    <cellStyle name="40% - Accent4 2 2 2 13" xfId="2617" xr:uid="{00000000-0005-0000-0000-0000720E0000}"/>
    <cellStyle name="40% - Accent4 2 2 2 14" xfId="2618" xr:uid="{00000000-0005-0000-0000-0000730E0000}"/>
    <cellStyle name="40% - Accent4 2 2 2 15" xfId="2619" xr:uid="{00000000-0005-0000-0000-0000740E0000}"/>
    <cellStyle name="40% - Accent4 2 2 2 16" xfId="2620" xr:uid="{00000000-0005-0000-0000-0000750E0000}"/>
    <cellStyle name="40% - Accent4 2 2 2 17" xfId="2621" xr:uid="{00000000-0005-0000-0000-0000760E0000}"/>
    <cellStyle name="40% - Accent4 2 2 2 18" xfId="2622" xr:uid="{00000000-0005-0000-0000-0000770E0000}"/>
    <cellStyle name="40% - Accent4 2 2 2 19" xfId="2623" xr:uid="{00000000-0005-0000-0000-0000780E0000}"/>
    <cellStyle name="40% - Accent4 2 2 2 2" xfId="2624" xr:uid="{00000000-0005-0000-0000-0000790E0000}"/>
    <cellStyle name="40% - Accent4 2 2 2 2 10" xfId="2625" xr:uid="{00000000-0005-0000-0000-00007A0E0000}"/>
    <cellStyle name="40% - Accent4 2 2 2 2 11" xfId="2626" xr:uid="{00000000-0005-0000-0000-00007B0E0000}"/>
    <cellStyle name="40% - Accent4 2 2 2 2 12" xfId="2627" xr:uid="{00000000-0005-0000-0000-00007C0E0000}"/>
    <cellStyle name="40% - Accent4 2 2 2 2 13" xfId="2628" xr:uid="{00000000-0005-0000-0000-00007D0E0000}"/>
    <cellStyle name="40% - Accent4 2 2 2 2 14" xfId="2629" xr:uid="{00000000-0005-0000-0000-00007E0E0000}"/>
    <cellStyle name="40% - Accent4 2 2 2 2 15" xfId="2630" xr:uid="{00000000-0005-0000-0000-00007F0E0000}"/>
    <cellStyle name="40% - Accent4 2 2 2 2 16" xfId="2631" xr:uid="{00000000-0005-0000-0000-0000800E0000}"/>
    <cellStyle name="40% - Accent4 2 2 2 2 17" xfId="2632" xr:uid="{00000000-0005-0000-0000-0000810E0000}"/>
    <cellStyle name="40% - Accent4 2 2 2 2 18" xfId="2633" xr:uid="{00000000-0005-0000-0000-0000820E0000}"/>
    <cellStyle name="40% - Accent4 2 2 2 2 19" xfId="2634" xr:uid="{00000000-0005-0000-0000-0000830E0000}"/>
    <cellStyle name="40% - Accent4 2 2 2 2 2" xfId="2635" xr:uid="{00000000-0005-0000-0000-0000840E0000}"/>
    <cellStyle name="40% - Accent4 2 2 2 2 2 10" xfId="2636" xr:uid="{00000000-0005-0000-0000-0000850E0000}"/>
    <cellStyle name="40% - Accent4 2 2 2 2 2 11" xfId="2637" xr:uid="{00000000-0005-0000-0000-0000860E0000}"/>
    <cellStyle name="40% - Accent4 2 2 2 2 2 11 2" xfId="2638" xr:uid="{00000000-0005-0000-0000-0000870E0000}"/>
    <cellStyle name="40% - Accent4 2 2 2 2 2 12" xfId="29909" xr:uid="{00000000-0005-0000-0000-0000880E0000}"/>
    <cellStyle name="40% - Accent4 2 2 2 2 2 13" xfId="29910" xr:uid="{00000000-0005-0000-0000-0000890E0000}"/>
    <cellStyle name="40% - Accent4 2 2 2 2 2 14" xfId="33716" xr:uid="{00000000-0005-0000-0000-00008A0E0000}"/>
    <cellStyle name="40% - Accent4 2 2 2 2 2 2" xfId="2639" xr:uid="{00000000-0005-0000-0000-00008B0E0000}"/>
    <cellStyle name="40% - Accent4 2 2 2 2 2 2 10" xfId="2640" xr:uid="{00000000-0005-0000-0000-00008C0E0000}"/>
    <cellStyle name="40% - Accent4 2 2 2 2 2 2 11" xfId="2641" xr:uid="{00000000-0005-0000-0000-00008D0E0000}"/>
    <cellStyle name="40% - Accent4 2 2 2 2 2 2 11 2" xfId="2642" xr:uid="{00000000-0005-0000-0000-00008E0E0000}"/>
    <cellStyle name="40% - Accent4 2 2 2 2 2 2 2" xfId="2643" xr:uid="{00000000-0005-0000-0000-00008F0E0000}"/>
    <cellStyle name="40% - Accent4 2 2 2 2 2 2 2 2" xfId="2644" xr:uid="{00000000-0005-0000-0000-0000900E0000}"/>
    <cellStyle name="40% - Accent4 2 2 2 2 2 2 2 2 2" xfId="2645" xr:uid="{00000000-0005-0000-0000-0000910E0000}"/>
    <cellStyle name="40% - Accent4 2 2 2 2 2 2 2 2 2 2" xfId="2646" xr:uid="{00000000-0005-0000-0000-0000920E0000}"/>
    <cellStyle name="40% - Accent4 2 2 2 2 2 2 2 2 3" xfId="2647" xr:uid="{00000000-0005-0000-0000-0000930E0000}"/>
    <cellStyle name="40% - Accent4 2 2 2 2 2 2 2 3" xfId="2648" xr:uid="{00000000-0005-0000-0000-0000940E0000}"/>
    <cellStyle name="40% - Accent4 2 2 2 2 2 2 2 3 2" xfId="2649" xr:uid="{00000000-0005-0000-0000-0000950E0000}"/>
    <cellStyle name="40% - Accent4 2 2 2 2 2 2 3" xfId="2650" xr:uid="{00000000-0005-0000-0000-0000960E0000}"/>
    <cellStyle name="40% - Accent4 2 2 2 2 2 2 4" xfId="2651" xr:uid="{00000000-0005-0000-0000-0000970E0000}"/>
    <cellStyle name="40% - Accent4 2 2 2 2 2 2 5" xfId="2652" xr:uid="{00000000-0005-0000-0000-0000980E0000}"/>
    <cellStyle name="40% - Accent4 2 2 2 2 2 2 6" xfId="2653" xr:uid="{00000000-0005-0000-0000-0000990E0000}"/>
    <cellStyle name="40% - Accent4 2 2 2 2 2 2 7" xfId="2654" xr:uid="{00000000-0005-0000-0000-00009A0E0000}"/>
    <cellStyle name="40% - Accent4 2 2 2 2 2 2 8" xfId="2655" xr:uid="{00000000-0005-0000-0000-00009B0E0000}"/>
    <cellStyle name="40% - Accent4 2 2 2 2 2 2 9" xfId="2656" xr:uid="{00000000-0005-0000-0000-00009C0E0000}"/>
    <cellStyle name="40% - Accent4 2 2 2 2 2 3" xfId="2657" xr:uid="{00000000-0005-0000-0000-00009D0E0000}"/>
    <cellStyle name="40% - Accent4 2 2 2 2 2 3 2" xfId="2658" xr:uid="{00000000-0005-0000-0000-00009E0E0000}"/>
    <cellStyle name="40% - Accent4 2 2 2 2 2 4" xfId="2659" xr:uid="{00000000-0005-0000-0000-00009F0E0000}"/>
    <cellStyle name="40% - Accent4 2 2 2 2 2 5" xfId="2660" xr:uid="{00000000-0005-0000-0000-0000A00E0000}"/>
    <cellStyle name="40% - Accent4 2 2 2 2 2 6" xfId="2661" xr:uid="{00000000-0005-0000-0000-0000A10E0000}"/>
    <cellStyle name="40% - Accent4 2 2 2 2 2 7" xfId="2662" xr:uid="{00000000-0005-0000-0000-0000A20E0000}"/>
    <cellStyle name="40% - Accent4 2 2 2 2 2 8" xfId="2663" xr:uid="{00000000-0005-0000-0000-0000A30E0000}"/>
    <cellStyle name="40% - Accent4 2 2 2 2 2 9" xfId="2664" xr:uid="{00000000-0005-0000-0000-0000A40E0000}"/>
    <cellStyle name="40% - Accent4 2 2 2 2 20" xfId="2665" xr:uid="{00000000-0005-0000-0000-0000A50E0000}"/>
    <cellStyle name="40% - Accent4 2 2 2 2 20 2" xfId="2666" xr:uid="{00000000-0005-0000-0000-0000A60E0000}"/>
    <cellStyle name="40% - Accent4 2 2 2 2 21" xfId="2667" xr:uid="{00000000-0005-0000-0000-0000A70E0000}"/>
    <cellStyle name="40% - Accent4 2 2 2 2 22" xfId="2668" xr:uid="{00000000-0005-0000-0000-0000A80E0000}"/>
    <cellStyle name="40% - Accent4 2 2 2 2 23" xfId="2669" xr:uid="{00000000-0005-0000-0000-0000A90E0000}"/>
    <cellStyle name="40% - Accent4 2 2 2 2 24" xfId="2670" xr:uid="{00000000-0005-0000-0000-0000AA0E0000}"/>
    <cellStyle name="40% - Accent4 2 2 2 2 25" xfId="2671" xr:uid="{00000000-0005-0000-0000-0000AB0E0000}"/>
    <cellStyle name="40% - Accent4 2 2 2 2 26" xfId="2672" xr:uid="{00000000-0005-0000-0000-0000AC0E0000}"/>
    <cellStyle name="40% - Accent4 2 2 2 2 27" xfId="2673" xr:uid="{00000000-0005-0000-0000-0000AD0E0000}"/>
    <cellStyle name="40% - Accent4 2 2 2 2 28" xfId="2674" xr:uid="{00000000-0005-0000-0000-0000AE0E0000}"/>
    <cellStyle name="40% - Accent4 2 2 2 2 28 2" xfId="2675" xr:uid="{00000000-0005-0000-0000-0000AF0E0000}"/>
    <cellStyle name="40% - Accent4 2 2 2 2 29" xfId="29911" xr:uid="{00000000-0005-0000-0000-0000B00E0000}"/>
    <cellStyle name="40% - Accent4 2 2 2 2 3" xfId="2676" xr:uid="{00000000-0005-0000-0000-0000B10E0000}"/>
    <cellStyle name="40% - Accent4 2 2 2 2 3 2" xfId="33945" xr:uid="{00000000-0005-0000-0000-0000B20E0000}"/>
    <cellStyle name="40% - Accent4 2 2 2 2 30" xfId="29912" xr:uid="{00000000-0005-0000-0000-0000B30E0000}"/>
    <cellStyle name="40% - Accent4 2 2 2 2 31" xfId="33332" xr:uid="{00000000-0005-0000-0000-0000B40E0000}"/>
    <cellStyle name="40% - Accent4 2 2 2 2 4" xfId="2677" xr:uid="{00000000-0005-0000-0000-0000B50E0000}"/>
    <cellStyle name="40% - Accent4 2 2 2 2 4 2" xfId="34159" xr:uid="{00000000-0005-0000-0000-0000B60E0000}"/>
    <cellStyle name="40% - Accent4 2 2 2 2 5" xfId="2678" xr:uid="{00000000-0005-0000-0000-0000B70E0000}"/>
    <cellStyle name="40% - Accent4 2 2 2 2 6" xfId="2679" xr:uid="{00000000-0005-0000-0000-0000B80E0000}"/>
    <cellStyle name="40% - Accent4 2 2 2 2 7" xfId="2680" xr:uid="{00000000-0005-0000-0000-0000B90E0000}"/>
    <cellStyle name="40% - Accent4 2 2 2 2 8" xfId="2681" xr:uid="{00000000-0005-0000-0000-0000BA0E0000}"/>
    <cellStyle name="40% - Accent4 2 2 2 2 9" xfId="2682" xr:uid="{00000000-0005-0000-0000-0000BB0E0000}"/>
    <cellStyle name="40% - Accent4 2 2 2 2_loan Analysis " xfId="13167" xr:uid="{00000000-0005-0000-0000-0000BC0E0000}"/>
    <cellStyle name="40% - Accent4 2 2 2 20" xfId="2683" xr:uid="{00000000-0005-0000-0000-0000BD0E0000}"/>
    <cellStyle name="40% - Accent4 2 2 2 20 2" xfId="2684" xr:uid="{00000000-0005-0000-0000-0000BE0E0000}"/>
    <cellStyle name="40% - Accent4 2 2 2 21" xfId="2685" xr:uid="{00000000-0005-0000-0000-0000BF0E0000}"/>
    <cellStyle name="40% - Accent4 2 2 2 22" xfId="2686" xr:uid="{00000000-0005-0000-0000-0000C00E0000}"/>
    <cellStyle name="40% - Accent4 2 2 2 23" xfId="2687" xr:uid="{00000000-0005-0000-0000-0000C10E0000}"/>
    <cellStyle name="40% - Accent4 2 2 2 24" xfId="2688" xr:uid="{00000000-0005-0000-0000-0000C20E0000}"/>
    <cellStyle name="40% - Accent4 2 2 2 25" xfId="2689" xr:uid="{00000000-0005-0000-0000-0000C30E0000}"/>
    <cellStyle name="40% - Accent4 2 2 2 26" xfId="2690" xr:uid="{00000000-0005-0000-0000-0000C40E0000}"/>
    <cellStyle name="40% - Accent4 2 2 2 27" xfId="2691" xr:uid="{00000000-0005-0000-0000-0000C50E0000}"/>
    <cellStyle name="40% - Accent4 2 2 2 28" xfId="2692" xr:uid="{00000000-0005-0000-0000-0000C60E0000}"/>
    <cellStyle name="40% - Accent4 2 2 2 28 2" xfId="2693" xr:uid="{00000000-0005-0000-0000-0000C70E0000}"/>
    <cellStyle name="40% - Accent4 2 2 2 29" xfId="29913" xr:uid="{00000000-0005-0000-0000-0000C80E0000}"/>
    <cellStyle name="40% - Accent4 2 2 2 3" xfId="2694" xr:uid="{00000000-0005-0000-0000-0000C90E0000}"/>
    <cellStyle name="40% - Accent4 2 2 2 3 2" xfId="2695" xr:uid="{00000000-0005-0000-0000-0000CA0E0000}"/>
    <cellStyle name="40% - Accent4 2 2 2 3 3" xfId="29914" xr:uid="{00000000-0005-0000-0000-0000CB0E0000}"/>
    <cellStyle name="40% - Accent4 2 2 2 3 4" xfId="29915" xr:uid="{00000000-0005-0000-0000-0000CC0E0000}"/>
    <cellStyle name="40% - Accent4 2 2 2 3 5" xfId="33608" xr:uid="{00000000-0005-0000-0000-0000CD0E0000}"/>
    <cellStyle name="40% - Accent4 2 2 2 30" xfId="29916" xr:uid="{00000000-0005-0000-0000-0000CE0E0000}"/>
    <cellStyle name="40% - Accent4 2 2 2 31" xfId="29917" xr:uid="{00000000-0005-0000-0000-0000CF0E0000}"/>
    <cellStyle name="40% - Accent4 2 2 2 32" xfId="33228" xr:uid="{00000000-0005-0000-0000-0000D00E0000}"/>
    <cellStyle name="40% - Accent4 2 2 2 4" xfId="2696" xr:uid="{00000000-0005-0000-0000-0000D10E0000}"/>
    <cellStyle name="40% - Accent4 2 2 2 4 2" xfId="33843" xr:uid="{00000000-0005-0000-0000-0000D20E0000}"/>
    <cellStyle name="40% - Accent4 2 2 2 5" xfId="2697" xr:uid="{00000000-0005-0000-0000-0000D30E0000}"/>
    <cellStyle name="40% - Accent4 2 2 2 5 2" xfId="34062" xr:uid="{00000000-0005-0000-0000-0000D40E0000}"/>
    <cellStyle name="40% - Accent4 2 2 2 6" xfId="2698" xr:uid="{00000000-0005-0000-0000-0000D50E0000}"/>
    <cellStyle name="40% - Accent4 2 2 2 7" xfId="2699" xr:uid="{00000000-0005-0000-0000-0000D60E0000}"/>
    <cellStyle name="40% - Accent4 2 2 2 8" xfId="2700" xr:uid="{00000000-0005-0000-0000-0000D70E0000}"/>
    <cellStyle name="40% - Accent4 2 2 2 9" xfId="2701" xr:uid="{00000000-0005-0000-0000-0000D80E0000}"/>
    <cellStyle name="40% - Accent4 2 2 2_loan Analysis " xfId="13168" xr:uid="{00000000-0005-0000-0000-0000D90E0000}"/>
    <cellStyle name="40% - Accent4 2 2 20" xfId="2702" xr:uid="{00000000-0005-0000-0000-0000DA0E0000}"/>
    <cellStyle name="40% - Accent4 2 2 21" xfId="2703" xr:uid="{00000000-0005-0000-0000-0000DB0E0000}"/>
    <cellStyle name="40% - Accent4 2 2 22" xfId="2704" xr:uid="{00000000-0005-0000-0000-0000DC0E0000}"/>
    <cellStyle name="40% - Accent4 2 2 23" xfId="2705" xr:uid="{00000000-0005-0000-0000-0000DD0E0000}"/>
    <cellStyle name="40% - Accent4 2 2 24" xfId="2706" xr:uid="{00000000-0005-0000-0000-0000DE0E0000}"/>
    <cellStyle name="40% - Accent4 2 2 25" xfId="2707" xr:uid="{00000000-0005-0000-0000-0000DF0E0000}"/>
    <cellStyle name="40% - Accent4 2 2 26" xfId="2708" xr:uid="{00000000-0005-0000-0000-0000E00E0000}"/>
    <cellStyle name="40% - Accent4 2 2 27" xfId="2709" xr:uid="{00000000-0005-0000-0000-0000E10E0000}"/>
    <cellStyle name="40% - Accent4 2 2 28" xfId="2710" xr:uid="{00000000-0005-0000-0000-0000E20E0000}"/>
    <cellStyle name="40% - Accent4 2 2 29" xfId="2711" xr:uid="{00000000-0005-0000-0000-0000E30E0000}"/>
    <cellStyle name="40% - Accent4 2 2 3" xfId="2712" xr:uid="{00000000-0005-0000-0000-0000E40E0000}"/>
    <cellStyle name="40% - Accent4 2 2 3 2" xfId="13169" xr:uid="{00000000-0005-0000-0000-0000E50E0000}"/>
    <cellStyle name="40% - Accent4 2 2 3 2 2" xfId="17234" xr:uid="{00000000-0005-0000-0000-0000E60E0000}"/>
    <cellStyle name="40% - Accent4 2 2 3 2 3" xfId="33675" xr:uid="{00000000-0005-0000-0000-0000E70E0000}"/>
    <cellStyle name="40% - Accent4 2 2 3 3" xfId="29918" xr:uid="{00000000-0005-0000-0000-0000E80E0000}"/>
    <cellStyle name="40% - Accent4 2 2 3 3 2" xfId="33903" xr:uid="{00000000-0005-0000-0000-0000E90E0000}"/>
    <cellStyle name="40% - Accent4 2 2 3 4" xfId="34118" xr:uid="{00000000-0005-0000-0000-0000EA0E0000}"/>
    <cellStyle name="40% - Accent4 2 2 3 5" xfId="33291" xr:uid="{00000000-0005-0000-0000-0000EB0E0000}"/>
    <cellStyle name="40% - Accent4 2 2 3_loan Analysis " xfId="13170" xr:uid="{00000000-0005-0000-0000-0000EC0E0000}"/>
    <cellStyle name="40% - Accent4 2 2 30" xfId="2713" xr:uid="{00000000-0005-0000-0000-0000ED0E0000}"/>
    <cellStyle name="40% - Accent4 2 2 31" xfId="2714" xr:uid="{00000000-0005-0000-0000-0000EE0E0000}"/>
    <cellStyle name="40% - Accent4 2 2 31 2" xfId="2715" xr:uid="{00000000-0005-0000-0000-0000EF0E0000}"/>
    <cellStyle name="40% - Accent4 2 2 32" xfId="2716" xr:uid="{00000000-0005-0000-0000-0000F00E0000}"/>
    <cellStyle name="40% - Accent4 2 2 33" xfId="2717" xr:uid="{00000000-0005-0000-0000-0000F10E0000}"/>
    <cellStyle name="40% - Accent4 2 2 34" xfId="2718" xr:uid="{00000000-0005-0000-0000-0000F20E0000}"/>
    <cellStyle name="40% - Accent4 2 2 35" xfId="2719" xr:uid="{00000000-0005-0000-0000-0000F30E0000}"/>
    <cellStyle name="40% - Accent4 2 2 36" xfId="2720" xr:uid="{00000000-0005-0000-0000-0000F40E0000}"/>
    <cellStyle name="40% - Accent4 2 2 37" xfId="2721" xr:uid="{00000000-0005-0000-0000-0000F50E0000}"/>
    <cellStyle name="40% - Accent4 2 2 38" xfId="2722" xr:uid="{00000000-0005-0000-0000-0000F60E0000}"/>
    <cellStyle name="40% - Accent4 2 2 39" xfId="2723" xr:uid="{00000000-0005-0000-0000-0000F70E0000}"/>
    <cellStyle name="40% - Accent4 2 2 39 2" xfId="2724" xr:uid="{00000000-0005-0000-0000-0000F80E0000}"/>
    <cellStyle name="40% - Accent4 2 2 4" xfId="2725" xr:uid="{00000000-0005-0000-0000-0000F90E0000}"/>
    <cellStyle name="40% - Accent4 2 2 4 2" xfId="29919" xr:uid="{00000000-0005-0000-0000-0000FA0E0000}"/>
    <cellStyle name="40% - Accent4 2 2 4 3" xfId="29920" xr:uid="{00000000-0005-0000-0000-0000FB0E0000}"/>
    <cellStyle name="40% - Accent4 2 2 4 4" xfId="29921" xr:uid="{00000000-0005-0000-0000-0000FC0E0000}"/>
    <cellStyle name="40% - Accent4 2 2 4 5" xfId="33472" xr:uid="{00000000-0005-0000-0000-0000FD0E0000}"/>
    <cellStyle name="40% - Accent4 2 2 40" xfId="29922" xr:uid="{00000000-0005-0000-0000-0000FE0E0000}"/>
    <cellStyle name="40% - Accent4 2 2 41" xfId="29923" xr:uid="{00000000-0005-0000-0000-0000FF0E0000}"/>
    <cellStyle name="40% - Accent4 2 2 42" xfId="29924" xr:uid="{00000000-0005-0000-0000-0000000F0000}"/>
    <cellStyle name="40% - Accent4 2 2 43" xfId="29925" xr:uid="{00000000-0005-0000-0000-0000010F0000}"/>
    <cellStyle name="40% - Accent4 2 2 44" xfId="29926" xr:uid="{00000000-0005-0000-0000-0000020F0000}"/>
    <cellStyle name="40% - Accent4 2 2 45" xfId="29927" xr:uid="{00000000-0005-0000-0000-0000030F0000}"/>
    <cellStyle name="40% - Accent4 2 2 46" xfId="29928" xr:uid="{00000000-0005-0000-0000-0000040F0000}"/>
    <cellStyle name="40% - Accent4 2 2 47" xfId="33145" xr:uid="{00000000-0005-0000-0000-0000050F0000}"/>
    <cellStyle name="40% - Accent4 2 2 48" xfId="2601" xr:uid="{00000000-0005-0000-0000-0000060F0000}"/>
    <cellStyle name="40% - Accent4 2 2 5" xfId="2726" xr:uid="{00000000-0005-0000-0000-0000070F0000}"/>
    <cellStyle name="40% - Accent4 2 2 5 2" xfId="33553" xr:uid="{00000000-0005-0000-0000-0000080F0000}"/>
    <cellStyle name="40% - Accent4 2 2 6" xfId="2727" xr:uid="{00000000-0005-0000-0000-0000090F0000}"/>
    <cellStyle name="40% - Accent4 2 2 6 2" xfId="33478" xr:uid="{00000000-0005-0000-0000-00000A0F0000}"/>
    <cellStyle name="40% - Accent4 2 2 7" xfId="2728" xr:uid="{00000000-0005-0000-0000-00000B0F0000}"/>
    <cellStyle name="40% - Accent4 2 2 8" xfId="2729" xr:uid="{00000000-0005-0000-0000-00000C0F0000}"/>
    <cellStyle name="40% - Accent4 2 2 9" xfId="2730" xr:uid="{00000000-0005-0000-0000-00000D0F0000}"/>
    <cellStyle name="40% - Accent4 2 2_loan Analysis " xfId="13171" xr:uid="{00000000-0005-0000-0000-00000E0F0000}"/>
    <cellStyle name="40% - Accent4 2 20" xfId="2731" xr:uid="{00000000-0005-0000-0000-00000F0F0000}"/>
    <cellStyle name="40% - Accent4 2 21" xfId="2732" xr:uid="{00000000-0005-0000-0000-0000100F0000}"/>
    <cellStyle name="40% - Accent4 2 22" xfId="2733" xr:uid="{00000000-0005-0000-0000-0000110F0000}"/>
    <cellStyle name="40% - Accent4 2 23" xfId="2734" xr:uid="{00000000-0005-0000-0000-0000120F0000}"/>
    <cellStyle name="40% - Accent4 2 24" xfId="2735" xr:uid="{00000000-0005-0000-0000-0000130F0000}"/>
    <cellStyle name="40% - Accent4 2 25" xfId="2736" xr:uid="{00000000-0005-0000-0000-0000140F0000}"/>
    <cellStyle name="40% - Accent4 2 26" xfId="2737" xr:uid="{00000000-0005-0000-0000-0000150F0000}"/>
    <cellStyle name="40% - Accent4 2 27" xfId="2738" xr:uid="{00000000-0005-0000-0000-0000160F0000}"/>
    <cellStyle name="40% - Accent4 2 28" xfId="2739" xr:uid="{00000000-0005-0000-0000-0000170F0000}"/>
    <cellStyle name="40% - Accent4 2 29" xfId="2740" xr:uid="{00000000-0005-0000-0000-0000180F0000}"/>
    <cellStyle name="40% - Accent4 2 3" xfId="2741" xr:uid="{00000000-0005-0000-0000-0000190F0000}"/>
    <cellStyle name="40% - Accent4 2 3 2" xfId="13172" xr:uid="{00000000-0005-0000-0000-00001A0F0000}"/>
    <cellStyle name="40% - Accent4 2 3 2 2" xfId="13173" xr:uid="{00000000-0005-0000-0000-00001B0F0000}"/>
    <cellStyle name="40% - Accent4 2 3 2 2 2" xfId="13174" xr:uid="{00000000-0005-0000-0000-00001C0F0000}"/>
    <cellStyle name="40% - Accent4 2 3 2 2 2 2" xfId="17239" xr:uid="{00000000-0005-0000-0000-00001D0F0000}"/>
    <cellStyle name="40% - Accent4 2 3 2 2 2 3" xfId="33717" xr:uid="{00000000-0005-0000-0000-00001E0F0000}"/>
    <cellStyle name="40% - Accent4 2 3 2 2 3" xfId="17238" xr:uid="{00000000-0005-0000-0000-00001F0F0000}"/>
    <cellStyle name="40% - Accent4 2 3 2 2 3 2" xfId="33946" xr:uid="{00000000-0005-0000-0000-0000200F0000}"/>
    <cellStyle name="40% - Accent4 2 3 2 2 4" xfId="34160" xr:uid="{00000000-0005-0000-0000-0000210F0000}"/>
    <cellStyle name="40% - Accent4 2 3 2 2 5" xfId="33333" xr:uid="{00000000-0005-0000-0000-0000220F0000}"/>
    <cellStyle name="40% - Accent4 2 3 2 2_loan Analysis " xfId="13175" xr:uid="{00000000-0005-0000-0000-0000230F0000}"/>
    <cellStyle name="40% - Accent4 2 3 2 3" xfId="13176" xr:uid="{00000000-0005-0000-0000-0000240F0000}"/>
    <cellStyle name="40% - Accent4 2 3 2 3 2" xfId="17240" xr:uid="{00000000-0005-0000-0000-0000250F0000}"/>
    <cellStyle name="40% - Accent4 2 3 2 3 3" xfId="33609" xr:uid="{00000000-0005-0000-0000-0000260F0000}"/>
    <cellStyle name="40% - Accent4 2 3 2 4" xfId="17237" xr:uid="{00000000-0005-0000-0000-0000270F0000}"/>
    <cellStyle name="40% - Accent4 2 3 2 4 2" xfId="33844" xr:uid="{00000000-0005-0000-0000-0000280F0000}"/>
    <cellStyle name="40% - Accent4 2 3 2 5" xfId="34063" xr:uid="{00000000-0005-0000-0000-0000290F0000}"/>
    <cellStyle name="40% - Accent4 2 3 2 6" xfId="33229" xr:uid="{00000000-0005-0000-0000-00002A0F0000}"/>
    <cellStyle name="40% - Accent4 2 3 2_loan Analysis " xfId="13177" xr:uid="{00000000-0005-0000-0000-00002B0F0000}"/>
    <cellStyle name="40% - Accent4 2 3 3" xfId="13178" xr:uid="{00000000-0005-0000-0000-00002C0F0000}"/>
    <cellStyle name="40% - Accent4 2 3 3 2" xfId="13179" xr:uid="{00000000-0005-0000-0000-00002D0F0000}"/>
    <cellStyle name="40% - Accent4 2 3 3 2 2" xfId="17242" xr:uid="{00000000-0005-0000-0000-00002E0F0000}"/>
    <cellStyle name="40% - Accent4 2 3 3 2 3" xfId="33676" xr:uid="{00000000-0005-0000-0000-00002F0F0000}"/>
    <cellStyle name="40% - Accent4 2 3 3 3" xfId="17241" xr:uid="{00000000-0005-0000-0000-0000300F0000}"/>
    <cellStyle name="40% - Accent4 2 3 3 3 2" xfId="33904" xr:uid="{00000000-0005-0000-0000-0000310F0000}"/>
    <cellStyle name="40% - Accent4 2 3 3 4" xfId="34119" xr:uid="{00000000-0005-0000-0000-0000320F0000}"/>
    <cellStyle name="40% - Accent4 2 3 3 5" xfId="33292" xr:uid="{00000000-0005-0000-0000-0000330F0000}"/>
    <cellStyle name="40% - Accent4 2 3 3_loan Analysis " xfId="13180" xr:uid="{00000000-0005-0000-0000-0000340F0000}"/>
    <cellStyle name="40% - Accent4 2 3 4" xfId="13181" xr:uid="{00000000-0005-0000-0000-0000350F0000}"/>
    <cellStyle name="40% - Accent4 2 3 4 2" xfId="17243" xr:uid="{00000000-0005-0000-0000-0000360F0000}"/>
    <cellStyle name="40% - Accent4 2 3 4 3" xfId="29929" xr:uid="{00000000-0005-0000-0000-0000370F0000}"/>
    <cellStyle name="40% - Accent4 2 3 4 4" xfId="33473" xr:uid="{00000000-0005-0000-0000-0000380F0000}"/>
    <cellStyle name="40% - Accent4 2 3 5" xfId="29930" xr:uid="{00000000-0005-0000-0000-0000390F0000}"/>
    <cellStyle name="40% - Accent4 2 3 5 2" xfId="33552" xr:uid="{00000000-0005-0000-0000-00003A0F0000}"/>
    <cellStyle name="40% - Accent4 2 3 6" xfId="29931" xr:uid="{00000000-0005-0000-0000-00003B0F0000}"/>
    <cellStyle name="40% - Accent4 2 3 6 2" xfId="33479" xr:uid="{00000000-0005-0000-0000-00003C0F0000}"/>
    <cellStyle name="40% - Accent4 2 3 7" xfId="29932" xr:uid="{00000000-0005-0000-0000-00003D0F0000}"/>
    <cellStyle name="40% - Accent4 2 3 8" xfId="33146" xr:uid="{00000000-0005-0000-0000-00003E0F0000}"/>
    <cellStyle name="40% - Accent4 2 3_loan Analysis " xfId="13182" xr:uid="{00000000-0005-0000-0000-00003F0F0000}"/>
    <cellStyle name="40% - Accent4 2 30" xfId="2742" xr:uid="{00000000-0005-0000-0000-0000400F0000}"/>
    <cellStyle name="40% - Accent4 2 31" xfId="2743" xr:uid="{00000000-0005-0000-0000-0000410F0000}"/>
    <cellStyle name="40% - Accent4 2 32" xfId="2744" xr:uid="{00000000-0005-0000-0000-0000420F0000}"/>
    <cellStyle name="40% - Accent4 2 33" xfId="2745" xr:uid="{00000000-0005-0000-0000-0000430F0000}"/>
    <cellStyle name="40% - Accent4 2 33 2" xfId="2746" xr:uid="{00000000-0005-0000-0000-0000440F0000}"/>
    <cellStyle name="40% - Accent4 2 34" xfId="2747" xr:uid="{00000000-0005-0000-0000-0000450F0000}"/>
    <cellStyle name="40% - Accent4 2 35" xfId="2748" xr:uid="{00000000-0005-0000-0000-0000460F0000}"/>
    <cellStyle name="40% - Accent4 2 36" xfId="2749" xr:uid="{00000000-0005-0000-0000-0000470F0000}"/>
    <cellStyle name="40% - Accent4 2 37" xfId="2750" xr:uid="{00000000-0005-0000-0000-0000480F0000}"/>
    <cellStyle name="40% - Accent4 2 38" xfId="2751" xr:uid="{00000000-0005-0000-0000-0000490F0000}"/>
    <cellStyle name="40% - Accent4 2 39" xfId="2752" xr:uid="{00000000-0005-0000-0000-00004A0F0000}"/>
    <cellStyle name="40% - Accent4 2 4" xfId="2753" xr:uid="{00000000-0005-0000-0000-00004B0F0000}"/>
    <cellStyle name="40% - Accent4 2 4 2" xfId="13183" xr:uid="{00000000-0005-0000-0000-00004C0F0000}"/>
    <cellStyle name="40% - Accent4 2 4 2 2" xfId="13184" xr:uid="{00000000-0005-0000-0000-00004D0F0000}"/>
    <cellStyle name="40% - Accent4 2 4 2 2 2" xfId="13185" xr:uid="{00000000-0005-0000-0000-00004E0F0000}"/>
    <cellStyle name="40% - Accent4 2 4 2 2 2 2" xfId="17247" xr:uid="{00000000-0005-0000-0000-00004F0F0000}"/>
    <cellStyle name="40% - Accent4 2 4 2 2 2 3" xfId="33718" xr:uid="{00000000-0005-0000-0000-0000500F0000}"/>
    <cellStyle name="40% - Accent4 2 4 2 2 3" xfId="17246" xr:uid="{00000000-0005-0000-0000-0000510F0000}"/>
    <cellStyle name="40% - Accent4 2 4 2 2 3 2" xfId="33947" xr:uid="{00000000-0005-0000-0000-0000520F0000}"/>
    <cellStyle name="40% - Accent4 2 4 2 2 4" xfId="34161" xr:uid="{00000000-0005-0000-0000-0000530F0000}"/>
    <cellStyle name="40% - Accent4 2 4 2 2 5" xfId="33334" xr:uid="{00000000-0005-0000-0000-0000540F0000}"/>
    <cellStyle name="40% - Accent4 2 4 2 2_loan Analysis " xfId="13186" xr:uid="{00000000-0005-0000-0000-0000550F0000}"/>
    <cellStyle name="40% - Accent4 2 4 2 3" xfId="13187" xr:uid="{00000000-0005-0000-0000-0000560F0000}"/>
    <cellStyle name="40% - Accent4 2 4 2 3 2" xfId="17248" xr:uid="{00000000-0005-0000-0000-0000570F0000}"/>
    <cellStyle name="40% - Accent4 2 4 2 3 3" xfId="33610" xr:uid="{00000000-0005-0000-0000-0000580F0000}"/>
    <cellStyle name="40% - Accent4 2 4 2 4" xfId="17245" xr:uid="{00000000-0005-0000-0000-0000590F0000}"/>
    <cellStyle name="40% - Accent4 2 4 2 4 2" xfId="33845" xr:uid="{00000000-0005-0000-0000-00005A0F0000}"/>
    <cellStyle name="40% - Accent4 2 4 2 5" xfId="34064" xr:uid="{00000000-0005-0000-0000-00005B0F0000}"/>
    <cellStyle name="40% - Accent4 2 4 2 6" xfId="33230" xr:uid="{00000000-0005-0000-0000-00005C0F0000}"/>
    <cellStyle name="40% - Accent4 2 4 2_loan Analysis " xfId="13188" xr:uid="{00000000-0005-0000-0000-00005D0F0000}"/>
    <cellStyle name="40% - Accent4 2 4 3" xfId="13189" xr:uid="{00000000-0005-0000-0000-00005E0F0000}"/>
    <cellStyle name="40% - Accent4 2 4 3 2" xfId="13190" xr:uid="{00000000-0005-0000-0000-00005F0F0000}"/>
    <cellStyle name="40% - Accent4 2 4 3 2 2" xfId="17250" xr:uid="{00000000-0005-0000-0000-0000600F0000}"/>
    <cellStyle name="40% - Accent4 2 4 3 2 3" xfId="33677" xr:uid="{00000000-0005-0000-0000-0000610F0000}"/>
    <cellStyle name="40% - Accent4 2 4 3 3" xfId="17249" xr:uid="{00000000-0005-0000-0000-0000620F0000}"/>
    <cellStyle name="40% - Accent4 2 4 3 3 2" xfId="33905" xr:uid="{00000000-0005-0000-0000-0000630F0000}"/>
    <cellStyle name="40% - Accent4 2 4 3 4" xfId="34120" xr:uid="{00000000-0005-0000-0000-0000640F0000}"/>
    <cellStyle name="40% - Accent4 2 4 3 5" xfId="33293" xr:uid="{00000000-0005-0000-0000-0000650F0000}"/>
    <cellStyle name="40% - Accent4 2 4 3_loan Analysis " xfId="13191" xr:uid="{00000000-0005-0000-0000-0000660F0000}"/>
    <cellStyle name="40% - Accent4 2 4 4" xfId="13192" xr:uid="{00000000-0005-0000-0000-0000670F0000}"/>
    <cellStyle name="40% - Accent4 2 4 4 2" xfId="17251" xr:uid="{00000000-0005-0000-0000-0000680F0000}"/>
    <cellStyle name="40% - Accent4 2 4 4 3" xfId="29933" xr:uid="{00000000-0005-0000-0000-0000690F0000}"/>
    <cellStyle name="40% - Accent4 2 4 4 4" xfId="33474" xr:uid="{00000000-0005-0000-0000-00006A0F0000}"/>
    <cellStyle name="40% - Accent4 2 4 5" xfId="29934" xr:uid="{00000000-0005-0000-0000-00006B0F0000}"/>
    <cellStyle name="40% - Accent4 2 4 5 2" xfId="33551" xr:uid="{00000000-0005-0000-0000-00006C0F0000}"/>
    <cellStyle name="40% - Accent4 2 4 6" xfId="29935" xr:uid="{00000000-0005-0000-0000-00006D0F0000}"/>
    <cellStyle name="40% - Accent4 2 4 6 2" xfId="33480" xr:uid="{00000000-0005-0000-0000-00006E0F0000}"/>
    <cellStyle name="40% - Accent4 2 4 7" xfId="33147" xr:uid="{00000000-0005-0000-0000-00006F0F0000}"/>
    <cellStyle name="40% - Accent4 2 4_loan Analysis " xfId="13193" xr:uid="{00000000-0005-0000-0000-0000700F0000}"/>
    <cellStyle name="40% - Accent4 2 40" xfId="2754" xr:uid="{00000000-0005-0000-0000-0000710F0000}"/>
    <cellStyle name="40% - Accent4 2 41" xfId="2755" xr:uid="{00000000-0005-0000-0000-0000720F0000}"/>
    <cellStyle name="40% - Accent4 2 41 2" xfId="2756" xr:uid="{00000000-0005-0000-0000-0000730F0000}"/>
    <cellStyle name="40% - Accent4 2 42" xfId="29936" xr:uid="{00000000-0005-0000-0000-0000740F0000}"/>
    <cellStyle name="40% - Accent4 2 43" xfId="29937" xr:uid="{00000000-0005-0000-0000-0000750F0000}"/>
    <cellStyle name="40% - Accent4 2 44" xfId="29938" xr:uid="{00000000-0005-0000-0000-0000760F0000}"/>
    <cellStyle name="40% - Accent4 2 45" xfId="29939" xr:uid="{00000000-0005-0000-0000-0000770F0000}"/>
    <cellStyle name="40% - Accent4 2 46" xfId="29940" xr:uid="{00000000-0005-0000-0000-0000780F0000}"/>
    <cellStyle name="40% - Accent4 2 47" xfId="29941" xr:uid="{00000000-0005-0000-0000-0000790F0000}"/>
    <cellStyle name="40% - Accent4 2 48" xfId="29942" xr:uid="{00000000-0005-0000-0000-00007A0F0000}"/>
    <cellStyle name="40% - Accent4 2 49" xfId="29943" xr:uid="{00000000-0005-0000-0000-00007B0F0000}"/>
    <cellStyle name="40% - Accent4 2 5" xfId="2757" xr:uid="{00000000-0005-0000-0000-00007C0F0000}"/>
    <cellStyle name="40% - Accent4 2 5 2" xfId="2758" xr:uid="{00000000-0005-0000-0000-00007D0F0000}"/>
    <cellStyle name="40% - Accent4 2 5 3" xfId="29944" xr:uid="{00000000-0005-0000-0000-00007E0F0000}"/>
    <cellStyle name="40% - Accent4 2 50" xfId="29945" xr:uid="{00000000-0005-0000-0000-00007F0F0000}"/>
    <cellStyle name="40% - Accent4 2 51" xfId="29946" xr:uid="{00000000-0005-0000-0000-0000800F0000}"/>
    <cellStyle name="40% - Accent4 2 52" xfId="33144" xr:uid="{00000000-0005-0000-0000-0000810F0000}"/>
    <cellStyle name="40% - Accent4 2 53" xfId="33190" xr:uid="{00000000-0005-0000-0000-0000820F0000}"/>
    <cellStyle name="40% - Accent4 2 54" xfId="2589" xr:uid="{00000000-0005-0000-0000-0000830F0000}"/>
    <cellStyle name="40% - Accent4 2 6" xfId="2759" xr:uid="{00000000-0005-0000-0000-0000840F0000}"/>
    <cellStyle name="40% - Accent4 2 6 2" xfId="29947" xr:uid="{00000000-0005-0000-0000-0000850F0000}"/>
    <cellStyle name="40% - Accent4 2 6 3" xfId="29948" xr:uid="{00000000-0005-0000-0000-0000860F0000}"/>
    <cellStyle name="40% - Accent4 2 7" xfId="2760" xr:uid="{00000000-0005-0000-0000-0000870F0000}"/>
    <cellStyle name="40% - Accent4 2 8" xfId="2761" xr:uid="{00000000-0005-0000-0000-0000880F0000}"/>
    <cellStyle name="40% - Accent4 2 9" xfId="2762" xr:uid="{00000000-0005-0000-0000-0000890F0000}"/>
    <cellStyle name="40% - Accent4 2_Loan Classification" xfId="11409" xr:uid="{00000000-0005-0000-0000-00008A0F0000}"/>
    <cellStyle name="40% - Accent4 20" xfId="2763" xr:uid="{00000000-0005-0000-0000-00008B0F0000}"/>
    <cellStyle name="40% - Accent4 21" xfId="2764" xr:uid="{00000000-0005-0000-0000-00008C0F0000}"/>
    <cellStyle name="40% - Accent4 22" xfId="2765" xr:uid="{00000000-0005-0000-0000-00008D0F0000}"/>
    <cellStyle name="40% - Accent4 23" xfId="2766" xr:uid="{00000000-0005-0000-0000-00008E0F0000}"/>
    <cellStyle name="40% - Accent4 24" xfId="2767" xr:uid="{00000000-0005-0000-0000-00008F0F0000}"/>
    <cellStyle name="40% - Accent4 25" xfId="2768" xr:uid="{00000000-0005-0000-0000-0000900F0000}"/>
    <cellStyle name="40% - Accent4 26" xfId="2769" xr:uid="{00000000-0005-0000-0000-0000910F0000}"/>
    <cellStyle name="40% - Accent4 27" xfId="2770" xr:uid="{00000000-0005-0000-0000-0000920F0000}"/>
    <cellStyle name="40% - Accent4 28" xfId="2771" xr:uid="{00000000-0005-0000-0000-0000930F0000}"/>
    <cellStyle name="40% - Accent4 29" xfId="2772" xr:uid="{00000000-0005-0000-0000-0000940F0000}"/>
    <cellStyle name="40% - Accent4 3" xfId="68" xr:uid="{00000000-0005-0000-0000-0000950F0000}"/>
    <cellStyle name="40% - Accent4 3 2" xfId="419" xr:uid="{00000000-0005-0000-0000-0000960F0000}"/>
    <cellStyle name="40% - Accent4 3 2 2" xfId="29950" xr:uid="{00000000-0005-0000-0000-0000970F0000}"/>
    <cellStyle name="40% - Accent4 3 2 3" xfId="29949" xr:uid="{00000000-0005-0000-0000-0000980F0000}"/>
    <cellStyle name="40% - Accent4 3 3" xfId="29951" xr:uid="{00000000-0005-0000-0000-0000990F0000}"/>
    <cellStyle name="40% - Accent4 3 4" xfId="2773" xr:uid="{00000000-0005-0000-0000-00009A0F0000}"/>
    <cellStyle name="40% - Accent4 30" xfId="2774" xr:uid="{00000000-0005-0000-0000-00009B0F0000}"/>
    <cellStyle name="40% - Accent4 31" xfId="2775" xr:uid="{00000000-0005-0000-0000-00009C0F0000}"/>
    <cellStyle name="40% - Accent4 32" xfId="2776" xr:uid="{00000000-0005-0000-0000-00009D0F0000}"/>
    <cellStyle name="40% - Accent4 33" xfId="2777" xr:uid="{00000000-0005-0000-0000-00009E0F0000}"/>
    <cellStyle name="40% - Accent4 34" xfId="2778" xr:uid="{00000000-0005-0000-0000-00009F0F0000}"/>
    <cellStyle name="40% - Accent4 35" xfId="2779" xr:uid="{00000000-0005-0000-0000-0000A00F0000}"/>
    <cellStyle name="40% - Accent4 36" xfId="2780" xr:uid="{00000000-0005-0000-0000-0000A10F0000}"/>
    <cellStyle name="40% - Accent4 37" xfId="2781" xr:uid="{00000000-0005-0000-0000-0000A20F0000}"/>
    <cellStyle name="40% - Accent4 38" xfId="2782" xr:uid="{00000000-0005-0000-0000-0000A30F0000}"/>
    <cellStyle name="40% - Accent4 39" xfId="2783" xr:uid="{00000000-0005-0000-0000-0000A40F0000}"/>
    <cellStyle name="40% - Accent4 4" xfId="2784" xr:uid="{00000000-0005-0000-0000-0000A50F0000}"/>
    <cellStyle name="40% - Accent4 4 2" xfId="29952" xr:uid="{00000000-0005-0000-0000-0000A60F0000}"/>
    <cellStyle name="40% - Accent4 4 2 2" xfId="29953" xr:uid="{00000000-0005-0000-0000-0000A70F0000}"/>
    <cellStyle name="40% - Accent4 4 3" xfId="29954" xr:uid="{00000000-0005-0000-0000-0000A80F0000}"/>
    <cellStyle name="40% - Accent4 40" xfId="2785" xr:uid="{00000000-0005-0000-0000-0000A90F0000}"/>
    <cellStyle name="40% - Accent4 41" xfId="2786" xr:uid="{00000000-0005-0000-0000-0000AA0F0000}"/>
    <cellStyle name="40% - Accent4 42" xfId="2787" xr:uid="{00000000-0005-0000-0000-0000AB0F0000}"/>
    <cellStyle name="40% - Accent4 43" xfId="11572" xr:uid="{00000000-0005-0000-0000-0000AC0F0000}"/>
    <cellStyle name="40% - Accent4 44" xfId="11552" xr:uid="{00000000-0005-0000-0000-0000AD0F0000}"/>
    <cellStyle name="40% - Accent4 44 2" xfId="17254" xr:uid="{00000000-0005-0000-0000-0000AE0F0000}"/>
    <cellStyle name="40% - Accent4 45" xfId="17255" xr:uid="{00000000-0005-0000-0000-0000AF0F0000}"/>
    <cellStyle name="40% - Accent4 46" xfId="29955" xr:uid="{00000000-0005-0000-0000-0000B00F0000}"/>
    <cellStyle name="40% - Accent4 47" xfId="34264" xr:uid="{00000000-0005-0000-0000-0000B10F0000}"/>
    <cellStyle name="40% - Accent4 48" xfId="492" xr:uid="{00000000-0005-0000-0000-0000B20F0000}"/>
    <cellStyle name="40% - Accent4 5" xfId="2788" xr:uid="{00000000-0005-0000-0000-0000B30F0000}"/>
    <cellStyle name="40% - Accent4 5 2" xfId="12838" xr:uid="{00000000-0005-0000-0000-0000B40F0000}"/>
    <cellStyle name="40% - Accent4 5 2 2" xfId="29956" xr:uid="{00000000-0005-0000-0000-0000B50F0000}"/>
    <cellStyle name="40% - Accent4 5 3" xfId="29957" xr:uid="{00000000-0005-0000-0000-0000B60F0000}"/>
    <cellStyle name="40% - Accent4 5 3 2" xfId="29958" xr:uid="{00000000-0005-0000-0000-0000B70F0000}"/>
    <cellStyle name="40% - Accent4 6" xfId="2789" xr:uid="{00000000-0005-0000-0000-0000B80F0000}"/>
    <cellStyle name="40% - Accent4 6 2" xfId="29959" xr:uid="{00000000-0005-0000-0000-0000B90F0000}"/>
    <cellStyle name="40% - Accent4 7" xfId="2790" xr:uid="{00000000-0005-0000-0000-0000BA0F0000}"/>
    <cellStyle name="40% - Accent4 7 2" xfId="29960" xr:uid="{00000000-0005-0000-0000-0000BB0F0000}"/>
    <cellStyle name="40% - Accent4 8" xfId="2791" xr:uid="{00000000-0005-0000-0000-0000BC0F0000}"/>
    <cellStyle name="40% - Accent4 8 2" xfId="29961" xr:uid="{00000000-0005-0000-0000-0000BD0F0000}"/>
    <cellStyle name="40% - Accent4 9" xfId="2792" xr:uid="{00000000-0005-0000-0000-0000BE0F0000}"/>
    <cellStyle name="40% - Accent4 9 2" xfId="29962" xr:uid="{00000000-0005-0000-0000-0000BF0F0000}"/>
    <cellStyle name="40% - Accent5" xfId="43" builtinId="47" customBuiltin="1"/>
    <cellStyle name="40% - Accent5 10" xfId="2793" xr:uid="{00000000-0005-0000-0000-0000C10F0000}"/>
    <cellStyle name="40% - Accent5 10 2" xfId="29963" xr:uid="{00000000-0005-0000-0000-0000C20F0000}"/>
    <cellStyle name="40% - Accent5 11" xfId="2794" xr:uid="{00000000-0005-0000-0000-0000C30F0000}"/>
    <cellStyle name="40% - Accent5 11 2" xfId="29964" xr:uid="{00000000-0005-0000-0000-0000C40F0000}"/>
    <cellStyle name="40% - Accent5 12" xfId="2795" xr:uid="{00000000-0005-0000-0000-0000C50F0000}"/>
    <cellStyle name="40% - Accent5 12 2" xfId="29965" xr:uid="{00000000-0005-0000-0000-0000C60F0000}"/>
    <cellStyle name="40% - Accent5 13" xfId="2796" xr:uid="{00000000-0005-0000-0000-0000C70F0000}"/>
    <cellStyle name="40% - Accent5 13 2" xfId="29966" xr:uid="{00000000-0005-0000-0000-0000C80F0000}"/>
    <cellStyle name="40% - Accent5 14" xfId="2797" xr:uid="{00000000-0005-0000-0000-0000C90F0000}"/>
    <cellStyle name="40% - Accent5 14 2" xfId="29967" xr:uid="{00000000-0005-0000-0000-0000CA0F0000}"/>
    <cellStyle name="40% - Accent5 15" xfId="2798" xr:uid="{00000000-0005-0000-0000-0000CB0F0000}"/>
    <cellStyle name="40% - Accent5 15 2" xfId="29968" xr:uid="{00000000-0005-0000-0000-0000CC0F0000}"/>
    <cellStyle name="40% - Accent5 16" xfId="2799" xr:uid="{00000000-0005-0000-0000-0000CD0F0000}"/>
    <cellStyle name="40% - Accent5 16 2" xfId="29969" xr:uid="{00000000-0005-0000-0000-0000CE0F0000}"/>
    <cellStyle name="40% - Accent5 17" xfId="2800" xr:uid="{00000000-0005-0000-0000-0000CF0F0000}"/>
    <cellStyle name="40% - Accent5 17 2" xfId="29970" xr:uid="{00000000-0005-0000-0000-0000D00F0000}"/>
    <cellStyle name="40% - Accent5 18" xfId="2801" xr:uid="{00000000-0005-0000-0000-0000D10F0000}"/>
    <cellStyle name="40% - Accent5 19" xfId="2802" xr:uid="{00000000-0005-0000-0000-0000D20F0000}"/>
    <cellStyle name="40% - Accent5 2" xfId="447" xr:uid="{00000000-0005-0000-0000-0000D30F0000}"/>
    <cellStyle name="40% - Accent5 2 10" xfId="2804" xr:uid="{00000000-0005-0000-0000-0000D40F0000}"/>
    <cellStyle name="40% - Accent5 2 11" xfId="2805" xr:uid="{00000000-0005-0000-0000-0000D50F0000}"/>
    <cellStyle name="40% - Accent5 2 12" xfId="2806" xr:uid="{00000000-0005-0000-0000-0000D60F0000}"/>
    <cellStyle name="40% - Accent5 2 13" xfId="2807" xr:uid="{00000000-0005-0000-0000-0000D70F0000}"/>
    <cellStyle name="40% - Accent5 2 14" xfId="2808" xr:uid="{00000000-0005-0000-0000-0000D80F0000}"/>
    <cellStyle name="40% - Accent5 2 15" xfId="2809" xr:uid="{00000000-0005-0000-0000-0000D90F0000}"/>
    <cellStyle name="40% - Accent5 2 16" xfId="2810" xr:uid="{00000000-0005-0000-0000-0000DA0F0000}"/>
    <cellStyle name="40% - Accent5 2 16 2" xfId="2811" xr:uid="{00000000-0005-0000-0000-0000DB0F0000}"/>
    <cellStyle name="40% - Accent5 2 17" xfId="2812" xr:uid="{00000000-0005-0000-0000-0000DC0F0000}"/>
    <cellStyle name="40% - Accent5 2 18" xfId="2813" xr:uid="{00000000-0005-0000-0000-0000DD0F0000}"/>
    <cellStyle name="40% - Accent5 2 19" xfId="2814" xr:uid="{00000000-0005-0000-0000-0000DE0F0000}"/>
    <cellStyle name="40% - Accent5 2 2" xfId="2815" xr:uid="{00000000-0005-0000-0000-0000DF0F0000}"/>
    <cellStyle name="40% - Accent5 2 2 10" xfId="2816" xr:uid="{00000000-0005-0000-0000-0000E00F0000}"/>
    <cellStyle name="40% - Accent5 2 2 11" xfId="2817" xr:uid="{00000000-0005-0000-0000-0000E10F0000}"/>
    <cellStyle name="40% - Accent5 2 2 12" xfId="2818" xr:uid="{00000000-0005-0000-0000-0000E20F0000}"/>
    <cellStyle name="40% - Accent5 2 2 13" xfId="2819" xr:uid="{00000000-0005-0000-0000-0000E30F0000}"/>
    <cellStyle name="40% - Accent5 2 2 14" xfId="2820" xr:uid="{00000000-0005-0000-0000-0000E40F0000}"/>
    <cellStyle name="40% - Accent5 2 2 14 2" xfId="2821" xr:uid="{00000000-0005-0000-0000-0000E50F0000}"/>
    <cellStyle name="40% - Accent5 2 2 15" xfId="2822" xr:uid="{00000000-0005-0000-0000-0000E60F0000}"/>
    <cellStyle name="40% - Accent5 2 2 16" xfId="2823" xr:uid="{00000000-0005-0000-0000-0000E70F0000}"/>
    <cellStyle name="40% - Accent5 2 2 17" xfId="2824" xr:uid="{00000000-0005-0000-0000-0000E80F0000}"/>
    <cellStyle name="40% - Accent5 2 2 18" xfId="2825" xr:uid="{00000000-0005-0000-0000-0000E90F0000}"/>
    <cellStyle name="40% - Accent5 2 2 19" xfId="2826" xr:uid="{00000000-0005-0000-0000-0000EA0F0000}"/>
    <cellStyle name="40% - Accent5 2 2 2" xfId="2827" xr:uid="{00000000-0005-0000-0000-0000EB0F0000}"/>
    <cellStyle name="40% - Accent5 2 2 2 10" xfId="2828" xr:uid="{00000000-0005-0000-0000-0000EC0F0000}"/>
    <cellStyle name="40% - Accent5 2 2 2 11" xfId="2829" xr:uid="{00000000-0005-0000-0000-0000ED0F0000}"/>
    <cellStyle name="40% - Accent5 2 2 2 12" xfId="2830" xr:uid="{00000000-0005-0000-0000-0000EE0F0000}"/>
    <cellStyle name="40% - Accent5 2 2 2 13" xfId="2831" xr:uid="{00000000-0005-0000-0000-0000EF0F0000}"/>
    <cellStyle name="40% - Accent5 2 2 2 14" xfId="2832" xr:uid="{00000000-0005-0000-0000-0000F00F0000}"/>
    <cellStyle name="40% - Accent5 2 2 2 15" xfId="2833" xr:uid="{00000000-0005-0000-0000-0000F10F0000}"/>
    <cellStyle name="40% - Accent5 2 2 2 16" xfId="2834" xr:uid="{00000000-0005-0000-0000-0000F20F0000}"/>
    <cellStyle name="40% - Accent5 2 2 2 17" xfId="2835" xr:uid="{00000000-0005-0000-0000-0000F30F0000}"/>
    <cellStyle name="40% - Accent5 2 2 2 18" xfId="2836" xr:uid="{00000000-0005-0000-0000-0000F40F0000}"/>
    <cellStyle name="40% - Accent5 2 2 2 19" xfId="2837" xr:uid="{00000000-0005-0000-0000-0000F50F0000}"/>
    <cellStyle name="40% - Accent5 2 2 2 2" xfId="2838" xr:uid="{00000000-0005-0000-0000-0000F60F0000}"/>
    <cellStyle name="40% - Accent5 2 2 2 2 10" xfId="2839" xr:uid="{00000000-0005-0000-0000-0000F70F0000}"/>
    <cellStyle name="40% - Accent5 2 2 2 2 11" xfId="2840" xr:uid="{00000000-0005-0000-0000-0000F80F0000}"/>
    <cellStyle name="40% - Accent5 2 2 2 2 12" xfId="2841" xr:uid="{00000000-0005-0000-0000-0000F90F0000}"/>
    <cellStyle name="40% - Accent5 2 2 2 2 13" xfId="2842" xr:uid="{00000000-0005-0000-0000-0000FA0F0000}"/>
    <cellStyle name="40% - Accent5 2 2 2 2 14" xfId="2843" xr:uid="{00000000-0005-0000-0000-0000FB0F0000}"/>
    <cellStyle name="40% - Accent5 2 2 2 2 15" xfId="2844" xr:uid="{00000000-0005-0000-0000-0000FC0F0000}"/>
    <cellStyle name="40% - Accent5 2 2 2 2 16" xfId="2845" xr:uid="{00000000-0005-0000-0000-0000FD0F0000}"/>
    <cellStyle name="40% - Accent5 2 2 2 2 17" xfId="2846" xr:uid="{00000000-0005-0000-0000-0000FE0F0000}"/>
    <cellStyle name="40% - Accent5 2 2 2 2 18" xfId="2847" xr:uid="{00000000-0005-0000-0000-0000FF0F0000}"/>
    <cellStyle name="40% - Accent5 2 2 2 2 19" xfId="2848" xr:uid="{00000000-0005-0000-0000-000000100000}"/>
    <cellStyle name="40% - Accent5 2 2 2 2 2" xfId="2849" xr:uid="{00000000-0005-0000-0000-000001100000}"/>
    <cellStyle name="40% - Accent5 2 2 2 2 2 10" xfId="2850" xr:uid="{00000000-0005-0000-0000-000002100000}"/>
    <cellStyle name="40% - Accent5 2 2 2 2 2 11" xfId="2851" xr:uid="{00000000-0005-0000-0000-000003100000}"/>
    <cellStyle name="40% - Accent5 2 2 2 2 2 11 2" xfId="2852" xr:uid="{00000000-0005-0000-0000-000004100000}"/>
    <cellStyle name="40% - Accent5 2 2 2 2 2 12" xfId="29971" xr:uid="{00000000-0005-0000-0000-000005100000}"/>
    <cellStyle name="40% - Accent5 2 2 2 2 2 13" xfId="29972" xr:uid="{00000000-0005-0000-0000-000006100000}"/>
    <cellStyle name="40% - Accent5 2 2 2 2 2 14" xfId="33719" xr:uid="{00000000-0005-0000-0000-000007100000}"/>
    <cellStyle name="40% - Accent5 2 2 2 2 2 2" xfId="2853" xr:uid="{00000000-0005-0000-0000-000008100000}"/>
    <cellStyle name="40% - Accent5 2 2 2 2 2 2 10" xfId="2854" xr:uid="{00000000-0005-0000-0000-000009100000}"/>
    <cellStyle name="40% - Accent5 2 2 2 2 2 2 11" xfId="2855" xr:uid="{00000000-0005-0000-0000-00000A100000}"/>
    <cellStyle name="40% - Accent5 2 2 2 2 2 2 11 2" xfId="2856" xr:uid="{00000000-0005-0000-0000-00000B100000}"/>
    <cellStyle name="40% - Accent5 2 2 2 2 2 2 2" xfId="2857" xr:uid="{00000000-0005-0000-0000-00000C100000}"/>
    <cellStyle name="40% - Accent5 2 2 2 2 2 2 2 2" xfId="2858" xr:uid="{00000000-0005-0000-0000-00000D100000}"/>
    <cellStyle name="40% - Accent5 2 2 2 2 2 2 2 2 2" xfId="2859" xr:uid="{00000000-0005-0000-0000-00000E100000}"/>
    <cellStyle name="40% - Accent5 2 2 2 2 2 2 2 2 2 2" xfId="2860" xr:uid="{00000000-0005-0000-0000-00000F100000}"/>
    <cellStyle name="40% - Accent5 2 2 2 2 2 2 2 2 3" xfId="2861" xr:uid="{00000000-0005-0000-0000-000010100000}"/>
    <cellStyle name="40% - Accent5 2 2 2 2 2 2 2 3" xfId="2862" xr:uid="{00000000-0005-0000-0000-000011100000}"/>
    <cellStyle name="40% - Accent5 2 2 2 2 2 2 2 3 2" xfId="2863" xr:uid="{00000000-0005-0000-0000-000012100000}"/>
    <cellStyle name="40% - Accent5 2 2 2 2 2 2 3" xfId="2864" xr:uid="{00000000-0005-0000-0000-000013100000}"/>
    <cellStyle name="40% - Accent5 2 2 2 2 2 2 4" xfId="2865" xr:uid="{00000000-0005-0000-0000-000014100000}"/>
    <cellStyle name="40% - Accent5 2 2 2 2 2 2 5" xfId="2866" xr:uid="{00000000-0005-0000-0000-000015100000}"/>
    <cellStyle name="40% - Accent5 2 2 2 2 2 2 6" xfId="2867" xr:uid="{00000000-0005-0000-0000-000016100000}"/>
    <cellStyle name="40% - Accent5 2 2 2 2 2 2 7" xfId="2868" xr:uid="{00000000-0005-0000-0000-000017100000}"/>
    <cellStyle name="40% - Accent5 2 2 2 2 2 2 8" xfId="2869" xr:uid="{00000000-0005-0000-0000-000018100000}"/>
    <cellStyle name="40% - Accent5 2 2 2 2 2 2 9" xfId="2870" xr:uid="{00000000-0005-0000-0000-000019100000}"/>
    <cellStyle name="40% - Accent5 2 2 2 2 2 3" xfId="2871" xr:uid="{00000000-0005-0000-0000-00001A100000}"/>
    <cellStyle name="40% - Accent5 2 2 2 2 2 3 2" xfId="2872" xr:uid="{00000000-0005-0000-0000-00001B100000}"/>
    <cellStyle name="40% - Accent5 2 2 2 2 2 4" xfId="2873" xr:uid="{00000000-0005-0000-0000-00001C100000}"/>
    <cellStyle name="40% - Accent5 2 2 2 2 2 5" xfId="2874" xr:uid="{00000000-0005-0000-0000-00001D100000}"/>
    <cellStyle name="40% - Accent5 2 2 2 2 2 6" xfId="2875" xr:uid="{00000000-0005-0000-0000-00001E100000}"/>
    <cellStyle name="40% - Accent5 2 2 2 2 2 7" xfId="2876" xr:uid="{00000000-0005-0000-0000-00001F100000}"/>
    <cellStyle name="40% - Accent5 2 2 2 2 2 8" xfId="2877" xr:uid="{00000000-0005-0000-0000-000020100000}"/>
    <cellStyle name="40% - Accent5 2 2 2 2 2 9" xfId="2878" xr:uid="{00000000-0005-0000-0000-000021100000}"/>
    <cellStyle name="40% - Accent5 2 2 2 2 20" xfId="2879" xr:uid="{00000000-0005-0000-0000-000022100000}"/>
    <cellStyle name="40% - Accent5 2 2 2 2 20 2" xfId="2880" xr:uid="{00000000-0005-0000-0000-000023100000}"/>
    <cellStyle name="40% - Accent5 2 2 2 2 21" xfId="2881" xr:uid="{00000000-0005-0000-0000-000024100000}"/>
    <cellStyle name="40% - Accent5 2 2 2 2 22" xfId="2882" xr:uid="{00000000-0005-0000-0000-000025100000}"/>
    <cellStyle name="40% - Accent5 2 2 2 2 23" xfId="2883" xr:uid="{00000000-0005-0000-0000-000026100000}"/>
    <cellStyle name="40% - Accent5 2 2 2 2 24" xfId="2884" xr:uid="{00000000-0005-0000-0000-000027100000}"/>
    <cellStyle name="40% - Accent5 2 2 2 2 25" xfId="2885" xr:uid="{00000000-0005-0000-0000-000028100000}"/>
    <cellStyle name="40% - Accent5 2 2 2 2 26" xfId="2886" xr:uid="{00000000-0005-0000-0000-000029100000}"/>
    <cellStyle name="40% - Accent5 2 2 2 2 27" xfId="2887" xr:uid="{00000000-0005-0000-0000-00002A100000}"/>
    <cellStyle name="40% - Accent5 2 2 2 2 28" xfId="2888" xr:uid="{00000000-0005-0000-0000-00002B100000}"/>
    <cellStyle name="40% - Accent5 2 2 2 2 28 2" xfId="2889" xr:uid="{00000000-0005-0000-0000-00002C100000}"/>
    <cellStyle name="40% - Accent5 2 2 2 2 29" xfId="29973" xr:uid="{00000000-0005-0000-0000-00002D100000}"/>
    <cellStyle name="40% - Accent5 2 2 2 2 3" xfId="2890" xr:uid="{00000000-0005-0000-0000-00002E100000}"/>
    <cellStyle name="40% - Accent5 2 2 2 2 3 2" xfId="33948" xr:uid="{00000000-0005-0000-0000-00002F100000}"/>
    <cellStyle name="40% - Accent5 2 2 2 2 30" xfId="29974" xr:uid="{00000000-0005-0000-0000-000030100000}"/>
    <cellStyle name="40% - Accent5 2 2 2 2 31" xfId="33335" xr:uid="{00000000-0005-0000-0000-000031100000}"/>
    <cellStyle name="40% - Accent5 2 2 2 2 4" xfId="2891" xr:uid="{00000000-0005-0000-0000-000032100000}"/>
    <cellStyle name="40% - Accent5 2 2 2 2 4 2" xfId="34162" xr:uid="{00000000-0005-0000-0000-000033100000}"/>
    <cellStyle name="40% - Accent5 2 2 2 2 5" xfId="2892" xr:uid="{00000000-0005-0000-0000-000034100000}"/>
    <cellStyle name="40% - Accent5 2 2 2 2 6" xfId="2893" xr:uid="{00000000-0005-0000-0000-000035100000}"/>
    <cellStyle name="40% - Accent5 2 2 2 2 7" xfId="2894" xr:uid="{00000000-0005-0000-0000-000036100000}"/>
    <cellStyle name="40% - Accent5 2 2 2 2 8" xfId="2895" xr:uid="{00000000-0005-0000-0000-000037100000}"/>
    <cellStyle name="40% - Accent5 2 2 2 2 9" xfId="2896" xr:uid="{00000000-0005-0000-0000-000038100000}"/>
    <cellStyle name="40% - Accent5 2 2 2 2_loan Analysis " xfId="13194" xr:uid="{00000000-0005-0000-0000-000039100000}"/>
    <cellStyle name="40% - Accent5 2 2 2 20" xfId="2897" xr:uid="{00000000-0005-0000-0000-00003A100000}"/>
    <cellStyle name="40% - Accent5 2 2 2 20 2" xfId="2898" xr:uid="{00000000-0005-0000-0000-00003B100000}"/>
    <cellStyle name="40% - Accent5 2 2 2 21" xfId="2899" xr:uid="{00000000-0005-0000-0000-00003C100000}"/>
    <cellStyle name="40% - Accent5 2 2 2 22" xfId="2900" xr:uid="{00000000-0005-0000-0000-00003D100000}"/>
    <cellStyle name="40% - Accent5 2 2 2 23" xfId="2901" xr:uid="{00000000-0005-0000-0000-00003E100000}"/>
    <cellStyle name="40% - Accent5 2 2 2 24" xfId="2902" xr:uid="{00000000-0005-0000-0000-00003F100000}"/>
    <cellStyle name="40% - Accent5 2 2 2 25" xfId="2903" xr:uid="{00000000-0005-0000-0000-000040100000}"/>
    <cellStyle name="40% - Accent5 2 2 2 26" xfId="2904" xr:uid="{00000000-0005-0000-0000-000041100000}"/>
    <cellStyle name="40% - Accent5 2 2 2 27" xfId="2905" xr:uid="{00000000-0005-0000-0000-000042100000}"/>
    <cellStyle name="40% - Accent5 2 2 2 28" xfId="2906" xr:uid="{00000000-0005-0000-0000-000043100000}"/>
    <cellStyle name="40% - Accent5 2 2 2 28 2" xfId="2907" xr:uid="{00000000-0005-0000-0000-000044100000}"/>
    <cellStyle name="40% - Accent5 2 2 2 29" xfId="29975" xr:uid="{00000000-0005-0000-0000-000045100000}"/>
    <cellStyle name="40% - Accent5 2 2 2 3" xfId="2908" xr:uid="{00000000-0005-0000-0000-000046100000}"/>
    <cellStyle name="40% - Accent5 2 2 2 3 2" xfId="2909" xr:uid="{00000000-0005-0000-0000-000047100000}"/>
    <cellStyle name="40% - Accent5 2 2 2 3 3" xfId="29976" xr:uid="{00000000-0005-0000-0000-000048100000}"/>
    <cellStyle name="40% - Accent5 2 2 2 3 4" xfId="29977" xr:uid="{00000000-0005-0000-0000-000049100000}"/>
    <cellStyle name="40% - Accent5 2 2 2 3 5" xfId="33611" xr:uid="{00000000-0005-0000-0000-00004A100000}"/>
    <cellStyle name="40% - Accent5 2 2 2 30" xfId="29978" xr:uid="{00000000-0005-0000-0000-00004B100000}"/>
    <cellStyle name="40% - Accent5 2 2 2 31" xfId="29979" xr:uid="{00000000-0005-0000-0000-00004C100000}"/>
    <cellStyle name="40% - Accent5 2 2 2 32" xfId="33231" xr:uid="{00000000-0005-0000-0000-00004D100000}"/>
    <cellStyle name="40% - Accent5 2 2 2 4" xfId="2910" xr:uid="{00000000-0005-0000-0000-00004E100000}"/>
    <cellStyle name="40% - Accent5 2 2 2 4 2" xfId="33846" xr:uid="{00000000-0005-0000-0000-00004F100000}"/>
    <cellStyle name="40% - Accent5 2 2 2 5" xfId="2911" xr:uid="{00000000-0005-0000-0000-000050100000}"/>
    <cellStyle name="40% - Accent5 2 2 2 5 2" xfId="34065" xr:uid="{00000000-0005-0000-0000-000051100000}"/>
    <cellStyle name="40% - Accent5 2 2 2 6" xfId="2912" xr:uid="{00000000-0005-0000-0000-000052100000}"/>
    <cellStyle name="40% - Accent5 2 2 2 7" xfId="2913" xr:uid="{00000000-0005-0000-0000-000053100000}"/>
    <cellStyle name="40% - Accent5 2 2 2 8" xfId="2914" xr:uid="{00000000-0005-0000-0000-000054100000}"/>
    <cellStyle name="40% - Accent5 2 2 2 9" xfId="2915" xr:uid="{00000000-0005-0000-0000-000055100000}"/>
    <cellStyle name="40% - Accent5 2 2 2_loan Analysis " xfId="13195" xr:uid="{00000000-0005-0000-0000-000056100000}"/>
    <cellStyle name="40% - Accent5 2 2 20" xfId="2916" xr:uid="{00000000-0005-0000-0000-000057100000}"/>
    <cellStyle name="40% - Accent5 2 2 21" xfId="2917" xr:uid="{00000000-0005-0000-0000-000058100000}"/>
    <cellStyle name="40% - Accent5 2 2 22" xfId="2918" xr:uid="{00000000-0005-0000-0000-000059100000}"/>
    <cellStyle name="40% - Accent5 2 2 23" xfId="2919" xr:uid="{00000000-0005-0000-0000-00005A100000}"/>
    <cellStyle name="40% - Accent5 2 2 24" xfId="2920" xr:uid="{00000000-0005-0000-0000-00005B100000}"/>
    <cellStyle name="40% - Accent5 2 2 25" xfId="2921" xr:uid="{00000000-0005-0000-0000-00005C100000}"/>
    <cellStyle name="40% - Accent5 2 2 26" xfId="2922" xr:uid="{00000000-0005-0000-0000-00005D100000}"/>
    <cellStyle name="40% - Accent5 2 2 27" xfId="2923" xr:uid="{00000000-0005-0000-0000-00005E100000}"/>
    <cellStyle name="40% - Accent5 2 2 28" xfId="2924" xr:uid="{00000000-0005-0000-0000-00005F100000}"/>
    <cellStyle name="40% - Accent5 2 2 29" xfId="2925" xr:uid="{00000000-0005-0000-0000-000060100000}"/>
    <cellStyle name="40% - Accent5 2 2 3" xfId="2926" xr:uid="{00000000-0005-0000-0000-000061100000}"/>
    <cellStyle name="40% - Accent5 2 2 3 2" xfId="13196" xr:uid="{00000000-0005-0000-0000-000062100000}"/>
    <cellStyle name="40% - Accent5 2 2 3 2 2" xfId="17264" xr:uid="{00000000-0005-0000-0000-000063100000}"/>
    <cellStyle name="40% - Accent5 2 2 3 2 3" xfId="33678" xr:uid="{00000000-0005-0000-0000-000064100000}"/>
    <cellStyle name="40% - Accent5 2 2 3 3" xfId="29980" xr:uid="{00000000-0005-0000-0000-000065100000}"/>
    <cellStyle name="40% - Accent5 2 2 3 3 2" xfId="33906" xr:uid="{00000000-0005-0000-0000-000066100000}"/>
    <cellStyle name="40% - Accent5 2 2 3 4" xfId="34121" xr:uid="{00000000-0005-0000-0000-000067100000}"/>
    <cellStyle name="40% - Accent5 2 2 3 5" xfId="33294" xr:uid="{00000000-0005-0000-0000-000068100000}"/>
    <cellStyle name="40% - Accent5 2 2 3_loan Analysis " xfId="13197" xr:uid="{00000000-0005-0000-0000-000069100000}"/>
    <cellStyle name="40% - Accent5 2 2 30" xfId="2927" xr:uid="{00000000-0005-0000-0000-00006A100000}"/>
    <cellStyle name="40% - Accent5 2 2 31" xfId="2928" xr:uid="{00000000-0005-0000-0000-00006B100000}"/>
    <cellStyle name="40% - Accent5 2 2 31 2" xfId="2929" xr:uid="{00000000-0005-0000-0000-00006C100000}"/>
    <cellStyle name="40% - Accent5 2 2 32" xfId="2930" xr:uid="{00000000-0005-0000-0000-00006D100000}"/>
    <cellStyle name="40% - Accent5 2 2 33" xfId="2931" xr:uid="{00000000-0005-0000-0000-00006E100000}"/>
    <cellStyle name="40% - Accent5 2 2 34" xfId="2932" xr:uid="{00000000-0005-0000-0000-00006F100000}"/>
    <cellStyle name="40% - Accent5 2 2 35" xfId="2933" xr:uid="{00000000-0005-0000-0000-000070100000}"/>
    <cellStyle name="40% - Accent5 2 2 36" xfId="2934" xr:uid="{00000000-0005-0000-0000-000071100000}"/>
    <cellStyle name="40% - Accent5 2 2 37" xfId="2935" xr:uid="{00000000-0005-0000-0000-000072100000}"/>
    <cellStyle name="40% - Accent5 2 2 38" xfId="2936" xr:uid="{00000000-0005-0000-0000-000073100000}"/>
    <cellStyle name="40% - Accent5 2 2 39" xfId="2937" xr:uid="{00000000-0005-0000-0000-000074100000}"/>
    <cellStyle name="40% - Accent5 2 2 39 2" xfId="2938" xr:uid="{00000000-0005-0000-0000-000075100000}"/>
    <cellStyle name="40% - Accent5 2 2 4" xfId="2939" xr:uid="{00000000-0005-0000-0000-000076100000}"/>
    <cellStyle name="40% - Accent5 2 2 4 2" xfId="29981" xr:uid="{00000000-0005-0000-0000-000077100000}"/>
    <cellStyle name="40% - Accent5 2 2 4 3" xfId="29982" xr:uid="{00000000-0005-0000-0000-000078100000}"/>
    <cellStyle name="40% - Accent5 2 2 4 4" xfId="29983" xr:uid="{00000000-0005-0000-0000-000079100000}"/>
    <cellStyle name="40% - Accent5 2 2 4 5" xfId="33475" xr:uid="{00000000-0005-0000-0000-00007A100000}"/>
    <cellStyle name="40% - Accent5 2 2 40" xfId="29984" xr:uid="{00000000-0005-0000-0000-00007B100000}"/>
    <cellStyle name="40% - Accent5 2 2 41" xfId="29985" xr:uid="{00000000-0005-0000-0000-00007C100000}"/>
    <cellStyle name="40% - Accent5 2 2 42" xfId="29986" xr:uid="{00000000-0005-0000-0000-00007D100000}"/>
    <cellStyle name="40% - Accent5 2 2 43" xfId="29987" xr:uid="{00000000-0005-0000-0000-00007E100000}"/>
    <cellStyle name="40% - Accent5 2 2 44" xfId="29988" xr:uid="{00000000-0005-0000-0000-00007F100000}"/>
    <cellStyle name="40% - Accent5 2 2 45" xfId="29989" xr:uid="{00000000-0005-0000-0000-000080100000}"/>
    <cellStyle name="40% - Accent5 2 2 46" xfId="29990" xr:uid="{00000000-0005-0000-0000-000081100000}"/>
    <cellStyle name="40% - Accent5 2 2 47" xfId="33148" xr:uid="{00000000-0005-0000-0000-000082100000}"/>
    <cellStyle name="40% - Accent5 2 2 5" xfId="2940" xr:uid="{00000000-0005-0000-0000-000083100000}"/>
    <cellStyle name="40% - Accent5 2 2 5 2" xfId="33550" xr:uid="{00000000-0005-0000-0000-000084100000}"/>
    <cellStyle name="40% - Accent5 2 2 6" xfId="2941" xr:uid="{00000000-0005-0000-0000-000085100000}"/>
    <cellStyle name="40% - Accent5 2 2 6 2" xfId="33484" xr:uid="{00000000-0005-0000-0000-000086100000}"/>
    <cellStyle name="40% - Accent5 2 2 7" xfId="2942" xr:uid="{00000000-0005-0000-0000-000087100000}"/>
    <cellStyle name="40% - Accent5 2 2 8" xfId="2943" xr:uid="{00000000-0005-0000-0000-000088100000}"/>
    <cellStyle name="40% - Accent5 2 2 9" xfId="2944" xr:uid="{00000000-0005-0000-0000-000089100000}"/>
    <cellStyle name="40% - Accent5 2 2_loan Analysis " xfId="13198" xr:uid="{00000000-0005-0000-0000-00008A100000}"/>
    <cellStyle name="40% - Accent5 2 20" xfId="2945" xr:uid="{00000000-0005-0000-0000-00008B100000}"/>
    <cellStyle name="40% - Accent5 2 21" xfId="2946" xr:uid="{00000000-0005-0000-0000-00008C100000}"/>
    <cellStyle name="40% - Accent5 2 22" xfId="2947" xr:uid="{00000000-0005-0000-0000-00008D100000}"/>
    <cellStyle name="40% - Accent5 2 23" xfId="2948" xr:uid="{00000000-0005-0000-0000-00008E100000}"/>
    <cellStyle name="40% - Accent5 2 24" xfId="2949" xr:uid="{00000000-0005-0000-0000-00008F100000}"/>
    <cellStyle name="40% - Accent5 2 25" xfId="2950" xr:uid="{00000000-0005-0000-0000-000090100000}"/>
    <cellStyle name="40% - Accent5 2 26" xfId="2951" xr:uid="{00000000-0005-0000-0000-000091100000}"/>
    <cellStyle name="40% - Accent5 2 27" xfId="2952" xr:uid="{00000000-0005-0000-0000-000092100000}"/>
    <cellStyle name="40% - Accent5 2 28" xfId="2953" xr:uid="{00000000-0005-0000-0000-000093100000}"/>
    <cellStyle name="40% - Accent5 2 29" xfId="2954" xr:uid="{00000000-0005-0000-0000-000094100000}"/>
    <cellStyle name="40% - Accent5 2 3" xfId="2955" xr:uid="{00000000-0005-0000-0000-000095100000}"/>
    <cellStyle name="40% - Accent5 2 3 2" xfId="13199" xr:uid="{00000000-0005-0000-0000-000096100000}"/>
    <cellStyle name="40% - Accent5 2 3 2 2" xfId="13200" xr:uid="{00000000-0005-0000-0000-000097100000}"/>
    <cellStyle name="40% - Accent5 2 3 2 2 2" xfId="13201" xr:uid="{00000000-0005-0000-0000-000098100000}"/>
    <cellStyle name="40% - Accent5 2 3 2 2 2 2" xfId="17269" xr:uid="{00000000-0005-0000-0000-000099100000}"/>
    <cellStyle name="40% - Accent5 2 3 2 2 2 3" xfId="33720" xr:uid="{00000000-0005-0000-0000-00009A100000}"/>
    <cellStyle name="40% - Accent5 2 3 2 2 3" xfId="17268" xr:uid="{00000000-0005-0000-0000-00009B100000}"/>
    <cellStyle name="40% - Accent5 2 3 2 2 3 2" xfId="33949" xr:uid="{00000000-0005-0000-0000-00009C100000}"/>
    <cellStyle name="40% - Accent5 2 3 2 2 4" xfId="34163" xr:uid="{00000000-0005-0000-0000-00009D100000}"/>
    <cellStyle name="40% - Accent5 2 3 2 2 5" xfId="33336" xr:uid="{00000000-0005-0000-0000-00009E100000}"/>
    <cellStyle name="40% - Accent5 2 3 2 2_loan Analysis " xfId="13202" xr:uid="{00000000-0005-0000-0000-00009F100000}"/>
    <cellStyle name="40% - Accent5 2 3 2 3" xfId="13203" xr:uid="{00000000-0005-0000-0000-0000A0100000}"/>
    <cellStyle name="40% - Accent5 2 3 2 3 2" xfId="17270" xr:uid="{00000000-0005-0000-0000-0000A1100000}"/>
    <cellStyle name="40% - Accent5 2 3 2 3 3" xfId="33612" xr:uid="{00000000-0005-0000-0000-0000A2100000}"/>
    <cellStyle name="40% - Accent5 2 3 2 4" xfId="17267" xr:uid="{00000000-0005-0000-0000-0000A3100000}"/>
    <cellStyle name="40% - Accent5 2 3 2 4 2" xfId="33847" xr:uid="{00000000-0005-0000-0000-0000A4100000}"/>
    <cellStyle name="40% - Accent5 2 3 2 5" xfId="34066" xr:uid="{00000000-0005-0000-0000-0000A5100000}"/>
    <cellStyle name="40% - Accent5 2 3 2 6" xfId="33232" xr:uid="{00000000-0005-0000-0000-0000A6100000}"/>
    <cellStyle name="40% - Accent5 2 3 2_loan Analysis " xfId="13204" xr:uid="{00000000-0005-0000-0000-0000A7100000}"/>
    <cellStyle name="40% - Accent5 2 3 3" xfId="13205" xr:uid="{00000000-0005-0000-0000-0000A8100000}"/>
    <cellStyle name="40% - Accent5 2 3 3 2" xfId="13206" xr:uid="{00000000-0005-0000-0000-0000A9100000}"/>
    <cellStyle name="40% - Accent5 2 3 3 2 2" xfId="17272" xr:uid="{00000000-0005-0000-0000-0000AA100000}"/>
    <cellStyle name="40% - Accent5 2 3 3 2 3" xfId="33679" xr:uid="{00000000-0005-0000-0000-0000AB100000}"/>
    <cellStyle name="40% - Accent5 2 3 3 3" xfId="17271" xr:uid="{00000000-0005-0000-0000-0000AC100000}"/>
    <cellStyle name="40% - Accent5 2 3 3 3 2" xfId="33907" xr:uid="{00000000-0005-0000-0000-0000AD100000}"/>
    <cellStyle name="40% - Accent5 2 3 3 4" xfId="34122" xr:uid="{00000000-0005-0000-0000-0000AE100000}"/>
    <cellStyle name="40% - Accent5 2 3 3 5" xfId="33295" xr:uid="{00000000-0005-0000-0000-0000AF100000}"/>
    <cellStyle name="40% - Accent5 2 3 3_loan Analysis " xfId="13207" xr:uid="{00000000-0005-0000-0000-0000B0100000}"/>
    <cellStyle name="40% - Accent5 2 3 4" xfId="13208" xr:uid="{00000000-0005-0000-0000-0000B1100000}"/>
    <cellStyle name="40% - Accent5 2 3 4 2" xfId="17273" xr:uid="{00000000-0005-0000-0000-0000B2100000}"/>
    <cellStyle name="40% - Accent5 2 3 4 3" xfId="29991" xr:uid="{00000000-0005-0000-0000-0000B3100000}"/>
    <cellStyle name="40% - Accent5 2 3 4 4" xfId="33476" xr:uid="{00000000-0005-0000-0000-0000B4100000}"/>
    <cellStyle name="40% - Accent5 2 3 5" xfId="29992" xr:uid="{00000000-0005-0000-0000-0000B5100000}"/>
    <cellStyle name="40% - Accent5 2 3 5 2" xfId="33549" xr:uid="{00000000-0005-0000-0000-0000B6100000}"/>
    <cellStyle name="40% - Accent5 2 3 6" xfId="29993" xr:uid="{00000000-0005-0000-0000-0000B7100000}"/>
    <cellStyle name="40% - Accent5 2 3 6 2" xfId="33857" xr:uid="{00000000-0005-0000-0000-0000B8100000}"/>
    <cellStyle name="40% - Accent5 2 3 7" xfId="29994" xr:uid="{00000000-0005-0000-0000-0000B9100000}"/>
    <cellStyle name="40% - Accent5 2 3 8" xfId="33149" xr:uid="{00000000-0005-0000-0000-0000BA100000}"/>
    <cellStyle name="40% - Accent5 2 3_loan Analysis " xfId="13209" xr:uid="{00000000-0005-0000-0000-0000BB100000}"/>
    <cellStyle name="40% - Accent5 2 30" xfId="2956" xr:uid="{00000000-0005-0000-0000-0000BC100000}"/>
    <cellStyle name="40% - Accent5 2 31" xfId="2957" xr:uid="{00000000-0005-0000-0000-0000BD100000}"/>
    <cellStyle name="40% - Accent5 2 32" xfId="2958" xr:uid="{00000000-0005-0000-0000-0000BE100000}"/>
    <cellStyle name="40% - Accent5 2 33" xfId="2959" xr:uid="{00000000-0005-0000-0000-0000BF100000}"/>
    <cellStyle name="40% - Accent5 2 33 2" xfId="2960" xr:uid="{00000000-0005-0000-0000-0000C0100000}"/>
    <cellStyle name="40% - Accent5 2 34" xfId="2961" xr:uid="{00000000-0005-0000-0000-0000C1100000}"/>
    <cellStyle name="40% - Accent5 2 35" xfId="2962" xr:uid="{00000000-0005-0000-0000-0000C2100000}"/>
    <cellStyle name="40% - Accent5 2 36" xfId="2963" xr:uid="{00000000-0005-0000-0000-0000C3100000}"/>
    <cellStyle name="40% - Accent5 2 37" xfId="2964" xr:uid="{00000000-0005-0000-0000-0000C4100000}"/>
    <cellStyle name="40% - Accent5 2 38" xfId="2965" xr:uid="{00000000-0005-0000-0000-0000C5100000}"/>
    <cellStyle name="40% - Accent5 2 39" xfId="2966" xr:uid="{00000000-0005-0000-0000-0000C6100000}"/>
    <cellStyle name="40% - Accent5 2 4" xfId="2967" xr:uid="{00000000-0005-0000-0000-0000C7100000}"/>
    <cellStyle name="40% - Accent5 2 4 2" xfId="13210" xr:uid="{00000000-0005-0000-0000-0000C8100000}"/>
    <cellStyle name="40% - Accent5 2 4 2 2" xfId="13211" xr:uid="{00000000-0005-0000-0000-0000C9100000}"/>
    <cellStyle name="40% - Accent5 2 4 2 2 2" xfId="13212" xr:uid="{00000000-0005-0000-0000-0000CA100000}"/>
    <cellStyle name="40% - Accent5 2 4 2 2 2 2" xfId="17277" xr:uid="{00000000-0005-0000-0000-0000CB100000}"/>
    <cellStyle name="40% - Accent5 2 4 2 2 2 3" xfId="33721" xr:uid="{00000000-0005-0000-0000-0000CC100000}"/>
    <cellStyle name="40% - Accent5 2 4 2 2 3" xfId="17276" xr:uid="{00000000-0005-0000-0000-0000CD100000}"/>
    <cellStyle name="40% - Accent5 2 4 2 2 3 2" xfId="33950" xr:uid="{00000000-0005-0000-0000-0000CE100000}"/>
    <cellStyle name="40% - Accent5 2 4 2 2 4" xfId="34164" xr:uid="{00000000-0005-0000-0000-0000CF100000}"/>
    <cellStyle name="40% - Accent5 2 4 2 2 5" xfId="33337" xr:uid="{00000000-0005-0000-0000-0000D0100000}"/>
    <cellStyle name="40% - Accent5 2 4 2 2_loan Analysis " xfId="13213" xr:uid="{00000000-0005-0000-0000-0000D1100000}"/>
    <cellStyle name="40% - Accent5 2 4 2 3" xfId="13214" xr:uid="{00000000-0005-0000-0000-0000D2100000}"/>
    <cellStyle name="40% - Accent5 2 4 2 3 2" xfId="17278" xr:uid="{00000000-0005-0000-0000-0000D3100000}"/>
    <cellStyle name="40% - Accent5 2 4 2 3 3" xfId="33613" xr:uid="{00000000-0005-0000-0000-0000D4100000}"/>
    <cellStyle name="40% - Accent5 2 4 2 4" xfId="17275" xr:uid="{00000000-0005-0000-0000-0000D5100000}"/>
    <cellStyle name="40% - Accent5 2 4 2 4 2" xfId="33848" xr:uid="{00000000-0005-0000-0000-0000D6100000}"/>
    <cellStyle name="40% - Accent5 2 4 2 5" xfId="34067" xr:uid="{00000000-0005-0000-0000-0000D7100000}"/>
    <cellStyle name="40% - Accent5 2 4 2 6" xfId="33233" xr:uid="{00000000-0005-0000-0000-0000D8100000}"/>
    <cellStyle name="40% - Accent5 2 4 2_loan Analysis " xfId="13215" xr:uid="{00000000-0005-0000-0000-0000D9100000}"/>
    <cellStyle name="40% - Accent5 2 4 3" xfId="13216" xr:uid="{00000000-0005-0000-0000-0000DA100000}"/>
    <cellStyle name="40% - Accent5 2 4 3 2" xfId="13217" xr:uid="{00000000-0005-0000-0000-0000DB100000}"/>
    <cellStyle name="40% - Accent5 2 4 3 2 2" xfId="17280" xr:uid="{00000000-0005-0000-0000-0000DC100000}"/>
    <cellStyle name="40% - Accent5 2 4 3 2 3" xfId="33680" xr:uid="{00000000-0005-0000-0000-0000DD100000}"/>
    <cellStyle name="40% - Accent5 2 4 3 3" xfId="17279" xr:uid="{00000000-0005-0000-0000-0000DE100000}"/>
    <cellStyle name="40% - Accent5 2 4 3 3 2" xfId="33908" xr:uid="{00000000-0005-0000-0000-0000DF100000}"/>
    <cellStyle name="40% - Accent5 2 4 3 4" xfId="34123" xr:uid="{00000000-0005-0000-0000-0000E0100000}"/>
    <cellStyle name="40% - Accent5 2 4 3 5" xfId="33296" xr:uid="{00000000-0005-0000-0000-0000E1100000}"/>
    <cellStyle name="40% - Accent5 2 4 3_loan Analysis " xfId="13218" xr:uid="{00000000-0005-0000-0000-0000E2100000}"/>
    <cellStyle name="40% - Accent5 2 4 4" xfId="13219" xr:uid="{00000000-0005-0000-0000-0000E3100000}"/>
    <cellStyle name="40% - Accent5 2 4 4 2" xfId="17281" xr:uid="{00000000-0005-0000-0000-0000E4100000}"/>
    <cellStyle name="40% - Accent5 2 4 4 3" xfId="29995" xr:uid="{00000000-0005-0000-0000-0000E5100000}"/>
    <cellStyle name="40% - Accent5 2 4 4 4" xfId="33477" xr:uid="{00000000-0005-0000-0000-0000E6100000}"/>
    <cellStyle name="40% - Accent5 2 4 5" xfId="29996" xr:uid="{00000000-0005-0000-0000-0000E7100000}"/>
    <cellStyle name="40% - Accent5 2 4 5 2" xfId="33548" xr:uid="{00000000-0005-0000-0000-0000E8100000}"/>
    <cellStyle name="40% - Accent5 2 4 6" xfId="29997" xr:uid="{00000000-0005-0000-0000-0000E9100000}"/>
    <cellStyle name="40% - Accent5 2 4 6 2" xfId="33486" xr:uid="{00000000-0005-0000-0000-0000EA100000}"/>
    <cellStyle name="40% - Accent5 2 4 7" xfId="33150" xr:uid="{00000000-0005-0000-0000-0000EB100000}"/>
    <cellStyle name="40% - Accent5 2 4_loan Analysis " xfId="13220" xr:uid="{00000000-0005-0000-0000-0000EC100000}"/>
    <cellStyle name="40% - Accent5 2 40" xfId="2968" xr:uid="{00000000-0005-0000-0000-0000ED100000}"/>
    <cellStyle name="40% - Accent5 2 41" xfId="2969" xr:uid="{00000000-0005-0000-0000-0000EE100000}"/>
    <cellStyle name="40% - Accent5 2 41 2" xfId="2970" xr:uid="{00000000-0005-0000-0000-0000EF100000}"/>
    <cellStyle name="40% - Accent5 2 42" xfId="29998" xr:uid="{00000000-0005-0000-0000-0000F0100000}"/>
    <cellStyle name="40% - Accent5 2 43" xfId="29999" xr:uid="{00000000-0005-0000-0000-0000F1100000}"/>
    <cellStyle name="40% - Accent5 2 44" xfId="30000" xr:uid="{00000000-0005-0000-0000-0000F2100000}"/>
    <cellStyle name="40% - Accent5 2 45" xfId="30001" xr:uid="{00000000-0005-0000-0000-0000F3100000}"/>
    <cellStyle name="40% - Accent5 2 46" xfId="30002" xr:uid="{00000000-0005-0000-0000-0000F4100000}"/>
    <cellStyle name="40% - Accent5 2 47" xfId="30003" xr:uid="{00000000-0005-0000-0000-0000F5100000}"/>
    <cellStyle name="40% - Accent5 2 48" xfId="30004" xr:uid="{00000000-0005-0000-0000-0000F6100000}"/>
    <cellStyle name="40% - Accent5 2 49" xfId="2803" xr:uid="{00000000-0005-0000-0000-0000F7100000}"/>
    <cellStyle name="40% - Accent5 2 5" xfId="2971" xr:uid="{00000000-0005-0000-0000-0000F8100000}"/>
    <cellStyle name="40% - Accent5 2 5 2" xfId="2972" xr:uid="{00000000-0005-0000-0000-0000F9100000}"/>
    <cellStyle name="40% - Accent5 2 5 3" xfId="30005" xr:uid="{00000000-0005-0000-0000-0000FA100000}"/>
    <cellStyle name="40% - Accent5 2 6" xfId="2973" xr:uid="{00000000-0005-0000-0000-0000FB100000}"/>
    <cellStyle name="40% - Accent5 2 6 2" xfId="30006" xr:uid="{00000000-0005-0000-0000-0000FC100000}"/>
    <cellStyle name="40% - Accent5 2 6 3" xfId="30007" xr:uid="{00000000-0005-0000-0000-0000FD100000}"/>
    <cellStyle name="40% - Accent5 2 7" xfId="2974" xr:uid="{00000000-0005-0000-0000-0000FE100000}"/>
    <cellStyle name="40% - Accent5 2 8" xfId="2975" xr:uid="{00000000-0005-0000-0000-0000FF100000}"/>
    <cellStyle name="40% - Accent5 2 9" xfId="2976" xr:uid="{00000000-0005-0000-0000-000000110000}"/>
    <cellStyle name="40% - Accent5 2_Loan Classification" xfId="11410" xr:uid="{00000000-0005-0000-0000-000001110000}"/>
    <cellStyle name="40% - Accent5 20" xfId="2977" xr:uid="{00000000-0005-0000-0000-000002110000}"/>
    <cellStyle name="40% - Accent5 21" xfId="2978" xr:uid="{00000000-0005-0000-0000-000003110000}"/>
    <cellStyle name="40% - Accent5 22" xfId="2979" xr:uid="{00000000-0005-0000-0000-000004110000}"/>
    <cellStyle name="40% - Accent5 23" xfId="2980" xr:uid="{00000000-0005-0000-0000-000005110000}"/>
    <cellStyle name="40% - Accent5 24" xfId="2981" xr:uid="{00000000-0005-0000-0000-000006110000}"/>
    <cellStyle name="40% - Accent5 25" xfId="2982" xr:uid="{00000000-0005-0000-0000-000007110000}"/>
    <cellStyle name="40% - Accent5 26" xfId="2983" xr:uid="{00000000-0005-0000-0000-000008110000}"/>
    <cellStyle name="40% - Accent5 27" xfId="2984" xr:uid="{00000000-0005-0000-0000-000009110000}"/>
    <cellStyle name="40% - Accent5 28" xfId="2985" xr:uid="{00000000-0005-0000-0000-00000A110000}"/>
    <cellStyle name="40% - Accent5 29" xfId="2986" xr:uid="{00000000-0005-0000-0000-00000B110000}"/>
    <cellStyle name="40% - Accent5 3" xfId="459" xr:uid="{00000000-0005-0000-0000-00000C110000}"/>
    <cellStyle name="40% - Accent5 3 2" xfId="30008" xr:uid="{00000000-0005-0000-0000-00000D110000}"/>
    <cellStyle name="40% - Accent5 3 2 2" xfId="30009" xr:uid="{00000000-0005-0000-0000-00000E110000}"/>
    <cellStyle name="40% - Accent5 3 3" xfId="30010" xr:uid="{00000000-0005-0000-0000-00000F110000}"/>
    <cellStyle name="40% - Accent5 3 4" xfId="2987" xr:uid="{00000000-0005-0000-0000-000010110000}"/>
    <cellStyle name="40% - Accent5 30" xfId="2988" xr:uid="{00000000-0005-0000-0000-000011110000}"/>
    <cellStyle name="40% - Accent5 31" xfId="2989" xr:uid="{00000000-0005-0000-0000-000012110000}"/>
    <cellStyle name="40% - Accent5 32" xfId="2990" xr:uid="{00000000-0005-0000-0000-000013110000}"/>
    <cellStyle name="40% - Accent5 33" xfId="2991" xr:uid="{00000000-0005-0000-0000-000014110000}"/>
    <cellStyle name="40% - Accent5 34" xfId="2992" xr:uid="{00000000-0005-0000-0000-000015110000}"/>
    <cellStyle name="40% - Accent5 35" xfId="2993" xr:uid="{00000000-0005-0000-0000-000016110000}"/>
    <cellStyle name="40% - Accent5 36" xfId="2994" xr:uid="{00000000-0005-0000-0000-000017110000}"/>
    <cellStyle name="40% - Accent5 37" xfId="2995" xr:uid="{00000000-0005-0000-0000-000018110000}"/>
    <cellStyle name="40% - Accent5 38" xfId="2996" xr:uid="{00000000-0005-0000-0000-000019110000}"/>
    <cellStyle name="40% - Accent5 39" xfId="2997" xr:uid="{00000000-0005-0000-0000-00001A110000}"/>
    <cellStyle name="40% - Accent5 4" xfId="2998" xr:uid="{00000000-0005-0000-0000-00001B110000}"/>
    <cellStyle name="40% - Accent5 4 2" xfId="30011" xr:uid="{00000000-0005-0000-0000-00001C110000}"/>
    <cellStyle name="40% - Accent5 4 2 2" xfId="30012" xr:uid="{00000000-0005-0000-0000-00001D110000}"/>
    <cellStyle name="40% - Accent5 4 3" xfId="30013" xr:uid="{00000000-0005-0000-0000-00001E110000}"/>
    <cellStyle name="40% - Accent5 40" xfId="2999" xr:uid="{00000000-0005-0000-0000-00001F110000}"/>
    <cellStyle name="40% - Accent5 41" xfId="3000" xr:uid="{00000000-0005-0000-0000-000020110000}"/>
    <cellStyle name="40% - Accent5 42" xfId="3001" xr:uid="{00000000-0005-0000-0000-000021110000}"/>
    <cellStyle name="40% - Accent5 43" xfId="11573" xr:uid="{00000000-0005-0000-0000-000022110000}"/>
    <cellStyle name="40% - Accent5 44" xfId="11556" xr:uid="{00000000-0005-0000-0000-000023110000}"/>
    <cellStyle name="40% - Accent5 44 2" xfId="17286" xr:uid="{00000000-0005-0000-0000-000024110000}"/>
    <cellStyle name="40% - Accent5 45" xfId="17287" xr:uid="{00000000-0005-0000-0000-000025110000}"/>
    <cellStyle name="40% - Accent5 46" xfId="30014" xr:uid="{00000000-0005-0000-0000-000026110000}"/>
    <cellStyle name="40% - Accent5 47" xfId="34266" xr:uid="{00000000-0005-0000-0000-000027110000}"/>
    <cellStyle name="40% - Accent5 48" xfId="493" xr:uid="{00000000-0005-0000-0000-000028110000}"/>
    <cellStyle name="40% - Accent5 5" xfId="3002" xr:uid="{00000000-0005-0000-0000-000029110000}"/>
    <cellStyle name="40% - Accent5 5 2" xfId="12839" xr:uid="{00000000-0005-0000-0000-00002A110000}"/>
    <cellStyle name="40% - Accent5 5 2 2" xfId="30015" xr:uid="{00000000-0005-0000-0000-00002B110000}"/>
    <cellStyle name="40% - Accent5 5 3" xfId="30016" xr:uid="{00000000-0005-0000-0000-00002C110000}"/>
    <cellStyle name="40% - Accent5 5 3 2" xfId="30017" xr:uid="{00000000-0005-0000-0000-00002D110000}"/>
    <cellStyle name="40% - Accent5 6" xfId="3003" xr:uid="{00000000-0005-0000-0000-00002E110000}"/>
    <cellStyle name="40% - Accent5 6 2" xfId="30018" xr:uid="{00000000-0005-0000-0000-00002F110000}"/>
    <cellStyle name="40% - Accent5 7" xfId="3004" xr:uid="{00000000-0005-0000-0000-000030110000}"/>
    <cellStyle name="40% - Accent5 7 2" xfId="30019" xr:uid="{00000000-0005-0000-0000-000031110000}"/>
    <cellStyle name="40% - Accent5 8" xfId="3005" xr:uid="{00000000-0005-0000-0000-000032110000}"/>
    <cellStyle name="40% - Accent5 8 2" xfId="30020" xr:uid="{00000000-0005-0000-0000-000033110000}"/>
    <cellStyle name="40% - Accent5 9" xfId="3006" xr:uid="{00000000-0005-0000-0000-000034110000}"/>
    <cellStyle name="40% - Accent5 9 2" xfId="30021" xr:uid="{00000000-0005-0000-0000-000035110000}"/>
    <cellStyle name="40% - Accent6" xfId="47" builtinId="51" customBuiltin="1"/>
    <cellStyle name="40% - Accent6 10" xfId="3007" xr:uid="{00000000-0005-0000-0000-000037110000}"/>
    <cellStyle name="40% - Accent6 10 2" xfId="30022" xr:uid="{00000000-0005-0000-0000-000038110000}"/>
    <cellStyle name="40% - Accent6 11" xfId="3008" xr:uid="{00000000-0005-0000-0000-000039110000}"/>
    <cellStyle name="40% - Accent6 11 2" xfId="30023" xr:uid="{00000000-0005-0000-0000-00003A110000}"/>
    <cellStyle name="40% - Accent6 12" xfId="3009" xr:uid="{00000000-0005-0000-0000-00003B110000}"/>
    <cellStyle name="40% - Accent6 12 2" xfId="30024" xr:uid="{00000000-0005-0000-0000-00003C110000}"/>
    <cellStyle name="40% - Accent6 13" xfId="3010" xr:uid="{00000000-0005-0000-0000-00003D110000}"/>
    <cellStyle name="40% - Accent6 13 2" xfId="30025" xr:uid="{00000000-0005-0000-0000-00003E110000}"/>
    <cellStyle name="40% - Accent6 14" xfId="3011" xr:uid="{00000000-0005-0000-0000-00003F110000}"/>
    <cellStyle name="40% - Accent6 14 2" xfId="30026" xr:uid="{00000000-0005-0000-0000-000040110000}"/>
    <cellStyle name="40% - Accent6 15" xfId="3012" xr:uid="{00000000-0005-0000-0000-000041110000}"/>
    <cellStyle name="40% - Accent6 15 2" xfId="30027" xr:uid="{00000000-0005-0000-0000-000042110000}"/>
    <cellStyle name="40% - Accent6 16" xfId="3013" xr:uid="{00000000-0005-0000-0000-000043110000}"/>
    <cellStyle name="40% - Accent6 16 2" xfId="30028" xr:uid="{00000000-0005-0000-0000-000044110000}"/>
    <cellStyle name="40% - Accent6 17" xfId="3014" xr:uid="{00000000-0005-0000-0000-000045110000}"/>
    <cellStyle name="40% - Accent6 17 2" xfId="30029" xr:uid="{00000000-0005-0000-0000-000046110000}"/>
    <cellStyle name="40% - Accent6 18" xfId="3015" xr:uid="{00000000-0005-0000-0000-000047110000}"/>
    <cellStyle name="40% - Accent6 19" xfId="3016" xr:uid="{00000000-0005-0000-0000-000048110000}"/>
    <cellStyle name="40% - Accent6 2" xfId="69" xr:uid="{00000000-0005-0000-0000-000049110000}"/>
    <cellStyle name="40% - Accent6 2 10" xfId="3018" xr:uid="{00000000-0005-0000-0000-00004A110000}"/>
    <cellStyle name="40% - Accent6 2 11" xfId="3019" xr:uid="{00000000-0005-0000-0000-00004B110000}"/>
    <cellStyle name="40% - Accent6 2 12" xfId="3020" xr:uid="{00000000-0005-0000-0000-00004C110000}"/>
    <cellStyle name="40% - Accent6 2 13" xfId="3021" xr:uid="{00000000-0005-0000-0000-00004D110000}"/>
    <cellStyle name="40% - Accent6 2 14" xfId="3022" xr:uid="{00000000-0005-0000-0000-00004E110000}"/>
    <cellStyle name="40% - Accent6 2 15" xfId="3023" xr:uid="{00000000-0005-0000-0000-00004F110000}"/>
    <cellStyle name="40% - Accent6 2 16" xfId="3024" xr:uid="{00000000-0005-0000-0000-000050110000}"/>
    <cellStyle name="40% - Accent6 2 16 2" xfId="3025" xr:uid="{00000000-0005-0000-0000-000051110000}"/>
    <cellStyle name="40% - Accent6 2 17" xfId="3026" xr:uid="{00000000-0005-0000-0000-000052110000}"/>
    <cellStyle name="40% - Accent6 2 18" xfId="3027" xr:uid="{00000000-0005-0000-0000-000053110000}"/>
    <cellStyle name="40% - Accent6 2 19" xfId="3028" xr:uid="{00000000-0005-0000-0000-000054110000}"/>
    <cellStyle name="40% - Accent6 2 2" xfId="418" xr:uid="{00000000-0005-0000-0000-000055110000}"/>
    <cellStyle name="40% - Accent6 2 2 10" xfId="3030" xr:uid="{00000000-0005-0000-0000-000056110000}"/>
    <cellStyle name="40% - Accent6 2 2 11" xfId="3031" xr:uid="{00000000-0005-0000-0000-000057110000}"/>
    <cellStyle name="40% - Accent6 2 2 12" xfId="3032" xr:uid="{00000000-0005-0000-0000-000058110000}"/>
    <cellStyle name="40% - Accent6 2 2 13" xfId="3033" xr:uid="{00000000-0005-0000-0000-000059110000}"/>
    <cellStyle name="40% - Accent6 2 2 14" xfId="3034" xr:uid="{00000000-0005-0000-0000-00005A110000}"/>
    <cellStyle name="40% - Accent6 2 2 14 2" xfId="3035" xr:uid="{00000000-0005-0000-0000-00005B110000}"/>
    <cellStyle name="40% - Accent6 2 2 15" xfId="3036" xr:uid="{00000000-0005-0000-0000-00005C110000}"/>
    <cellStyle name="40% - Accent6 2 2 16" xfId="3037" xr:uid="{00000000-0005-0000-0000-00005D110000}"/>
    <cellStyle name="40% - Accent6 2 2 17" xfId="3038" xr:uid="{00000000-0005-0000-0000-00005E110000}"/>
    <cellStyle name="40% - Accent6 2 2 18" xfId="3039" xr:uid="{00000000-0005-0000-0000-00005F110000}"/>
    <cellStyle name="40% - Accent6 2 2 19" xfId="3040" xr:uid="{00000000-0005-0000-0000-000060110000}"/>
    <cellStyle name="40% - Accent6 2 2 2" xfId="3041" xr:uid="{00000000-0005-0000-0000-000061110000}"/>
    <cellStyle name="40% - Accent6 2 2 2 10" xfId="3042" xr:uid="{00000000-0005-0000-0000-000062110000}"/>
    <cellStyle name="40% - Accent6 2 2 2 11" xfId="3043" xr:uid="{00000000-0005-0000-0000-000063110000}"/>
    <cellStyle name="40% - Accent6 2 2 2 12" xfId="3044" xr:uid="{00000000-0005-0000-0000-000064110000}"/>
    <cellStyle name="40% - Accent6 2 2 2 13" xfId="3045" xr:uid="{00000000-0005-0000-0000-000065110000}"/>
    <cellStyle name="40% - Accent6 2 2 2 14" xfId="3046" xr:uid="{00000000-0005-0000-0000-000066110000}"/>
    <cellStyle name="40% - Accent6 2 2 2 15" xfId="3047" xr:uid="{00000000-0005-0000-0000-000067110000}"/>
    <cellStyle name="40% - Accent6 2 2 2 16" xfId="3048" xr:uid="{00000000-0005-0000-0000-000068110000}"/>
    <cellStyle name="40% - Accent6 2 2 2 17" xfId="3049" xr:uid="{00000000-0005-0000-0000-000069110000}"/>
    <cellStyle name="40% - Accent6 2 2 2 18" xfId="3050" xr:uid="{00000000-0005-0000-0000-00006A110000}"/>
    <cellStyle name="40% - Accent6 2 2 2 19" xfId="3051" xr:uid="{00000000-0005-0000-0000-00006B110000}"/>
    <cellStyle name="40% - Accent6 2 2 2 2" xfId="3052" xr:uid="{00000000-0005-0000-0000-00006C110000}"/>
    <cellStyle name="40% - Accent6 2 2 2 2 10" xfId="3053" xr:uid="{00000000-0005-0000-0000-00006D110000}"/>
    <cellStyle name="40% - Accent6 2 2 2 2 11" xfId="3054" xr:uid="{00000000-0005-0000-0000-00006E110000}"/>
    <cellStyle name="40% - Accent6 2 2 2 2 12" xfId="3055" xr:uid="{00000000-0005-0000-0000-00006F110000}"/>
    <cellStyle name="40% - Accent6 2 2 2 2 13" xfId="3056" xr:uid="{00000000-0005-0000-0000-000070110000}"/>
    <cellStyle name="40% - Accent6 2 2 2 2 14" xfId="3057" xr:uid="{00000000-0005-0000-0000-000071110000}"/>
    <cellStyle name="40% - Accent6 2 2 2 2 15" xfId="3058" xr:uid="{00000000-0005-0000-0000-000072110000}"/>
    <cellStyle name="40% - Accent6 2 2 2 2 16" xfId="3059" xr:uid="{00000000-0005-0000-0000-000073110000}"/>
    <cellStyle name="40% - Accent6 2 2 2 2 17" xfId="3060" xr:uid="{00000000-0005-0000-0000-000074110000}"/>
    <cellStyle name="40% - Accent6 2 2 2 2 18" xfId="3061" xr:uid="{00000000-0005-0000-0000-000075110000}"/>
    <cellStyle name="40% - Accent6 2 2 2 2 19" xfId="3062" xr:uid="{00000000-0005-0000-0000-000076110000}"/>
    <cellStyle name="40% - Accent6 2 2 2 2 2" xfId="3063" xr:uid="{00000000-0005-0000-0000-000077110000}"/>
    <cellStyle name="40% - Accent6 2 2 2 2 2 10" xfId="3064" xr:uid="{00000000-0005-0000-0000-000078110000}"/>
    <cellStyle name="40% - Accent6 2 2 2 2 2 11" xfId="3065" xr:uid="{00000000-0005-0000-0000-000079110000}"/>
    <cellStyle name="40% - Accent6 2 2 2 2 2 11 2" xfId="3066" xr:uid="{00000000-0005-0000-0000-00007A110000}"/>
    <cellStyle name="40% - Accent6 2 2 2 2 2 12" xfId="30030" xr:uid="{00000000-0005-0000-0000-00007B110000}"/>
    <cellStyle name="40% - Accent6 2 2 2 2 2 13" xfId="30031" xr:uid="{00000000-0005-0000-0000-00007C110000}"/>
    <cellStyle name="40% - Accent6 2 2 2 2 2 14" xfId="33722" xr:uid="{00000000-0005-0000-0000-00007D110000}"/>
    <cellStyle name="40% - Accent6 2 2 2 2 2 2" xfId="3067" xr:uid="{00000000-0005-0000-0000-00007E110000}"/>
    <cellStyle name="40% - Accent6 2 2 2 2 2 2 10" xfId="3068" xr:uid="{00000000-0005-0000-0000-00007F110000}"/>
    <cellStyle name="40% - Accent6 2 2 2 2 2 2 11" xfId="3069" xr:uid="{00000000-0005-0000-0000-000080110000}"/>
    <cellStyle name="40% - Accent6 2 2 2 2 2 2 11 2" xfId="3070" xr:uid="{00000000-0005-0000-0000-000081110000}"/>
    <cellStyle name="40% - Accent6 2 2 2 2 2 2 2" xfId="3071" xr:uid="{00000000-0005-0000-0000-000082110000}"/>
    <cellStyle name="40% - Accent6 2 2 2 2 2 2 2 2" xfId="3072" xr:uid="{00000000-0005-0000-0000-000083110000}"/>
    <cellStyle name="40% - Accent6 2 2 2 2 2 2 2 2 2" xfId="3073" xr:uid="{00000000-0005-0000-0000-000084110000}"/>
    <cellStyle name="40% - Accent6 2 2 2 2 2 2 2 2 2 2" xfId="3074" xr:uid="{00000000-0005-0000-0000-000085110000}"/>
    <cellStyle name="40% - Accent6 2 2 2 2 2 2 2 2 3" xfId="3075" xr:uid="{00000000-0005-0000-0000-000086110000}"/>
    <cellStyle name="40% - Accent6 2 2 2 2 2 2 2 3" xfId="3076" xr:uid="{00000000-0005-0000-0000-000087110000}"/>
    <cellStyle name="40% - Accent6 2 2 2 2 2 2 2 3 2" xfId="3077" xr:uid="{00000000-0005-0000-0000-000088110000}"/>
    <cellStyle name="40% - Accent6 2 2 2 2 2 2 3" xfId="3078" xr:uid="{00000000-0005-0000-0000-000089110000}"/>
    <cellStyle name="40% - Accent6 2 2 2 2 2 2 4" xfId="3079" xr:uid="{00000000-0005-0000-0000-00008A110000}"/>
    <cellStyle name="40% - Accent6 2 2 2 2 2 2 5" xfId="3080" xr:uid="{00000000-0005-0000-0000-00008B110000}"/>
    <cellStyle name="40% - Accent6 2 2 2 2 2 2 6" xfId="3081" xr:uid="{00000000-0005-0000-0000-00008C110000}"/>
    <cellStyle name="40% - Accent6 2 2 2 2 2 2 7" xfId="3082" xr:uid="{00000000-0005-0000-0000-00008D110000}"/>
    <cellStyle name="40% - Accent6 2 2 2 2 2 2 8" xfId="3083" xr:uid="{00000000-0005-0000-0000-00008E110000}"/>
    <cellStyle name="40% - Accent6 2 2 2 2 2 2 9" xfId="3084" xr:uid="{00000000-0005-0000-0000-00008F110000}"/>
    <cellStyle name="40% - Accent6 2 2 2 2 2 3" xfId="3085" xr:uid="{00000000-0005-0000-0000-000090110000}"/>
    <cellStyle name="40% - Accent6 2 2 2 2 2 3 2" xfId="3086" xr:uid="{00000000-0005-0000-0000-000091110000}"/>
    <cellStyle name="40% - Accent6 2 2 2 2 2 4" xfId="3087" xr:uid="{00000000-0005-0000-0000-000092110000}"/>
    <cellStyle name="40% - Accent6 2 2 2 2 2 5" xfId="3088" xr:uid="{00000000-0005-0000-0000-000093110000}"/>
    <cellStyle name="40% - Accent6 2 2 2 2 2 6" xfId="3089" xr:uid="{00000000-0005-0000-0000-000094110000}"/>
    <cellStyle name="40% - Accent6 2 2 2 2 2 7" xfId="3090" xr:uid="{00000000-0005-0000-0000-000095110000}"/>
    <cellStyle name="40% - Accent6 2 2 2 2 2 8" xfId="3091" xr:uid="{00000000-0005-0000-0000-000096110000}"/>
    <cellStyle name="40% - Accent6 2 2 2 2 2 9" xfId="3092" xr:uid="{00000000-0005-0000-0000-000097110000}"/>
    <cellStyle name="40% - Accent6 2 2 2 2 20" xfId="3093" xr:uid="{00000000-0005-0000-0000-000098110000}"/>
    <cellStyle name="40% - Accent6 2 2 2 2 20 2" xfId="3094" xr:uid="{00000000-0005-0000-0000-000099110000}"/>
    <cellStyle name="40% - Accent6 2 2 2 2 21" xfId="3095" xr:uid="{00000000-0005-0000-0000-00009A110000}"/>
    <cellStyle name="40% - Accent6 2 2 2 2 22" xfId="3096" xr:uid="{00000000-0005-0000-0000-00009B110000}"/>
    <cellStyle name="40% - Accent6 2 2 2 2 23" xfId="3097" xr:uid="{00000000-0005-0000-0000-00009C110000}"/>
    <cellStyle name="40% - Accent6 2 2 2 2 24" xfId="3098" xr:uid="{00000000-0005-0000-0000-00009D110000}"/>
    <cellStyle name="40% - Accent6 2 2 2 2 25" xfId="3099" xr:uid="{00000000-0005-0000-0000-00009E110000}"/>
    <cellStyle name="40% - Accent6 2 2 2 2 26" xfId="3100" xr:uid="{00000000-0005-0000-0000-00009F110000}"/>
    <cellStyle name="40% - Accent6 2 2 2 2 27" xfId="3101" xr:uid="{00000000-0005-0000-0000-0000A0110000}"/>
    <cellStyle name="40% - Accent6 2 2 2 2 28" xfId="3102" xr:uid="{00000000-0005-0000-0000-0000A1110000}"/>
    <cellStyle name="40% - Accent6 2 2 2 2 28 2" xfId="3103" xr:uid="{00000000-0005-0000-0000-0000A2110000}"/>
    <cellStyle name="40% - Accent6 2 2 2 2 29" xfId="30032" xr:uid="{00000000-0005-0000-0000-0000A3110000}"/>
    <cellStyle name="40% - Accent6 2 2 2 2 3" xfId="3104" xr:uid="{00000000-0005-0000-0000-0000A4110000}"/>
    <cellStyle name="40% - Accent6 2 2 2 2 3 2" xfId="33951" xr:uid="{00000000-0005-0000-0000-0000A5110000}"/>
    <cellStyle name="40% - Accent6 2 2 2 2 30" xfId="30033" xr:uid="{00000000-0005-0000-0000-0000A6110000}"/>
    <cellStyle name="40% - Accent6 2 2 2 2 31" xfId="33338" xr:uid="{00000000-0005-0000-0000-0000A7110000}"/>
    <cellStyle name="40% - Accent6 2 2 2 2 4" xfId="3105" xr:uid="{00000000-0005-0000-0000-0000A8110000}"/>
    <cellStyle name="40% - Accent6 2 2 2 2 4 2" xfId="34165" xr:uid="{00000000-0005-0000-0000-0000A9110000}"/>
    <cellStyle name="40% - Accent6 2 2 2 2 5" xfId="3106" xr:uid="{00000000-0005-0000-0000-0000AA110000}"/>
    <cellStyle name="40% - Accent6 2 2 2 2 6" xfId="3107" xr:uid="{00000000-0005-0000-0000-0000AB110000}"/>
    <cellStyle name="40% - Accent6 2 2 2 2 7" xfId="3108" xr:uid="{00000000-0005-0000-0000-0000AC110000}"/>
    <cellStyle name="40% - Accent6 2 2 2 2 8" xfId="3109" xr:uid="{00000000-0005-0000-0000-0000AD110000}"/>
    <cellStyle name="40% - Accent6 2 2 2 2 9" xfId="3110" xr:uid="{00000000-0005-0000-0000-0000AE110000}"/>
    <cellStyle name="40% - Accent6 2 2 2 2_loan Analysis " xfId="13221" xr:uid="{00000000-0005-0000-0000-0000AF110000}"/>
    <cellStyle name="40% - Accent6 2 2 2 20" xfId="3111" xr:uid="{00000000-0005-0000-0000-0000B0110000}"/>
    <cellStyle name="40% - Accent6 2 2 2 20 2" xfId="3112" xr:uid="{00000000-0005-0000-0000-0000B1110000}"/>
    <cellStyle name="40% - Accent6 2 2 2 21" xfId="3113" xr:uid="{00000000-0005-0000-0000-0000B2110000}"/>
    <cellStyle name="40% - Accent6 2 2 2 22" xfId="3114" xr:uid="{00000000-0005-0000-0000-0000B3110000}"/>
    <cellStyle name="40% - Accent6 2 2 2 23" xfId="3115" xr:uid="{00000000-0005-0000-0000-0000B4110000}"/>
    <cellStyle name="40% - Accent6 2 2 2 24" xfId="3116" xr:uid="{00000000-0005-0000-0000-0000B5110000}"/>
    <cellStyle name="40% - Accent6 2 2 2 25" xfId="3117" xr:uid="{00000000-0005-0000-0000-0000B6110000}"/>
    <cellStyle name="40% - Accent6 2 2 2 26" xfId="3118" xr:uid="{00000000-0005-0000-0000-0000B7110000}"/>
    <cellStyle name="40% - Accent6 2 2 2 27" xfId="3119" xr:uid="{00000000-0005-0000-0000-0000B8110000}"/>
    <cellStyle name="40% - Accent6 2 2 2 28" xfId="3120" xr:uid="{00000000-0005-0000-0000-0000B9110000}"/>
    <cellStyle name="40% - Accent6 2 2 2 28 2" xfId="3121" xr:uid="{00000000-0005-0000-0000-0000BA110000}"/>
    <cellStyle name="40% - Accent6 2 2 2 29" xfId="30034" xr:uid="{00000000-0005-0000-0000-0000BB110000}"/>
    <cellStyle name="40% - Accent6 2 2 2 3" xfId="3122" xr:uid="{00000000-0005-0000-0000-0000BC110000}"/>
    <cellStyle name="40% - Accent6 2 2 2 3 2" xfId="3123" xr:uid="{00000000-0005-0000-0000-0000BD110000}"/>
    <cellStyle name="40% - Accent6 2 2 2 3 3" xfId="30035" xr:uid="{00000000-0005-0000-0000-0000BE110000}"/>
    <cellStyle name="40% - Accent6 2 2 2 3 4" xfId="30036" xr:uid="{00000000-0005-0000-0000-0000BF110000}"/>
    <cellStyle name="40% - Accent6 2 2 2 3 5" xfId="33614" xr:uid="{00000000-0005-0000-0000-0000C0110000}"/>
    <cellStyle name="40% - Accent6 2 2 2 30" xfId="30037" xr:uid="{00000000-0005-0000-0000-0000C1110000}"/>
    <cellStyle name="40% - Accent6 2 2 2 31" xfId="30038" xr:uid="{00000000-0005-0000-0000-0000C2110000}"/>
    <cellStyle name="40% - Accent6 2 2 2 32" xfId="33234" xr:uid="{00000000-0005-0000-0000-0000C3110000}"/>
    <cellStyle name="40% - Accent6 2 2 2 4" xfId="3124" xr:uid="{00000000-0005-0000-0000-0000C4110000}"/>
    <cellStyle name="40% - Accent6 2 2 2 4 2" xfId="33849" xr:uid="{00000000-0005-0000-0000-0000C5110000}"/>
    <cellStyle name="40% - Accent6 2 2 2 5" xfId="3125" xr:uid="{00000000-0005-0000-0000-0000C6110000}"/>
    <cellStyle name="40% - Accent6 2 2 2 5 2" xfId="34068" xr:uid="{00000000-0005-0000-0000-0000C7110000}"/>
    <cellStyle name="40% - Accent6 2 2 2 6" xfId="3126" xr:uid="{00000000-0005-0000-0000-0000C8110000}"/>
    <cellStyle name="40% - Accent6 2 2 2 7" xfId="3127" xr:uid="{00000000-0005-0000-0000-0000C9110000}"/>
    <cellStyle name="40% - Accent6 2 2 2 8" xfId="3128" xr:uid="{00000000-0005-0000-0000-0000CA110000}"/>
    <cellStyle name="40% - Accent6 2 2 2 9" xfId="3129" xr:uid="{00000000-0005-0000-0000-0000CB110000}"/>
    <cellStyle name="40% - Accent6 2 2 2_loan Analysis " xfId="13222" xr:uid="{00000000-0005-0000-0000-0000CC110000}"/>
    <cellStyle name="40% - Accent6 2 2 20" xfId="3130" xr:uid="{00000000-0005-0000-0000-0000CD110000}"/>
    <cellStyle name="40% - Accent6 2 2 21" xfId="3131" xr:uid="{00000000-0005-0000-0000-0000CE110000}"/>
    <cellStyle name="40% - Accent6 2 2 22" xfId="3132" xr:uid="{00000000-0005-0000-0000-0000CF110000}"/>
    <cellStyle name="40% - Accent6 2 2 23" xfId="3133" xr:uid="{00000000-0005-0000-0000-0000D0110000}"/>
    <cellStyle name="40% - Accent6 2 2 24" xfId="3134" xr:uid="{00000000-0005-0000-0000-0000D1110000}"/>
    <cellStyle name="40% - Accent6 2 2 25" xfId="3135" xr:uid="{00000000-0005-0000-0000-0000D2110000}"/>
    <cellStyle name="40% - Accent6 2 2 26" xfId="3136" xr:uid="{00000000-0005-0000-0000-0000D3110000}"/>
    <cellStyle name="40% - Accent6 2 2 27" xfId="3137" xr:uid="{00000000-0005-0000-0000-0000D4110000}"/>
    <cellStyle name="40% - Accent6 2 2 28" xfId="3138" xr:uid="{00000000-0005-0000-0000-0000D5110000}"/>
    <cellStyle name="40% - Accent6 2 2 29" xfId="3139" xr:uid="{00000000-0005-0000-0000-0000D6110000}"/>
    <cellStyle name="40% - Accent6 2 2 3" xfId="3140" xr:uid="{00000000-0005-0000-0000-0000D7110000}"/>
    <cellStyle name="40% - Accent6 2 2 3 2" xfId="13223" xr:uid="{00000000-0005-0000-0000-0000D8110000}"/>
    <cellStyle name="40% - Accent6 2 2 3 2 2" xfId="17298" xr:uid="{00000000-0005-0000-0000-0000D9110000}"/>
    <cellStyle name="40% - Accent6 2 2 3 2 3" xfId="33681" xr:uid="{00000000-0005-0000-0000-0000DA110000}"/>
    <cellStyle name="40% - Accent6 2 2 3 3" xfId="30039" xr:uid="{00000000-0005-0000-0000-0000DB110000}"/>
    <cellStyle name="40% - Accent6 2 2 3 3 2" xfId="33909" xr:uid="{00000000-0005-0000-0000-0000DC110000}"/>
    <cellStyle name="40% - Accent6 2 2 3 4" xfId="34124" xr:uid="{00000000-0005-0000-0000-0000DD110000}"/>
    <cellStyle name="40% - Accent6 2 2 3 5" xfId="33297" xr:uid="{00000000-0005-0000-0000-0000DE110000}"/>
    <cellStyle name="40% - Accent6 2 2 3_loan Analysis " xfId="13224" xr:uid="{00000000-0005-0000-0000-0000DF110000}"/>
    <cellStyle name="40% - Accent6 2 2 30" xfId="3141" xr:uid="{00000000-0005-0000-0000-0000E0110000}"/>
    <cellStyle name="40% - Accent6 2 2 31" xfId="3142" xr:uid="{00000000-0005-0000-0000-0000E1110000}"/>
    <cellStyle name="40% - Accent6 2 2 31 2" xfId="3143" xr:uid="{00000000-0005-0000-0000-0000E2110000}"/>
    <cellStyle name="40% - Accent6 2 2 32" xfId="3144" xr:uid="{00000000-0005-0000-0000-0000E3110000}"/>
    <cellStyle name="40% - Accent6 2 2 33" xfId="3145" xr:uid="{00000000-0005-0000-0000-0000E4110000}"/>
    <cellStyle name="40% - Accent6 2 2 34" xfId="3146" xr:uid="{00000000-0005-0000-0000-0000E5110000}"/>
    <cellStyle name="40% - Accent6 2 2 35" xfId="3147" xr:uid="{00000000-0005-0000-0000-0000E6110000}"/>
    <cellStyle name="40% - Accent6 2 2 36" xfId="3148" xr:uid="{00000000-0005-0000-0000-0000E7110000}"/>
    <cellStyle name="40% - Accent6 2 2 37" xfId="3149" xr:uid="{00000000-0005-0000-0000-0000E8110000}"/>
    <cellStyle name="40% - Accent6 2 2 38" xfId="3150" xr:uid="{00000000-0005-0000-0000-0000E9110000}"/>
    <cellStyle name="40% - Accent6 2 2 39" xfId="3151" xr:uid="{00000000-0005-0000-0000-0000EA110000}"/>
    <cellStyle name="40% - Accent6 2 2 39 2" xfId="3152" xr:uid="{00000000-0005-0000-0000-0000EB110000}"/>
    <cellStyle name="40% - Accent6 2 2 4" xfId="3153" xr:uid="{00000000-0005-0000-0000-0000EC110000}"/>
    <cellStyle name="40% - Accent6 2 2 4 2" xfId="30040" xr:uid="{00000000-0005-0000-0000-0000ED110000}"/>
    <cellStyle name="40% - Accent6 2 2 4 3" xfId="30041" xr:uid="{00000000-0005-0000-0000-0000EE110000}"/>
    <cellStyle name="40% - Accent6 2 2 4 4" xfId="30042" xr:uid="{00000000-0005-0000-0000-0000EF110000}"/>
    <cellStyle name="40% - Accent6 2 2 4 5" xfId="33481" xr:uid="{00000000-0005-0000-0000-0000F0110000}"/>
    <cellStyle name="40% - Accent6 2 2 40" xfId="30043" xr:uid="{00000000-0005-0000-0000-0000F1110000}"/>
    <cellStyle name="40% - Accent6 2 2 41" xfId="30044" xr:uid="{00000000-0005-0000-0000-0000F2110000}"/>
    <cellStyle name="40% - Accent6 2 2 42" xfId="30045" xr:uid="{00000000-0005-0000-0000-0000F3110000}"/>
    <cellStyle name="40% - Accent6 2 2 43" xfId="30046" xr:uid="{00000000-0005-0000-0000-0000F4110000}"/>
    <cellStyle name="40% - Accent6 2 2 44" xfId="30047" xr:uid="{00000000-0005-0000-0000-0000F5110000}"/>
    <cellStyle name="40% - Accent6 2 2 45" xfId="30048" xr:uid="{00000000-0005-0000-0000-0000F6110000}"/>
    <cellStyle name="40% - Accent6 2 2 46" xfId="30049" xr:uid="{00000000-0005-0000-0000-0000F7110000}"/>
    <cellStyle name="40% - Accent6 2 2 47" xfId="33152" xr:uid="{00000000-0005-0000-0000-0000F8110000}"/>
    <cellStyle name="40% - Accent6 2 2 48" xfId="3029" xr:uid="{00000000-0005-0000-0000-0000F9110000}"/>
    <cellStyle name="40% - Accent6 2 2 5" xfId="3154" xr:uid="{00000000-0005-0000-0000-0000FA110000}"/>
    <cellStyle name="40% - Accent6 2 2 5 2" xfId="33547" xr:uid="{00000000-0005-0000-0000-0000FB110000}"/>
    <cellStyle name="40% - Accent6 2 2 6" xfId="3155" xr:uid="{00000000-0005-0000-0000-0000FC110000}"/>
    <cellStyle name="40% - Accent6 2 2 6 2" xfId="33488" xr:uid="{00000000-0005-0000-0000-0000FD110000}"/>
    <cellStyle name="40% - Accent6 2 2 7" xfId="3156" xr:uid="{00000000-0005-0000-0000-0000FE110000}"/>
    <cellStyle name="40% - Accent6 2 2 8" xfId="3157" xr:uid="{00000000-0005-0000-0000-0000FF110000}"/>
    <cellStyle name="40% - Accent6 2 2 9" xfId="3158" xr:uid="{00000000-0005-0000-0000-000000120000}"/>
    <cellStyle name="40% - Accent6 2 2_loan Analysis " xfId="13225" xr:uid="{00000000-0005-0000-0000-000001120000}"/>
    <cellStyle name="40% - Accent6 2 20" xfId="3159" xr:uid="{00000000-0005-0000-0000-000002120000}"/>
    <cellStyle name="40% - Accent6 2 21" xfId="3160" xr:uid="{00000000-0005-0000-0000-000003120000}"/>
    <cellStyle name="40% - Accent6 2 22" xfId="3161" xr:uid="{00000000-0005-0000-0000-000004120000}"/>
    <cellStyle name="40% - Accent6 2 23" xfId="3162" xr:uid="{00000000-0005-0000-0000-000005120000}"/>
    <cellStyle name="40% - Accent6 2 24" xfId="3163" xr:uid="{00000000-0005-0000-0000-000006120000}"/>
    <cellStyle name="40% - Accent6 2 25" xfId="3164" xr:uid="{00000000-0005-0000-0000-000007120000}"/>
    <cellStyle name="40% - Accent6 2 26" xfId="3165" xr:uid="{00000000-0005-0000-0000-000008120000}"/>
    <cellStyle name="40% - Accent6 2 27" xfId="3166" xr:uid="{00000000-0005-0000-0000-000009120000}"/>
    <cellStyle name="40% - Accent6 2 28" xfId="3167" xr:uid="{00000000-0005-0000-0000-00000A120000}"/>
    <cellStyle name="40% - Accent6 2 29" xfId="3168" xr:uid="{00000000-0005-0000-0000-00000B120000}"/>
    <cellStyle name="40% - Accent6 2 3" xfId="3169" xr:uid="{00000000-0005-0000-0000-00000C120000}"/>
    <cellStyle name="40% - Accent6 2 3 2" xfId="13226" xr:uid="{00000000-0005-0000-0000-00000D120000}"/>
    <cellStyle name="40% - Accent6 2 3 2 2" xfId="13227" xr:uid="{00000000-0005-0000-0000-00000E120000}"/>
    <cellStyle name="40% - Accent6 2 3 2 2 2" xfId="13228" xr:uid="{00000000-0005-0000-0000-00000F120000}"/>
    <cellStyle name="40% - Accent6 2 3 2 2 2 2" xfId="17302" xr:uid="{00000000-0005-0000-0000-000010120000}"/>
    <cellStyle name="40% - Accent6 2 3 2 2 2 3" xfId="33723" xr:uid="{00000000-0005-0000-0000-000011120000}"/>
    <cellStyle name="40% - Accent6 2 3 2 2 3" xfId="17301" xr:uid="{00000000-0005-0000-0000-000012120000}"/>
    <cellStyle name="40% - Accent6 2 3 2 2 3 2" xfId="33952" xr:uid="{00000000-0005-0000-0000-000013120000}"/>
    <cellStyle name="40% - Accent6 2 3 2 2 4" xfId="34166" xr:uid="{00000000-0005-0000-0000-000014120000}"/>
    <cellStyle name="40% - Accent6 2 3 2 2 5" xfId="33339" xr:uid="{00000000-0005-0000-0000-000015120000}"/>
    <cellStyle name="40% - Accent6 2 3 2 2_loan Analysis " xfId="13229" xr:uid="{00000000-0005-0000-0000-000016120000}"/>
    <cellStyle name="40% - Accent6 2 3 2 3" xfId="13230" xr:uid="{00000000-0005-0000-0000-000017120000}"/>
    <cellStyle name="40% - Accent6 2 3 2 3 2" xfId="17303" xr:uid="{00000000-0005-0000-0000-000018120000}"/>
    <cellStyle name="40% - Accent6 2 3 2 3 3" xfId="33615" xr:uid="{00000000-0005-0000-0000-000019120000}"/>
    <cellStyle name="40% - Accent6 2 3 2 4" xfId="17300" xr:uid="{00000000-0005-0000-0000-00001A120000}"/>
    <cellStyle name="40% - Accent6 2 3 2 4 2" xfId="33850" xr:uid="{00000000-0005-0000-0000-00001B120000}"/>
    <cellStyle name="40% - Accent6 2 3 2 5" xfId="34069" xr:uid="{00000000-0005-0000-0000-00001C120000}"/>
    <cellStyle name="40% - Accent6 2 3 2 6" xfId="33235" xr:uid="{00000000-0005-0000-0000-00001D120000}"/>
    <cellStyle name="40% - Accent6 2 3 2_loan Analysis " xfId="13231" xr:uid="{00000000-0005-0000-0000-00001E120000}"/>
    <cellStyle name="40% - Accent6 2 3 3" xfId="13232" xr:uid="{00000000-0005-0000-0000-00001F120000}"/>
    <cellStyle name="40% - Accent6 2 3 3 2" xfId="13233" xr:uid="{00000000-0005-0000-0000-000020120000}"/>
    <cellStyle name="40% - Accent6 2 3 3 2 2" xfId="17305" xr:uid="{00000000-0005-0000-0000-000021120000}"/>
    <cellStyle name="40% - Accent6 2 3 3 2 3" xfId="33682" xr:uid="{00000000-0005-0000-0000-000022120000}"/>
    <cellStyle name="40% - Accent6 2 3 3 3" xfId="17304" xr:uid="{00000000-0005-0000-0000-000023120000}"/>
    <cellStyle name="40% - Accent6 2 3 3 3 2" xfId="33910" xr:uid="{00000000-0005-0000-0000-000024120000}"/>
    <cellStyle name="40% - Accent6 2 3 3 4" xfId="34125" xr:uid="{00000000-0005-0000-0000-000025120000}"/>
    <cellStyle name="40% - Accent6 2 3 3 5" xfId="33298" xr:uid="{00000000-0005-0000-0000-000026120000}"/>
    <cellStyle name="40% - Accent6 2 3 3_loan Analysis " xfId="13234" xr:uid="{00000000-0005-0000-0000-000027120000}"/>
    <cellStyle name="40% - Accent6 2 3 4" xfId="13235" xr:uid="{00000000-0005-0000-0000-000028120000}"/>
    <cellStyle name="40% - Accent6 2 3 4 2" xfId="17306" xr:uid="{00000000-0005-0000-0000-000029120000}"/>
    <cellStyle name="40% - Accent6 2 3 4 3" xfId="30050" xr:uid="{00000000-0005-0000-0000-00002A120000}"/>
    <cellStyle name="40% - Accent6 2 3 4 4" xfId="33482" xr:uid="{00000000-0005-0000-0000-00002B120000}"/>
    <cellStyle name="40% - Accent6 2 3 5" xfId="30051" xr:uid="{00000000-0005-0000-0000-00002C120000}"/>
    <cellStyle name="40% - Accent6 2 3 5 2" xfId="33629" xr:uid="{00000000-0005-0000-0000-00002D120000}"/>
    <cellStyle name="40% - Accent6 2 3 6" xfId="30052" xr:uid="{00000000-0005-0000-0000-00002E120000}"/>
    <cellStyle name="40% - Accent6 2 3 6 2" xfId="33489" xr:uid="{00000000-0005-0000-0000-00002F120000}"/>
    <cellStyle name="40% - Accent6 2 3 7" xfId="30053" xr:uid="{00000000-0005-0000-0000-000030120000}"/>
    <cellStyle name="40% - Accent6 2 3 8" xfId="33153" xr:uid="{00000000-0005-0000-0000-000031120000}"/>
    <cellStyle name="40% - Accent6 2 3_loan Analysis " xfId="13236" xr:uid="{00000000-0005-0000-0000-000032120000}"/>
    <cellStyle name="40% - Accent6 2 30" xfId="3170" xr:uid="{00000000-0005-0000-0000-000033120000}"/>
    <cellStyle name="40% - Accent6 2 31" xfId="3171" xr:uid="{00000000-0005-0000-0000-000034120000}"/>
    <cellStyle name="40% - Accent6 2 32" xfId="3172" xr:uid="{00000000-0005-0000-0000-000035120000}"/>
    <cellStyle name="40% - Accent6 2 33" xfId="3173" xr:uid="{00000000-0005-0000-0000-000036120000}"/>
    <cellStyle name="40% - Accent6 2 33 2" xfId="3174" xr:uid="{00000000-0005-0000-0000-000037120000}"/>
    <cellStyle name="40% - Accent6 2 34" xfId="3175" xr:uid="{00000000-0005-0000-0000-000038120000}"/>
    <cellStyle name="40% - Accent6 2 35" xfId="3176" xr:uid="{00000000-0005-0000-0000-000039120000}"/>
    <cellStyle name="40% - Accent6 2 36" xfId="3177" xr:uid="{00000000-0005-0000-0000-00003A120000}"/>
    <cellStyle name="40% - Accent6 2 37" xfId="3178" xr:uid="{00000000-0005-0000-0000-00003B120000}"/>
    <cellStyle name="40% - Accent6 2 38" xfId="3179" xr:uid="{00000000-0005-0000-0000-00003C120000}"/>
    <cellStyle name="40% - Accent6 2 39" xfId="3180" xr:uid="{00000000-0005-0000-0000-00003D120000}"/>
    <cellStyle name="40% - Accent6 2 4" xfId="3181" xr:uid="{00000000-0005-0000-0000-00003E120000}"/>
    <cellStyle name="40% - Accent6 2 4 2" xfId="13237" xr:uid="{00000000-0005-0000-0000-00003F120000}"/>
    <cellStyle name="40% - Accent6 2 4 2 2" xfId="13238" xr:uid="{00000000-0005-0000-0000-000040120000}"/>
    <cellStyle name="40% - Accent6 2 4 2 2 2" xfId="13239" xr:uid="{00000000-0005-0000-0000-000041120000}"/>
    <cellStyle name="40% - Accent6 2 4 2 2 2 2" xfId="17310" xr:uid="{00000000-0005-0000-0000-000042120000}"/>
    <cellStyle name="40% - Accent6 2 4 2 2 2 3" xfId="33724" xr:uid="{00000000-0005-0000-0000-000043120000}"/>
    <cellStyle name="40% - Accent6 2 4 2 2 3" xfId="17309" xr:uid="{00000000-0005-0000-0000-000044120000}"/>
    <cellStyle name="40% - Accent6 2 4 2 2 3 2" xfId="33953" xr:uid="{00000000-0005-0000-0000-000045120000}"/>
    <cellStyle name="40% - Accent6 2 4 2 2 4" xfId="34167" xr:uid="{00000000-0005-0000-0000-000046120000}"/>
    <cellStyle name="40% - Accent6 2 4 2 2 5" xfId="33340" xr:uid="{00000000-0005-0000-0000-000047120000}"/>
    <cellStyle name="40% - Accent6 2 4 2 2_loan Analysis " xfId="13240" xr:uid="{00000000-0005-0000-0000-000048120000}"/>
    <cellStyle name="40% - Accent6 2 4 2 3" xfId="13241" xr:uid="{00000000-0005-0000-0000-000049120000}"/>
    <cellStyle name="40% - Accent6 2 4 2 3 2" xfId="17311" xr:uid="{00000000-0005-0000-0000-00004A120000}"/>
    <cellStyle name="40% - Accent6 2 4 2 3 3" xfId="33616" xr:uid="{00000000-0005-0000-0000-00004B120000}"/>
    <cellStyle name="40% - Accent6 2 4 2 4" xfId="17308" xr:uid="{00000000-0005-0000-0000-00004C120000}"/>
    <cellStyle name="40% - Accent6 2 4 2 4 2" xfId="33851" xr:uid="{00000000-0005-0000-0000-00004D120000}"/>
    <cellStyle name="40% - Accent6 2 4 2 5" xfId="34070" xr:uid="{00000000-0005-0000-0000-00004E120000}"/>
    <cellStyle name="40% - Accent6 2 4 2 6" xfId="33236" xr:uid="{00000000-0005-0000-0000-00004F120000}"/>
    <cellStyle name="40% - Accent6 2 4 2_loan Analysis " xfId="13242" xr:uid="{00000000-0005-0000-0000-000050120000}"/>
    <cellStyle name="40% - Accent6 2 4 3" xfId="13243" xr:uid="{00000000-0005-0000-0000-000051120000}"/>
    <cellStyle name="40% - Accent6 2 4 3 2" xfId="13244" xr:uid="{00000000-0005-0000-0000-000052120000}"/>
    <cellStyle name="40% - Accent6 2 4 3 2 2" xfId="17313" xr:uid="{00000000-0005-0000-0000-000053120000}"/>
    <cellStyle name="40% - Accent6 2 4 3 2 3" xfId="33683" xr:uid="{00000000-0005-0000-0000-000054120000}"/>
    <cellStyle name="40% - Accent6 2 4 3 3" xfId="17312" xr:uid="{00000000-0005-0000-0000-000055120000}"/>
    <cellStyle name="40% - Accent6 2 4 3 3 2" xfId="33911" xr:uid="{00000000-0005-0000-0000-000056120000}"/>
    <cellStyle name="40% - Accent6 2 4 3 4" xfId="34126" xr:uid="{00000000-0005-0000-0000-000057120000}"/>
    <cellStyle name="40% - Accent6 2 4 3 5" xfId="33299" xr:uid="{00000000-0005-0000-0000-000058120000}"/>
    <cellStyle name="40% - Accent6 2 4 3_loan Analysis " xfId="13245" xr:uid="{00000000-0005-0000-0000-000059120000}"/>
    <cellStyle name="40% - Accent6 2 4 4" xfId="13246" xr:uid="{00000000-0005-0000-0000-00005A120000}"/>
    <cellStyle name="40% - Accent6 2 4 4 2" xfId="17314" xr:uid="{00000000-0005-0000-0000-00005B120000}"/>
    <cellStyle name="40% - Accent6 2 4 4 3" xfId="30054" xr:uid="{00000000-0005-0000-0000-00005C120000}"/>
    <cellStyle name="40% - Accent6 2 4 4 4" xfId="33483" xr:uid="{00000000-0005-0000-0000-00005D120000}"/>
    <cellStyle name="40% - Accent6 2 4 5" xfId="30055" xr:uid="{00000000-0005-0000-0000-00005E120000}"/>
    <cellStyle name="40% - Accent6 2 4 5 2" xfId="33546" xr:uid="{00000000-0005-0000-0000-00005F120000}"/>
    <cellStyle name="40% - Accent6 2 4 6" xfId="30056" xr:uid="{00000000-0005-0000-0000-000060120000}"/>
    <cellStyle name="40% - Accent6 2 4 6 2" xfId="33490" xr:uid="{00000000-0005-0000-0000-000061120000}"/>
    <cellStyle name="40% - Accent6 2 4 7" xfId="33154" xr:uid="{00000000-0005-0000-0000-000062120000}"/>
    <cellStyle name="40% - Accent6 2 4_loan Analysis " xfId="13247" xr:uid="{00000000-0005-0000-0000-000063120000}"/>
    <cellStyle name="40% - Accent6 2 40" xfId="3182" xr:uid="{00000000-0005-0000-0000-000064120000}"/>
    <cellStyle name="40% - Accent6 2 41" xfId="3183" xr:uid="{00000000-0005-0000-0000-000065120000}"/>
    <cellStyle name="40% - Accent6 2 41 2" xfId="3184" xr:uid="{00000000-0005-0000-0000-000066120000}"/>
    <cellStyle name="40% - Accent6 2 42" xfId="30057" xr:uid="{00000000-0005-0000-0000-000067120000}"/>
    <cellStyle name="40% - Accent6 2 43" xfId="30058" xr:uid="{00000000-0005-0000-0000-000068120000}"/>
    <cellStyle name="40% - Accent6 2 44" xfId="30059" xr:uid="{00000000-0005-0000-0000-000069120000}"/>
    <cellStyle name="40% - Accent6 2 45" xfId="30060" xr:uid="{00000000-0005-0000-0000-00006A120000}"/>
    <cellStyle name="40% - Accent6 2 46" xfId="30061" xr:uid="{00000000-0005-0000-0000-00006B120000}"/>
    <cellStyle name="40% - Accent6 2 47" xfId="30062" xr:uid="{00000000-0005-0000-0000-00006C120000}"/>
    <cellStyle name="40% - Accent6 2 48" xfId="30063" xr:uid="{00000000-0005-0000-0000-00006D120000}"/>
    <cellStyle name="40% - Accent6 2 49" xfId="30064" xr:uid="{00000000-0005-0000-0000-00006E120000}"/>
    <cellStyle name="40% - Accent6 2 5" xfId="3185" xr:uid="{00000000-0005-0000-0000-00006F120000}"/>
    <cellStyle name="40% - Accent6 2 5 2" xfId="3186" xr:uid="{00000000-0005-0000-0000-000070120000}"/>
    <cellStyle name="40% - Accent6 2 5 3" xfId="30065" xr:uid="{00000000-0005-0000-0000-000071120000}"/>
    <cellStyle name="40% - Accent6 2 50" xfId="30066" xr:uid="{00000000-0005-0000-0000-000072120000}"/>
    <cellStyle name="40% - Accent6 2 51" xfId="30067" xr:uid="{00000000-0005-0000-0000-000073120000}"/>
    <cellStyle name="40% - Accent6 2 52" xfId="33151" xr:uid="{00000000-0005-0000-0000-000074120000}"/>
    <cellStyle name="40% - Accent6 2 53" xfId="33188" xr:uid="{00000000-0005-0000-0000-000075120000}"/>
    <cellStyle name="40% - Accent6 2 54" xfId="3017" xr:uid="{00000000-0005-0000-0000-000076120000}"/>
    <cellStyle name="40% - Accent6 2 6" xfId="3187" xr:uid="{00000000-0005-0000-0000-000077120000}"/>
    <cellStyle name="40% - Accent6 2 6 2" xfId="30068" xr:uid="{00000000-0005-0000-0000-000078120000}"/>
    <cellStyle name="40% - Accent6 2 6 3" xfId="30069" xr:uid="{00000000-0005-0000-0000-000079120000}"/>
    <cellStyle name="40% - Accent6 2 7" xfId="3188" xr:uid="{00000000-0005-0000-0000-00007A120000}"/>
    <cellStyle name="40% - Accent6 2 8" xfId="3189" xr:uid="{00000000-0005-0000-0000-00007B120000}"/>
    <cellStyle name="40% - Accent6 2 9" xfId="3190" xr:uid="{00000000-0005-0000-0000-00007C120000}"/>
    <cellStyle name="40% - Accent6 2_Loan Classification" xfId="11411" xr:uid="{00000000-0005-0000-0000-00007D120000}"/>
    <cellStyle name="40% - Accent6 20" xfId="3191" xr:uid="{00000000-0005-0000-0000-00007E120000}"/>
    <cellStyle name="40% - Accent6 21" xfId="3192" xr:uid="{00000000-0005-0000-0000-00007F120000}"/>
    <cellStyle name="40% - Accent6 22" xfId="3193" xr:uid="{00000000-0005-0000-0000-000080120000}"/>
    <cellStyle name="40% - Accent6 23" xfId="3194" xr:uid="{00000000-0005-0000-0000-000081120000}"/>
    <cellStyle name="40% - Accent6 24" xfId="3195" xr:uid="{00000000-0005-0000-0000-000082120000}"/>
    <cellStyle name="40% - Accent6 25" xfId="3196" xr:uid="{00000000-0005-0000-0000-000083120000}"/>
    <cellStyle name="40% - Accent6 26" xfId="3197" xr:uid="{00000000-0005-0000-0000-000084120000}"/>
    <cellStyle name="40% - Accent6 27" xfId="3198" xr:uid="{00000000-0005-0000-0000-000085120000}"/>
    <cellStyle name="40% - Accent6 28" xfId="3199" xr:uid="{00000000-0005-0000-0000-000086120000}"/>
    <cellStyle name="40% - Accent6 29" xfId="3200" xr:uid="{00000000-0005-0000-0000-000087120000}"/>
    <cellStyle name="40% - Accent6 3" xfId="70" xr:uid="{00000000-0005-0000-0000-000088120000}"/>
    <cellStyle name="40% - Accent6 3 2" xfId="417" xr:uid="{00000000-0005-0000-0000-000089120000}"/>
    <cellStyle name="40% - Accent6 3 2 2" xfId="30071" xr:uid="{00000000-0005-0000-0000-00008A120000}"/>
    <cellStyle name="40% - Accent6 3 2 3" xfId="30070" xr:uid="{00000000-0005-0000-0000-00008B120000}"/>
    <cellStyle name="40% - Accent6 3 3" xfId="30072" xr:uid="{00000000-0005-0000-0000-00008C120000}"/>
    <cellStyle name="40% - Accent6 3 4" xfId="3201" xr:uid="{00000000-0005-0000-0000-00008D120000}"/>
    <cellStyle name="40% - Accent6 30" xfId="3202" xr:uid="{00000000-0005-0000-0000-00008E120000}"/>
    <cellStyle name="40% - Accent6 31" xfId="3203" xr:uid="{00000000-0005-0000-0000-00008F120000}"/>
    <cellStyle name="40% - Accent6 32" xfId="3204" xr:uid="{00000000-0005-0000-0000-000090120000}"/>
    <cellStyle name="40% - Accent6 33" xfId="3205" xr:uid="{00000000-0005-0000-0000-000091120000}"/>
    <cellStyle name="40% - Accent6 34" xfId="3206" xr:uid="{00000000-0005-0000-0000-000092120000}"/>
    <cellStyle name="40% - Accent6 35" xfId="3207" xr:uid="{00000000-0005-0000-0000-000093120000}"/>
    <cellStyle name="40% - Accent6 36" xfId="3208" xr:uid="{00000000-0005-0000-0000-000094120000}"/>
    <cellStyle name="40% - Accent6 37" xfId="3209" xr:uid="{00000000-0005-0000-0000-000095120000}"/>
    <cellStyle name="40% - Accent6 38" xfId="3210" xr:uid="{00000000-0005-0000-0000-000096120000}"/>
    <cellStyle name="40% - Accent6 39" xfId="3211" xr:uid="{00000000-0005-0000-0000-000097120000}"/>
    <cellStyle name="40% - Accent6 4" xfId="3212" xr:uid="{00000000-0005-0000-0000-000098120000}"/>
    <cellStyle name="40% - Accent6 4 2" xfId="30073" xr:uid="{00000000-0005-0000-0000-000099120000}"/>
    <cellStyle name="40% - Accent6 4 2 2" xfId="30074" xr:uid="{00000000-0005-0000-0000-00009A120000}"/>
    <cellStyle name="40% - Accent6 4 3" xfId="30075" xr:uid="{00000000-0005-0000-0000-00009B120000}"/>
    <cellStyle name="40% - Accent6 40" xfId="3213" xr:uid="{00000000-0005-0000-0000-00009C120000}"/>
    <cellStyle name="40% - Accent6 41" xfId="3214" xr:uid="{00000000-0005-0000-0000-00009D120000}"/>
    <cellStyle name="40% - Accent6 42" xfId="3215" xr:uid="{00000000-0005-0000-0000-00009E120000}"/>
    <cellStyle name="40% - Accent6 43" xfId="11574" xr:uid="{00000000-0005-0000-0000-00009F120000}"/>
    <cellStyle name="40% - Accent6 44" xfId="11560" xr:uid="{00000000-0005-0000-0000-0000A0120000}"/>
    <cellStyle name="40% - Accent6 44 2" xfId="17319" xr:uid="{00000000-0005-0000-0000-0000A1120000}"/>
    <cellStyle name="40% - Accent6 45" xfId="17320" xr:uid="{00000000-0005-0000-0000-0000A2120000}"/>
    <cellStyle name="40% - Accent6 46" xfId="30076" xr:uid="{00000000-0005-0000-0000-0000A3120000}"/>
    <cellStyle name="40% - Accent6 47" xfId="34268" xr:uid="{00000000-0005-0000-0000-0000A4120000}"/>
    <cellStyle name="40% - Accent6 48" xfId="494" xr:uid="{00000000-0005-0000-0000-0000A5120000}"/>
    <cellStyle name="40% - Accent6 5" xfId="3216" xr:uid="{00000000-0005-0000-0000-0000A6120000}"/>
    <cellStyle name="40% - Accent6 5 2" xfId="12840" xr:uid="{00000000-0005-0000-0000-0000A7120000}"/>
    <cellStyle name="40% - Accent6 5 2 2" xfId="30077" xr:uid="{00000000-0005-0000-0000-0000A8120000}"/>
    <cellStyle name="40% - Accent6 5 3" xfId="30078" xr:uid="{00000000-0005-0000-0000-0000A9120000}"/>
    <cellStyle name="40% - Accent6 5 3 2" xfId="30079" xr:uid="{00000000-0005-0000-0000-0000AA120000}"/>
    <cellStyle name="40% - Accent6 6" xfId="3217" xr:uid="{00000000-0005-0000-0000-0000AB120000}"/>
    <cellStyle name="40% - Accent6 6 2" xfId="30080" xr:uid="{00000000-0005-0000-0000-0000AC120000}"/>
    <cellStyle name="40% - Accent6 7" xfId="3218" xr:uid="{00000000-0005-0000-0000-0000AD120000}"/>
    <cellStyle name="40% - Accent6 7 2" xfId="30081" xr:uid="{00000000-0005-0000-0000-0000AE120000}"/>
    <cellStyle name="40% - Accent6 8" xfId="3219" xr:uid="{00000000-0005-0000-0000-0000AF120000}"/>
    <cellStyle name="40% - Accent6 8 2" xfId="30082" xr:uid="{00000000-0005-0000-0000-0000B0120000}"/>
    <cellStyle name="40% - Accent6 9" xfId="3220" xr:uid="{00000000-0005-0000-0000-0000B1120000}"/>
    <cellStyle name="40% - Accent6 9 2" xfId="30083" xr:uid="{00000000-0005-0000-0000-0000B2120000}"/>
    <cellStyle name="60 % - Accent1" xfId="30084" xr:uid="{00000000-0005-0000-0000-0000B3120000}"/>
    <cellStyle name="60 % - Accent2" xfId="30085" xr:uid="{00000000-0005-0000-0000-0000B4120000}"/>
    <cellStyle name="60 % - Accent3" xfId="30086" xr:uid="{00000000-0005-0000-0000-0000B5120000}"/>
    <cellStyle name="60 % - Accent4" xfId="30087" xr:uid="{00000000-0005-0000-0000-0000B6120000}"/>
    <cellStyle name="60 % - Accent5" xfId="30088" xr:uid="{00000000-0005-0000-0000-0000B7120000}"/>
    <cellStyle name="60 % - Accent6" xfId="30089" xr:uid="{00000000-0005-0000-0000-0000B8120000}"/>
    <cellStyle name="60% - Accent1" xfId="28" builtinId="32" customBuiltin="1"/>
    <cellStyle name="60% - Accent1 10" xfId="3221" xr:uid="{00000000-0005-0000-0000-0000BA120000}"/>
    <cellStyle name="60% - Accent1 10 2" xfId="30090" xr:uid="{00000000-0005-0000-0000-0000BB120000}"/>
    <cellStyle name="60% - Accent1 11" xfId="3222" xr:uid="{00000000-0005-0000-0000-0000BC120000}"/>
    <cellStyle name="60% - Accent1 11 2" xfId="30091" xr:uid="{00000000-0005-0000-0000-0000BD120000}"/>
    <cellStyle name="60% - Accent1 12" xfId="3223" xr:uid="{00000000-0005-0000-0000-0000BE120000}"/>
    <cellStyle name="60% - Accent1 12 2" xfId="30092" xr:uid="{00000000-0005-0000-0000-0000BF120000}"/>
    <cellStyle name="60% - Accent1 13" xfId="3224" xr:uid="{00000000-0005-0000-0000-0000C0120000}"/>
    <cellStyle name="60% - Accent1 13 2" xfId="30093" xr:uid="{00000000-0005-0000-0000-0000C1120000}"/>
    <cellStyle name="60% - Accent1 14" xfId="3225" xr:uid="{00000000-0005-0000-0000-0000C2120000}"/>
    <cellStyle name="60% - Accent1 14 2" xfId="30094" xr:uid="{00000000-0005-0000-0000-0000C3120000}"/>
    <cellStyle name="60% - Accent1 15" xfId="3226" xr:uid="{00000000-0005-0000-0000-0000C4120000}"/>
    <cellStyle name="60% - Accent1 15 2" xfId="30095" xr:uid="{00000000-0005-0000-0000-0000C5120000}"/>
    <cellStyle name="60% - Accent1 16" xfId="3227" xr:uid="{00000000-0005-0000-0000-0000C6120000}"/>
    <cellStyle name="60% - Accent1 16 2" xfId="30096" xr:uid="{00000000-0005-0000-0000-0000C7120000}"/>
    <cellStyle name="60% - Accent1 17" xfId="3228" xr:uid="{00000000-0005-0000-0000-0000C8120000}"/>
    <cellStyle name="60% - Accent1 17 2" xfId="30097" xr:uid="{00000000-0005-0000-0000-0000C9120000}"/>
    <cellStyle name="60% - Accent1 18" xfId="3229" xr:uid="{00000000-0005-0000-0000-0000CA120000}"/>
    <cellStyle name="60% - Accent1 19" xfId="3230" xr:uid="{00000000-0005-0000-0000-0000CB120000}"/>
    <cellStyle name="60% - Accent1 2" xfId="71" xr:uid="{00000000-0005-0000-0000-0000CC120000}"/>
    <cellStyle name="60% - Accent1 2 10" xfId="3232" xr:uid="{00000000-0005-0000-0000-0000CD120000}"/>
    <cellStyle name="60% - Accent1 2 11" xfId="3233" xr:uid="{00000000-0005-0000-0000-0000CE120000}"/>
    <cellStyle name="60% - Accent1 2 12" xfId="3234" xr:uid="{00000000-0005-0000-0000-0000CF120000}"/>
    <cellStyle name="60% - Accent1 2 13" xfId="3235" xr:uid="{00000000-0005-0000-0000-0000D0120000}"/>
    <cellStyle name="60% - Accent1 2 14" xfId="3236" xr:uid="{00000000-0005-0000-0000-0000D1120000}"/>
    <cellStyle name="60% - Accent1 2 15" xfId="3237" xr:uid="{00000000-0005-0000-0000-0000D2120000}"/>
    <cellStyle name="60% - Accent1 2 16" xfId="3238" xr:uid="{00000000-0005-0000-0000-0000D3120000}"/>
    <cellStyle name="60% - Accent1 2 16 2" xfId="3239" xr:uid="{00000000-0005-0000-0000-0000D4120000}"/>
    <cellStyle name="60% - Accent1 2 17" xfId="3240" xr:uid="{00000000-0005-0000-0000-0000D5120000}"/>
    <cellStyle name="60% - Accent1 2 18" xfId="3241" xr:uid="{00000000-0005-0000-0000-0000D6120000}"/>
    <cellStyle name="60% - Accent1 2 19" xfId="3242" xr:uid="{00000000-0005-0000-0000-0000D7120000}"/>
    <cellStyle name="60% - Accent1 2 2" xfId="3243" xr:uid="{00000000-0005-0000-0000-0000D8120000}"/>
    <cellStyle name="60% - Accent1 2 2 10" xfId="3244" xr:uid="{00000000-0005-0000-0000-0000D9120000}"/>
    <cellStyle name="60% - Accent1 2 2 11" xfId="3245" xr:uid="{00000000-0005-0000-0000-0000DA120000}"/>
    <cellStyle name="60% - Accent1 2 2 12" xfId="3246" xr:uid="{00000000-0005-0000-0000-0000DB120000}"/>
    <cellStyle name="60% - Accent1 2 2 13" xfId="3247" xr:uid="{00000000-0005-0000-0000-0000DC120000}"/>
    <cellStyle name="60% - Accent1 2 2 14" xfId="3248" xr:uid="{00000000-0005-0000-0000-0000DD120000}"/>
    <cellStyle name="60% - Accent1 2 2 14 2" xfId="3249" xr:uid="{00000000-0005-0000-0000-0000DE120000}"/>
    <cellStyle name="60% - Accent1 2 2 15" xfId="3250" xr:uid="{00000000-0005-0000-0000-0000DF120000}"/>
    <cellStyle name="60% - Accent1 2 2 16" xfId="3251" xr:uid="{00000000-0005-0000-0000-0000E0120000}"/>
    <cellStyle name="60% - Accent1 2 2 17" xfId="3252" xr:uid="{00000000-0005-0000-0000-0000E1120000}"/>
    <cellStyle name="60% - Accent1 2 2 18" xfId="3253" xr:uid="{00000000-0005-0000-0000-0000E2120000}"/>
    <cellStyle name="60% - Accent1 2 2 19" xfId="3254" xr:uid="{00000000-0005-0000-0000-0000E3120000}"/>
    <cellStyle name="60% - Accent1 2 2 2" xfId="3255" xr:uid="{00000000-0005-0000-0000-0000E4120000}"/>
    <cellStyle name="60% - Accent1 2 2 2 10" xfId="3256" xr:uid="{00000000-0005-0000-0000-0000E5120000}"/>
    <cellStyle name="60% - Accent1 2 2 2 11" xfId="3257" xr:uid="{00000000-0005-0000-0000-0000E6120000}"/>
    <cellStyle name="60% - Accent1 2 2 2 12" xfId="3258" xr:uid="{00000000-0005-0000-0000-0000E7120000}"/>
    <cellStyle name="60% - Accent1 2 2 2 13" xfId="3259" xr:uid="{00000000-0005-0000-0000-0000E8120000}"/>
    <cellStyle name="60% - Accent1 2 2 2 14" xfId="3260" xr:uid="{00000000-0005-0000-0000-0000E9120000}"/>
    <cellStyle name="60% - Accent1 2 2 2 15" xfId="3261" xr:uid="{00000000-0005-0000-0000-0000EA120000}"/>
    <cellStyle name="60% - Accent1 2 2 2 16" xfId="3262" xr:uid="{00000000-0005-0000-0000-0000EB120000}"/>
    <cellStyle name="60% - Accent1 2 2 2 17" xfId="3263" xr:uid="{00000000-0005-0000-0000-0000EC120000}"/>
    <cellStyle name="60% - Accent1 2 2 2 18" xfId="3264" xr:uid="{00000000-0005-0000-0000-0000ED120000}"/>
    <cellStyle name="60% - Accent1 2 2 2 19" xfId="3265" xr:uid="{00000000-0005-0000-0000-0000EE120000}"/>
    <cellStyle name="60% - Accent1 2 2 2 2" xfId="3266" xr:uid="{00000000-0005-0000-0000-0000EF120000}"/>
    <cellStyle name="60% - Accent1 2 2 2 2 10" xfId="3267" xr:uid="{00000000-0005-0000-0000-0000F0120000}"/>
    <cellStyle name="60% - Accent1 2 2 2 2 11" xfId="3268" xr:uid="{00000000-0005-0000-0000-0000F1120000}"/>
    <cellStyle name="60% - Accent1 2 2 2 2 12" xfId="3269" xr:uid="{00000000-0005-0000-0000-0000F2120000}"/>
    <cellStyle name="60% - Accent1 2 2 2 2 13" xfId="3270" xr:uid="{00000000-0005-0000-0000-0000F3120000}"/>
    <cellStyle name="60% - Accent1 2 2 2 2 14" xfId="3271" xr:uid="{00000000-0005-0000-0000-0000F4120000}"/>
    <cellStyle name="60% - Accent1 2 2 2 2 15" xfId="3272" xr:uid="{00000000-0005-0000-0000-0000F5120000}"/>
    <cellStyle name="60% - Accent1 2 2 2 2 16" xfId="3273" xr:uid="{00000000-0005-0000-0000-0000F6120000}"/>
    <cellStyle name="60% - Accent1 2 2 2 2 17" xfId="3274" xr:uid="{00000000-0005-0000-0000-0000F7120000}"/>
    <cellStyle name="60% - Accent1 2 2 2 2 18" xfId="3275" xr:uid="{00000000-0005-0000-0000-0000F8120000}"/>
    <cellStyle name="60% - Accent1 2 2 2 2 19" xfId="3276" xr:uid="{00000000-0005-0000-0000-0000F9120000}"/>
    <cellStyle name="60% - Accent1 2 2 2 2 2" xfId="3277" xr:uid="{00000000-0005-0000-0000-0000FA120000}"/>
    <cellStyle name="60% - Accent1 2 2 2 2 2 10" xfId="3278" xr:uid="{00000000-0005-0000-0000-0000FB120000}"/>
    <cellStyle name="60% - Accent1 2 2 2 2 2 11" xfId="3279" xr:uid="{00000000-0005-0000-0000-0000FC120000}"/>
    <cellStyle name="60% - Accent1 2 2 2 2 2 11 2" xfId="3280" xr:uid="{00000000-0005-0000-0000-0000FD120000}"/>
    <cellStyle name="60% - Accent1 2 2 2 2 2 2" xfId="3281" xr:uid="{00000000-0005-0000-0000-0000FE120000}"/>
    <cellStyle name="60% - Accent1 2 2 2 2 2 2 10" xfId="3282" xr:uid="{00000000-0005-0000-0000-0000FF120000}"/>
    <cellStyle name="60% - Accent1 2 2 2 2 2 2 11" xfId="3283" xr:uid="{00000000-0005-0000-0000-000000130000}"/>
    <cellStyle name="60% - Accent1 2 2 2 2 2 2 11 2" xfId="3284" xr:uid="{00000000-0005-0000-0000-000001130000}"/>
    <cellStyle name="60% - Accent1 2 2 2 2 2 2 2" xfId="3285" xr:uid="{00000000-0005-0000-0000-000002130000}"/>
    <cellStyle name="60% - Accent1 2 2 2 2 2 2 2 2" xfId="3286" xr:uid="{00000000-0005-0000-0000-000003130000}"/>
    <cellStyle name="60% - Accent1 2 2 2 2 2 2 2 2 2" xfId="3287" xr:uid="{00000000-0005-0000-0000-000004130000}"/>
    <cellStyle name="60% - Accent1 2 2 2 2 2 2 2 2 2 2" xfId="3288" xr:uid="{00000000-0005-0000-0000-000005130000}"/>
    <cellStyle name="60% - Accent1 2 2 2 2 2 2 2 2 3" xfId="3289" xr:uid="{00000000-0005-0000-0000-000006130000}"/>
    <cellStyle name="60% - Accent1 2 2 2 2 2 2 2 3" xfId="3290" xr:uid="{00000000-0005-0000-0000-000007130000}"/>
    <cellStyle name="60% - Accent1 2 2 2 2 2 2 2 3 2" xfId="3291" xr:uid="{00000000-0005-0000-0000-000008130000}"/>
    <cellStyle name="60% - Accent1 2 2 2 2 2 2 3" xfId="3292" xr:uid="{00000000-0005-0000-0000-000009130000}"/>
    <cellStyle name="60% - Accent1 2 2 2 2 2 2 4" xfId="3293" xr:uid="{00000000-0005-0000-0000-00000A130000}"/>
    <cellStyle name="60% - Accent1 2 2 2 2 2 2 5" xfId="3294" xr:uid="{00000000-0005-0000-0000-00000B130000}"/>
    <cellStyle name="60% - Accent1 2 2 2 2 2 2 6" xfId="3295" xr:uid="{00000000-0005-0000-0000-00000C130000}"/>
    <cellStyle name="60% - Accent1 2 2 2 2 2 2 7" xfId="3296" xr:uid="{00000000-0005-0000-0000-00000D130000}"/>
    <cellStyle name="60% - Accent1 2 2 2 2 2 2 8" xfId="3297" xr:uid="{00000000-0005-0000-0000-00000E130000}"/>
    <cellStyle name="60% - Accent1 2 2 2 2 2 2 9" xfId="3298" xr:uid="{00000000-0005-0000-0000-00000F130000}"/>
    <cellStyle name="60% - Accent1 2 2 2 2 2 3" xfId="3299" xr:uid="{00000000-0005-0000-0000-000010130000}"/>
    <cellStyle name="60% - Accent1 2 2 2 2 2 3 2" xfId="3300" xr:uid="{00000000-0005-0000-0000-000011130000}"/>
    <cellStyle name="60% - Accent1 2 2 2 2 2 4" xfId="3301" xr:uid="{00000000-0005-0000-0000-000012130000}"/>
    <cellStyle name="60% - Accent1 2 2 2 2 2 5" xfId="3302" xr:uid="{00000000-0005-0000-0000-000013130000}"/>
    <cellStyle name="60% - Accent1 2 2 2 2 2 6" xfId="3303" xr:uid="{00000000-0005-0000-0000-000014130000}"/>
    <cellStyle name="60% - Accent1 2 2 2 2 2 7" xfId="3304" xr:uid="{00000000-0005-0000-0000-000015130000}"/>
    <cellStyle name="60% - Accent1 2 2 2 2 2 8" xfId="3305" xr:uid="{00000000-0005-0000-0000-000016130000}"/>
    <cellStyle name="60% - Accent1 2 2 2 2 2 9" xfId="3306" xr:uid="{00000000-0005-0000-0000-000017130000}"/>
    <cellStyle name="60% - Accent1 2 2 2 2 20" xfId="3307" xr:uid="{00000000-0005-0000-0000-000018130000}"/>
    <cellStyle name="60% - Accent1 2 2 2 2 20 2" xfId="3308" xr:uid="{00000000-0005-0000-0000-000019130000}"/>
    <cellStyle name="60% - Accent1 2 2 2 2 21" xfId="3309" xr:uid="{00000000-0005-0000-0000-00001A130000}"/>
    <cellStyle name="60% - Accent1 2 2 2 2 22" xfId="3310" xr:uid="{00000000-0005-0000-0000-00001B130000}"/>
    <cellStyle name="60% - Accent1 2 2 2 2 23" xfId="3311" xr:uid="{00000000-0005-0000-0000-00001C130000}"/>
    <cellStyle name="60% - Accent1 2 2 2 2 24" xfId="3312" xr:uid="{00000000-0005-0000-0000-00001D130000}"/>
    <cellStyle name="60% - Accent1 2 2 2 2 25" xfId="3313" xr:uid="{00000000-0005-0000-0000-00001E130000}"/>
    <cellStyle name="60% - Accent1 2 2 2 2 26" xfId="3314" xr:uid="{00000000-0005-0000-0000-00001F130000}"/>
    <cellStyle name="60% - Accent1 2 2 2 2 27" xfId="3315" xr:uid="{00000000-0005-0000-0000-000020130000}"/>
    <cellStyle name="60% - Accent1 2 2 2 2 28" xfId="3316" xr:uid="{00000000-0005-0000-0000-000021130000}"/>
    <cellStyle name="60% - Accent1 2 2 2 2 28 2" xfId="3317" xr:uid="{00000000-0005-0000-0000-000022130000}"/>
    <cellStyle name="60% - Accent1 2 2 2 2 3" xfId="3318" xr:uid="{00000000-0005-0000-0000-000023130000}"/>
    <cellStyle name="60% - Accent1 2 2 2 2 4" xfId="3319" xr:uid="{00000000-0005-0000-0000-000024130000}"/>
    <cellStyle name="60% - Accent1 2 2 2 2 5" xfId="3320" xr:uid="{00000000-0005-0000-0000-000025130000}"/>
    <cellStyle name="60% - Accent1 2 2 2 2 6" xfId="3321" xr:uid="{00000000-0005-0000-0000-000026130000}"/>
    <cellStyle name="60% - Accent1 2 2 2 2 7" xfId="3322" xr:uid="{00000000-0005-0000-0000-000027130000}"/>
    <cellStyle name="60% - Accent1 2 2 2 2 8" xfId="3323" xr:uid="{00000000-0005-0000-0000-000028130000}"/>
    <cellStyle name="60% - Accent1 2 2 2 2 9" xfId="3324" xr:uid="{00000000-0005-0000-0000-000029130000}"/>
    <cellStyle name="60% - Accent1 2 2 2 20" xfId="3325" xr:uid="{00000000-0005-0000-0000-00002A130000}"/>
    <cellStyle name="60% - Accent1 2 2 2 20 2" xfId="3326" xr:uid="{00000000-0005-0000-0000-00002B130000}"/>
    <cellStyle name="60% - Accent1 2 2 2 21" xfId="3327" xr:uid="{00000000-0005-0000-0000-00002C130000}"/>
    <cellStyle name="60% - Accent1 2 2 2 22" xfId="3328" xr:uid="{00000000-0005-0000-0000-00002D130000}"/>
    <cellStyle name="60% - Accent1 2 2 2 23" xfId="3329" xr:uid="{00000000-0005-0000-0000-00002E130000}"/>
    <cellStyle name="60% - Accent1 2 2 2 24" xfId="3330" xr:uid="{00000000-0005-0000-0000-00002F130000}"/>
    <cellStyle name="60% - Accent1 2 2 2 25" xfId="3331" xr:uid="{00000000-0005-0000-0000-000030130000}"/>
    <cellStyle name="60% - Accent1 2 2 2 26" xfId="3332" xr:uid="{00000000-0005-0000-0000-000031130000}"/>
    <cellStyle name="60% - Accent1 2 2 2 27" xfId="3333" xr:uid="{00000000-0005-0000-0000-000032130000}"/>
    <cellStyle name="60% - Accent1 2 2 2 28" xfId="3334" xr:uid="{00000000-0005-0000-0000-000033130000}"/>
    <cellStyle name="60% - Accent1 2 2 2 28 2" xfId="3335" xr:uid="{00000000-0005-0000-0000-000034130000}"/>
    <cellStyle name="60% - Accent1 2 2 2 29" xfId="30098" xr:uid="{00000000-0005-0000-0000-000035130000}"/>
    <cellStyle name="60% - Accent1 2 2 2 3" xfId="3336" xr:uid="{00000000-0005-0000-0000-000036130000}"/>
    <cellStyle name="60% - Accent1 2 2 2 3 2" xfId="3337" xr:uid="{00000000-0005-0000-0000-000037130000}"/>
    <cellStyle name="60% - Accent1 2 2 2 4" xfId="3338" xr:uid="{00000000-0005-0000-0000-000038130000}"/>
    <cellStyle name="60% - Accent1 2 2 2 5" xfId="3339" xr:uid="{00000000-0005-0000-0000-000039130000}"/>
    <cellStyle name="60% - Accent1 2 2 2 6" xfId="3340" xr:uid="{00000000-0005-0000-0000-00003A130000}"/>
    <cellStyle name="60% - Accent1 2 2 2 7" xfId="3341" xr:uid="{00000000-0005-0000-0000-00003B130000}"/>
    <cellStyle name="60% - Accent1 2 2 2 8" xfId="3342" xr:uid="{00000000-0005-0000-0000-00003C130000}"/>
    <cellStyle name="60% - Accent1 2 2 2 9" xfId="3343" xr:uid="{00000000-0005-0000-0000-00003D130000}"/>
    <cellStyle name="60% - Accent1 2 2 20" xfId="3344" xr:uid="{00000000-0005-0000-0000-00003E130000}"/>
    <cellStyle name="60% - Accent1 2 2 21" xfId="3345" xr:uid="{00000000-0005-0000-0000-00003F130000}"/>
    <cellStyle name="60% - Accent1 2 2 22" xfId="3346" xr:uid="{00000000-0005-0000-0000-000040130000}"/>
    <cellStyle name="60% - Accent1 2 2 23" xfId="3347" xr:uid="{00000000-0005-0000-0000-000041130000}"/>
    <cellStyle name="60% - Accent1 2 2 24" xfId="3348" xr:uid="{00000000-0005-0000-0000-000042130000}"/>
    <cellStyle name="60% - Accent1 2 2 25" xfId="3349" xr:uid="{00000000-0005-0000-0000-000043130000}"/>
    <cellStyle name="60% - Accent1 2 2 26" xfId="3350" xr:uid="{00000000-0005-0000-0000-000044130000}"/>
    <cellStyle name="60% - Accent1 2 2 27" xfId="3351" xr:uid="{00000000-0005-0000-0000-000045130000}"/>
    <cellStyle name="60% - Accent1 2 2 28" xfId="3352" xr:uid="{00000000-0005-0000-0000-000046130000}"/>
    <cellStyle name="60% - Accent1 2 2 29" xfId="3353" xr:uid="{00000000-0005-0000-0000-000047130000}"/>
    <cellStyle name="60% - Accent1 2 2 3" xfId="3354" xr:uid="{00000000-0005-0000-0000-000048130000}"/>
    <cellStyle name="60% - Accent1 2 2 30" xfId="3355" xr:uid="{00000000-0005-0000-0000-000049130000}"/>
    <cellStyle name="60% - Accent1 2 2 31" xfId="3356" xr:uid="{00000000-0005-0000-0000-00004A130000}"/>
    <cellStyle name="60% - Accent1 2 2 31 2" xfId="3357" xr:uid="{00000000-0005-0000-0000-00004B130000}"/>
    <cellStyle name="60% - Accent1 2 2 32" xfId="3358" xr:uid="{00000000-0005-0000-0000-00004C130000}"/>
    <cellStyle name="60% - Accent1 2 2 33" xfId="3359" xr:uid="{00000000-0005-0000-0000-00004D130000}"/>
    <cellStyle name="60% - Accent1 2 2 34" xfId="3360" xr:uid="{00000000-0005-0000-0000-00004E130000}"/>
    <cellStyle name="60% - Accent1 2 2 35" xfId="3361" xr:uid="{00000000-0005-0000-0000-00004F130000}"/>
    <cellStyle name="60% - Accent1 2 2 36" xfId="3362" xr:uid="{00000000-0005-0000-0000-000050130000}"/>
    <cellStyle name="60% - Accent1 2 2 37" xfId="3363" xr:uid="{00000000-0005-0000-0000-000051130000}"/>
    <cellStyle name="60% - Accent1 2 2 38" xfId="3364" xr:uid="{00000000-0005-0000-0000-000052130000}"/>
    <cellStyle name="60% - Accent1 2 2 39" xfId="3365" xr:uid="{00000000-0005-0000-0000-000053130000}"/>
    <cellStyle name="60% - Accent1 2 2 39 2" xfId="3366" xr:uid="{00000000-0005-0000-0000-000054130000}"/>
    <cellStyle name="60% - Accent1 2 2 4" xfId="3367" xr:uid="{00000000-0005-0000-0000-000055130000}"/>
    <cellStyle name="60% - Accent1 2 2 40" xfId="30099" xr:uid="{00000000-0005-0000-0000-000056130000}"/>
    <cellStyle name="60% - Accent1 2 2 41" xfId="30100" xr:uid="{00000000-0005-0000-0000-000057130000}"/>
    <cellStyle name="60% - Accent1 2 2 42" xfId="30101" xr:uid="{00000000-0005-0000-0000-000058130000}"/>
    <cellStyle name="60% - Accent1 2 2 43" xfId="30102" xr:uid="{00000000-0005-0000-0000-000059130000}"/>
    <cellStyle name="60% - Accent1 2 2 5" xfId="3368" xr:uid="{00000000-0005-0000-0000-00005A130000}"/>
    <cellStyle name="60% - Accent1 2 2 6" xfId="3369" xr:uid="{00000000-0005-0000-0000-00005B130000}"/>
    <cellStyle name="60% - Accent1 2 2 7" xfId="3370" xr:uid="{00000000-0005-0000-0000-00005C130000}"/>
    <cellStyle name="60% - Accent1 2 2 8" xfId="3371" xr:uid="{00000000-0005-0000-0000-00005D130000}"/>
    <cellStyle name="60% - Accent1 2 2 9" xfId="3372" xr:uid="{00000000-0005-0000-0000-00005E130000}"/>
    <cellStyle name="60% - Accent1 2 2_Loan Classification" xfId="11413" xr:uid="{00000000-0005-0000-0000-00005F130000}"/>
    <cellStyle name="60% - Accent1 2 20" xfId="3373" xr:uid="{00000000-0005-0000-0000-000060130000}"/>
    <cellStyle name="60% - Accent1 2 21" xfId="3374" xr:uid="{00000000-0005-0000-0000-000061130000}"/>
    <cellStyle name="60% - Accent1 2 22" xfId="3375" xr:uid="{00000000-0005-0000-0000-000062130000}"/>
    <cellStyle name="60% - Accent1 2 23" xfId="3376" xr:uid="{00000000-0005-0000-0000-000063130000}"/>
    <cellStyle name="60% - Accent1 2 24" xfId="3377" xr:uid="{00000000-0005-0000-0000-000064130000}"/>
    <cellStyle name="60% - Accent1 2 25" xfId="3378" xr:uid="{00000000-0005-0000-0000-000065130000}"/>
    <cellStyle name="60% - Accent1 2 26" xfId="3379" xr:uid="{00000000-0005-0000-0000-000066130000}"/>
    <cellStyle name="60% - Accent1 2 27" xfId="3380" xr:uid="{00000000-0005-0000-0000-000067130000}"/>
    <cellStyle name="60% - Accent1 2 28" xfId="3381" xr:uid="{00000000-0005-0000-0000-000068130000}"/>
    <cellStyle name="60% - Accent1 2 29" xfId="3382" xr:uid="{00000000-0005-0000-0000-000069130000}"/>
    <cellStyle name="60% - Accent1 2 3" xfId="3383" xr:uid="{00000000-0005-0000-0000-00006A130000}"/>
    <cellStyle name="60% - Accent1 2 3 2" xfId="30103" xr:uid="{00000000-0005-0000-0000-00006B130000}"/>
    <cellStyle name="60% - Accent1 2 3 2 2" xfId="30104" xr:uid="{00000000-0005-0000-0000-00006C130000}"/>
    <cellStyle name="60% - Accent1 2 3 3" xfId="30105" xr:uid="{00000000-0005-0000-0000-00006D130000}"/>
    <cellStyle name="60% - Accent1 2 3 4" xfId="30106" xr:uid="{00000000-0005-0000-0000-00006E130000}"/>
    <cellStyle name="60% - Accent1 2 30" xfId="3384" xr:uid="{00000000-0005-0000-0000-00006F130000}"/>
    <cellStyle name="60% - Accent1 2 31" xfId="3385" xr:uid="{00000000-0005-0000-0000-000070130000}"/>
    <cellStyle name="60% - Accent1 2 32" xfId="3386" xr:uid="{00000000-0005-0000-0000-000071130000}"/>
    <cellStyle name="60% - Accent1 2 33" xfId="3387" xr:uid="{00000000-0005-0000-0000-000072130000}"/>
    <cellStyle name="60% - Accent1 2 33 2" xfId="3388" xr:uid="{00000000-0005-0000-0000-000073130000}"/>
    <cellStyle name="60% - Accent1 2 34" xfId="3389" xr:uid="{00000000-0005-0000-0000-000074130000}"/>
    <cellStyle name="60% - Accent1 2 35" xfId="3390" xr:uid="{00000000-0005-0000-0000-000075130000}"/>
    <cellStyle name="60% - Accent1 2 36" xfId="3391" xr:uid="{00000000-0005-0000-0000-000076130000}"/>
    <cellStyle name="60% - Accent1 2 37" xfId="3392" xr:uid="{00000000-0005-0000-0000-000077130000}"/>
    <cellStyle name="60% - Accent1 2 38" xfId="3393" xr:uid="{00000000-0005-0000-0000-000078130000}"/>
    <cellStyle name="60% - Accent1 2 39" xfId="3394" xr:uid="{00000000-0005-0000-0000-000079130000}"/>
    <cellStyle name="60% - Accent1 2 4" xfId="3395" xr:uid="{00000000-0005-0000-0000-00007A130000}"/>
    <cellStyle name="60% - Accent1 2 4 2" xfId="30107" xr:uid="{00000000-0005-0000-0000-00007B130000}"/>
    <cellStyle name="60% - Accent1 2 4 2 2" xfId="30108" xr:uid="{00000000-0005-0000-0000-00007C130000}"/>
    <cellStyle name="60% - Accent1 2 4 3" xfId="30109" xr:uid="{00000000-0005-0000-0000-00007D130000}"/>
    <cellStyle name="60% - Accent1 2 4 4" xfId="30110" xr:uid="{00000000-0005-0000-0000-00007E130000}"/>
    <cellStyle name="60% - Accent1 2 40" xfId="3396" xr:uid="{00000000-0005-0000-0000-00007F130000}"/>
    <cellStyle name="60% - Accent1 2 41" xfId="3397" xr:uid="{00000000-0005-0000-0000-000080130000}"/>
    <cellStyle name="60% - Accent1 2 41 2" xfId="3398" xr:uid="{00000000-0005-0000-0000-000081130000}"/>
    <cellStyle name="60% - Accent1 2 42" xfId="30111" xr:uid="{00000000-0005-0000-0000-000082130000}"/>
    <cellStyle name="60% - Accent1 2 43" xfId="30112" xr:uid="{00000000-0005-0000-0000-000083130000}"/>
    <cellStyle name="60% - Accent1 2 44" xfId="30113" xr:uid="{00000000-0005-0000-0000-000084130000}"/>
    <cellStyle name="60% - Accent1 2 45" xfId="30114" xr:uid="{00000000-0005-0000-0000-000085130000}"/>
    <cellStyle name="60% - Accent1 2 46" xfId="33155" xr:uid="{00000000-0005-0000-0000-000086130000}"/>
    <cellStyle name="60% - Accent1 2 47" xfId="33187" xr:uid="{00000000-0005-0000-0000-000087130000}"/>
    <cellStyle name="60% - Accent1 2 48" xfId="3231" xr:uid="{00000000-0005-0000-0000-000088130000}"/>
    <cellStyle name="60% - Accent1 2 5" xfId="3399" xr:uid="{00000000-0005-0000-0000-000089130000}"/>
    <cellStyle name="60% - Accent1 2 5 2" xfId="3400" xr:uid="{00000000-0005-0000-0000-00008A130000}"/>
    <cellStyle name="60% - Accent1 2 5 3" xfId="30115" xr:uid="{00000000-0005-0000-0000-00008B130000}"/>
    <cellStyle name="60% - Accent1 2 6" xfId="3401" xr:uid="{00000000-0005-0000-0000-00008C130000}"/>
    <cellStyle name="60% - Accent1 2 6 2" xfId="30116" xr:uid="{00000000-0005-0000-0000-00008D130000}"/>
    <cellStyle name="60% - Accent1 2 7" xfId="3402" xr:uid="{00000000-0005-0000-0000-00008E130000}"/>
    <cellStyle name="60% - Accent1 2 8" xfId="3403" xr:uid="{00000000-0005-0000-0000-00008F130000}"/>
    <cellStyle name="60% - Accent1 2 9" xfId="3404" xr:uid="{00000000-0005-0000-0000-000090130000}"/>
    <cellStyle name="60% - Accent1 2_Loan Classification" xfId="11412" xr:uid="{00000000-0005-0000-0000-000091130000}"/>
    <cellStyle name="60% - Accent1 20" xfId="3405" xr:uid="{00000000-0005-0000-0000-000092130000}"/>
    <cellStyle name="60% - Accent1 21" xfId="3406" xr:uid="{00000000-0005-0000-0000-000093130000}"/>
    <cellStyle name="60% - Accent1 22" xfId="3407" xr:uid="{00000000-0005-0000-0000-000094130000}"/>
    <cellStyle name="60% - Accent1 23" xfId="3408" xr:uid="{00000000-0005-0000-0000-000095130000}"/>
    <cellStyle name="60% - Accent1 24" xfId="3409" xr:uid="{00000000-0005-0000-0000-000096130000}"/>
    <cellStyle name="60% - Accent1 25" xfId="3410" xr:uid="{00000000-0005-0000-0000-000097130000}"/>
    <cellStyle name="60% - Accent1 26" xfId="3411" xr:uid="{00000000-0005-0000-0000-000098130000}"/>
    <cellStyle name="60% - Accent1 27" xfId="3412" xr:uid="{00000000-0005-0000-0000-000099130000}"/>
    <cellStyle name="60% - Accent1 28" xfId="3413" xr:uid="{00000000-0005-0000-0000-00009A130000}"/>
    <cellStyle name="60% - Accent1 29" xfId="3414" xr:uid="{00000000-0005-0000-0000-00009B130000}"/>
    <cellStyle name="60% - Accent1 3" xfId="72" xr:uid="{00000000-0005-0000-0000-00009C130000}"/>
    <cellStyle name="60% - Accent1 3 2" xfId="30117" xr:uid="{00000000-0005-0000-0000-00009D130000}"/>
    <cellStyle name="60% - Accent1 3 2 2" xfId="30118" xr:uid="{00000000-0005-0000-0000-00009E130000}"/>
    <cellStyle name="60% - Accent1 3 3" xfId="30119" xr:uid="{00000000-0005-0000-0000-00009F130000}"/>
    <cellStyle name="60% - Accent1 3 4" xfId="3415" xr:uid="{00000000-0005-0000-0000-0000A0130000}"/>
    <cellStyle name="60% - Accent1 30" xfId="3416" xr:uid="{00000000-0005-0000-0000-0000A1130000}"/>
    <cellStyle name="60% - Accent1 31" xfId="3417" xr:uid="{00000000-0005-0000-0000-0000A2130000}"/>
    <cellStyle name="60% - Accent1 32" xfId="3418" xr:uid="{00000000-0005-0000-0000-0000A3130000}"/>
    <cellStyle name="60% - Accent1 33" xfId="3419" xr:uid="{00000000-0005-0000-0000-0000A4130000}"/>
    <cellStyle name="60% - Accent1 34" xfId="3420" xr:uid="{00000000-0005-0000-0000-0000A5130000}"/>
    <cellStyle name="60% - Accent1 35" xfId="3421" xr:uid="{00000000-0005-0000-0000-0000A6130000}"/>
    <cellStyle name="60% - Accent1 36" xfId="3422" xr:uid="{00000000-0005-0000-0000-0000A7130000}"/>
    <cellStyle name="60% - Accent1 37" xfId="3423" xr:uid="{00000000-0005-0000-0000-0000A8130000}"/>
    <cellStyle name="60% - Accent1 38" xfId="3424" xr:uid="{00000000-0005-0000-0000-0000A9130000}"/>
    <cellStyle name="60% - Accent1 39" xfId="3425" xr:uid="{00000000-0005-0000-0000-0000AA130000}"/>
    <cellStyle name="60% - Accent1 4" xfId="3426" xr:uid="{00000000-0005-0000-0000-0000AB130000}"/>
    <cellStyle name="60% - Accent1 4 2" xfId="30120" xr:uid="{00000000-0005-0000-0000-0000AC130000}"/>
    <cellStyle name="60% - Accent1 4 2 2" xfId="30121" xr:uid="{00000000-0005-0000-0000-0000AD130000}"/>
    <cellStyle name="60% - Accent1 4 3" xfId="30122" xr:uid="{00000000-0005-0000-0000-0000AE130000}"/>
    <cellStyle name="60% - Accent1 40" xfId="3427" xr:uid="{00000000-0005-0000-0000-0000AF130000}"/>
    <cellStyle name="60% - Accent1 41" xfId="3428" xr:uid="{00000000-0005-0000-0000-0000B0130000}"/>
    <cellStyle name="60% - Accent1 42" xfId="3429" xr:uid="{00000000-0005-0000-0000-0000B1130000}"/>
    <cellStyle name="60% - Accent1 43" xfId="11575" xr:uid="{00000000-0005-0000-0000-0000B2130000}"/>
    <cellStyle name="60% - Accent1 44" xfId="11541" xr:uid="{00000000-0005-0000-0000-0000B3130000}"/>
    <cellStyle name="60% - Accent1 45" xfId="17332" xr:uid="{00000000-0005-0000-0000-0000B4130000}"/>
    <cellStyle name="60% - Accent1 46" xfId="30123" xr:uid="{00000000-0005-0000-0000-0000B5130000}"/>
    <cellStyle name="60% - Accent1 47" xfId="495" xr:uid="{00000000-0005-0000-0000-0000B6130000}"/>
    <cellStyle name="60% - Accent1 5" xfId="3430" xr:uid="{00000000-0005-0000-0000-0000B7130000}"/>
    <cellStyle name="60% - Accent1 5 2" xfId="30124" xr:uid="{00000000-0005-0000-0000-0000B8130000}"/>
    <cellStyle name="60% - Accent1 5 2 2" xfId="30125" xr:uid="{00000000-0005-0000-0000-0000B9130000}"/>
    <cellStyle name="60% - Accent1 5 3" xfId="30126" xr:uid="{00000000-0005-0000-0000-0000BA130000}"/>
    <cellStyle name="60% - Accent1 6" xfId="3431" xr:uid="{00000000-0005-0000-0000-0000BB130000}"/>
    <cellStyle name="60% - Accent1 6 2" xfId="30127" xr:uid="{00000000-0005-0000-0000-0000BC130000}"/>
    <cellStyle name="60% - Accent1 7" xfId="3432" xr:uid="{00000000-0005-0000-0000-0000BD130000}"/>
    <cellStyle name="60% - Accent1 7 2" xfId="30128" xr:uid="{00000000-0005-0000-0000-0000BE130000}"/>
    <cellStyle name="60% - Accent1 8" xfId="3433" xr:uid="{00000000-0005-0000-0000-0000BF130000}"/>
    <cellStyle name="60% - Accent1 8 2" xfId="30129" xr:uid="{00000000-0005-0000-0000-0000C0130000}"/>
    <cellStyle name="60% - Accent1 9" xfId="3434" xr:uid="{00000000-0005-0000-0000-0000C1130000}"/>
    <cellStyle name="60% - Accent1 9 2" xfId="30130" xr:uid="{00000000-0005-0000-0000-0000C2130000}"/>
    <cellStyle name="60% - Accent2" xfId="32" builtinId="36" customBuiltin="1"/>
    <cellStyle name="60% - Accent2 10" xfId="3435" xr:uid="{00000000-0005-0000-0000-0000C4130000}"/>
    <cellStyle name="60% - Accent2 10 2" xfId="30131" xr:uid="{00000000-0005-0000-0000-0000C5130000}"/>
    <cellStyle name="60% - Accent2 11" xfId="3436" xr:uid="{00000000-0005-0000-0000-0000C6130000}"/>
    <cellStyle name="60% - Accent2 11 2" xfId="30132" xr:uid="{00000000-0005-0000-0000-0000C7130000}"/>
    <cellStyle name="60% - Accent2 12" xfId="3437" xr:uid="{00000000-0005-0000-0000-0000C8130000}"/>
    <cellStyle name="60% - Accent2 12 2" xfId="30133" xr:uid="{00000000-0005-0000-0000-0000C9130000}"/>
    <cellStyle name="60% - Accent2 13" xfId="3438" xr:uid="{00000000-0005-0000-0000-0000CA130000}"/>
    <cellStyle name="60% - Accent2 13 2" xfId="30134" xr:uid="{00000000-0005-0000-0000-0000CB130000}"/>
    <cellStyle name="60% - Accent2 14" xfId="3439" xr:uid="{00000000-0005-0000-0000-0000CC130000}"/>
    <cellStyle name="60% - Accent2 14 2" xfId="30135" xr:uid="{00000000-0005-0000-0000-0000CD130000}"/>
    <cellStyle name="60% - Accent2 15" xfId="3440" xr:uid="{00000000-0005-0000-0000-0000CE130000}"/>
    <cellStyle name="60% - Accent2 15 2" xfId="30136" xr:uid="{00000000-0005-0000-0000-0000CF130000}"/>
    <cellStyle name="60% - Accent2 16" xfId="3441" xr:uid="{00000000-0005-0000-0000-0000D0130000}"/>
    <cellStyle name="60% - Accent2 16 2" xfId="30137" xr:uid="{00000000-0005-0000-0000-0000D1130000}"/>
    <cellStyle name="60% - Accent2 17" xfId="3442" xr:uid="{00000000-0005-0000-0000-0000D2130000}"/>
    <cellStyle name="60% - Accent2 17 2" xfId="30138" xr:uid="{00000000-0005-0000-0000-0000D3130000}"/>
    <cellStyle name="60% - Accent2 18" xfId="3443" xr:uid="{00000000-0005-0000-0000-0000D4130000}"/>
    <cellStyle name="60% - Accent2 19" xfId="3444" xr:uid="{00000000-0005-0000-0000-0000D5130000}"/>
    <cellStyle name="60% - Accent2 2" xfId="3445" xr:uid="{00000000-0005-0000-0000-0000D6130000}"/>
    <cellStyle name="60% - Accent2 2 10" xfId="3446" xr:uid="{00000000-0005-0000-0000-0000D7130000}"/>
    <cellStyle name="60% - Accent2 2 11" xfId="3447" xr:uid="{00000000-0005-0000-0000-0000D8130000}"/>
    <cellStyle name="60% - Accent2 2 12" xfId="3448" xr:uid="{00000000-0005-0000-0000-0000D9130000}"/>
    <cellStyle name="60% - Accent2 2 13" xfId="3449" xr:uid="{00000000-0005-0000-0000-0000DA130000}"/>
    <cellStyle name="60% - Accent2 2 14" xfId="3450" xr:uid="{00000000-0005-0000-0000-0000DB130000}"/>
    <cellStyle name="60% - Accent2 2 15" xfId="3451" xr:uid="{00000000-0005-0000-0000-0000DC130000}"/>
    <cellStyle name="60% - Accent2 2 16" xfId="3452" xr:uid="{00000000-0005-0000-0000-0000DD130000}"/>
    <cellStyle name="60% - Accent2 2 16 2" xfId="3453" xr:uid="{00000000-0005-0000-0000-0000DE130000}"/>
    <cellStyle name="60% - Accent2 2 17" xfId="3454" xr:uid="{00000000-0005-0000-0000-0000DF130000}"/>
    <cellStyle name="60% - Accent2 2 18" xfId="3455" xr:uid="{00000000-0005-0000-0000-0000E0130000}"/>
    <cellStyle name="60% - Accent2 2 19" xfId="3456" xr:uid="{00000000-0005-0000-0000-0000E1130000}"/>
    <cellStyle name="60% - Accent2 2 2" xfId="3457" xr:uid="{00000000-0005-0000-0000-0000E2130000}"/>
    <cellStyle name="60% - Accent2 2 2 10" xfId="3458" xr:uid="{00000000-0005-0000-0000-0000E3130000}"/>
    <cellStyle name="60% - Accent2 2 2 11" xfId="3459" xr:uid="{00000000-0005-0000-0000-0000E4130000}"/>
    <cellStyle name="60% - Accent2 2 2 12" xfId="3460" xr:uid="{00000000-0005-0000-0000-0000E5130000}"/>
    <cellStyle name="60% - Accent2 2 2 13" xfId="3461" xr:uid="{00000000-0005-0000-0000-0000E6130000}"/>
    <cellStyle name="60% - Accent2 2 2 14" xfId="3462" xr:uid="{00000000-0005-0000-0000-0000E7130000}"/>
    <cellStyle name="60% - Accent2 2 2 14 2" xfId="3463" xr:uid="{00000000-0005-0000-0000-0000E8130000}"/>
    <cellStyle name="60% - Accent2 2 2 15" xfId="3464" xr:uid="{00000000-0005-0000-0000-0000E9130000}"/>
    <cellStyle name="60% - Accent2 2 2 16" xfId="3465" xr:uid="{00000000-0005-0000-0000-0000EA130000}"/>
    <cellStyle name="60% - Accent2 2 2 17" xfId="3466" xr:uid="{00000000-0005-0000-0000-0000EB130000}"/>
    <cellStyle name="60% - Accent2 2 2 18" xfId="3467" xr:uid="{00000000-0005-0000-0000-0000EC130000}"/>
    <cellStyle name="60% - Accent2 2 2 19" xfId="3468" xr:uid="{00000000-0005-0000-0000-0000ED130000}"/>
    <cellStyle name="60% - Accent2 2 2 2" xfId="3469" xr:uid="{00000000-0005-0000-0000-0000EE130000}"/>
    <cellStyle name="60% - Accent2 2 2 2 10" xfId="3470" xr:uid="{00000000-0005-0000-0000-0000EF130000}"/>
    <cellStyle name="60% - Accent2 2 2 2 11" xfId="3471" xr:uid="{00000000-0005-0000-0000-0000F0130000}"/>
    <cellStyle name="60% - Accent2 2 2 2 12" xfId="3472" xr:uid="{00000000-0005-0000-0000-0000F1130000}"/>
    <cellStyle name="60% - Accent2 2 2 2 13" xfId="3473" xr:uid="{00000000-0005-0000-0000-0000F2130000}"/>
    <cellStyle name="60% - Accent2 2 2 2 14" xfId="3474" xr:uid="{00000000-0005-0000-0000-0000F3130000}"/>
    <cellStyle name="60% - Accent2 2 2 2 15" xfId="3475" xr:uid="{00000000-0005-0000-0000-0000F4130000}"/>
    <cellStyle name="60% - Accent2 2 2 2 16" xfId="3476" xr:uid="{00000000-0005-0000-0000-0000F5130000}"/>
    <cellStyle name="60% - Accent2 2 2 2 17" xfId="3477" xr:uid="{00000000-0005-0000-0000-0000F6130000}"/>
    <cellStyle name="60% - Accent2 2 2 2 18" xfId="3478" xr:uid="{00000000-0005-0000-0000-0000F7130000}"/>
    <cellStyle name="60% - Accent2 2 2 2 19" xfId="3479" xr:uid="{00000000-0005-0000-0000-0000F8130000}"/>
    <cellStyle name="60% - Accent2 2 2 2 2" xfId="3480" xr:uid="{00000000-0005-0000-0000-0000F9130000}"/>
    <cellStyle name="60% - Accent2 2 2 2 2 10" xfId="3481" xr:uid="{00000000-0005-0000-0000-0000FA130000}"/>
    <cellStyle name="60% - Accent2 2 2 2 2 11" xfId="3482" xr:uid="{00000000-0005-0000-0000-0000FB130000}"/>
    <cellStyle name="60% - Accent2 2 2 2 2 12" xfId="3483" xr:uid="{00000000-0005-0000-0000-0000FC130000}"/>
    <cellStyle name="60% - Accent2 2 2 2 2 13" xfId="3484" xr:uid="{00000000-0005-0000-0000-0000FD130000}"/>
    <cellStyle name="60% - Accent2 2 2 2 2 14" xfId="3485" xr:uid="{00000000-0005-0000-0000-0000FE130000}"/>
    <cellStyle name="60% - Accent2 2 2 2 2 15" xfId="3486" xr:uid="{00000000-0005-0000-0000-0000FF130000}"/>
    <cellStyle name="60% - Accent2 2 2 2 2 16" xfId="3487" xr:uid="{00000000-0005-0000-0000-000000140000}"/>
    <cellStyle name="60% - Accent2 2 2 2 2 17" xfId="3488" xr:uid="{00000000-0005-0000-0000-000001140000}"/>
    <cellStyle name="60% - Accent2 2 2 2 2 18" xfId="3489" xr:uid="{00000000-0005-0000-0000-000002140000}"/>
    <cellStyle name="60% - Accent2 2 2 2 2 19" xfId="3490" xr:uid="{00000000-0005-0000-0000-000003140000}"/>
    <cellStyle name="60% - Accent2 2 2 2 2 2" xfId="3491" xr:uid="{00000000-0005-0000-0000-000004140000}"/>
    <cellStyle name="60% - Accent2 2 2 2 2 2 10" xfId="3492" xr:uid="{00000000-0005-0000-0000-000005140000}"/>
    <cellStyle name="60% - Accent2 2 2 2 2 2 11" xfId="3493" xr:uid="{00000000-0005-0000-0000-000006140000}"/>
    <cellStyle name="60% - Accent2 2 2 2 2 2 11 2" xfId="3494" xr:uid="{00000000-0005-0000-0000-000007140000}"/>
    <cellStyle name="60% - Accent2 2 2 2 2 2 2" xfId="3495" xr:uid="{00000000-0005-0000-0000-000008140000}"/>
    <cellStyle name="60% - Accent2 2 2 2 2 2 2 10" xfId="3496" xr:uid="{00000000-0005-0000-0000-000009140000}"/>
    <cellStyle name="60% - Accent2 2 2 2 2 2 2 11" xfId="3497" xr:uid="{00000000-0005-0000-0000-00000A140000}"/>
    <cellStyle name="60% - Accent2 2 2 2 2 2 2 11 2" xfId="3498" xr:uid="{00000000-0005-0000-0000-00000B140000}"/>
    <cellStyle name="60% - Accent2 2 2 2 2 2 2 2" xfId="3499" xr:uid="{00000000-0005-0000-0000-00000C140000}"/>
    <cellStyle name="60% - Accent2 2 2 2 2 2 2 2 2" xfId="3500" xr:uid="{00000000-0005-0000-0000-00000D140000}"/>
    <cellStyle name="60% - Accent2 2 2 2 2 2 2 2 2 2" xfId="3501" xr:uid="{00000000-0005-0000-0000-00000E140000}"/>
    <cellStyle name="60% - Accent2 2 2 2 2 2 2 2 2 2 2" xfId="3502" xr:uid="{00000000-0005-0000-0000-00000F140000}"/>
    <cellStyle name="60% - Accent2 2 2 2 2 2 2 2 2 3" xfId="3503" xr:uid="{00000000-0005-0000-0000-000010140000}"/>
    <cellStyle name="60% - Accent2 2 2 2 2 2 2 2 3" xfId="3504" xr:uid="{00000000-0005-0000-0000-000011140000}"/>
    <cellStyle name="60% - Accent2 2 2 2 2 2 2 2 3 2" xfId="3505" xr:uid="{00000000-0005-0000-0000-000012140000}"/>
    <cellStyle name="60% - Accent2 2 2 2 2 2 2 3" xfId="3506" xr:uid="{00000000-0005-0000-0000-000013140000}"/>
    <cellStyle name="60% - Accent2 2 2 2 2 2 2 4" xfId="3507" xr:uid="{00000000-0005-0000-0000-000014140000}"/>
    <cellStyle name="60% - Accent2 2 2 2 2 2 2 5" xfId="3508" xr:uid="{00000000-0005-0000-0000-000015140000}"/>
    <cellStyle name="60% - Accent2 2 2 2 2 2 2 6" xfId="3509" xr:uid="{00000000-0005-0000-0000-000016140000}"/>
    <cellStyle name="60% - Accent2 2 2 2 2 2 2 7" xfId="3510" xr:uid="{00000000-0005-0000-0000-000017140000}"/>
    <cellStyle name="60% - Accent2 2 2 2 2 2 2 8" xfId="3511" xr:uid="{00000000-0005-0000-0000-000018140000}"/>
    <cellStyle name="60% - Accent2 2 2 2 2 2 2 9" xfId="3512" xr:uid="{00000000-0005-0000-0000-000019140000}"/>
    <cellStyle name="60% - Accent2 2 2 2 2 2 3" xfId="3513" xr:uid="{00000000-0005-0000-0000-00001A140000}"/>
    <cellStyle name="60% - Accent2 2 2 2 2 2 3 2" xfId="3514" xr:uid="{00000000-0005-0000-0000-00001B140000}"/>
    <cellStyle name="60% - Accent2 2 2 2 2 2 4" xfId="3515" xr:uid="{00000000-0005-0000-0000-00001C140000}"/>
    <cellStyle name="60% - Accent2 2 2 2 2 2 5" xfId="3516" xr:uid="{00000000-0005-0000-0000-00001D140000}"/>
    <cellStyle name="60% - Accent2 2 2 2 2 2 6" xfId="3517" xr:uid="{00000000-0005-0000-0000-00001E140000}"/>
    <cellStyle name="60% - Accent2 2 2 2 2 2 7" xfId="3518" xr:uid="{00000000-0005-0000-0000-00001F140000}"/>
    <cellStyle name="60% - Accent2 2 2 2 2 2 8" xfId="3519" xr:uid="{00000000-0005-0000-0000-000020140000}"/>
    <cellStyle name="60% - Accent2 2 2 2 2 2 9" xfId="3520" xr:uid="{00000000-0005-0000-0000-000021140000}"/>
    <cellStyle name="60% - Accent2 2 2 2 2 20" xfId="3521" xr:uid="{00000000-0005-0000-0000-000022140000}"/>
    <cellStyle name="60% - Accent2 2 2 2 2 20 2" xfId="3522" xr:uid="{00000000-0005-0000-0000-000023140000}"/>
    <cellStyle name="60% - Accent2 2 2 2 2 21" xfId="3523" xr:uid="{00000000-0005-0000-0000-000024140000}"/>
    <cellStyle name="60% - Accent2 2 2 2 2 22" xfId="3524" xr:uid="{00000000-0005-0000-0000-000025140000}"/>
    <cellStyle name="60% - Accent2 2 2 2 2 23" xfId="3525" xr:uid="{00000000-0005-0000-0000-000026140000}"/>
    <cellStyle name="60% - Accent2 2 2 2 2 24" xfId="3526" xr:uid="{00000000-0005-0000-0000-000027140000}"/>
    <cellStyle name="60% - Accent2 2 2 2 2 25" xfId="3527" xr:uid="{00000000-0005-0000-0000-000028140000}"/>
    <cellStyle name="60% - Accent2 2 2 2 2 26" xfId="3528" xr:uid="{00000000-0005-0000-0000-000029140000}"/>
    <cellStyle name="60% - Accent2 2 2 2 2 27" xfId="3529" xr:uid="{00000000-0005-0000-0000-00002A140000}"/>
    <cellStyle name="60% - Accent2 2 2 2 2 28" xfId="3530" xr:uid="{00000000-0005-0000-0000-00002B140000}"/>
    <cellStyle name="60% - Accent2 2 2 2 2 28 2" xfId="3531" xr:uid="{00000000-0005-0000-0000-00002C140000}"/>
    <cellStyle name="60% - Accent2 2 2 2 2 3" xfId="3532" xr:uid="{00000000-0005-0000-0000-00002D140000}"/>
    <cellStyle name="60% - Accent2 2 2 2 2 4" xfId="3533" xr:uid="{00000000-0005-0000-0000-00002E140000}"/>
    <cellStyle name="60% - Accent2 2 2 2 2 5" xfId="3534" xr:uid="{00000000-0005-0000-0000-00002F140000}"/>
    <cellStyle name="60% - Accent2 2 2 2 2 6" xfId="3535" xr:uid="{00000000-0005-0000-0000-000030140000}"/>
    <cellStyle name="60% - Accent2 2 2 2 2 7" xfId="3536" xr:uid="{00000000-0005-0000-0000-000031140000}"/>
    <cellStyle name="60% - Accent2 2 2 2 2 8" xfId="3537" xr:uid="{00000000-0005-0000-0000-000032140000}"/>
    <cellStyle name="60% - Accent2 2 2 2 2 9" xfId="3538" xr:uid="{00000000-0005-0000-0000-000033140000}"/>
    <cellStyle name="60% - Accent2 2 2 2 20" xfId="3539" xr:uid="{00000000-0005-0000-0000-000034140000}"/>
    <cellStyle name="60% - Accent2 2 2 2 20 2" xfId="3540" xr:uid="{00000000-0005-0000-0000-000035140000}"/>
    <cellStyle name="60% - Accent2 2 2 2 21" xfId="3541" xr:uid="{00000000-0005-0000-0000-000036140000}"/>
    <cellStyle name="60% - Accent2 2 2 2 22" xfId="3542" xr:uid="{00000000-0005-0000-0000-000037140000}"/>
    <cellStyle name="60% - Accent2 2 2 2 23" xfId="3543" xr:uid="{00000000-0005-0000-0000-000038140000}"/>
    <cellStyle name="60% - Accent2 2 2 2 24" xfId="3544" xr:uid="{00000000-0005-0000-0000-000039140000}"/>
    <cellStyle name="60% - Accent2 2 2 2 25" xfId="3545" xr:uid="{00000000-0005-0000-0000-00003A140000}"/>
    <cellStyle name="60% - Accent2 2 2 2 26" xfId="3546" xr:uid="{00000000-0005-0000-0000-00003B140000}"/>
    <cellStyle name="60% - Accent2 2 2 2 27" xfId="3547" xr:uid="{00000000-0005-0000-0000-00003C140000}"/>
    <cellStyle name="60% - Accent2 2 2 2 28" xfId="3548" xr:uid="{00000000-0005-0000-0000-00003D140000}"/>
    <cellStyle name="60% - Accent2 2 2 2 28 2" xfId="3549" xr:uid="{00000000-0005-0000-0000-00003E140000}"/>
    <cellStyle name="60% - Accent2 2 2 2 29" xfId="30139" xr:uid="{00000000-0005-0000-0000-00003F140000}"/>
    <cellStyle name="60% - Accent2 2 2 2 3" xfId="3550" xr:uid="{00000000-0005-0000-0000-000040140000}"/>
    <cellStyle name="60% - Accent2 2 2 2 3 2" xfId="3551" xr:uid="{00000000-0005-0000-0000-000041140000}"/>
    <cellStyle name="60% - Accent2 2 2 2 4" xfId="3552" xr:uid="{00000000-0005-0000-0000-000042140000}"/>
    <cellStyle name="60% - Accent2 2 2 2 5" xfId="3553" xr:uid="{00000000-0005-0000-0000-000043140000}"/>
    <cellStyle name="60% - Accent2 2 2 2 6" xfId="3554" xr:uid="{00000000-0005-0000-0000-000044140000}"/>
    <cellStyle name="60% - Accent2 2 2 2 7" xfId="3555" xr:uid="{00000000-0005-0000-0000-000045140000}"/>
    <cellStyle name="60% - Accent2 2 2 2 8" xfId="3556" xr:uid="{00000000-0005-0000-0000-000046140000}"/>
    <cellStyle name="60% - Accent2 2 2 2 9" xfId="3557" xr:uid="{00000000-0005-0000-0000-000047140000}"/>
    <cellStyle name="60% - Accent2 2 2 20" xfId="3558" xr:uid="{00000000-0005-0000-0000-000048140000}"/>
    <cellStyle name="60% - Accent2 2 2 21" xfId="3559" xr:uid="{00000000-0005-0000-0000-000049140000}"/>
    <cellStyle name="60% - Accent2 2 2 22" xfId="3560" xr:uid="{00000000-0005-0000-0000-00004A140000}"/>
    <cellStyle name="60% - Accent2 2 2 23" xfId="3561" xr:uid="{00000000-0005-0000-0000-00004B140000}"/>
    <cellStyle name="60% - Accent2 2 2 24" xfId="3562" xr:uid="{00000000-0005-0000-0000-00004C140000}"/>
    <cellStyle name="60% - Accent2 2 2 25" xfId="3563" xr:uid="{00000000-0005-0000-0000-00004D140000}"/>
    <cellStyle name="60% - Accent2 2 2 26" xfId="3564" xr:uid="{00000000-0005-0000-0000-00004E140000}"/>
    <cellStyle name="60% - Accent2 2 2 27" xfId="3565" xr:uid="{00000000-0005-0000-0000-00004F140000}"/>
    <cellStyle name="60% - Accent2 2 2 28" xfId="3566" xr:uid="{00000000-0005-0000-0000-000050140000}"/>
    <cellStyle name="60% - Accent2 2 2 29" xfId="3567" xr:uid="{00000000-0005-0000-0000-000051140000}"/>
    <cellStyle name="60% - Accent2 2 2 3" xfId="3568" xr:uid="{00000000-0005-0000-0000-000052140000}"/>
    <cellStyle name="60% - Accent2 2 2 30" xfId="3569" xr:uid="{00000000-0005-0000-0000-000053140000}"/>
    <cellStyle name="60% - Accent2 2 2 31" xfId="3570" xr:uid="{00000000-0005-0000-0000-000054140000}"/>
    <cellStyle name="60% - Accent2 2 2 31 2" xfId="3571" xr:uid="{00000000-0005-0000-0000-000055140000}"/>
    <cellStyle name="60% - Accent2 2 2 32" xfId="3572" xr:uid="{00000000-0005-0000-0000-000056140000}"/>
    <cellStyle name="60% - Accent2 2 2 33" xfId="3573" xr:uid="{00000000-0005-0000-0000-000057140000}"/>
    <cellStyle name="60% - Accent2 2 2 34" xfId="3574" xr:uid="{00000000-0005-0000-0000-000058140000}"/>
    <cellStyle name="60% - Accent2 2 2 35" xfId="3575" xr:uid="{00000000-0005-0000-0000-000059140000}"/>
    <cellStyle name="60% - Accent2 2 2 36" xfId="3576" xr:uid="{00000000-0005-0000-0000-00005A140000}"/>
    <cellStyle name="60% - Accent2 2 2 37" xfId="3577" xr:uid="{00000000-0005-0000-0000-00005B140000}"/>
    <cellStyle name="60% - Accent2 2 2 38" xfId="3578" xr:uid="{00000000-0005-0000-0000-00005C140000}"/>
    <cellStyle name="60% - Accent2 2 2 39" xfId="3579" xr:uid="{00000000-0005-0000-0000-00005D140000}"/>
    <cellStyle name="60% - Accent2 2 2 39 2" xfId="3580" xr:uid="{00000000-0005-0000-0000-00005E140000}"/>
    <cellStyle name="60% - Accent2 2 2 4" xfId="3581" xr:uid="{00000000-0005-0000-0000-00005F140000}"/>
    <cellStyle name="60% - Accent2 2 2 40" xfId="30140" xr:uid="{00000000-0005-0000-0000-000060140000}"/>
    <cellStyle name="60% - Accent2 2 2 41" xfId="30141" xr:uid="{00000000-0005-0000-0000-000061140000}"/>
    <cellStyle name="60% - Accent2 2 2 42" xfId="30142" xr:uid="{00000000-0005-0000-0000-000062140000}"/>
    <cellStyle name="60% - Accent2 2 2 43" xfId="30143" xr:uid="{00000000-0005-0000-0000-000063140000}"/>
    <cellStyle name="60% - Accent2 2 2 5" xfId="3582" xr:uid="{00000000-0005-0000-0000-000064140000}"/>
    <cellStyle name="60% - Accent2 2 2 6" xfId="3583" xr:uid="{00000000-0005-0000-0000-000065140000}"/>
    <cellStyle name="60% - Accent2 2 2 7" xfId="3584" xr:uid="{00000000-0005-0000-0000-000066140000}"/>
    <cellStyle name="60% - Accent2 2 2 8" xfId="3585" xr:uid="{00000000-0005-0000-0000-000067140000}"/>
    <cellStyle name="60% - Accent2 2 2 9" xfId="3586" xr:uid="{00000000-0005-0000-0000-000068140000}"/>
    <cellStyle name="60% - Accent2 2 2_Loan Classification" xfId="11415" xr:uid="{00000000-0005-0000-0000-000069140000}"/>
    <cellStyle name="60% - Accent2 2 20" xfId="3587" xr:uid="{00000000-0005-0000-0000-00006A140000}"/>
    <cellStyle name="60% - Accent2 2 21" xfId="3588" xr:uid="{00000000-0005-0000-0000-00006B140000}"/>
    <cellStyle name="60% - Accent2 2 22" xfId="3589" xr:uid="{00000000-0005-0000-0000-00006C140000}"/>
    <cellStyle name="60% - Accent2 2 23" xfId="3590" xr:uid="{00000000-0005-0000-0000-00006D140000}"/>
    <cellStyle name="60% - Accent2 2 24" xfId="3591" xr:uid="{00000000-0005-0000-0000-00006E140000}"/>
    <cellStyle name="60% - Accent2 2 25" xfId="3592" xr:uid="{00000000-0005-0000-0000-00006F140000}"/>
    <cellStyle name="60% - Accent2 2 26" xfId="3593" xr:uid="{00000000-0005-0000-0000-000070140000}"/>
    <cellStyle name="60% - Accent2 2 27" xfId="3594" xr:uid="{00000000-0005-0000-0000-000071140000}"/>
    <cellStyle name="60% - Accent2 2 28" xfId="3595" xr:uid="{00000000-0005-0000-0000-000072140000}"/>
    <cellStyle name="60% - Accent2 2 29" xfId="3596" xr:uid="{00000000-0005-0000-0000-000073140000}"/>
    <cellStyle name="60% - Accent2 2 3" xfId="3597" xr:uid="{00000000-0005-0000-0000-000074140000}"/>
    <cellStyle name="60% - Accent2 2 3 2" xfId="30144" xr:uid="{00000000-0005-0000-0000-000075140000}"/>
    <cellStyle name="60% - Accent2 2 3 2 2" xfId="30145" xr:uid="{00000000-0005-0000-0000-000076140000}"/>
    <cellStyle name="60% - Accent2 2 3 3" xfId="30146" xr:uid="{00000000-0005-0000-0000-000077140000}"/>
    <cellStyle name="60% - Accent2 2 3 4" xfId="30147" xr:uid="{00000000-0005-0000-0000-000078140000}"/>
    <cellStyle name="60% - Accent2 2 30" xfId="3598" xr:uid="{00000000-0005-0000-0000-000079140000}"/>
    <cellStyle name="60% - Accent2 2 31" xfId="3599" xr:uid="{00000000-0005-0000-0000-00007A140000}"/>
    <cellStyle name="60% - Accent2 2 32" xfId="3600" xr:uid="{00000000-0005-0000-0000-00007B140000}"/>
    <cellStyle name="60% - Accent2 2 33" xfId="3601" xr:uid="{00000000-0005-0000-0000-00007C140000}"/>
    <cellStyle name="60% - Accent2 2 33 2" xfId="3602" xr:uid="{00000000-0005-0000-0000-00007D140000}"/>
    <cellStyle name="60% - Accent2 2 34" xfId="3603" xr:uid="{00000000-0005-0000-0000-00007E140000}"/>
    <cellStyle name="60% - Accent2 2 35" xfId="3604" xr:uid="{00000000-0005-0000-0000-00007F140000}"/>
    <cellStyle name="60% - Accent2 2 36" xfId="3605" xr:uid="{00000000-0005-0000-0000-000080140000}"/>
    <cellStyle name="60% - Accent2 2 37" xfId="3606" xr:uid="{00000000-0005-0000-0000-000081140000}"/>
    <cellStyle name="60% - Accent2 2 38" xfId="3607" xr:uid="{00000000-0005-0000-0000-000082140000}"/>
    <cellStyle name="60% - Accent2 2 39" xfId="3608" xr:uid="{00000000-0005-0000-0000-000083140000}"/>
    <cellStyle name="60% - Accent2 2 4" xfId="3609" xr:uid="{00000000-0005-0000-0000-000084140000}"/>
    <cellStyle name="60% - Accent2 2 4 2" xfId="30148" xr:uid="{00000000-0005-0000-0000-000085140000}"/>
    <cellStyle name="60% - Accent2 2 4 2 2" xfId="30149" xr:uid="{00000000-0005-0000-0000-000086140000}"/>
    <cellStyle name="60% - Accent2 2 4 3" xfId="30150" xr:uid="{00000000-0005-0000-0000-000087140000}"/>
    <cellStyle name="60% - Accent2 2 4 4" xfId="30151" xr:uid="{00000000-0005-0000-0000-000088140000}"/>
    <cellStyle name="60% - Accent2 2 40" xfId="3610" xr:uid="{00000000-0005-0000-0000-000089140000}"/>
    <cellStyle name="60% - Accent2 2 41" xfId="3611" xr:uid="{00000000-0005-0000-0000-00008A140000}"/>
    <cellStyle name="60% - Accent2 2 41 2" xfId="3612" xr:uid="{00000000-0005-0000-0000-00008B140000}"/>
    <cellStyle name="60% - Accent2 2 42" xfId="30152" xr:uid="{00000000-0005-0000-0000-00008C140000}"/>
    <cellStyle name="60% - Accent2 2 5" xfId="3613" xr:uid="{00000000-0005-0000-0000-00008D140000}"/>
    <cellStyle name="60% - Accent2 2 5 2" xfId="3614" xr:uid="{00000000-0005-0000-0000-00008E140000}"/>
    <cellStyle name="60% - Accent2 2 5 3" xfId="30153" xr:uid="{00000000-0005-0000-0000-00008F140000}"/>
    <cellStyle name="60% - Accent2 2 6" xfId="3615" xr:uid="{00000000-0005-0000-0000-000090140000}"/>
    <cellStyle name="60% - Accent2 2 6 2" xfId="30154" xr:uid="{00000000-0005-0000-0000-000091140000}"/>
    <cellStyle name="60% - Accent2 2 7" xfId="3616" xr:uid="{00000000-0005-0000-0000-000092140000}"/>
    <cellStyle name="60% - Accent2 2 8" xfId="3617" xr:uid="{00000000-0005-0000-0000-000093140000}"/>
    <cellStyle name="60% - Accent2 2 9" xfId="3618" xr:uid="{00000000-0005-0000-0000-000094140000}"/>
    <cellStyle name="60% - Accent2 2_Loan Classification" xfId="11414" xr:uid="{00000000-0005-0000-0000-000095140000}"/>
    <cellStyle name="60% - Accent2 20" xfId="3619" xr:uid="{00000000-0005-0000-0000-000096140000}"/>
    <cellStyle name="60% - Accent2 21" xfId="3620" xr:uid="{00000000-0005-0000-0000-000097140000}"/>
    <cellStyle name="60% - Accent2 22" xfId="3621" xr:uid="{00000000-0005-0000-0000-000098140000}"/>
    <cellStyle name="60% - Accent2 23" xfId="3622" xr:uid="{00000000-0005-0000-0000-000099140000}"/>
    <cellStyle name="60% - Accent2 24" xfId="3623" xr:uid="{00000000-0005-0000-0000-00009A140000}"/>
    <cellStyle name="60% - Accent2 25" xfId="3624" xr:uid="{00000000-0005-0000-0000-00009B140000}"/>
    <cellStyle name="60% - Accent2 26" xfId="3625" xr:uid="{00000000-0005-0000-0000-00009C140000}"/>
    <cellStyle name="60% - Accent2 27" xfId="3626" xr:uid="{00000000-0005-0000-0000-00009D140000}"/>
    <cellStyle name="60% - Accent2 28" xfId="3627" xr:uid="{00000000-0005-0000-0000-00009E140000}"/>
    <cellStyle name="60% - Accent2 29" xfId="3628" xr:uid="{00000000-0005-0000-0000-00009F140000}"/>
    <cellStyle name="60% - Accent2 3" xfId="3629" xr:uid="{00000000-0005-0000-0000-0000A0140000}"/>
    <cellStyle name="60% - Accent2 3 2" xfId="30155" xr:uid="{00000000-0005-0000-0000-0000A1140000}"/>
    <cellStyle name="60% - Accent2 3 2 2" xfId="30156" xr:uid="{00000000-0005-0000-0000-0000A2140000}"/>
    <cellStyle name="60% - Accent2 3 3" xfId="30157" xr:uid="{00000000-0005-0000-0000-0000A3140000}"/>
    <cellStyle name="60% - Accent2 30" xfId="3630" xr:uid="{00000000-0005-0000-0000-0000A4140000}"/>
    <cellStyle name="60% - Accent2 31" xfId="3631" xr:uid="{00000000-0005-0000-0000-0000A5140000}"/>
    <cellStyle name="60% - Accent2 32" xfId="3632" xr:uid="{00000000-0005-0000-0000-0000A6140000}"/>
    <cellStyle name="60% - Accent2 33" xfId="3633" xr:uid="{00000000-0005-0000-0000-0000A7140000}"/>
    <cellStyle name="60% - Accent2 34" xfId="3634" xr:uid="{00000000-0005-0000-0000-0000A8140000}"/>
    <cellStyle name="60% - Accent2 35" xfId="3635" xr:uid="{00000000-0005-0000-0000-0000A9140000}"/>
    <cellStyle name="60% - Accent2 36" xfId="3636" xr:uid="{00000000-0005-0000-0000-0000AA140000}"/>
    <cellStyle name="60% - Accent2 37" xfId="3637" xr:uid="{00000000-0005-0000-0000-0000AB140000}"/>
    <cellStyle name="60% - Accent2 38" xfId="3638" xr:uid="{00000000-0005-0000-0000-0000AC140000}"/>
    <cellStyle name="60% - Accent2 39" xfId="3639" xr:uid="{00000000-0005-0000-0000-0000AD140000}"/>
    <cellStyle name="60% - Accent2 4" xfId="3640" xr:uid="{00000000-0005-0000-0000-0000AE140000}"/>
    <cellStyle name="60% - Accent2 4 2" xfId="30158" xr:uid="{00000000-0005-0000-0000-0000AF140000}"/>
    <cellStyle name="60% - Accent2 4 2 2" xfId="30159" xr:uid="{00000000-0005-0000-0000-0000B0140000}"/>
    <cellStyle name="60% - Accent2 4 3" xfId="30160" xr:uid="{00000000-0005-0000-0000-0000B1140000}"/>
    <cellStyle name="60% - Accent2 40" xfId="3641" xr:uid="{00000000-0005-0000-0000-0000B2140000}"/>
    <cellStyle name="60% - Accent2 41" xfId="3642" xr:uid="{00000000-0005-0000-0000-0000B3140000}"/>
    <cellStyle name="60% - Accent2 42" xfId="3643" xr:uid="{00000000-0005-0000-0000-0000B4140000}"/>
    <cellStyle name="60% - Accent2 43" xfId="11576" xr:uid="{00000000-0005-0000-0000-0000B5140000}"/>
    <cellStyle name="60% - Accent2 44" xfId="11545" xr:uid="{00000000-0005-0000-0000-0000B6140000}"/>
    <cellStyle name="60% - Accent2 45" xfId="17333" xr:uid="{00000000-0005-0000-0000-0000B7140000}"/>
    <cellStyle name="60% - Accent2 46" xfId="30161" xr:uid="{00000000-0005-0000-0000-0000B8140000}"/>
    <cellStyle name="60% - Accent2 47" xfId="496" xr:uid="{00000000-0005-0000-0000-0000B9140000}"/>
    <cellStyle name="60% - Accent2 5" xfId="3644" xr:uid="{00000000-0005-0000-0000-0000BA140000}"/>
    <cellStyle name="60% - Accent2 5 2" xfId="30162" xr:uid="{00000000-0005-0000-0000-0000BB140000}"/>
    <cellStyle name="60% - Accent2 5 2 2" xfId="30163" xr:uid="{00000000-0005-0000-0000-0000BC140000}"/>
    <cellStyle name="60% - Accent2 5 3" xfId="30164" xr:uid="{00000000-0005-0000-0000-0000BD140000}"/>
    <cellStyle name="60% - Accent2 6" xfId="3645" xr:uid="{00000000-0005-0000-0000-0000BE140000}"/>
    <cellStyle name="60% - Accent2 6 2" xfId="30165" xr:uid="{00000000-0005-0000-0000-0000BF140000}"/>
    <cellStyle name="60% - Accent2 7" xfId="3646" xr:uid="{00000000-0005-0000-0000-0000C0140000}"/>
    <cellStyle name="60% - Accent2 7 2" xfId="30166" xr:uid="{00000000-0005-0000-0000-0000C1140000}"/>
    <cellStyle name="60% - Accent2 8" xfId="3647" xr:uid="{00000000-0005-0000-0000-0000C2140000}"/>
    <cellStyle name="60% - Accent2 8 2" xfId="30167" xr:uid="{00000000-0005-0000-0000-0000C3140000}"/>
    <cellStyle name="60% - Accent2 9" xfId="3648" xr:uid="{00000000-0005-0000-0000-0000C4140000}"/>
    <cellStyle name="60% - Accent2 9 2" xfId="30168" xr:uid="{00000000-0005-0000-0000-0000C5140000}"/>
    <cellStyle name="60% - Accent3" xfId="36" builtinId="40" customBuiltin="1"/>
    <cellStyle name="60% - Accent3 10" xfId="3649" xr:uid="{00000000-0005-0000-0000-0000C7140000}"/>
    <cellStyle name="60% - Accent3 10 2" xfId="30169" xr:uid="{00000000-0005-0000-0000-0000C8140000}"/>
    <cellStyle name="60% - Accent3 11" xfId="3650" xr:uid="{00000000-0005-0000-0000-0000C9140000}"/>
    <cellStyle name="60% - Accent3 11 2" xfId="30170" xr:uid="{00000000-0005-0000-0000-0000CA140000}"/>
    <cellStyle name="60% - Accent3 12" xfId="3651" xr:uid="{00000000-0005-0000-0000-0000CB140000}"/>
    <cellStyle name="60% - Accent3 12 2" xfId="30171" xr:uid="{00000000-0005-0000-0000-0000CC140000}"/>
    <cellStyle name="60% - Accent3 13" xfId="3652" xr:uid="{00000000-0005-0000-0000-0000CD140000}"/>
    <cellStyle name="60% - Accent3 13 2" xfId="30172" xr:uid="{00000000-0005-0000-0000-0000CE140000}"/>
    <cellStyle name="60% - Accent3 14" xfId="3653" xr:uid="{00000000-0005-0000-0000-0000CF140000}"/>
    <cellStyle name="60% - Accent3 14 2" xfId="30173" xr:uid="{00000000-0005-0000-0000-0000D0140000}"/>
    <cellStyle name="60% - Accent3 15" xfId="3654" xr:uid="{00000000-0005-0000-0000-0000D1140000}"/>
    <cellStyle name="60% - Accent3 15 2" xfId="30174" xr:uid="{00000000-0005-0000-0000-0000D2140000}"/>
    <cellStyle name="60% - Accent3 16" xfId="3655" xr:uid="{00000000-0005-0000-0000-0000D3140000}"/>
    <cellStyle name="60% - Accent3 16 2" xfId="30175" xr:uid="{00000000-0005-0000-0000-0000D4140000}"/>
    <cellStyle name="60% - Accent3 17" xfId="3656" xr:uid="{00000000-0005-0000-0000-0000D5140000}"/>
    <cellStyle name="60% - Accent3 17 2" xfId="30176" xr:uid="{00000000-0005-0000-0000-0000D6140000}"/>
    <cellStyle name="60% - Accent3 18" xfId="3657" xr:uid="{00000000-0005-0000-0000-0000D7140000}"/>
    <cellStyle name="60% - Accent3 19" xfId="3658" xr:uid="{00000000-0005-0000-0000-0000D8140000}"/>
    <cellStyle name="60% - Accent3 2" xfId="73" xr:uid="{00000000-0005-0000-0000-0000D9140000}"/>
    <cellStyle name="60% - Accent3 2 10" xfId="3660" xr:uid="{00000000-0005-0000-0000-0000DA140000}"/>
    <cellStyle name="60% - Accent3 2 11" xfId="3661" xr:uid="{00000000-0005-0000-0000-0000DB140000}"/>
    <cellStyle name="60% - Accent3 2 12" xfId="3662" xr:uid="{00000000-0005-0000-0000-0000DC140000}"/>
    <cellStyle name="60% - Accent3 2 13" xfId="3663" xr:uid="{00000000-0005-0000-0000-0000DD140000}"/>
    <cellStyle name="60% - Accent3 2 14" xfId="3664" xr:uid="{00000000-0005-0000-0000-0000DE140000}"/>
    <cellStyle name="60% - Accent3 2 15" xfId="3665" xr:uid="{00000000-0005-0000-0000-0000DF140000}"/>
    <cellStyle name="60% - Accent3 2 16" xfId="3666" xr:uid="{00000000-0005-0000-0000-0000E0140000}"/>
    <cellStyle name="60% - Accent3 2 16 2" xfId="3667" xr:uid="{00000000-0005-0000-0000-0000E1140000}"/>
    <cellStyle name="60% - Accent3 2 17" xfId="3668" xr:uid="{00000000-0005-0000-0000-0000E2140000}"/>
    <cellStyle name="60% - Accent3 2 18" xfId="3669" xr:uid="{00000000-0005-0000-0000-0000E3140000}"/>
    <cellStyle name="60% - Accent3 2 19" xfId="3670" xr:uid="{00000000-0005-0000-0000-0000E4140000}"/>
    <cellStyle name="60% - Accent3 2 2" xfId="3671" xr:uid="{00000000-0005-0000-0000-0000E5140000}"/>
    <cellStyle name="60% - Accent3 2 2 10" xfId="3672" xr:uid="{00000000-0005-0000-0000-0000E6140000}"/>
    <cellStyle name="60% - Accent3 2 2 11" xfId="3673" xr:uid="{00000000-0005-0000-0000-0000E7140000}"/>
    <cellStyle name="60% - Accent3 2 2 12" xfId="3674" xr:uid="{00000000-0005-0000-0000-0000E8140000}"/>
    <cellStyle name="60% - Accent3 2 2 13" xfId="3675" xr:uid="{00000000-0005-0000-0000-0000E9140000}"/>
    <cellStyle name="60% - Accent3 2 2 14" xfId="3676" xr:uid="{00000000-0005-0000-0000-0000EA140000}"/>
    <cellStyle name="60% - Accent3 2 2 14 2" xfId="3677" xr:uid="{00000000-0005-0000-0000-0000EB140000}"/>
    <cellStyle name="60% - Accent3 2 2 15" xfId="3678" xr:uid="{00000000-0005-0000-0000-0000EC140000}"/>
    <cellStyle name="60% - Accent3 2 2 16" xfId="3679" xr:uid="{00000000-0005-0000-0000-0000ED140000}"/>
    <cellStyle name="60% - Accent3 2 2 17" xfId="3680" xr:uid="{00000000-0005-0000-0000-0000EE140000}"/>
    <cellStyle name="60% - Accent3 2 2 18" xfId="3681" xr:uid="{00000000-0005-0000-0000-0000EF140000}"/>
    <cellStyle name="60% - Accent3 2 2 19" xfId="3682" xr:uid="{00000000-0005-0000-0000-0000F0140000}"/>
    <cellStyle name="60% - Accent3 2 2 2" xfId="3683" xr:uid="{00000000-0005-0000-0000-0000F1140000}"/>
    <cellStyle name="60% - Accent3 2 2 2 10" xfId="3684" xr:uid="{00000000-0005-0000-0000-0000F2140000}"/>
    <cellStyle name="60% - Accent3 2 2 2 11" xfId="3685" xr:uid="{00000000-0005-0000-0000-0000F3140000}"/>
    <cellStyle name="60% - Accent3 2 2 2 12" xfId="3686" xr:uid="{00000000-0005-0000-0000-0000F4140000}"/>
    <cellStyle name="60% - Accent3 2 2 2 13" xfId="3687" xr:uid="{00000000-0005-0000-0000-0000F5140000}"/>
    <cellStyle name="60% - Accent3 2 2 2 14" xfId="3688" xr:uid="{00000000-0005-0000-0000-0000F6140000}"/>
    <cellStyle name="60% - Accent3 2 2 2 15" xfId="3689" xr:uid="{00000000-0005-0000-0000-0000F7140000}"/>
    <cellStyle name="60% - Accent3 2 2 2 16" xfId="3690" xr:uid="{00000000-0005-0000-0000-0000F8140000}"/>
    <cellStyle name="60% - Accent3 2 2 2 17" xfId="3691" xr:uid="{00000000-0005-0000-0000-0000F9140000}"/>
    <cellStyle name="60% - Accent3 2 2 2 18" xfId="3692" xr:uid="{00000000-0005-0000-0000-0000FA140000}"/>
    <cellStyle name="60% - Accent3 2 2 2 19" xfId="3693" xr:uid="{00000000-0005-0000-0000-0000FB140000}"/>
    <cellStyle name="60% - Accent3 2 2 2 2" xfId="3694" xr:uid="{00000000-0005-0000-0000-0000FC140000}"/>
    <cellStyle name="60% - Accent3 2 2 2 2 10" xfId="3695" xr:uid="{00000000-0005-0000-0000-0000FD140000}"/>
    <cellStyle name="60% - Accent3 2 2 2 2 11" xfId="3696" xr:uid="{00000000-0005-0000-0000-0000FE140000}"/>
    <cellStyle name="60% - Accent3 2 2 2 2 12" xfId="3697" xr:uid="{00000000-0005-0000-0000-0000FF140000}"/>
    <cellStyle name="60% - Accent3 2 2 2 2 13" xfId="3698" xr:uid="{00000000-0005-0000-0000-000000150000}"/>
    <cellStyle name="60% - Accent3 2 2 2 2 14" xfId="3699" xr:uid="{00000000-0005-0000-0000-000001150000}"/>
    <cellStyle name="60% - Accent3 2 2 2 2 15" xfId="3700" xr:uid="{00000000-0005-0000-0000-000002150000}"/>
    <cellStyle name="60% - Accent3 2 2 2 2 16" xfId="3701" xr:uid="{00000000-0005-0000-0000-000003150000}"/>
    <cellStyle name="60% - Accent3 2 2 2 2 17" xfId="3702" xr:uid="{00000000-0005-0000-0000-000004150000}"/>
    <cellStyle name="60% - Accent3 2 2 2 2 18" xfId="3703" xr:uid="{00000000-0005-0000-0000-000005150000}"/>
    <cellStyle name="60% - Accent3 2 2 2 2 19" xfId="3704" xr:uid="{00000000-0005-0000-0000-000006150000}"/>
    <cellStyle name="60% - Accent3 2 2 2 2 2" xfId="3705" xr:uid="{00000000-0005-0000-0000-000007150000}"/>
    <cellStyle name="60% - Accent3 2 2 2 2 2 10" xfId="3706" xr:uid="{00000000-0005-0000-0000-000008150000}"/>
    <cellStyle name="60% - Accent3 2 2 2 2 2 11" xfId="3707" xr:uid="{00000000-0005-0000-0000-000009150000}"/>
    <cellStyle name="60% - Accent3 2 2 2 2 2 11 2" xfId="3708" xr:uid="{00000000-0005-0000-0000-00000A150000}"/>
    <cellStyle name="60% - Accent3 2 2 2 2 2 2" xfId="3709" xr:uid="{00000000-0005-0000-0000-00000B150000}"/>
    <cellStyle name="60% - Accent3 2 2 2 2 2 2 10" xfId="3710" xr:uid="{00000000-0005-0000-0000-00000C150000}"/>
    <cellStyle name="60% - Accent3 2 2 2 2 2 2 11" xfId="3711" xr:uid="{00000000-0005-0000-0000-00000D150000}"/>
    <cellStyle name="60% - Accent3 2 2 2 2 2 2 11 2" xfId="3712" xr:uid="{00000000-0005-0000-0000-00000E150000}"/>
    <cellStyle name="60% - Accent3 2 2 2 2 2 2 2" xfId="3713" xr:uid="{00000000-0005-0000-0000-00000F150000}"/>
    <cellStyle name="60% - Accent3 2 2 2 2 2 2 2 2" xfId="3714" xr:uid="{00000000-0005-0000-0000-000010150000}"/>
    <cellStyle name="60% - Accent3 2 2 2 2 2 2 2 2 2" xfId="3715" xr:uid="{00000000-0005-0000-0000-000011150000}"/>
    <cellStyle name="60% - Accent3 2 2 2 2 2 2 2 2 2 2" xfId="3716" xr:uid="{00000000-0005-0000-0000-000012150000}"/>
    <cellStyle name="60% - Accent3 2 2 2 2 2 2 2 2 3" xfId="3717" xr:uid="{00000000-0005-0000-0000-000013150000}"/>
    <cellStyle name="60% - Accent3 2 2 2 2 2 2 2 3" xfId="3718" xr:uid="{00000000-0005-0000-0000-000014150000}"/>
    <cellStyle name="60% - Accent3 2 2 2 2 2 2 2 3 2" xfId="3719" xr:uid="{00000000-0005-0000-0000-000015150000}"/>
    <cellStyle name="60% - Accent3 2 2 2 2 2 2 3" xfId="3720" xr:uid="{00000000-0005-0000-0000-000016150000}"/>
    <cellStyle name="60% - Accent3 2 2 2 2 2 2 4" xfId="3721" xr:uid="{00000000-0005-0000-0000-000017150000}"/>
    <cellStyle name="60% - Accent3 2 2 2 2 2 2 5" xfId="3722" xr:uid="{00000000-0005-0000-0000-000018150000}"/>
    <cellStyle name="60% - Accent3 2 2 2 2 2 2 6" xfId="3723" xr:uid="{00000000-0005-0000-0000-000019150000}"/>
    <cellStyle name="60% - Accent3 2 2 2 2 2 2 7" xfId="3724" xr:uid="{00000000-0005-0000-0000-00001A150000}"/>
    <cellStyle name="60% - Accent3 2 2 2 2 2 2 8" xfId="3725" xr:uid="{00000000-0005-0000-0000-00001B150000}"/>
    <cellStyle name="60% - Accent3 2 2 2 2 2 2 9" xfId="3726" xr:uid="{00000000-0005-0000-0000-00001C150000}"/>
    <cellStyle name="60% - Accent3 2 2 2 2 2 3" xfId="3727" xr:uid="{00000000-0005-0000-0000-00001D150000}"/>
    <cellStyle name="60% - Accent3 2 2 2 2 2 3 2" xfId="3728" xr:uid="{00000000-0005-0000-0000-00001E150000}"/>
    <cellStyle name="60% - Accent3 2 2 2 2 2 4" xfId="3729" xr:uid="{00000000-0005-0000-0000-00001F150000}"/>
    <cellStyle name="60% - Accent3 2 2 2 2 2 5" xfId="3730" xr:uid="{00000000-0005-0000-0000-000020150000}"/>
    <cellStyle name="60% - Accent3 2 2 2 2 2 6" xfId="3731" xr:uid="{00000000-0005-0000-0000-000021150000}"/>
    <cellStyle name="60% - Accent3 2 2 2 2 2 7" xfId="3732" xr:uid="{00000000-0005-0000-0000-000022150000}"/>
    <cellStyle name="60% - Accent3 2 2 2 2 2 8" xfId="3733" xr:uid="{00000000-0005-0000-0000-000023150000}"/>
    <cellStyle name="60% - Accent3 2 2 2 2 2 9" xfId="3734" xr:uid="{00000000-0005-0000-0000-000024150000}"/>
    <cellStyle name="60% - Accent3 2 2 2 2 20" xfId="3735" xr:uid="{00000000-0005-0000-0000-000025150000}"/>
    <cellStyle name="60% - Accent3 2 2 2 2 20 2" xfId="3736" xr:uid="{00000000-0005-0000-0000-000026150000}"/>
    <cellStyle name="60% - Accent3 2 2 2 2 21" xfId="3737" xr:uid="{00000000-0005-0000-0000-000027150000}"/>
    <cellStyle name="60% - Accent3 2 2 2 2 22" xfId="3738" xr:uid="{00000000-0005-0000-0000-000028150000}"/>
    <cellStyle name="60% - Accent3 2 2 2 2 23" xfId="3739" xr:uid="{00000000-0005-0000-0000-000029150000}"/>
    <cellStyle name="60% - Accent3 2 2 2 2 24" xfId="3740" xr:uid="{00000000-0005-0000-0000-00002A150000}"/>
    <cellStyle name="60% - Accent3 2 2 2 2 25" xfId="3741" xr:uid="{00000000-0005-0000-0000-00002B150000}"/>
    <cellStyle name="60% - Accent3 2 2 2 2 26" xfId="3742" xr:uid="{00000000-0005-0000-0000-00002C150000}"/>
    <cellStyle name="60% - Accent3 2 2 2 2 27" xfId="3743" xr:uid="{00000000-0005-0000-0000-00002D150000}"/>
    <cellStyle name="60% - Accent3 2 2 2 2 28" xfId="3744" xr:uid="{00000000-0005-0000-0000-00002E150000}"/>
    <cellStyle name="60% - Accent3 2 2 2 2 28 2" xfId="3745" xr:uid="{00000000-0005-0000-0000-00002F150000}"/>
    <cellStyle name="60% - Accent3 2 2 2 2 3" xfId="3746" xr:uid="{00000000-0005-0000-0000-000030150000}"/>
    <cellStyle name="60% - Accent3 2 2 2 2 4" xfId="3747" xr:uid="{00000000-0005-0000-0000-000031150000}"/>
    <cellStyle name="60% - Accent3 2 2 2 2 5" xfId="3748" xr:uid="{00000000-0005-0000-0000-000032150000}"/>
    <cellStyle name="60% - Accent3 2 2 2 2 6" xfId="3749" xr:uid="{00000000-0005-0000-0000-000033150000}"/>
    <cellStyle name="60% - Accent3 2 2 2 2 7" xfId="3750" xr:uid="{00000000-0005-0000-0000-000034150000}"/>
    <cellStyle name="60% - Accent3 2 2 2 2 8" xfId="3751" xr:uid="{00000000-0005-0000-0000-000035150000}"/>
    <cellStyle name="60% - Accent3 2 2 2 2 9" xfId="3752" xr:uid="{00000000-0005-0000-0000-000036150000}"/>
    <cellStyle name="60% - Accent3 2 2 2 20" xfId="3753" xr:uid="{00000000-0005-0000-0000-000037150000}"/>
    <cellStyle name="60% - Accent3 2 2 2 20 2" xfId="3754" xr:uid="{00000000-0005-0000-0000-000038150000}"/>
    <cellStyle name="60% - Accent3 2 2 2 21" xfId="3755" xr:uid="{00000000-0005-0000-0000-000039150000}"/>
    <cellStyle name="60% - Accent3 2 2 2 22" xfId="3756" xr:uid="{00000000-0005-0000-0000-00003A150000}"/>
    <cellStyle name="60% - Accent3 2 2 2 23" xfId="3757" xr:uid="{00000000-0005-0000-0000-00003B150000}"/>
    <cellStyle name="60% - Accent3 2 2 2 24" xfId="3758" xr:uid="{00000000-0005-0000-0000-00003C150000}"/>
    <cellStyle name="60% - Accent3 2 2 2 25" xfId="3759" xr:uid="{00000000-0005-0000-0000-00003D150000}"/>
    <cellStyle name="60% - Accent3 2 2 2 26" xfId="3760" xr:uid="{00000000-0005-0000-0000-00003E150000}"/>
    <cellStyle name="60% - Accent3 2 2 2 27" xfId="3761" xr:uid="{00000000-0005-0000-0000-00003F150000}"/>
    <cellStyle name="60% - Accent3 2 2 2 28" xfId="3762" xr:uid="{00000000-0005-0000-0000-000040150000}"/>
    <cellStyle name="60% - Accent3 2 2 2 28 2" xfId="3763" xr:uid="{00000000-0005-0000-0000-000041150000}"/>
    <cellStyle name="60% - Accent3 2 2 2 29" xfId="30177" xr:uid="{00000000-0005-0000-0000-000042150000}"/>
    <cellStyle name="60% - Accent3 2 2 2 3" xfId="3764" xr:uid="{00000000-0005-0000-0000-000043150000}"/>
    <cellStyle name="60% - Accent3 2 2 2 3 2" xfId="3765" xr:uid="{00000000-0005-0000-0000-000044150000}"/>
    <cellStyle name="60% - Accent3 2 2 2 4" xfId="3766" xr:uid="{00000000-0005-0000-0000-000045150000}"/>
    <cellStyle name="60% - Accent3 2 2 2 5" xfId="3767" xr:uid="{00000000-0005-0000-0000-000046150000}"/>
    <cellStyle name="60% - Accent3 2 2 2 6" xfId="3768" xr:uid="{00000000-0005-0000-0000-000047150000}"/>
    <cellStyle name="60% - Accent3 2 2 2 7" xfId="3769" xr:uid="{00000000-0005-0000-0000-000048150000}"/>
    <cellStyle name="60% - Accent3 2 2 2 8" xfId="3770" xr:uid="{00000000-0005-0000-0000-000049150000}"/>
    <cellStyle name="60% - Accent3 2 2 2 9" xfId="3771" xr:uid="{00000000-0005-0000-0000-00004A150000}"/>
    <cellStyle name="60% - Accent3 2 2 20" xfId="3772" xr:uid="{00000000-0005-0000-0000-00004B150000}"/>
    <cellStyle name="60% - Accent3 2 2 21" xfId="3773" xr:uid="{00000000-0005-0000-0000-00004C150000}"/>
    <cellStyle name="60% - Accent3 2 2 22" xfId="3774" xr:uid="{00000000-0005-0000-0000-00004D150000}"/>
    <cellStyle name="60% - Accent3 2 2 23" xfId="3775" xr:uid="{00000000-0005-0000-0000-00004E150000}"/>
    <cellStyle name="60% - Accent3 2 2 24" xfId="3776" xr:uid="{00000000-0005-0000-0000-00004F150000}"/>
    <cellStyle name="60% - Accent3 2 2 25" xfId="3777" xr:uid="{00000000-0005-0000-0000-000050150000}"/>
    <cellStyle name="60% - Accent3 2 2 26" xfId="3778" xr:uid="{00000000-0005-0000-0000-000051150000}"/>
    <cellStyle name="60% - Accent3 2 2 27" xfId="3779" xr:uid="{00000000-0005-0000-0000-000052150000}"/>
    <cellStyle name="60% - Accent3 2 2 28" xfId="3780" xr:uid="{00000000-0005-0000-0000-000053150000}"/>
    <cellStyle name="60% - Accent3 2 2 29" xfId="3781" xr:uid="{00000000-0005-0000-0000-000054150000}"/>
    <cellStyle name="60% - Accent3 2 2 3" xfId="3782" xr:uid="{00000000-0005-0000-0000-000055150000}"/>
    <cellStyle name="60% - Accent3 2 2 30" xfId="3783" xr:uid="{00000000-0005-0000-0000-000056150000}"/>
    <cellStyle name="60% - Accent3 2 2 31" xfId="3784" xr:uid="{00000000-0005-0000-0000-000057150000}"/>
    <cellStyle name="60% - Accent3 2 2 31 2" xfId="3785" xr:uid="{00000000-0005-0000-0000-000058150000}"/>
    <cellStyle name="60% - Accent3 2 2 32" xfId="3786" xr:uid="{00000000-0005-0000-0000-000059150000}"/>
    <cellStyle name="60% - Accent3 2 2 33" xfId="3787" xr:uid="{00000000-0005-0000-0000-00005A150000}"/>
    <cellStyle name="60% - Accent3 2 2 34" xfId="3788" xr:uid="{00000000-0005-0000-0000-00005B150000}"/>
    <cellStyle name="60% - Accent3 2 2 35" xfId="3789" xr:uid="{00000000-0005-0000-0000-00005C150000}"/>
    <cellStyle name="60% - Accent3 2 2 36" xfId="3790" xr:uid="{00000000-0005-0000-0000-00005D150000}"/>
    <cellStyle name="60% - Accent3 2 2 37" xfId="3791" xr:uid="{00000000-0005-0000-0000-00005E150000}"/>
    <cellStyle name="60% - Accent3 2 2 38" xfId="3792" xr:uid="{00000000-0005-0000-0000-00005F150000}"/>
    <cellStyle name="60% - Accent3 2 2 39" xfId="3793" xr:uid="{00000000-0005-0000-0000-000060150000}"/>
    <cellStyle name="60% - Accent3 2 2 39 2" xfId="3794" xr:uid="{00000000-0005-0000-0000-000061150000}"/>
    <cellStyle name="60% - Accent3 2 2 4" xfId="3795" xr:uid="{00000000-0005-0000-0000-000062150000}"/>
    <cellStyle name="60% - Accent3 2 2 40" xfId="30178" xr:uid="{00000000-0005-0000-0000-000063150000}"/>
    <cellStyle name="60% - Accent3 2 2 41" xfId="30179" xr:uid="{00000000-0005-0000-0000-000064150000}"/>
    <cellStyle name="60% - Accent3 2 2 42" xfId="30180" xr:uid="{00000000-0005-0000-0000-000065150000}"/>
    <cellStyle name="60% - Accent3 2 2 43" xfId="30181" xr:uid="{00000000-0005-0000-0000-000066150000}"/>
    <cellStyle name="60% - Accent3 2 2 5" xfId="3796" xr:uid="{00000000-0005-0000-0000-000067150000}"/>
    <cellStyle name="60% - Accent3 2 2 6" xfId="3797" xr:uid="{00000000-0005-0000-0000-000068150000}"/>
    <cellStyle name="60% - Accent3 2 2 7" xfId="3798" xr:uid="{00000000-0005-0000-0000-000069150000}"/>
    <cellStyle name="60% - Accent3 2 2 8" xfId="3799" xr:uid="{00000000-0005-0000-0000-00006A150000}"/>
    <cellStyle name="60% - Accent3 2 2 9" xfId="3800" xr:uid="{00000000-0005-0000-0000-00006B150000}"/>
    <cellStyle name="60% - Accent3 2 2_Loan Classification" xfId="11417" xr:uid="{00000000-0005-0000-0000-00006C150000}"/>
    <cellStyle name="60% - Accent3 2 20" xfId="3801" xr:uid="{00000000-0005-0000-0000-00006D150000}"/>
    <cellStyle name="60% - Accent3 2 21" xfId="3802" xr:uid="{00000000-0005-0000-0000-00006E150000}"/>
    <cellStyle name="60% - Accent3 2 22" xfId="3803" xr:uid="{00000000-0005-0000-0000-00006F150000}"/>
    <cellStyle name="60% - Accent3 2 23" xfId="3804" xr:uid="{00000000-0005-0000-0000-000070150000}"/>
    <cellStyle name="60% - Accent3 2 24" xfId="3805" xr:uid="{00000000-0005-0000-0000-000071150000}"/>
    <cellStyle name="60% - Accent3 2 25" xfId="3806" xr:uid="{00000000-0005-0000-0000-000072150000}"/>
    <cellStyle name="60% - Accent3 2 26" xfId="3807" xr:uid="{00000000-0005-0000-0000-000073150000}"/>
    <cellStyle name="60% - Accent3 2 27" xfId="3808" xr:uid="{00000000-0005-0000-0000-000074150000}"/>
    <cellStyle name="60% - Accent3 2 28" xfId="3809" xr:uid="{00000000-0005-0000-0000-000075150000}"/>
    <cellStyle name="60% - Accent3 2 29" xfId="3810" xr:uid="{00000000-0005-0000-0000-000076150000}"/>
    <cellStyle name="60% - Accent3 2 3" xfId="3811" xr:uid="{00000000-0005-0000-0000-000077150000}"/>
    <cellStyle name="60% - Accent3 2 3 2" xfId="30182" xr:uid="{00000000-0005-0000-0000-000078150000}"/>
    <cellStyle name="60% - Accent3 2 3 2 2" xfId="30183" xr:uid="{00000000-0005-0000-0000-000079150000}"/>
    <cellStyle name="60% - Accent3 2 3 3" xfId="30184" xr:uid="{00000000-0005-0000-0000-00007A150000}"/>
    <cellStyle name="60% - Accent3 2 3 4" xfId="30185" xr:uid="{00000000-0005-0000-0000-00007B150000}"/>
    <cellStyle name="60% - Accent3 2 3 5" xfId="30186" xr:uid="{00000000-0005-0000-0000-00007C150000}"/>
    <cellStyle name="60% - Accent3 2 30" xfId="3812" xr:uid="{00000000-0005-0000-0000-00007D150000}"/>
    <cellStyle name="60% - Accent3 2 31" xfId="3813" xr:uid="{00000000-0005-0000-0000-00007E150000}"/>
    <cellStyle name="60% - Accent3 2 32" xfId="3814" xr:uid="{00000000-0005-0000-0000-00007F150000}"/>
    <cellStyle name="60% - Accent3 2 33" xfId="3815" xr:uid="{00000000-0005-0000-0000-000080150000}"/>
    <cellStyle name="60% - Accent3 2 33 2" xfId="3816" xr:uid="{00000000-0005-0000-0000-000081150000}"/>
    <cellStyle name="60% - Accent3 2 34" xfId="3817" xr:uid="{00000000-0005-0000-0000-000082150000}"/>
    <cellStyle name="60% - Accent3 2 35" xfId="3818" xr:uid="{00000000-0005-0000-0000-000083150000}"/>
    <cellStyle name="60% - Accent3 2 36" xfId="3819" xr:uid="{00000000-0005-0000-0000-000084150000}"/>
    <cellStyle name="60% - Accent3 2 37" xfId="3820" xr:uid="{00000000-0005-0000-0000-000085150000}"/>
    <cellStyle name="60% - Accent3 2 38" xfId="3821" xr:uid="{00000000-0005-0000-0000-000086150000}"/>
    <cellStyle name="60% - Accent3 2 39" xfId="3822" xr:uid="{00000000-0005-0000-0000-000087150000}"/>
    <cellStyle name="60% - Accent3 2 4" xfId="3823" xr:uid="{00000000-0005-0000-0000-000088150000}"/>
    <cellStyle name="60% - Accent3 2 4 2" xfId="30187" xr:uid="{00000000-0005-0000-0000-000089150000}"/>
    <cellStyle name="60% - Accent3 2 4 2 2" xfId="30188" xr:uid="{00000000-0005-0000-0000-00008A150000}"/>
    <cellStyle name="60% - Accent3 2 4 3" xfId="30189" xr:uid="{00000000-0005-0000-0000-00008B150000}"/>
    <cellStyle name="60% - Accent3 2 4 4" xfId="30190" xr:uid="{00000000-0005-0000-0000-00008C150000}"/>
    <cellStyle name="60% - Accent3 2 4 5" xfId="30191" xr:uid="{00000000-0005-0000-0000-00008D150000}"/>
    <cellStyle name="60% - Accent3 2 40" xfId="3824" xr:uid="{00000000-0005-0000-0000-00008E150000}"/>
    <cellStyle name="60% - Accent3 2 41" xfId="3825" xr:uid="{00000000-0005-0000-0000-00008F150000}"/>
    <cellStyle name="60% - Accent3 2 41 2" xfId="3826" xr:uid="{00000000-0005-0000-0000-000090150000}"/>
    <cellStyle name="60% - Accent3 2 42" xfId="30192" xr:uid="{00000000-0005-0000-0000-000091150000}"/>
    <cellStyle name="60% - Accent3 2 43" xfId="30193" xr:uid="{00000000-0005-0000-0000-000092150000}"/>
    <cellStyle name="60% - Accent3 2 44" xfId="30194" xr:uid="{00000000-0005-0000-0000-000093150000}"/>
    <cellStyle name="60% - Accent3 2 45" xfId="30195" xr:uid="{00000000-0005-0000-0000-000094150000}"/>
    <cellStyle name="60% - Accent3 2 46" xfId="30196" xr:uid="{00000000-0005-0000-0000-000095150000}"/>
    <cellStyle name="60% - Accent3 2 47" xfId="33157" xr:uid="{00000000-0005-0000-0000-000096150000}"/>
    <cellStyle name="60% - Accent3 2 48" xfId="33185" xr:uid="{00000000-0005-0000-0000-000097150000}"/>
    <cellStyle name="60% - Accent3 2 49" xfId="3659" xr:uid="{00000000-0005-0000-0000-000098150000}"/>
    <cellStyle name="60% - Accent3 2 5" xfId="3827" xr:uid="{00000000-0005-0000-0000-000099150000}"/>
    <cellStyle name="60% - Accent3 2 5 2" xfId="3828" xr:uid="{00000000-0005-0000-0000-00009A150000}"/>
    <cellStyle name="60% - Accent3 2 5 3" xfId="30197" xr:uid="{00000000-0005-0000-0000-00009B150000}"/>
    <cellStyle name="60% - Accent3 2 6" xfId="3829" xr:uid="{00000000-0005-0000-0000-00009C150000}"/>
    <cellStyle name="60% - Accent3 2 6 2" xfId="30198" xr:uid="{00000000-0005-0000-0000-00009D150000}"/>
    <cellStyle name="60% - Accent3 2 7" xfId="3830" xr:uid="{00000000-0005-0000-0000-00009E150000}"/>
    <cellStyle name="60% - Accent3 2 8" xfId="3831" xr:uid="{00000000-0005-0000-0000-00009F150000}"/>
    <cellStyle name="60% - Accent3 2 9" xfId="3832" xr:uid="{00000000-0005-0000-0000-0000A0150000}"/>
    <cellStyle name="60% - Accent3 2_Loan Classification" xfId="11416" xr:uid="{00000000-0005-0000-0000-0000A1150000}"/>
    <cellStyle name="60% - Accent3 20" xfId="3833" xr:uid="{00000000-0005-0000-0000-0000A2150000}"/>
    <cellStyle name="60% - Accent3 21" xfId="3834" xr:uid="{00000000-0005-0000-0000-0000A3150000}"/>
    <cellStyle name="60% - Accent3 22" xfId="3835" xr:uid="{00000000-0005-0000-0000-0000A4150000}"/>
    <cellStyle name="60% - Accent3 23" xfId="3836" xr:uid="{00000000-0005-0000-0000-0000A5150000}"/>
    <cellStyle name="60% - Accent3 24" xfId="3837" xr:uid="{00000000-0005-0000-0000-0000A6150000}"/>
    <cellStyle name="60% - Accent3 25" xfId="3838" xr:uid="{00000000-0005-0000-0000-0000A7150000}"/>
    <cellStyle name="60% - Accent3 26" xfId="3839" xr:uid="{00000000-0005-0000-0000-0000A8150000}"/>
    <cellStyle name="60% - Accent3 27" xfId="3840" xr:uid="{00000000-0005-0000-0000-0000A9150000}"/>
    <cellStyle name="60% - Accent3 28" xfId="3841" xr:uid="{00000000-0005-0000-0000-0000AA150000}"/>
    <cellStyle name="60% - Accent3 29" xfId="3842" xr:uid="{00000000-0005-0000-0000-0000AB150000}"/>
    <cellStyle name="60% - Accent3 3" xfId="74" xr:uid="{00000000-0005-0000-0000-0000AC150000}"/>
    <cellStyle name="60% - Accent3 3 2" xfId="30199" xr:uid="{00000000-0005-0000-0000-0000AD150000}"/>
    <cellStyle name="60% - Accent3 3 2 2" xfId="30200" xr:uid="{00000000-0005-0000-0000-0000AE150000}"/>
    <cellStyle name="60% - Accent3 3 3" xfId="30201" xr:uid="{00000000-0005-0000-0000-0000AF150000}"/>
    <cellStyle name="60% - Accent3 3 4" xfId="3843" xr:uid="{00000000-0005-0000-0000-0000B0150000}"/>
    <cellStyle name="60% - Accent3 30" xfId="3844" xr:uid="{00000000-0005-0000-0000-0000B1150000}"/>
    <cellStyle name="60% - Accent3 31" xfId="3845" xr:uid="{00000000-0005-0000-0000-0000B2150000}"/>
    <cellStyle name="60% - Accent3 32" xfId="3846" xr:uid="{00000000-0005-0000-0000-0000B3150000}"/>
    <cellStyle name="60% - Accent3 33" xfId="3847" xr:uid="{00000000-0005-0000-0000-0000B4150000}"/>
    <cellStyle name="60% - Accent3 34" xfId="3848" xr:uid="{00000000-0005-0000-0000-0000B5150000}"/>
    <cellStyle name="60% - Accent3 35" xfId="3849" xr:uid="{00000000-0005-0000-0000-0000B6150000}"/>
    <cellStyle name="60% - Accent3 36" xfId="3850" xr:uid="{00000000-0005-0000-0000-0000B7150000}"/>
    <cellStyle name="60% - Accent3 37" xfId="3851" xr:uid="{00000000-0005-0000-0000-0000B8150000}"/>
    <cellStyle name="60% - Accent3 38" xfId="3852" xr:uid="{00000000-0005-0000-0000-0000B9150000}"/>
    <cellStyle name="60% - Accent3 39" xfId="3853" xr:uid="{00000000-0005-0000-0000-0000BA150000}"/>
    <cellStyle name="60% - Accent3 4" xfId="3854" xr:uid="{00000000-0005-0000-0000-0000BB150000}"/>
    <cellStyle name="60% - Accent3 4 2" xfId="30202" xr:uid="{00000000-0005-0000-0000-0000BC150000}"/>
    <cellStyle name="60% - Accent3 4 2 2" xfId="30203" xr:uid="{00000000-0005-0000-0000-0000BD150000}"/>
    <cellStyle name="60% - Accent3 4 3" xfId="30204" xr:uid="{00000000-0005-0000-0000-0000BE150000}"/>
    <cellStyle name="60% - Accent3 40" xfId="3855" xr:uid="{00000000-0005-0000-0000-0000BF150000}"/>
    <cellStyle name="60% - Accent3 41" xfId="3856" xr:uid="{00000000-0005-0000-0000-0000C0150000}"/>
    <cellStyle name="60% - Accent3 42" xfId="3857" xr:uid="{00000000-0005-0000-0000-0000C1150000}"/>
    <cellStyle name="60% - Accent3 43" xfId="11577" xr:uid="{00000000-0005-0000-0000-0000C2150000}"/>
    <cellStyle name="60% - Accent3 44" xfId="11549" xr:uid="{00000000-0005-0000-0000-0000C3150000}"/>
    <cellStyle name="60% - Accent3 45" xfId="17334" xr:uid="{00000000-0005-0000-0000-0000C4150000}"/>
    <cellStyle name="60% - Accent3 46" xfId="30205" xr:uid="{00000000-0005-0000-0000-0000C5150000}"/>
    <cellStyle name="60% - Accent3 47" xfId="30206" xr:uid="{00000000-0005-0000-0000-0000C6150000}"/>
    <cellStyle name="60% - Accent3 48" xfId="30207" xr:uid="{00000000-0005-0000-0000-0000C7150000}"/>
    <cellStyle name="60% - Accent3 49" xfId="497" xr:uid="{00000000-0005-0000-0000-0000C8150000}"/>
    <cellStyle name="60% - Accent3 5" xfId="3858" xr:uid="{00000000-0005-0000-0000-0000C9150000}"/>
    <cellStyle name="60% - Accent3 5 2" xfId="30208" xr:uid="{00000000-0005-0000-0000-0000CA150000}"/>
    <cellStyle name="60% - Accent3 5 2 2" xfId="30209" xr:uid="{00000000-0005-0000-0000-0000CB150000}"/>
    <cellStyle name="60% - Accent3 5 3" xfId="30210" xr:uid="{00000000-0005-0000-0000-0000CC150000}"/>
    <cellStyle name="60% - Accent3 6" xfId="3859" xr:uid="{00000000-0005-0000-0000-0000CD150000}"/>
    <cellStyle name="60% - Accent3 6 2" xfId="30211" xr:uid="{00000000-0005-0000-0000-0000CE150000}"/>
    <cellStyle name="60% - Accent3 6 3" xfId="30212" xr:uid="{00000000-0005-0000-0000-0000CF150000}"/>
    <cellStyle name="60% - Accent3 7" xfId="3860" xr:uid="{00000000-0005-0000-0000-0000D0150000}"/>
    <cellStyle name="60% - Accent3 7 2" xfId="30213" xr:uid="{00000000-0005-0000-0000-0000D1150000}"/>
    <cellStyle name="60% - Accent3 8" xfId="3861" xr:uid="{00000000-0005-0000-0000-0000D2150000}"/>
    <cellStyle name="60% - Accent3 8 2" xfId="30214" xr:uid="{00000000-0005-0000-0000-0000D3150000}"/>
    <cellStyle name="60% - Accent3 9" xfId="3862" xr:uid="{00000000-0005-0000-0000-0000D4150000}"/>
    <cellStyle name="60% - Accent3 9 2" xfId="30215" xr:uid="{00000000-0005-0000-0000-0000D5150000}"/>
    <cellStyle name="60% - Accent4" xfId="40" builtinId="44" customBuiltin="1"/>
    <cellStyle name="60% - Accent4 10" xfId="3863" xr:uid="{00000000-0005-0000-0000-0000D7150000}"/>
    <cellStyle name="60% - Accent4 10 2" xfId="30216" xr:uid="{00000000-0005-0000-0000-0000D8150000}"/>
    <cellStyle name="60% - Accent4 11" xfId="3864" xr:uid="{00000000-0005-0000-0000-0000D9150000}"/>
    <cellStyle name="60% - Accent4 11 2" xfId="30217" xr:uid="{00000000-0005-0000-0000-0000DA150000}"/>
    <cellStyle name="60% - Accent4 12" xfId="3865" xr:uid="{00000000-0005-0000-0000-0000DB150000}"/>
    <cellStyle name="60% - Accent4 12 2" xfId="30218" xr:uid="{00000000-0005-0000-0000-0000DC150000}"/>
    <cellStyle name="60% - Accent4 13" xfId="3866" xr:uid="{00000000-0005-0000-0000-0000DD150000}"/>
    <cellStyle name="60% - Accent4 13 2" xfId="30219" xr:uid="{00000000-0005-0000-0000-0000DE150000}"/>
    <cellStyle name="60% - Accent4 14" xfId="3867" xr:uid="{00000000-0005-0000-0000-0000DF150000}"/>
    <cellStyle name="60% - Accent4 14 2" xfId="30220" xr:uid="{00000000-0005-0000-0000-0000E0150000}"/>
    <cellStyle name="60% - Accent4 15" xfId="3868" xr:uid="{00000000-0005-0000-0000-0000E1150000}"/>
    <cellStyle name="60% - Accent4 15 2" xfId="30221" xr:uid="{00000000-0005-0000-0000-0000E2150000}"/>
    <cellStyle name="60% - Accent4 16" xfId="3869" xr:uid="{00000000-0005-0000-0000-0000E3150000}"/>
    <cellStyle name="60% - Accent4 16 2" xfId="30222" xr:uid="{00000000-0005-0000-0000-0000E4150000}"/>
    <cellStyle name="60% - Accent4 17" xfId="3870" xr:uid="{00000000-0005-0000-0000-0000E5150000}"/>
    <cellStyle name="60% - Accent4 17 2" xfId="30223" xr:uid="{00000000-0005-0000-0000-0000E6150000}"/>
    <cellStyle name="60% - Accent4 18" xfId="3871" xr:uid="{00000000-0005-0000-0000-0000E7150000}"/>
    <cellStyle name="60% - Accent4 19" xfId="3872" xr:uid="{00000000-0005-0000-0000-0000E8150000}"/>
    <cellStyle name="60% - Accent4 2" xfId="75" xr:uid="{00000000-0005-0000-0000-0000E9150000}"/>
    <cellStyle name="60% - Accent4 2 10" xfId="3874" xr:uid="{00000000-0005-0000-0000-0000EA150000}"/>
    <cellStyle name="60% - Accent4 2 11" xfId="3875" xr:uid="{00000000-0005-0000-0000-0000EB150000}"/>
    <cellStyle name="60% - Accent4 2 12" xfId="3876" xr:uid="{00000000-0005-0000-0000-0000EC150000}"/>
    <cellStyle name="60% - Accent4 2 13" xfId="3877" xr:uid="{00000000-0005-0000-0000-0000ED150000}"/>
    <cellStyle name="60% - Accent4 2 14" xfId="3878" xr:uid="{00000000-0005-0000-0000-0000EE150000}"/>
    <cellStyle name="60% - Accent4 2 15" xfId="3879" xr:uid="{00000000-0005-0000-0000-0000EF150000}"/>
    <cellStyle name="60% - Accent4 2 16" xfId="3880" xr:uid="{00000000-0005-0000-0000-0000F0150000}"/>
    <cellStyle name="60% - Accent4 2 16 2" xfId="3881" xr:uid="{00000000-0005-0000-0000-0000F1150000}"/>
    <cellStyle name="60% - Accent4 2 17" xfId="3882" xr:uid="{00000000-0005-0000-0000-0000F2150000}"/>
    <cellStyle name="60% - Accent4 2 18" xfId="3883" xr:uid="{00000000-0005-0000-0000-0000F3150000}"/>
    <cellStyle name="60% - Accent4 2 19" xfId="3884" xr:uid="{00000000-0005-0000-0000-0000F4150000}"/>
    <cellStyle name="60% - Accent4 2 2" xfId="3885" xr:uid="{00000000-0005-0000-0000-0000F5150000}"/>
    <cellStyle name="60% - Accent4 2 2 10" xfId="3886" xr:uid="{00000000-0005-0000-0000-0000F6150000}"/>
    <cellStyle name="60% - Accent4 2 2 11" xfId="3887" xr:uid="{00000000-0005-0000-0000-0000F7150000}"/>
    <cellStyle name="60% - Accent4 2 2 12" xfId="3888" xr:uid="{00000000-0005-0000-0000-0000F8150000}"/>
    <cellStyle name="60% - Accent4 2 2 13" xfId="3889" xr:uid="{00000000-0005-0000-0000-0000F9150000}"/>
    <cellStyle name="60% - Accent4 2 2 14" xfId="3890" xr:uid="{00000000-0005-0000-0000-0000FA150000}"/>
    <cellStyle name="60% - Accent4 2 2 14 2" xfId="3891" xr:uid="{00000000-0005-0000-0000-0000FB150000}"/>
    <cellStyle name="60% - Accent4 2 2 15" xfId="3892" xr:uid="{00000000-0005-0000-0000-0000FC150000}"/>
    <cellStyle name="60% - Accent4 2 2 16" xfId="3893" xr:uid="{00000000-0005-0000-0000-0000FD150000}"/>
    <cellStyle name="60% - Accent4 2 2 17" xfId="3894" xr:uid="{00000000-0005-0000-0000-0000FE150000}"/>
    <cellStyle name="60% - Accent4 2 2 18" xfId="3895" xr:uid="{00000000-0005-0000-0000-0000FF150000}"/>
    <cellStyle name="60% - Accent4 2 2 19" xfId="3896" xr:uid="{00000000-0005-0000-0000-000000160000}"/>
    <cellStyle name="60% - Accent4 2 2 2" xfId="3897" xr:uid="{00000000-0005-0000-0000-000001160000}"/>
    <cellStyle name="60% - Accent4 2 2 2 10" xfId="3898" xr:uid="{00000000-0005-0000-0000-000002160000}"/>
    <cellStyle name="60% - Accent4 2 2 2 11" xfId="3899" xr:uid="{00000000-0005-0000-0000-000003160000}"/>
    <cellStyle name="60% - Accent4 2 2 2 12" xfId="3900" xr:uid="{00000000-0005-0000-0000-000004160000}"/>
    <cellStyle name="60% - Accent4 2 2 2 13" xfId="3901" xr:uid="{00000000-0005-0000-0000-000005160000}"/>
    <cellStyle name="60% - Accent4 2 2 2 14" xfId="3902" xr:uid="{00000000-0005-0000-0000-000006160000}"/>
    <cellStyle name="60% - Accent4 2 2 2 15" xfId="3903" xr:uid="{00000000-0005-0000-0000-000007160000}"/>
    <cellStyle name="60% - Accent4 2 2 2 16" xfId="3904" xr:uid="{00000000-0005-0000-0000-000008160000}"/>
    <cellStyle name="60% - Accent4 2 2 2 17" xfId="3905" xr:uid="{00000000-0005-0000-0000-000009160000}"/>
    <cellStyle name="60% - Accent4 2 2 2 18" xfId="3906" xr:uid="{00000000-0005-0000-0000-00000A160000}"/>
    <cellStyle name="60% - Accent4 2 2 2 19" xfId="3907" xr:uid="{00000000-0005-0000-0000-00000B160000}"/>
    <cellStyle name="60% - Accent4 2 2 2 2" xfId="3908" xr:uid="{00000000-0005-0000-0000-00000C160000}"/>
    <cellStyle name="60% - Accent4 2 2 2 2 10" xfId="3909" xr:uid="{00000000-0005-0000-0000-00000D160000}"/>
    <cellStyle name="60% - Accent4 2 2 2 2 11" xfId="3910" xr:uid="{00000000-0005-0000-0000-00000E160000}"/>
    <cellStyle name="60% - Accent4 2 2 2 2 12" xfId="3911" xr:uid="{00000000-0005-0000-0000-00000F160000}"/>
    <cellStyle name="60% - Accent4 2 2 2 2 13" xfId="3912" xr:uid="{00000000-0005-0000-0000-000010160000}"/>
    <cellStyle name="60% - Accent4 2 2 2 2 14" xfId="3913" xr:uid="{00000000-0005-0000-0000-000011160000}"/>
    <cellStyle name="60% - Accent4 2 2 2 2 15" xfId="3914" xr:uid="{00000000-0005-0000-0000-000012160000}"/>
    <cellStyle name="60% - Accent4 2 2 2 2 16" xfId="3915" xr:uid="{00000000-0005-0000-0000-000013160000}"/>
    <cellStyle name="60% - Accent4 2 2 2 2 17" xfId="3916" xr:uid="{00000000-0005-0000-0000-000014160000}"/>
    <cellStyle name="60% - Accent4 2 2 2 2 18" xfId="3917" xr:uid="{00000000-0005-0000-0000-000015160000}"/>
    <cellStyle name="60% - Accent4 2 2 2 2 19" xfId="3918" xr:uid="{00000000-0005-0000-0000-000016160000}"/>
    <cellStyle name="60% - Accent4 2 2 2 2 2" xfId="3919" xr:uid="{00000000-0005-0000-0000-000017160000}"/>
    <cellStyle name="60% - Accent4 2 2 2 2 2 10" xfId="3920" xr:uid="{00000000-0005-0000-0000-000018160000}"/>
    <cellStyle name="60% - Accent4 2 2 2 2 2 11" xfId="3921" xr:uid="{00000000-0005-0000-0000-000019160000}"/>
    <cellStyle name="60% - Accent4 2 2 2 2 2 11 2" xfId="3922" xr:uid="{00000000-0005-0000-0000-00001A160000}"/>
    <cellStyle name="60% - Accent4 2 2 2 2 2 2" xfId="3923" xr:uid="{00000000-0005-0000-0000-00001B160000}"/>
    <cellStyle name="60% - Accent4 2 2 2 2 2 2 10" xfId="3924" xr:uid="{00000000-0005-0000-0000-00001C160000}"/>
    <cellStyle name="60% - Accent4 2 2 2 2 2 2 11" xfId="3925" xr:uid="{00000000-0005-0000-0000-00001D160000}"/>
    <cellStyle name="60% - Accent4 2 2 2 2 2 2 11 2" xfId="3926" xr:uid="{00000000-0005-0000-0000-00001E160000}"/>
    <cellStyle name="60% - Accent4 2 2 2 2 2 2 2" xfId="3927" xr:uid="{00000000-0005-0000-0000-00001F160000}"/>
    <cellStyle name="60% - Accent4 2 2 2 2 2 2 2 2" xfId="3928" xr:uid="{00000000-0005-0000-0000-000020160000}"/>
    <cellStyle name="60% - Accent4 2 2 2 2 2 2 2 2 2" xfId="3929" xr:uid="{00000000-0005-0000-0000-000021160000}"/>
    <cellStyle name="60% - Accent4 2 2 2 2 2 2 2 2 2 2" xfId="3930" xr:uid="{00000000-0005-0000-0000-000022160000}"/>
    <cellStyle name="60% - Accent4 2 2 2 2 2 2 2 2 3" xfId="3931" xr:uid="{00000000-0005-0000-0000-000023160000}"/>
    <cellStyle name="60% - Accent4 2 2 2 2 2 2 2 3" xfId="3932" xr:uid="{00000000-0005-0000-0000-000024160000}"/>
    <cellStyle name="60% - Accent4 2 2 2 2 2 2 2 3 2" xfId="3933" xr:uid="{00000000-0005-0000-0000-000025160000}"/>
    <cellStyle name="60% - Accent4 2 2 2 2 2 2 3" xfId="3934" xr:uid="{00000000-0005-0000-0000-000026160000}"/>
    <cellStyle name="60% - Accent4 2 2 2 2 2 2 4" xfId="3935" xr:uid="{00000000-0005-0000-0000-000027160000}"/>
    <cellStyle name="60% - Accent4 2 2 2 2 2 2 5" xfId="3936" xr:uid="{00000000-0005-0000-0000-000028160000}"/>
    <cellStyle name="60% - Accent4 2 2 2 2 2 2 6" xfId="3937" xr:uid="{00000000-0005-0000-0000-000029160000}"/>
    <cellStyle name="60% - Accent4 2 2 2 2 2 2 7" xfId="3938" xr:uid="{00000000-0005-0000-0000-00002A160000}"/>
    <cellStyle name="60% - Accent4 2 2 2 2 2 2 8" xfId="3939" xr:uid="{00000000-0005-0000-0000-00002B160000}"/>
    <cellStyle name="60% - Accent4 2 2 2 2 2 2 9" xfId="3940" xr:uid="{00000000-0005-0000-0000-00002C160000}"/>
    <cellStyle name="60% - Accent4 2 2 2 2 2 3" xfId="3941" xr:uid="{00000000-0005-0000-0000-00002D160000}"/>
    <cellStyle name="60% - Accent4 2 2 2 2 2 3 2" xfId="3942" xr:uid="{00000000-0005-0000-0000-00002E160000}"/>
    <cellStyle name="60% - Accent4 2 2 2 2 2 4" xfId="3943" xr:uid="{00000000-0005-0000-0000-00002F160000}"/>
    <cellStyle name="60% - Accent4 2 2 2 2 2 5" xfId="3944" xr:uid="{00000000-0005-0000-0000-000030160000}"/>
    <cellStyle name="60% - Accent4 2 2 2 2 2 6" xfId="3945" xr:uid="{00000000-0005-0000-0000-000031160000}"/>
    <cellStyle name="60% - Accent4 2 2 2 2 2 7" xfId="3946" xr:uid="{00000000-0005-0000-0000-000032160000}"/>
    <cellStyle name="60% - Accent4 2 2 2 2 2 8" xfId="3947" xr:uid="{00000000-0005-0000-0000-000033160000}"/>
    <cellStyle name="60% - Accent4 2 2 2 2 2 9" xfId="3948" xr:uid="{00000000-0005-0000-0000-000034160000}"/>
    <cellStyle name="60% - Accent4 2 2 2 2 20" xfId="3949" xr:uid="{00000000-0005-0000-0000-000035160000}"/>
    <cellStyle name="60% - Accent4 2 2 2 2 20 2" xfId="3950" xr:uid="{00000000-0005-0000-0000-000036160000}"/>
    <cellStyle name="60% - Accent4 2 2 2 2 21" xfId="3951" xr:uid="{00000000-0005-0000-0000-000037160000}"/>
    <cellStyle name="60% - Accent4 2 2 2 2 22" xfId="3952" xr:uid="{00000000-0005-0000-0000-000038160000}"/>
    <cellStyle name="60% - Accent4 2 2 2 2 23" xfId="3953" xr:uid="{00000000-0005-0000-0000-000039160000}"/>
    <cellStyle name="60% - Accent4 2 2 2 2 24" xfId="3954" xr:uid="{00000000-0005-0000-0000-00003A160000}"/>
    <cellStyle name="60% - Accent4 2 2 2 2 25" xfId="3955" xr:uid="{00000000-0005-0000-0000-00003B160000}"/>
    <cellStyle name="60% - Accent4 2 2 2 2 26" xfId="3956" xr:uid="{00000000-0005-0000-0000-00003C160000}"/>
    <cellStyle name="60% - Accent4 2 2 2 2 27" xfId="3957" xr:uid="{00000000-0005-0000-0000-00003D160000}"/>
    <cellStyle name="60% - Accent4 2 2 2 2 28" xfId="3958" xr:uid="{00000000-0005-0000-0000-00003E160000}"/>
    <cellStyle name="60% - Accent4 2 2 2 2 28 2" xfId="3959" xr:uid="{00000000-0005-0000-0000-00003F160000}"/>
    <cellStyle name="60% - Accent4 2 2 2 2 3" xfId="3960" xr:uid="{00000000-0005-0000-0000-000040160000}"/>
    <cellStyle name="60% - Accent4 2 2 2 2 4" xfId="3961" xr:uid="{00000000-0005-0000-0000-000041160000}"/>
    <cellStyle name="60% - Accent4 2 2 2 2 5" xfId="3962" xr:uid="{00000000-0005-0000-0000-000042160000}"/>
    <cellStyle name="60% - Accent4 2 2 2 2 6" xfId="3963" xr:uid="{00000000-0005-0000-0000-000043160000}"/>
    <cellStyle name="60% - Accent4 2 2 2 2 7" xfId="3964" xr:uid="{00000000-0005-0000-0000-000044160000}"/>
    <cellStyle name="60% - Accent4 2 2 2 2 8" xfId="3965" xr:uid="{00000000-0005-0000-0000-000045160000}"/>
    <cellStyle name="60% - Accent4 2 2 2 2 9" xfId="3966" xr:uid="{00000000-0005-0000-0000-000046160000}"/>
    <cellStyle name="60% - Accent4 2 2 2 20" xfId="3967" xr:uid="{00000000-0005-0000-0000-000047160000}"/>
    <cellStyle name="60% - Accent4 2 2 2 20 2" xfId="3968" xr:uid="{00000000-0005-0000-0000-000048160000}"/>
    <cellStyle name="60% - Accent4 2 2 2 21" xfId="3969" xr:uid="{00000000-0005-0000-0000-000049160000}"/>
    <cellStyle name="60% - Accent4 2 2 2 22" xfId="3970" xr:uid="{00000000-0005-0000-0000-00004A160000}"/>
    <cellStyle name="60% - Accent4 2 2 2 23" xfId="3971" xr:uid="{00000000-0005-0000-0000-00004B160000}"/>
    <cellStyle name="60% - Accent4 2 2 2 24" xfId="3972" xr:uid="{00000000-0005-0000-0000-00004C160000}"/>
    <cellStyle name="60% - Accent4 2 2 2 25" xfId="3973" xr:uid="{00000000-0005-0000-0000-00004D160000}"/>
    <cellStyle name="60% - Accent4 2 2 2 26" xfId="3974" xr:uid="{00000000-0005-0000-0000-00004E160000}"/>
    <cellStyle name="60% - Accent4 2 2 2 27" xfId="3975" xr:uid="{00000000-0005-0000-0000-00004F160000}"/>
    <cellStyle name="60% - Accent4 2 2 2 28" xfId="3976" xr:uid="{00000000-0005-0000-0000-000050160000}"/>
    <cellStyle name="60% - Accent4 2 2 2 28 2" xfId="3977" xr:uid="{00000000-0005-0000-0000-000051160000}"/>
    <cellStyle name="60% - Accent4 2 2 2 29" xfId="30224" xr:uid="{00000000-0005-0000-0000-000052160000}"/>
    <cellStyle name="60% - Accent4 2 2 2 3" xfId="3978" xr:uid="{00000000-0005-0000-0000-000053160000}"/>
    <cellStyle name="60% - Accent4 2 2 2 3 2" xfId="3979" xr:uid="{00000000-0005-0000-0000-000054160000}"/>
    <cellStyle name="60% - Accent4 2 2 2 4" xfId="3980" xr:uid="{00000000-0005-0000-0000-000055160000}"/>
    <cellStyle name="60% - Accent4 2 2 2 5" xfId="3981" xr:uid="{00000000-0005-0000-0000-000056160000}"/>
    <cellStyle name="60% - Accent4 2 2 2 6" xfId="3982" xr:uid="{00000000-0005-0000-0000-000057160000}"/>
    <cellStyle name="60% - Accent4 2 2 2 7" xfId="3983" xr:uid="{00000000-0005-0000-0000-000058160000}"/>
    <cellStyle name="60% - Accent4 2 2 2 8" xfId="3984" xr:uid="{00000000-0005-0000-0000-000059160000}"/>
    <cellStyle name="60% - Accent4 2 2 2 9" xfId="3985" xr:uid="{00000000-0005-0000-0000-00005A160000}"/>
    <cellStyle name="60% - Accent4 2 2 20" xfId="3986" xr:uid="{00000000-0005-0000-0000-00005B160000}"/>
    <cellStyle name="60% - Accent4 2 2 21" xfId="3987" xr:uid="{00000000-0005-0000-0000-00005C160000}"/>
    <cellStyle name="60% - Accent4 2 2 22" xfId="3988" xr:uid="{00000000-0005-0000-0000-00005D160000}"/>
    <cellStyle name="60% - Accent4 2 2 23" xfId="3989" xr:uid="{00000000-0005-0000-0000-00005E160000}"/>
    <cellStyle name="60% - Accent4 2 2 24" xfId="3990" xr:uid="{00000000-0005-0000-0000-00005F160000}"/>
    <cellStyle name="60% - Accent4 2 2 25" xfId="3991" xr:uid="{00000000-0005-0000-0000-000060160000}"/>
    <cellStyle name="60% - Accent4 2 2 26" xfId="3992" xr:uid="{00000000-0005-0000-0000-000061160000}"/>
    <cellStyle name="60% - Accent4 2 2 27" xfId="3993" xr:uid="{00000000-0005-0000-0000-000062160000}"/>
    <cellStyle name="60% - Accent4 2 2 28" xfId="3994" xr:uid="{00000000-0005-0000-0000-000063160000}"/>
    <cellStyle name="60% - Accent4 2 2 29" xfId="3995" xr:uid="{00000000-0005-0000-0000-000064160000}"/>
    <cellStyle name="60% - Accent4 2 2 3" xfId="3996" xr:uid="{00000000-0005-0000-0000-000065160000}"/>
    <cellStyle name="60% - Accent4 2 2 30" xfId="3997" xr:uid="{00000000-0005-0000-0000-000066160000}"/>
    <cellStyle name="60% - Accent4 2 2 31" xfId="3998" xr:uid="{00000000-0005-0000-0000-000067160000}"/>
    <cellStyle name="60% - Accent4 2 2 31 2" xfId="3999" xr:uid="{00000000-0005-0000-0000-000068160000}"/>
    <cellStyle name="60% - Accent4 2 2 32" xfId="4000" xr:uid="{00000000-0005-0000-0000-000069160000}"/>
    <cellStyle name="60% - Accent4 2 2 33" xfId="4001" xr:uid="{00000000-0005-0000-0000-00006A160000}"/>
    <cellStyle name="60% - Accent4 2 2 34" xfId="4002" xr:uid="{00000000-0005-0000-0000-00006B160000}"/>
    <cellStyle name="60% - Accent4 2 2 35" xfId="4003" xr:uid="{00000000-0005-0000-0000-00006C160000}"/>
    <cellStyle name="60% - Accent4 2 2 36" xfId="4004" xr:uid="{00000000-0005-0000-0000-00006D160000}"/>
    <cellStyle name="60% - Accent4 2 2 37" xfId="4005" xr:uid="{00000000-0005-0000-0000-00006E160000}"/>
    <cellStyle name="60% - Accent4 2 2 38" xfId="4006" xr:uid="{00000000-0005-0000-0000-00006F160000}"/>
    <cellStyle name="60% - Accent4 2 2 39" xfId="4007" xr:uid="{00000000-0005-0000-0000-000070160000}"/>
    <cellStyle name="60% - Accent4 2 2 39 2" xfId="4008" xr:uid="{00000000-0005-0000-0000-000071160000}"/>
    <cellStyle name="60% - Accent4 2 2 4" xfId="4009" xr:uid="{00000000-0005-0000-0000-000072160000}"/>
    <cellStyle name="60% - Accent4 2 2 40" xfId="30225" xr:uid="{00000000-0005-0000-0000-000073160000}"/>
    <cellStyle name="60% - Accent4 2 2 41" xfId="30226" xr:uid="{00000000-0005-0000-0000-000074160000}"/>
    <cellStyle name="60% - Accent4 2 2 42" xfId="30227" xr:uid="{00000000-0005-0000-0000-000075160000}"/>
    <cellStyle name="60% - Accent4 2 2 43" xfId="30228" xr:uid="{00000000-0005-0000-0000-000076160000}"/>
    <cellStyle name="60% - Accent4 2 2 5" xfId="4010" xr:uid="{00000000-0005-0000-0000-000077160000}"/>
    <cellStyle name="60% - Accent4 2 2 6" xfId="4011" xr:uid="{00000000-0005-0000-0000-000078160000}"/>
    <cellStyle name="60% - Accent4 2 2 7" xfId="4012" xr:uid="{00000000-0005-0000-0000-000079160000}"/>
    <cellStyle name="60% - Accent4 2 2 8" xfId="4013" xr:uid="{00000000-0005-0000-0000-00007A160000}"/>
    <cellStyle name="60% - Accent4 2 2 9" xfId="4014" xr:uid="{00000000-0005-0000-0000-00007B160000}"/>
    <cellStyle name="60% - Accent4 2 2_Loan Classification" xfId="11419" xr:uid="{00000000-0005-0000-0000-00007C160000}"/>
    <cellStyle name="60% - Accent4 2 20" xfId="4015" xr:uid="{00000000-0005-0000-0000-00007D160000}"/>
    <cellStyle name="60% - Accent4 2 21" xfId="4016" xr:uid="{00000000-0005-0000-0000-00007E160000}"/>
    <cellStyle name="60% - Accent4 2 22" xfId="4017" xr:uid="{00000000-0005-0000-0000-00007F160000}"/>
    <cellStyle name="60% - Accent4 2 23" xfId="4018" xr:uid="{00000000-0005-0000-0000-000080160000}"/>
    <cellStyle name="60% - Accent4 2 24" xfId="4019" xr:uid="{00000000-0005-0000-0000-000081160000}"/>
    <cellStyle name="60% - Accent4 2 25" xfId="4020" xr:uid="{00000000-0005-0000-0000-000082160000}"/>
    <cellStyle name="60% - Accent4 2 26" xfId="4021" xr:uid="{00000000-0005-0000-0000-000083160000}"/>
    <cellStyle name="60% - Accent4 2 27" xfId="4022" xr:uid="{00000000-0005-0000-0000-000084160000}"/>
    <cellStyle name="60% - Accent4 2 28" xfId="4023" xr:uid="{00000000-0005-0000-0000-000085160000}"/>
    <cellStyle name="60% - Accent4 2 29" xfId="4024" xr:uid="{00000000-0005-0000-0000-000086160000}"/>
    <cellStyle name="60% - Accent4 2 3" xfId="4025" xr:uid="{00000000-0005-0000-0000-000087160000}"/>
    <cellStyle name="60% - Accent4 2 3 2" xfId="30229" xr:uid="{00000000-0005-0000-0000-000088160000}"/>
    <cellStyle name="60% - Accent4 2 3 2 2" xfId="30230" xr:uid="{00000000-0005-0000-0000-000089160000}"/>
    <cellStyle name="60% - Accent4 2 3 3" xfId="30231" xr:uid="{00000000-0005-0000-0000-00008A160000}"/>
    <cellStyle name="60% - Accent4 2 3 4" xfId="30232" xr:uid="{00000000-0005-0000-0000-00008B160000}"/>
    <cellStyle name="60% - Accent4 2 3 5" xfId="30233" xr:uid="{00000000-0005-0000-0000-00008C160000}"/>
    <cellStyle name="60% - Accent4 2 30" xfId="4026" xr:uid="{00000000-0005-0000-0000-00008D160000}"/>
    <cellStyle name="60% - Accent4 2 31" xfId="4027" xr:uid="{00000000-0005-0000-0000-00008E160000}"/>
    <cellStyle name="60% - Accent4 2 32" xfId="4028" xr:uid="{00000000-0005-0000-0000-00008F160000}"/>
    <cellStyle name="60% - Accent4 2 33" xfId="4029" xr:uid="{00000000-0005-0000-0000-000090160000}"/>
    <cellStyle name="60% - Accent4 2 33 2" xfId="4030" xr:uid="{00000000-0005-0000-0000-000091160000}"/>
    <cellStyle name="60% - Accent4 2 34" xfId="4031" xr:uid="{00000000-0005-0000-0000-000092160000}"/>
    <cellStyle name="60% - Accent4 2 35" xfId="4032" xr:uid="{00000000-0005-0000-0000-000093160000}"/>
    <cellStyle name="60% - Accent4 2 36" xfId="4033" xr:uid="{00000000-0005-0000-0000-000094160000}"/>
    <cellStyle name="60% - Accent4 2 37" xfId="4034" xr:uid="{00000000-0005-0000-0000-000095160000}"/>
    <cellStyle name="60% - Accent4 2 38" xfId="4035" xr:uid="{00000000-0005-0000-0000-000096160000}"/>
    <cellStyle name="60% - Accent4 2 39" xfId="4036" xr:uid="{00000000-0005-0000-0000-000097160000}"/>
    <cellStyle name="60% - Accent4 2 4" xfId="4037" xr:uid="{00000000-0005-0000-0000-000098160000}"/>
    <cellStyle name="60% - Accent4 2 4 2" xfId="30234" xr:uid="{00000000-0005-0000-0000-000099160000}"/>
    <cellStyle name="60% - Accent4 2 4 2 2" xfId="30235" xr:uid="{00000000-0005-0000-0000-00009A160000}"/>
    <cellStyle name="60% - Accent4 2 4 3" xfId="30236" xr:uid="{00000000-0005-0000-0000-00009B160000}"/>
    <cellStyle name="60% - Accent4 2 4 4" xfId="30237" xr:uid="{00000000-0005-0000-0000-00009C160000}"/>
    <cellStyle name="60% - Accent4 2 4 5" xfId="30238" xr:uid="{00000000-0005-0000-0000-00009D160000}"/>
    <cellStyle name="60% - Accent4 2 40" xfId="4038" xr:uid="{00000000-0005-0000-0000-00009E160000}"/>
    <cellStyle name="60% - Accent4 2 41" xfId="4039" xr:uid="{00000000-0005-0000-0000-00009F160000}"/>
    <cellStyle name="60% - Accent4 2 41 2" xfId="4040" xr:uid="{00000000-0005-0000-0000-0000A0160000}"/>
    <cellStyle name="60% - Accent4 2 42" xfId="30239" xr:uid="{00000000-0005-0000-0000-0000A1160000}"/>
    <cellStyle name="60% - Accent4 2 43" xfId="30240" xr:uid="{00000000-0005-0000-0000-0000A2160000}"/>
    <cellStyle name="60% - Accent4 2 44" xfId="30241" xr:uid="{00000000-0005-0000-0000-0000A3160000}"/>
    <cellStyle name="60% - Accent4 2 45" xfId="30242" xr:uid="{00000000-0005-0000-0000-0000A4160000}"/>
    <cellStyle name="60% - Accent4 2 46" xfId="30243" xr:uid="{00000000-0005-0000-0000-0000A5160000}"/>
    <cellStyle name="60% - Accent4 2 47" xfId="33159" xr:uid="{00000000-0005-0000-0000-0000A6160000}"/>
    <cellStyle name="60% - Accent4 2 48" xfId="33183" xr:uid="{00000000-0005-0000-0000-0000A7160000}"/>
    <cellStyle name="60% - Accent4 2 49" xfId="3873" xr:uid="{00000000-0005-0000-0000-0000A8160000}"/>
    <cellStyle name="60% - Accent4 2 5" xfId="4041" xr:uid="{00000000-0005-0000-0000-0000A9160000}"/>
    <cellStyle name="60% - Accent4 2 5 2" xfId="4042" xr:uid="{00000000-0005-0000-0000-0000AA160000}"/>
    <cellStyle name="60% - Accent4 2 5 3" xfId="30244" xr:uid="{00000000-0005-0000-0000-0000AB160000}"/>
    <cellStyle name="60% - Accent4 2 6" xfId="4043" xr:uid="{00000000-0005-0000-0000-0000AC160000}"/>
    <cellStyle name="60% - Accent4 2 6 2" xfId="30245" xr:uid="{00000000-0005-0000-0000-0000AD160000}"/>
    <cellStyle name="60% - Accent4 2 7" xfId="4044" xr:uid="{00000000-0005-0000-0000-0000AE160000}"/>
    <cellStyle name="60% - Accent4 2 8" xfId="4045" xr:uid="{00000000-0005-0000-0000-0000AF160000}"/>
    <cellStyle name="60% - Accent4 2 9" xfId="4046" xr:uid="{00000000-0005-0000-0000-0000B0160000}"/>
    <cellStyle name="60% - Accent4 2_Loan Classification" xfId="11418" xr:uid="{00000000-0005-0000-0000-0000B1160000}"/>
    <cellStyle name="60% - Accent4 20" xfId="4047" xr:uid="{00000000-0005-0000-0000-0000B2160000}"/>
    <cellStyle name="60% - Accent4 21" xfId="4048" xr:uid="{00000000-0005-0000-0000-0000B3160000}"/>
    <cellStyle name="60% - Accent4 22" xfId="4049" xr:uid="{00000000-0005-0000-0000-0000B4160000}"/>
    <cellStyle name="60% - Accent4 23" xfId="4050" xr:uid="{00000000-0005-0000-0000-0000B5160000}"/>
    <cellStyle name="60% - Accent4 24" xfId="4051" xr:uid="{00000000-0005-0000-0000-0000B6160000}"/>
    <cellStyle name="60% - Accent4 25" xfId="4052" xr:uid="{00000000-0005-0000-0000-0000B7160000}"/>
    <cellStyle name="60% - Accent4 26" xfId="4053" xr:uid="{00000000-0005-0000-0000-0000B8160000}"/>
    <cellStyle name="60% - Accent4 27" xfId="4054" xr:uid="{00000000-0005-0000-0000-0000B9160000}"/>
    <cellStyle name="60% - Accent4 28" xfId="4055" xr:uid="{00000000-0005-0000-0000-0000BA160000}"/>
    <cellStyle name="60% - Accent4 29" xfId="4056" xr:uid="{00000000-0005-0000-0000-0000BB160000}"/>
    <cellStyle name="60% - Accent4 3" xfId="76" xr:uid="{00000000-0005-0000-0000-0000BC160000}"/>
    <cellStyle name="60% - Accent4 3 2" xfId="30246" xr:uid="{00000000-0005-0000-0000-0000BD160000}"/>
    <cellStyle name="60% - Accent4 3 2 2" xfId="30247" xr:uid="{00000000-0005-0000-0000-0000BE160000}"/>
    <cellStyle name="60% - Accent4 3 3" xfId="30248" xr:uid="{00000000-0005-0000-0000-0000BF160000}"/>
    <cellStyle name="60% - Accent4 3 4" xfId="4057" xr:uid="{00000000-0005-0000-0000-0000C0160000}"/>
    <cellStyle name="60% - Accent4 30" xfId="4058" xr:uid="{00000000-0005-0000-0000-0000C1160000}"/>
    <cellStyle name="60% - Accent4 31" xfId="4059" xr:uid="{00000000-0005-0000-0000-0000C2160000}"/>
    <cellStyle name="60% - Accent4 32" xfId="4060" xr:uid="{00000000-0005-0000-0000-0000C3160000}"/>
    <cellStyle name="60% - Accent4 33" xfId="4061" xr:uid="{00000000-0005-0000-0000-0000C4160000}"/>
    <cellStyle name="60% - Accent4 34" xfId="4062" xr:uid="{00000000-0005-0000-0000-0000C5160000}"/>
    <cellStyle name="60% - Accent4 35" xfId="4063" xr:uid="{00000000-0005-0000-0000-0000C6160000}"/>
    <cellStyle name="60% - Accent4 36" xfId="4064" xr:uid="{00000000-0005-0000-0000-0000C7160000}"/>
    <cellStyle name="60% - Accent4 37" xfId="4065" xr:uid="{00000000-0005-0000-0000-0000C8160000}"/>
    <cellStyle name="60% - Accent4 38" xfId="4066" xr:uid="{00000000-0005-0000-0000-0000C9160000}"/>
    <cellStyle name="60% - Accent4 39" xfId="4067" xr:uid="{00000000-0005-0000-0000-0000CA160000}"/>
    <cellStyle name="60% - Accent4 4" xfId="4068" xr:uid="{00000000-0005-0000-0000-0000CB160000}"/>
    <cellStyle name="60% - Accent4 4 2" xfId="30249" xr:uid="{00000000-0005-0000-0000-0000CC160000}"/>
    <cellStyle name="60% - Accent4 4 2 2" xfId="30250" xr:uid="{00000000-0005-0000-0000-0000CD160000}"/>
    <cellStyle name="60% - Accent4 4 3" xfId="30251" xr:uid="{00000000-0005-0000-0000-0000CE160000}"/>
    <cellStyle name="60% - Accent4 40" xfId="4069" xr:uid="{00000000-0005-0000-0000-0000CF160000}"/>
    <cellStyle name="60% - Accent4 41" xfId="4070" xr:uid="{00000000-0005-0000-0000-0000D0160000}"/>
    <cellStyle name="60% - Accent4 42" xfId="4071" xr:uid="{00000000-0005-0000-0000-0000D1160000}"/>
    <cellStyle name="60% - Accent4 43" xfId="11578" xr:uid="{00000000-0005-0000-0000-0000D2160000}"/>
    <cellStyle name="60% - Accent4 44" xfId="11553" xr:uid="{00000000-0005-0000-0000-0000D3160000}"/>
    <cellStyle name="60% - Accent4 45" xfId="17337" xr:uid="{00000000-0005-0000-0000-0000D4160000}"/>
    <cellStyle name="60% - Accent4 46" xfId="30252" xr:uid="{00000000-0005-0000-0000-0000D5160000}"/>
    <cellStyle name="60% - Accent4 47" xfId="30253" xr:uid="{00000000-0005-0000-0000-0000D6160000}"/>
    <cellStyle name="60% - Accent4 48" xfId="30254" xr:uid="{00000000-0005-0000-0000-0000D7160000}"/>
    <cellStyle name="60% - Accent4 49" xfId="498" xr:uid="{00000000-0005-0000-0000-0000D8160000}"/>
    <cellStyle name="60% - Accent4 5" xfId="4072" xr:uid="{00000000-0005-0000-0000-0000D9160000}"/>
    <cellStyle name="60% - Accent4 5 2" xfId="30255" xr:uid="{00000000-0005-0000-0000-0000DA160000}"/>
    <cellStyle name="60% - Accent4 5 2 2" xfId="30256" xr:uid="{00000000-0005-0000-0000-0000DB160000}"/>
    <cellStyle name="60% - Accent4 5 3" xfId="30257" xr:uid="{00000000-0005-0000-0000-0000DC160000}"/>
    <cellStyle name="60% - Accent4 6" xfId="4073" xr:uid="{00000000-0005-0000-0000-0000DD160000}"/>
    <cellStyle name="60% - Accent4 6 2" xfId="30258" xr:uid="{00000000-0005-0000-0000-0000DE160000}"/>
    <cellStyle name="60% - Accent4 6 3" xfId="30259" xr:uid="{00000000-0005-0000-0000-0000DF160000}"/>
    <cellStyle name="60% - Accent4 7" xfId="4074" xr:uid="{00000000-0005-0000-0000-0000E0160000}"/>
    <cellStyle name="60% - Accent4 7 2" xfId="30260" xr:uid="{00000000-0005-0000-0000-0000E1160000}"/>
    <cellStyle name="60% - Accent4 8" xfId="4075" xr:uid="{00000000-0005-0000-0000-0000E2160000}"/>
    <cellStyle name="60% - Accent4 8 2" xfId="30261" xr:uid="{00000000-0005-0000-0000-0000E3160000}"/>
    <cellStyle name="60% - Accent4 9" xfId="4076" xr:uid="{00000000-0005-0000-0000-0000E4160000}"/>
    <cellStyle name="60% - Accent4 9 2" xfId="30262" xr:uid="{00000000-0005-0000-0000-0000E5160000}"/>
    <cellStyle name="60% - Accent5" xfId="44" builtinId="48" customBuiltin="1"/>
    <cellStyle name="60% - Accent5 10" xfId="4077" xr:uid="{00000000-0005-0000-0000-0000E7160000}"/>
    <cellStyle name="60% - Accent5 10 2" xfId="30263" xr:uid="{00000000-0005-0000-0000-0000E8160000}"/>
    <cellStyle name="60% - Accent5 11" xfId="4078" xr:uid="{00000000-0005-0000-0000-0000E9160000}"/>
    <cellStyle name="60% - Accent5 11 2" xfId="30264" xr:uid="{00000000-0005-0000-0000-0000EA160000}"/>
    <cellStyle name="60% - Accent5 12" xfId="4079" xr:uid="{00000000-0005-0000-0000-0000EB160000}"/>
    <cellStyle name="60% - Accent5 12 2" xfId="30265" xr:uid="{00000000-0005-0000-0000-0000EC160000}"/>
    <cellStyle name="60% - Accent5 13" xfId="4080" xr:uid="{00000000-0005-0000-0000-0000ED160000}"/>
    <cellStyle name="60% - Accent5 13 2" xfId="30266" xr:uid="{00000000-0005-0000-0000-0000EE160000}"/>
    <cellStyle name="60% - Accent5 14" xfId="4081" xr:uid="{00000000-0005-0000-0000-0000EF160000}"/>
    <cellStyle name="60% - Accent5 14 2" xfId="30267" xr:uid="{00000000-0005-0000-0000-0000F0160000}"/>
    <cellStyle name="60% - Accent5 15" xfId="4082" xr:uid="{00000000-0005-0000-0000-0000F1160000}"/>
    <cellStyle name="60% - Accent5 15 2" xfId="30268" xr:uid="{00000000-0005-0000-0000-0000F2160000}"/>
    <cellStyle name="60% - Accent5 16" xfId="4083" xr:uid="{00000000-0005-0000-0000-0000F3160000}"/>
    <cellStyle name="60% - Accent5 16 2" xfId="30269" xr:uid="{00000000-0005-0000-0000-0000F4160000}"/>
    <cellStyle name="60% - Accent5 17" xfId="4084" xr:uid="{00000000-0005-0000-0000-0000F5160000}"/>
    <cellStyle name="60% - Accent5 17 2" xfId="30270" xr:uid="{00000000-0005-0000-0000-0000F6160000}"/>
    <cellStyle name="60% - Accent5 18" xfId="4085" xr:uid="{00000000-0005-0000-0000-0000F7160000}"/>
    <cellStyle name="60% - Accent5 19" xfId="4086" xr:uid="{00000000-0005-0000-0000-0000F8160000}"/>
    <cellStyle name="60% - Accent5 2" xfId="4087" xr:uid="{00000000-0005-0000-0000-0000F9160000}"/>
    <cellStyle name="60% - Accent5 2 10" xfId="4088" xr:uid="{00000000-0005-0000-0000-0000FA160000}"/>
    <cellStyle name="60% - Accent5 2 11" xfId="4089" xr:uid="{00000000-0005-0000-0000-0000FB160000}"/>
    <cellStyle name="60% - Accent5 2 12" xfId="4090" xr:uid="{00000000-0005-0000-0000-0000FC160000}"/>
    <cellStyle name="60% - Accent5 2 13" xfId="4091" xr:uid="{00000000-0005-0000-0000-0000FD160000}"/>
    <cellStyle name="60% - Accent5 2 14" xfId="4092" xr:uid="{00000000-0005-0000-0000-0000FE160000}"/>
    <cellStyle name="60% - Accent5 2 15" xfId="4093" xr:uid="{00000000-0005-0000-0000-0000FF160000}"/>
    <cellStyle name="60% - Accent5 2 16" xfId="4094" xr:uid="{00000000-0005-0000-0000-000000170000}"/>
    <cellStyle name="60% - Accent5 2 16 2" xfId="4095" xr:uid="{00000000-0005-0000-0000-000001170000}"/>
    <cellStyle name="60% - Accent5 2 17" xfId="4096" xr:uid="{00000000-0005-0000-0000-000002170000}"/>
    <cellStyle name="60% - Accent5 2 18" xfId="4097" xr:uid="{00000000-0005-0000-0000-000003170000}"/>
    <cellStyle name="60% - Accent5 2 19" xfId="4098" xr:uid="{00000000-0005-0000-0000-000004170000}"/>
    <cellStyle name="60% - Accent5 2 2" xfId="4099" xr:uid="{00000000-0005-0000-0000-000005170000}"/>
    <cellStyle name="60% - Accent5 2 2 10" xfId="4100" xr:uid="{00000000-0005-0000-0000-000006170000}"/>
    <cellStyle name="60% - Accent5 2 2 11" xfId="4101" xr:uid="{00000000-0005-0000-0000-000007170000}"/>
    <cellStyle name="60% - Accent5 2 2 12" xfId="4102" xr:uid="{00000000-0005-0000-0000-000008170000}"/>
    <cellStyle name="60% - Accent5 2 2 13" xfId="4103" xr:uid="{00000000-0005-0000-0000-000009170000}"/>
    <cellStyle name="60% - Accent5 2 2 14" xfId="4104" xr:uid="{00000000-0005-0000-0000-00000A170000}"/>
    <cellStyle name="60% - Accent5 2 2 14 2" xfId="4105" xr:uid="{00000000-0005-0000-0000-00000B170000}"/>
    <cellStyle name="60% - Accent5 2 2 15" xfId="4106" xr:uid="{00000000-0005-0000-0000-00000C170000}"/>
    <cellStyle name="60% - Accent5 2 2 16" xfId="4107" xr:uid="{00000000-0005-0000-0000-00000D170000}"/>
    <cellStyle name="60% - Accent5 2 2 17" xfId="4108" xr:uid="{00000000-0005-0000-0000-00000E170000}"/>
    <cellStyle name="60% - Accent5 2 2 18" xfId="4109" xr:uid="{00000000-0005-0000-0000-00000F170000}"/>
    <cellStyle name="60% - Accent5 2 2 19" xfId="4110" xr:uid="{00000000-0005-0000-0000-000010170000}"/>
    <cellStyle name="60% - Accent5 2 2 2" xfId="4111" xr:uid="{00000000-0005-0000-0000-000011170000}"/>
    <cellStyle name="60% - Accent5 2 2 2 10" xfId="4112" xr:uid="{00000000-0005-0000-0000-000012170000}"/>
    <cellStyle name="60% - Accent5 2 2 2 11" xfId="4113" xr:uid="{00000000-0005-0000-0000-000013170000}"/>
    <cellStyle name="60% - Accent5 2 2 2 12" xfId="4114" xr:uid="{00000000-0005-0000-0000-000014170000}"/>
    <cellStyle name="60% - Accent5 2 2 2 13" xfId="4115" xr:uid="{00000000-0005-0000-0000-000015170000}"/>
    <cellStyle name="60% - Accent5 2 2 2 14" xfId="4116" xr:uid="{00000000-0005-0000-0000-000016170000}"/>
    <cellStyle name="60% - Accent5 2 2 2 15" xfId="4117" xr:uid="{00000000-0005-0000-0000-000017170000}"/>
    <cellStyle name="60% - Accent5 2 2 2 16" xfId="4118" xr:uid="{00000000-0005-0000-0000-000018170000}"/>
    <cellStyle name="60% - Accent5 2 2 2 17" xfId="4119" xr:uid="{00000000-0005-0000-0000-000019170000}"/>
    <cellStyle name="60% - Accent5 2 2 2 18" xfId="4120" xr:uid="{00000000-0005-0000-0000-00001A170000}"/>
    <cellStyle name="60% - Accent5 2 2 2 19" xfId="4121" xr:uid="{00000000-0005-0000-0000-00001B170000}"/>
    <cellStyle name="60% - Accent5 2 2 2 2" xfId="4122" xr:uid="{00000000-0005-0000-0000-00001C170000}"/>
    <cellStyle name="60% - Accent5 2 2 2 2 10" xfId="4123" xr:uid="{00000000-0005-0000-0000-00001D170000}"/>
    <cellStyle name="60% - Accent5 2 2 2 2 11" xfId="4124" xr:uid="{00000000-0005-0000-0000-00001E170000}"/>
    <cellStyle name="60% - Accent5 2 2 2 2 12" xfId="4125" xr:uid="{00000000-0005-0000-0000-00001F170000}"/>
    <cellStyle name="60% - Accent5 2 2 2 2 13" xfId="4126" xr:uid="{00000000-0005-0000-0000-000020170000}"/>
    <cellStyle name="60% - Accent5 2 2 2 2 14" xfId="4127" xr:uid="{00000000-0005-0000-0000-000021170000}"/>
    <cellStyle name="60% - Accent5 2 2 2 2 15" xfId="4128" xr:uid="{00000000-0005-0000-0000-000022170000}"/>
    <cellStyle name="60% - Accent5 2 2 2 2 16" xfId="4129" xr:uid="{00000000-0005-0000-0000-000023170000}"/>
    <cellStyle name="60% - Accent5 2 2 2 2 17" xfId="4130" xr:uid="{00000000-0005-0000-0000-000024170000}"/>
    <cellStyle name="60% - Accent5 2 2 2 2 18" xfId="4131" xr:uid="{00000000-0005-0000-0000-000025170000}"/>
    <cellStyle name="60% - Accent5 2 2 2 2 19" xfId="4132" xr:uid="{00000000-0005-0000-0000-000026170000}"/>
    <cellStyle name="60% - Accent5 2 2 2 2 2" xfId="4133" xr:uid="{00000000-0005-0000-0000-000027170000}"/>
    <cellStyle name="60% - Accent5 2 2 2 2 2 10" xfId="4134" xr:uid="{00000000-0005-0000-0000-000028170000}"/>
    <cellStyle name="60% - Accent5 2 2 2 2 2 11" xfId="4135" xr:uid="{00000000-0005-0000-0000-000029170000}"/>
    <cellStyle name="60% - Accent5 2 2 2 2 2 11 2" xfId="4136" xr:uid="{00000000-0005-0000-0000-00002A170000}"/>
    <cellStyle name="60% - Accent5 2 2 2 2 2 2" xfId="4137" xr:uid="{00000000-0005-0000-0000-00002B170000}"/>
    <cellStyle name="60% - Accent5 2 2 2 2 2 2 10" xfId="4138" xr:uid="{00000000-0005-0000-0000-00002C170000}"/>
    <cellStyle name="60% - Accent5 2 2 2 2 2 2 11" xfId="4139" xr:uid="{00000000-0005-0000-0000-00002D170000}"/>
    <cellStyle name="60% - Accent5 2 2 2 2 2 2 11 2" xfId="4140" xr:uid="{00000000-0005-0000-0000-00002E170000}"/>
    <cellStyle name="60% - Accent5 2 2 2 2 2 2 2" xfId="4141" xr:uid="{00000000-0005-0000-0000-00002F170000}"/>
    <cellStyle name="60% - Accent5 2 2 2 2 2 2 2 2" xfId="4142" xr:uid="{00000000-0005-0000-0000-000030170000}"/>
    <cellStyle name="60% - Accent5 2 2 2 2 2 2 2 2 2" xfId="4143" xr:uid="{00000000-0005-0000-0000-000031170000}"/>
    <cellStyle name="60% - Accent5 2 2 2 2 2 2 2 2 2 2" xfId="4144" xr:uid="{00000000-0005-0000-0000-000032170000}"/>
    <cellStyle name="60% - Accent5 2 2 2 2 2 2 2 2 3" xfId="4145" xr:uid="{00000000-0005-0000-0000-000033170000}"/>
    <cellStyle name="60% - Accent5 2 2 2 2 2 2 2 3" xfId="4146" xr:uid="{00000000-0005-0000-0000-000034170000}"/>
    <cellStyle name="60% - Accent5 2 2 2 2 2 2 2 3 2" xfId="4147" xr:uid="{00000000-0005-0000-0000-000035170000}"/>
    <cellStyle name="60% - Accent5 2 2 2 2 2 2 3" xfId="4148" xr:uid="{00000000-0005-0000-0000-000036170000}"/>
    <cellStyle name="60% - Accent5 2 2 2 2 2 2 4" xfId="4149" xr:uid="{00000000-0005-0000-0000-000037170000}"/>
    <cellStyle name="60% - Accent5 2 2 2 2 2 2 5" xfId="4150" xr:uid="{00000000-0005-0000-0000-000038170000}"/>
    <cellStyle name="60% - Accent5 2 2 2 2 2 2 6" xfId="4151" xr:uid="{00000000-0005-0000-0000-000039170000}"/>
    <cellStyle name="60% - Accent5 2 2 2 2 2 2 7" xfId="4152" xr:uid="{00000000-0005-0000-0000-00003A170000}"/>
    <cellStyle name="60% - Accent5 2 2 2 2 2 2 8" xfId="4153" xr:uid="{00000000-0005-0000-0000-00003B170000}"/>
    <cellStyle name="60% - Accent5 2 2 2 2 2 2 9" xfId="4154" xr:uid="{00000000-0005-0000-0000-00003C170000}"/>
    <cellStyle name="60% - Accent5 2 2 2 2 2 3" xfId="4155" xr:uid="{00000000-0005-0000-0000-00003D170000}"/>
    <cellStyle name="60% - Accent5 2 2 2 2 2 3 2" xfId="4156" xr:uid="{00000000-0005-0000-0000-00003E170000}"/>
    <cellStyle name="60% - Accent5 2 2 2 2 2 4" xfId="4157" xr:uid="{00000000-0005-0000-0000-00003F170000}"/>
    <cellStyle name="60% - Accent5 2 2 2 2 2 5" xfId="4158" xr:uid="{00000000-0005-0000-0000-000040170000}"/>
    <cellStyle name="60% - Accent5 2 2 2 2 2 6" xfId="4159" xr:uid="{00000000-0005-0000-0000-000041170000}"/>
    <cellStyle name="60% - Accent5 2 2 2 2 2 7" xfId="4160" xr:uid="{00000000-0005-0000-0000-000042170000}"/>
    <cellStyle name="60% - Accent5 2 2 2 2 2 8" xfId="4161" xr:uid="{00000000-0005-0000-0000-000043170000}"/>
    <cellStyle name="60% - Accent5 2 2 2 2 2 9" xfId="4162" xr:uid="{00000000-0005-0000-0000-000044170000}"/>
    <cellStyle name="60% - Accent5 2 2 2 2 20" xfId="4163" xr:uid="{00000000-0005-0000-0000-000045170000}"/>
    <cellStyle name="60% - Accent5 2 2 2 2 20 2" xfId="4164" xr:uid="{00000000-0005-0000-0000-000046170000}"/>
    <cellStyle name="60% - Accent5 2 2 2 2 21" xfId="4165" xr:uid="{00000000-0005-0000-0000-000047170000}"/>
    <cellStyle name="60% - Accent5 2 2 2 2 22" xfId="4166" xr:uid="{00000000-0005-0000-0000-000048170000}"/>
    <cellStyle name="60% - Accent5 2 2 2 2 23" xfId="4167" xr:uid="{00000000-0005-0000-0000-000049170000}"/>
    <cellStyle name="60% - Accent5 2 2 2 2 24" xfId="4168" xr:uid="{00000000-0005-0000-0000-00004A170000}"/>
    <cellStyle name="60% - Accent5 2 2 2 2 25" xfId="4169" xr:uid="{00000000-0005-0000-0000-00004B170000}"/>
    <cellStyle name="60% - Accent5 2 2 2 2 26" xfId="4170" xr:uid="{00000000-0005-0000-0000-00004C170000}"/>
    <cellStyle name="60% - Accent5 2 2 2 2 27" xfId="4171" xr:uid="{00000000-0005-0000-0000-00004D170000}"/>
    <cellStyle name="60% - Accent5 2 2 2 2 28" xfId="4172" xr:uid="{00000000-0005-0000-0000-00004E170000}"/>
    <cellStyle name="60% - Accent5 2 2 2 2 28 2" xfId="4173" xr:uid="{00000000-0005-0000-0000-00004F170000}"/>
    <cellStyle name="60% - Accent5 2 2 2 2 3" xfId="4174" xr:uid="{00000000-0005-0000-0000-000050170000}"/>
    <cellStyle name="60% - Accent5 2 2 2 2 4" xfId="4175" xr:uid="{00000000-0005-0000-0000-000051170000}"/>
    <cellStyle name="60% - Accent5 2 2 2 2 5" xfId="4176" xr:uid="{00000000-0005-0000-0000-000052170000}"/>
    <cellStyle name="60% - Accent5 2 2 2 2 6" xfId="4177" xr:uid="{00000000-0005-0000-0000-000053170000}"/>
    <cellStyle name="60% - Accent5 2 2 2 2 7" xfId="4178" xr:uid="{00000000-0005-0000-0000-000054170000}"/>
    <cellStyle name="60% - Accent5 2 2 2 2 8" xfId="4179" xr:uid="{00000000-0005-0000-0000-000055170000}"/>
    <cellStyle name="60% - Accent5 2 2 2 2 9" xfId="4180" xr:uid="{00000000-0005-0000-0000-000056170000}"/>
    <cellStyle name="60% - Accent5 2 2 2 20" xfId="4181" xr:uid="{00000000-0005-0000-0000-000057170000}"/>
    <cellStyle name="60% - Accent5 2 2 2 20 2" xfId="4182" xr:uid="{00000000-0005-0000-0000-000058170000}"/>
    <cellStyle name="60% - Accent5 2 2 2 21" xfId="4183" xr:uid="{00000000-0005-0000-0000-000059170000}"/>
    <cellStyle name="60% - Accent5 2 2 2 22" xfId="4184" xr:uid="{00000000-0005-0000-0000-00005A170000}"/>
    <cellStyle name="60% - Accent5 2 2 2 23" xfId="4185" xr:uid="{00000000-0005-0000-0000-00005B170000}"/>
    <cellStyle name="60% - Accent5 2 2 2 24" xfId="4186" xr:uid="{00000000-0005-0000-0000-00005C170000}"/>
    <cellStyle name="60% - Accent5 2 2 2 25" xfId="4187" xr:uid="{00000000-0005-0000-0000-00005D170000}"/>
    <cellStyle name="60% - Accent5 2 2 2 26" xfId="4188" xr:uid="{00000000-0005-0000-0000-00005E170000}"/>
    <cellStyle name="60% - Accent5 2 2 2 27" xfId="4189" xr:uid="{00000000-0005-0000-0000-00005F170000}"/>
    <cellStyle name="60% - Accent5 2 2 2 28" xfId="4190" xr:uid="{00000000-0005-0000-0000-000060170000}"/>
    <cellStyle name="60% - Accent5 2 2 2 28 2" xfId="4191" xr:uid="{00000000-0005-0000-0000-000061170000}"/>
    <cellStyle name="60% - Accent5 2 2 2 29" xfId="30271" xr:uid="{00000000-0005-0000-0000-000062170000}"/>
    <cellStyle name="60% - Accent5 2 2 2 3" xfId="4192" xr:uid="{00000000-0005-0000-0000-000063170000}"/>
    <cellStyle name="60% - Accent5 2 2 2 3 2" xfId="4193" xr:uid="{00000000-0005-0000-0000-000064170000}"/>
    <cellStyle name="60% - Accent5 2 2 2 4" xfId="4194" xr:uid="{00000000-0005-0000-0000-000065170000}"/>
    <cellStyle name="60% - Accent5 2 2 2 5" xfId="4195" xr:uid="{00000000-0005-0000-0000-000066170000}"/>
    <cellStyle name="60% - Accent5 2 2 2 6" xfId="4196" xr:uid="{00000000-0005-0000-0000-000067170000}"/>
    <cellStyle name="60% - Accent5 2 2 2 7" xfId="4197" xr:uid="{00000000-0005-0000-0000-000068170000}"/>
    <cellStyle name="60% - Accent5 2 2 2 8" xfId="4198" xr:uid="{00000000-0005-0000-0000-000069170000}"/>
    <cellStyle name="60% - Accent5 2 2 2 9" xfId="4199" xr:uid="{00000000-0005-0000-0000-00006A170000}"/>
    <cellStyle name="60% - Accent5 2 2 20" xfId="4200" xr:uid="{00000000-0005-0000-0000-00006B170000}"/>
    <cellStyle name="60% - Accent5 2 2 21" xfId="4201" xr:uid="{00000000-0005-0000-0000-00006C170000}"/>
    <cellStyle name="60% - Accent5 2 2 22" xfId="4202" xr:uid="{00000000-0005-0000-0000-00006D170000}"/>
    <cellStyle name="60% - Accent5 2 2 23" xfId="4203" xr:uid="{00000000-0005-0000-0000-00006E170000}"/>
    <cellStyle name="60% - Accent5 2 2 24" xfId="4204" xr:uid="{00000000-0005-0000-0000-00006F170000}"/>
    <cellStyle name="60% - Accent5 2 2 25" xfId="4205" xr:uid="{00000000-0005-0000-0000-000070170000}"/>
    <cellStyle name="60% - Accent5 2 2 26" xfId="4206" xr:uid="{00000000-0005-0000-0000-000071170000}"/>
    <cellStyle name="60% - Accent5 2 2 27" xfId="4207" xr:uid="{00000000-0005-0000-0000-000072170000}"/>
    <cellStyle name="60% - Accent5 2 2 28" xfId="4208" xr:uid="{00000000-0005-0000-0000-000073170000}"/>
    <cellStyle name="60% - Accent5 2 2 29" xfId="4209" xr:uid="{00000000-0005-0000-0000-000074170000}"/>
    <cellStyle name="60% - Accent5 2 2 3" xfId="4210" xr:uid="{00000000-0005-0000-0000-000075170000}"/>
    <cellStyle name="60% - Accent5 2 2 30" xfId="4211" xr:uid="{00000000-0005-0000-0000-000076170000}"/>
    <cellStyle name="60% - Accent5 2 2 31" xfId="4212" xr:uid="{00000000-0005-0000-0000-000077170000}"/>
    <cellStyle name="60% - Accent5 2 2 31 2" xfId="4213" xr:uid="{00000000-0005-0000-0000-000078170000}"/>
    <cellStyle name="60% - Accent5 2 2 32" xfId="4214" xr:uid="{00000000-0005-0000-0000-000079170000}"/>
    <cellStyle name="60% - Accent5 2 2 33" xfId="4215" xr:uid="{00000000-0005-0000-0000-00007A170000}"/>
    <cellStyle name="60% - Accent5 2 2 34" xfId="4216" xr:uid="{00000000-0005-0000-0000-00007B170000}"/>
    <cellStyle name="60% - Accent5 2 2 35" xfId="4217" xr:uid="{00000000-0005-0000-0000-00007C170000}"/>
    <cellStyle name="60% - Accent5 2 2 36" xfId="4218" xr:uid="{00000000-0005-0000-0000-00007D170000}"/>
    <cellStyle name="60% - Accent5 2 2 37" xfId="4219" xr:uid="{00000000-0005-0000-0000-00007E170000}"/>
    <cellStyle name="60% - Accent5 2 2 38" xfId="4220" xr:uid="{00000000-0005-0000-0000-00007F170000}"/>
    <cellStyle name="60% - Accent5 2 2 39" xfId="4221" xr:uid="{00000000-0005-0000-0000-000080170000}"/>
    <cellStyle name="60% - Accent5 2 2 39 2" xfId="4222" xr:uid="{00000000-0005-0000-0000-000081170000}"/>
    <cellStyle name="60% - Accent5 2 2 4" xfId="4223" xr:uid="{00000000-0005-0000-0000-000082170000}"/>
    <cellStyle name="60% - Accent5 2 2 40" xfId="30272" xr:uid="{00000000-0005-0000-0000-000083170000}"/>
    <cellStyle name="60% - Accent5 2 2 41" xfId="30273" xr:uid="{00000000-0005-0000-0000-000084170000}"/>
    <cellStyle name="60% - Accent5 2 2 42" xfId="30274" xr:uid="{00000000-0005-0000-0000-000085170000}"/>
    <cellStyle name="60% - Accent5 2 2 43" xfId="30275" xr:uid="{00000000-0005-0000-0000-000086170000}"/>
    <cellStyle name="60% - Accent5 2 2 5" xfId="4224" xr:uid="{00000000-0005-0000-0000-000087170000}"/>
    <cellStyle name="60% - Accent5 2 2 6" xfId="4225" xr:uid="{00000000-0005-0000-0000-000088170000}"/>
    <cellStyle name="60% - Accent5 2 2 7" xfId="4226" xr:uid="{00000000-0005-0000-0000-000089170000}"/>
    <cellStyle name="60% - Accent5 2 2 8" xfId="4227" xr:uid="{00000000-0005-0000-0000-00008A170000}"/>
    <cellStyle name="60% - Accent5 2 2 9" xfId="4228" xr:uid="{00000000-0005-0000-0000-00008B170000}"/>
    <cellStyle name="60% - Accent5 2 2_Loan Classification" xfId="11421" xr:uid="{00000000-0005-0000-0000-00008C170000}"/>
    <cellStyle name="60% - Accent5 2 20" xfId="4229" xr:uid="{00000000-0005-0000-0000-00008D170000}"/>
    <cellStyle name="60% - Accent5 2 21" xfId="4230" xr:uid="{00000000-0005-0000-0000-00008E170000}"/>
    <cellStyle name="60% - Accent5 2 22" xfId="4231" xr:uid="{00000000-0005-0000-0000-00008F170000}"/>
    <cellStyle name="60% - Accent5 2 23" xfId="4232" xr:uid="{00000000-0005-0000-0000-000090170000}"/>
    <cellStyle name="60% - Accent5 2 24" xfId="4233" xr:uid="{00000000-0005-0000-0000-000091170000}"/>
    <cellStyle name="60% - Accent5 2 25" xfId="4234" xr:uid="{00000000-0005-0000-0000-000092170000}"/>
    <cellStyle name="60% - Accent5 2 26" xfId="4235" xr:uid="{00000000-0005-0000-0000-000093170000}"/>
    <cellStyle name="60% - Accent5 2 27" xfId="4236" xr:uid="{00000000-0005-0000-0000-000094170000}"/>
    <cellStyle name="60% - Accent5 2 28" xfId="4237" xr:uid="{00000000-0005-0000-0000-000095170000}"/>
    <cellStyle name="60% - Accent5 2 29" xfId="4238" xr:uid="{00000000-0005-0000-0000-000096170000}"/>
    <cellStyle name="60% - Accent5 2 3" xfId="4239" xr:uid="{00000000-0005-0000-0000-000097170000}"/>
    <cellStyle name="60% - Accent5 2 3 2" xfId="30276" xr:uid="{00000000-0005-0000-0000-000098170000}"/>
    <cellStyle name="60% - Accent5 2 3 2 2" xfId="30277" xr:uid="{00000000-0005-0000-0000-000099170000}"/>
    <cellStyle name="60% - Accent5 2 3 3" xfId="30278" xr:uid="{00000000-0005-0000-0000-00009A170000}"/>
    <cellStyle name="60% - Accent5 2 3 4" xfId="30279" xr:uid="{00000000-0005-0000-0000-00009B170000}"/>
    <cellStyle name="60% - Accent5 2 30" xfId="4240" xr:uid="{00000000-0005-0000-0000-00009C170000}"/>
    <cellStyle name="60% - Accent5 2 31" xfId="4241" xr:uid="{00000000-0005-0000-0000-00009D170000}"/>
    <cellStyle name="60% - Accent5 2 32" xfId="4242" xr:uid="{00000000-0005-0000-0000-00009E170000}"/>
    <cellStyle name="60% - Accent5 2 33" xfId="4243" xr:uid="{00000000-0005-0000-0000-00009F170000}"/>
    <cellStyle name="60% - Accent5 2 33 2" xfId="4244" xr:uid="{00000000-0005-0000-0000-0000A0170000}"/>
    <cellStyle name="60% - Accent5 2 34" xfId="4245" xr:uid="{00000000-0005-0000-0000-0000A1170000}"/>
    <cellStyle name="60% - Accent5 2 35" xfId="4246" xr:uid="{00000000-0005-0000-0000-0000A2170000}"/>
    <cellStyle name="60% - Accent5 2 36" xfId="4247" xr:uid="{00000000-0005-0000-0000-0000A3170000}"/>
    <cellStyle name="60% - Accent5 2 37" xfId="4248" xr:uid="{00000000-0005-0000-0000-0000A4170000}"/>
    <cellStyle name="60% - Accent5 2 38" xfId="4249" xr:uid="{00000000-0005-0000-0000-0000A5170000}"/>
    <cellStyle name="60% - Accent5 2 39" xfId="4250" xr:uid="{00000000-0005-0000-0000-0000A6170000}"/>
    <cellStyle name="60% - Accent5 2 4" xfId="4251" xr:uid="{00000000-0005-0000-0000-0000A7170000}"/>
    <cellStyle name="60% - Accent5 2 4 2" xfId="30280" xr:uid="{00000000-0005-0000-0000-0000A8170000}"/>
    <cellStyle name="60% - Accent5 2 4 2 2" xfId="30281" xr:uid="{00000000-0005-0000-0000-0000A9170000}"/>
    <cellStyle name="60% - Accent5 2 4 3" xfId="30282" xr:uid="{00000000-0005-0000-0000-0000AA170000}"/>
    <cellStyle name="60% - Accent5 2 4 4" xfId="30283" xr:uid="{00000000-0005-0000-0000-0000AB170000}"/>
    <cellStyle name="60% - Accent5 2 40" xfId="4252" xr:uid="{00000000-0005-0000-0000-0000AC170000}"/>
    <cellStyle name="60% - Accent5 2 41" xfId="4253" xr:uid="{00000000-0005-0000-0000-0000AD170000}"/>
    <cellStyle name="60% - Accent5 2 41 2" xfId="4254" xr:uid="{00000000-0005-0000-0000-0000AE170000}"/>
    <cellStyle name="60% - Accent5 2 42" xfId="30284" xr:uid="{00000000-0005-0000-0000-0000AF170000}"/>
    <cellStyle name="60% - Accent5 2 5" xfId="4255" xr:uid="{00000000-0005-0000-0000-0000B0170000}"/>
    <cellStyle name="60% - Accent5 2 5 2" xfId="4256" xr:uid="{00000000-0005-0000-0000-0000B1170000}"/>
    <cellStyle name="60% - Accent5 2 5 3" xfId="30285" xr:uid="{00000000-0005-0000-0000-0000B2170000}"/>
    <cellStyle name="60% - Accent5 2 6" xfId="4257" xr:uid="{00000000-0005-0000-0000-0000B3170000}"/>
    <cellStyle name="60% - Accent5 2 6 2" xfId="30286" xr:uid="{00000000-0005-0000-0000-0000B4170000}"/>
    <cellStyle name="60% - Accent5 2 7" xfId="4258" xr:uid="{00000000-0005-0000-0000-0000B5170000}"/>
    <cellStyle name="60% - Accent5 2 8" xfId="4259" xr:uid="{00000000-0005-0000-0000-0000B6170000}"/>
    <cellStyle name="60% - Accent5 2 9" xfId="4260" xr:uid="{00000000-0005-0000-0000-0000B7170000}"/>
    <cellStyle name="60% - Accent5 2_Loan Classification" xfId="11420" xr:uid="{00000000-0005-0000-0000-0000B8170000}"/>
    <cellStyle name="60% - Accent5 20" xfId="4261" xr:uid="{00000000-0005-0000-0000-0000B9170000}"/>
    <cellStyle name="60% - Accent5 21" xfId="4262" xr:uid="{00000000-0005-0000-0000-0000BA170000}"/>
    <cellStyle name="60% - Accent5 22" xfId="4263" xr:uid="{00000000-0005-0000-0000-0000BB170000}"/>
    <cellStyle name="60% - Accent5 23" xfId="4264" xr:uid="{00000000-0005-0000-0000-0000BC170000}"/>
    <cellStyle name="60% - Accent5 23 2" xfId="17338" xr:uid="{00000000-0005-0000-0000-0000BD170000}"/>
    <cellStyle name="60% - Accent5 24" xfId="4265" xr:uid="{00000000-0005-0000-0000-0000BE170000}"/>
    <cellStyle name="60% - Accent5 24 2" xfId="17339" xr:uid="{00000000-0005-0000-0000-0000BF170000}"/>
    <cellStyle name="60% - Accent5 25" xfId="4266" xr:uid="{00000000-0005-0000-0000-0000C0170000}"/>
    <cellStyle name="60% - Accent5 25 2" xfId="17340" xr:uid="{00000000-0005-0000-0000-0000C1170000}"/>
    <cellStyle name="60% - Accent5 26" xfId="4267" xr:uid="{00000000-0005-0000-0000-0000C2170000}"/>
    <cellStyle name="60% - Accent5 26 2" xfId="17341" xr:uid="{00000000-0005-0000-0000-0000C3170000}"/>
    <cellStyle name="60% - Accent5 27" xfId="4268" xr:uid="{00000000-0005-0000-0000-0000C4170000}"/>
    <cellStyle name="60% - Accent5 27 2" xfId="17342" xr:uid="{00000000-0005-0000-0000-0000C5170000}"/>
    <cellStyle name="60% - Accent5 28" xfId="4269" xr:uid="{00000000-0005-0000-0000-0000C6170000}"/>
    <cellStyle name="60% - Accent5 28 2" xfId="17343" xr:uid="{00000000-0005-0000-0000-0000C7170000}"/>
    <cellStyle name="60% - Accent5 29" xfId="4270" xr:uid="{00000000-0005-0000-0000-0000C8170000}"/>
    <cellStyle name="60% - Accent5 29 2" xfId="17344" xr:uid="{00000000-0005-0000-0000-0000C9170000}"/>
    <cellStyle name="60% - Accent5 3" xfId="4271" xr:uid="{00000000-0005-0000-0000-0000CA170000}"/>
    <cellStyle name="60% - Accent5 3 2" xfId="17345" xr:uid="{00000000-0005-0000-0000-0000CB170000}"/>
    <cellStyle name="60% - Accent5 3 2 2" xfId="30287" xr:uid="{00000000-0005-0000-0000-0000CC170000}"/>
    <cellStyle name="60% - Accent5 3 3" xfId="30288" xr:uid="{00000000-0005-0000-0000-0000CD170000}"/>
    <cellStyle name="60% - Accent5 3 4" xfId="30289" xr:uid="{00000000-0005-0000-0000-0000CE170000}"/>
    <cellStyle name="60% - Accent5 30" xfId="4272" xr:uid="{00000000-0005-0000-0000-0000CF170000}"/>
    <cellStyle name="60% - Accent5 30 2" xfId="17346" xr:uid="{00000000-0005-0000-0000-0000D0170000}"/>
    <cellStyle name="60% - Accent5 31" xfId="4273" xr:uid="{00000000-0005-0000-0000-0000D1170000}"/>
    <cellStyle name="60% - Accent5 31 2" xfId="17347" xr:uid="{00000000-0005-0000-0000-0000D2170000}"/>
    <cellStyle name="60% - Accent5 32" xfId="4274" xr:uid="{00000000-0005-0000-0000-0000D3170000}"/>
    <cellStyle name="60% - Accent5 32 2" xfId="17348" xr:uid="{00000000-0005-0000-0000-0000D4170000}"/>
    <cellStyle name="60% - Accent5 33" xfId="4275" xr:uid="{00000000-0005-0000-0000-0000D5170000}"/>
    <cellStyle name="60% - Accent5 33 2" xfId="17349" xr:uid="{00000000-0005-0000-0000-0000D6170000}"/>
    <cellStyle name="60% - Accent5 34" xfId="4276" xr:uid="{00000000-0005-0000-0000-0000D7170000}"/>
    <cellStyle name="60% - Accent5 34 2" xfId="17350" xr:uid="{00000000-0005-0000-0000-0000D8170000}"/>
    <cellStyle name="60% - Accent5 35" xfId="4277" xr:uid="{00000000-0005-0000-0000-0000D9170000}"/>
    <cellStyle name="60% - Accent5 35 2" xfId="17351" xr:uid="{00000000-0005-0000-0000-0000DA170000}"/>
    <cellStyle name="60% - Accent5 36" xfId="4278" xr:uid="{00000000-0005-0000-0000-0000DB170000}"/>
    <cellStyle name="60% - Accent5 36 2" xfId="17352" xr:uid="{00000000-0005-0000-0000-0000DC170000}"/>
    <cellStyle name="60% - Accent5 37" xfId="4279" xr:uid="{00000000-0005-0000-0000-0000DD170000}"/>
    <cellStyle name="60% - Accent5 37 2" xfId="17353" xr:uid="{00000000-0005-0000-0000-0000DE170000}"/>
    <cellStyle name="60% - Accent5 38" xfId="4280" xr:uid="{00000000-0005-0000-0000-0000DF170000}"/>
    <cellStyle name="60% - Accent5 38 2" xfId="17354" xr:uid="{00000000-0005-0000-0000-0000E0170000}"/>
    <cellStyle name="60% - Accent5 39" xfId="4281" xr:uid="{00000000-0005-0000-0000-0000E1170000}"/>
    <cellStyle name="60% - Accent5 39 2" xfId="17355" xr:uid="{00000000-0005-0000-0000-0000E2170000}"/>
    <cellStyle name="60% - Accent5 4" xfId="4282" xr:uid="{00000000-0005-0000-0000-0000E3170000}"/>
    <cellStyle name="60% - Accent5 4 2" xfId="17356" xr:uid="{00000000-0005-0000-0000-0000E4170000}"/>
    <cellStyle name="60% - Accent5 4 2 2" xfId="30290" xr:uid="{00000000-0005-0000-0000-0000E5170000}"/>
    <cellStyle name="60% - Accent5 4 3" xfId="30291" xr:uid="{00000000-0005-0000-0000-0000E6170000}"/>
    <cellStyle name="60% - Accent5 4 4" xfId="30292" xr:uid="{00000000-0005-0000-0000-0000E7170000}"/>
    <cellStyle name="60% - Accent5 40" xfId="4283" xr:uid="{00000000-0005-0000-0000-0000E8170000}"/>
    <cellStyle name="60% - Accent5 40 2" xfId="17357" xr:uid="{00000000-0005-0000-0000-0000E9170000}"/>
    <cellStyle name="60% - Accent5 41" xfId="4284" xr:uid="{00000000-0005-0000-0000-0000EA170000}"/>
    <cellStyle name="60% - Accent5 41 2" xfId="17358" xr:uid="{00000000-0005-0000-0000-0000EB170000}"/>
    <cellStyle name="60% - Accent5 42" xfId="4285" xr:uid="{00000000-0005-0000-0000-0000EC170000}"/>
    <cellStyle name="60% - Accent5 42 2" xfId="17359" xr:uid="{00000000-0005-0000-0000-0000ED170000}"/>
    <cellStyle name="60% - Accent5 43" xfId="11579" xr:uid="{00000000-0005-0000-0000-0000EE170000}"/>
    <cellStyle name="60% - Accent5 43 2" xfId="17360" xr:uid="{00000000-0005-0000-0000-0000EF170000}"/>
    <cellStyle name="60% - Accent5 44" xfId="11557" xr:uid="{00000000-0005-0000-0000-0000F0170000}"/>
    <cellStyle name="60% - Accent5 44 2" xfId="17361" xr:uid="{00000000-0005-0000-0000-0000F1170000}"/>
    <cellStyle name="60% - Accent5 45" xfId="17362" xr:uid="{00000000-0005-0000-0000-0000F2170000}"/>
    <cellStyle name="60% - Accent5 46" xfId="30293" xr:uid="{00000000-0005-0000-0000-0000F3170000}"/>
    <cellStyle name="60% - Accent5 47" xfId="499" xr:uid="{00000000-0005-0000-0000-0000F4170000}"/>
    <cellStyle name="60% - Accent5 5" xfId="4286" xr:uid="{00000000-0005-0000-0000-0000F5170000}"/>
    <cellStyle name="60% - Accent5 5 2" xfId="17363" xr:uid="{00000000-0005-0000-0000-0000F6170000}"/>
    <cellStyle name="60% - Accent5 5 2 2" xfId="30294" xr:uid="{00000000-0005-0000-0000-0000F7170000}"/>
    <cellStyle name="60% - Accent5 5 3" xfId="30295" xr:uid="{00000000-0005-0000-0000-0000F8170000}"/>
    <cellStyle name="60% - Accent5 5 4" xfId="30296" xr:uid="{00000000-0005-0000-0000-0000F9170000}"/>
    <cellStyle name="60% - Accent5 6" xfId="4287" xr:uid="{00000000-0005-0000-0000-0000FA170000}"/>
    <cellStyle name="60% - Accent5 6 2" xfId="17364" xr:uid="{00000000-0005-0000-0000-0000FB170000}"/>
    <cellStyle name="60% - Accent5 6 3" xfId="30297" xr:uid="{00000000-0005-0000-0000-0000FC170000}"/>
    <cellStyle name="60% - Accent5 7" xfId="4288" xr:uid="{00000000-0005-0000-0000-0000FD170000}"/>
    <cellStyle name="60% - Accent5 7 2" xfId="17365" xr:uid="{00000000-0005-0000-0000-0000FE170000}"/>
    <cellStyle name="60% - Accent5 7 3" xfId="30298" xr:uid="{00000000-0005-0000-0000-0000FF170000}"/>
    <cellStyle name="60% - Accent5 8" xfId="4289" xr:uid="{00000000-0005-0000-0000-000000180000}"/>
    <cellStyle name="60% - Accent5 8 2" xfId="17366" xr:uid="{00000000-0005-0000-0000-000001180000}"/>
    <cellStyle name="60% - Accent5 8 3" xfId="30299" xr:uid="{00000000-0005-0000-0000-000002180000}"/>
    <cellStyle name="60% - Accent5 9" xfId="4290" xr:uid="{00000000-0005-0000-0000-000003180000}"/>
    <cellStyle name="60% - Accent5 9 2" xfId="17367" xr:uid="{00000000-0005-0000-0000-000004180000}"/>
    <cellStyle name="60% - Accent5 9 3" xfId="30300" xr:uid="{00000000-0005-0000-0000-000005180000}"/>
    <cellStyle name="60% - Accent6" xfId="48" builtinId="52" customBuiltin="1"/>
    <cellStyle name="60% - Accent6 10" xfId="4291" xr:uid="{00000000-0005-0000-0000-000007180000}"/>
    <cellStyle name="60% - Accent6 10 2" xfId="17368" xr:uid="{00000000-0005-0000-0000-000008180000}"/>
    <cellStyle name="60% - Accent6 10 3" xfId="30301" xr:uid="{00000000-0005-0000-0000-000009180000}"/>
    <cellStyle name="60% - Accent6 11" xfId="4292" xr:uid="{00000000-0005-0000-0000-00000A180000}"/>
    <cellStyle name="60% - Accent6 11 2" xfId="17369" xr:uid="{00000000-0005-0000-0000-00000B180000}"/>
    <cellStyle name="60% - Accent6 11 3" xfId="30302" xr:uid="{00000000-0005-0000-0000-00000C180000}"/>
    <cellStyle name="60% - Accent6 12" xfId="4293" xr:uid="{00000000-0005-0000-0000-00000D180000}"/>
    <cellStyle name="60% - Accent6 12 2" xfId="17370" xr:uid="{00000000-0005-0000-0000-00000E180000}"/>
    <cellStyle name="60% - Accent6 12 3" xfId="30303" xr:uid="{00000000-0005-0000-0000-00000F180000}"/>
    <cellStyle name="60% - Accent6 13" xfId="4294" xr:uid="{00000000-0005-0000-0000-000010180000}"/>
    <cellStyle name="60% - Accent6 13 2" xfId="17371" xr:uid="{00000000-0005-0000-0000-000011180000}"/>
    <cellStyle name="60% - Accent6 13 3" xfId="30304" xr:uid="{00000000-0005-0000-0000-000012180000}"/>
    <cellStyle name="60% - Accent6 14" xfId="4295" xr:uid="{00000000-0005-0000-0000-000013180000}"/>
    <cellStyle name="60% - Accent6 14 2" xfId="17372" xr:uid="{00000000-0005-0000-0000-000014180000}"/>
    <cellStyle name="60% - Accent6 14 3" xfId="30305" xr:uid="{00000000-0005-0000-0000-000015180000}"/>
    <cellStyle name="60% - Accent6 15" xfId="4296" xr:uid="{00000000-0005-0000-0000-000016180000}"/>
    <cellStyle name="60% - Accent6 15 2" xfId="17373" xr:uid="{00000000-0005-0000-0000-000017180000}"/>
    <cellStyle name="60% - Accent6 15 3" xfId="30306" xr:uid="{00000000-0005-0000-0000-000018180000}"/>
    <cellStyle name="60% - Accent6 16" xfId="4297" xr:uid="{00000000-0005-0000-0000-000019180000}"/>
    <cellStyle name="60% - Accent6 16 2" xfId="17374" xr:uid="{00000000-0005-0000-0000-00001A180000}"/>
    <cellStyle name="60% - Accent6 16 3" xfId="30307" xr:uid="{00000000-0005-0000-0000-00001B180000}"/>
    <cellStyle name="60% - Accent6 17" xfId="4298" xr:uid="{00000000-0005-0000-0000-00001C180000}"/>
    <cellStyle name="60% - Accent6 17 2" xfId="17375" xr:uid="{00000000-0005-0000-0000-00001D180000}"/>
    <cellStyle name="60% - Accent6 17 3" xfId="30308" xr:uid="{00000000-0005-0000-0000-00001E180000}"/>
    <cellStyle name="60% - Accent6 18" xfId="4299" xr:uid="{00000000-0005-0000-0000-00001F180000}"/>
    <cellStyle name="60% - Accent6 18 2" xfId="17376" xr:uid="{00000000-0005-0000-0000-000020180000}"/>
    <cellStyle name="60% - Accent6 19" xfId="4300" xr:uid="{00000000-0005-0000-0000-000021180000}"/>
    <cellStyle name="60% - Accent6 19 2" xfId="17377" xr:uid="{00000000-0005-0000-0000-000022180000}"/>
    <cellStyle name="60% - Accent6 2" xfId="77" xr:uid="{00000000-0005-0000-0000-000023180000}"/>
    <cellStyle name="60% - Accent6 2 10" xfId="4302" xr:uid="{00000000-0005-0000-0000-000024180000}"/>
    <cellStyle name="60% - Accent6 2 10 2" xfId="17379" xr:uid="{00000000-0005-0000-0000-000025180000}"/>
    <cellStyle name="60% - Accent6 2 11" xfId="4303" xr:uid="{00000000-0005-0000-0000-000026180000}"/>
    <cellStyle name="60% - Accent6 2 11 2" xfId="17380" xr:uid="{00000000-0005-0000-0000-000027180000}"/>
    <cellStyle name="60% - Accent6 2 12" xfId="4304" xr:uid="{00000000-0005-0000-0000-000028180000}"/>
    <cellStyle name="60% - Accent6 2 12 2" xfId="17381" xr:uid="{00000000-0005-0000-0000-000029180000}"/>
    <cellStyle name="60% - Accent6 2 13" xfId="4305" xr:uid="{00000000-0005-0000-0000-00002A180000}"/>
    <cellStyle name="60% - Accent6 2 13 2" xfId="17382" xr:uid="{00000000-0005-0000-0000-00002B180000}"/>
    <cellStyle name="60% - Accent6 2 14" xfId="4306" xr:uid="{00000000-0005-0000-0000-00002C180000}"/>
    <cellStyle name="60% - Accent6 2 14 2" xfId="17383" xr:uid="{00000000-0005-0000-0000-00002D180000}"/>
    <cellStyle name="60% - Accent6 2 15" xfId="4307" xr:uid="{00000000-0005-0000-0000-00002E180000}"/>
    <cellStyle name="60% - Accent6 2 15 2" xfId="17384" xr:uid="{00000000-0005-0000-0000-00002F180000}"/>
    <cellStyle name="60% - Accent6 2 16" xfId="4308" xr:uid="{00000000-0005-0000-0000-000030180000}"/>
    <cellStyle name="60% - Accent6 2 16 2" xfId="4309" xr:uid="{00000000-0005-0000-0000-000031180000}"/>
    <cellStyle name="60% - Accent6 2 16 2 2" xfId="17386" xr:uid="{00000000-0005-0000-0000-000032180000}"/>
    <cellStyle name="60% - Accent6 2 16 3" xfId="17385" xr:uid="{00000000-0005-0000-0000-000033180000}"/>
    <cellStyle name="60% - Accent6 2 17" xfId="4310" xr:uid="{00000000-0005-0000-0000-000034180000}"/>
    <cellStyle name="60% - Accent6 2 17 2" xfId="17387" xr:uid="{00000000-0005-0000-0000-000035180000}"/>
    <cellStyle name="60% - Accent6 2 18" xfId="4311" xr:uid="{00000000-0005-0000-0000-000036180000}"/>
    <cellStyle name="60% - Accent6 2 18 2" xfId="17388" xr:uid="{00000000-0005-0000-0000-000037180000}"/>
    <cellStyle name="60% - Accent6 2 19" xfId="4312" xr:uid="{00000000-0005-0000-0000-000038180000}"/>
    <cellStyle name="60% - Accent6 2 19 2" xfId="17389" xr:uid="{00000000-0005-0000-0000-000039180000}"/>
    <cellStyle name="60% - Accent6 2 2" xfId="4313" xr:uid="{00000000-0005-0000-0000-00003A180000}"/>
    <cellStyle name="60% - Accent6 2 2 10" xfId="4314" xr:uid="{00000000-0005-0000-0000-00003B180000}"/>
    <cellStyle name="60% - Accent6 2 2 10 2" xfId="17391" xr:uid="{00000000-0005-0000-0000-00003C180000}"/>
    <cellStyle name="60% - Accent6 2 2 11" xfId="4315" xr:uid="{00000000-0005-0000-0000-00003D180000}"/>
    <cellStyle name="60% - Accent6 2 2 11 2" xfId="17392" xr:uid="{00000000-0005-0000-0000-00003E180000}"/>
    <cellStyle name="60% - Accent6 2 2 12" xfId="4316" xr:uid="{00000000-0005-0000-0000-00003F180000}"/>
    <cellStyle name="60% - Accent6 2 2 12 2" xfId="17393" xr:uid="{00000000-0005-0000-0000-000040180000}"/>
    <cellStyle name="60% - Accent6 2 2 13" xfId="4317" xr:uid="{00000000-0005-0000-0000-000041180000}"/>
    <cellStyle name="60% - Accent6 2 2 13 2" xfId="17394" xr:uid="{00000000-0005-0000-0000-000042180000}"/>
    <cellStyle name="60% - Accent6 2 2 14" xfId="4318" xr:uid="{00000000-0005-0000-0000-000043180000}"/>
    <cellStyle name="60% - Accent6 2 2 14 2" xfId="4319" xr:uid="{00000000-0005-0000-0000-000044180000}"/>
    <cellStyle name="60% - Accent6 2 2 14 2 2" xfId="17396" xr:uid="{00000000-0005-0000-0000-000045180000}"/>
    <cellStyle name="60% - Accent6 2 2 14 3" xfId="17395" xr:uid="{00000000-0005-0000-0000-000046180000}"/>
    <cellStyle name="60% - Accent6 2 2 15" xfId="4320" xr:uid="{00000000-0005-0000-0000-000047180000}"/>
    <cellStyle name="60% - Accent6 2 2 15 2" xfId="17397" xr:uid="{00000000-0005-0000-0000-000048180000}"/>
    <cellStyle name="60% - Accent6 2 2 16" xfId="4321" xr:uid="{00000000-0005-0000-0000-000049180000}"/>
    <cellStyle name="60% - Accent6 2 2 16 2" xfId="17398" xr:uid="{00000000-0005-0000-0000-00004A180000}"/>
    <cellStyle name="60% - Accent6 2 2 17" xfId="4322" xr:uid="{00000000-0005-0000-0000-00004B180000}"/>
    <cellStyle name="60% - Accent6 2 2 17 2" xfId="17399" xr:uid="{00000000-0005-0000-0000-00004C180000}"/>
    <cellStyle name="60% - Accent6 2 2 18" xfId="4323" xr:uid="{00000000-0005-0000-0000-00004D180000}"/>
    <cellStyle name="60% - Accent6 2 2 18 2" xfId="17400" xr:uid="{00000000-0005-0000-0000-00004E180000}"/>
    <cellStyle name="60% - Accent6 2 2 19" xfId="4324" xr:uid="{00000000-0005-0000-0000-00004F180000}"/>
    <cellStyle name="60% - Accent6 2 2 19 2" xfId="17401" xr:uid="{00000000-0005-0000-0000-000050180000}"/>
    <cellStyle name="60% - Accent6 2 2 2" xfId="4325" xr:uid="{00000000-0005-0000-0000-000051180000}"/>
    <cellStyle name="60% - Accent6 2 2 2 10" xfId="4326" xr:uid="{00000000-0005-0000-0000-000052180000}"/>
    <cellStyle name="60% - Accent6 2 2 2 10 2" xfId="17403" xr:uid="{00000000-0005-0000-0000-000053180000}"/>
    <cellStyle name="60% - Accent6 2 2 2 11" xfId="4327" xr:uid="{00000000-0005-0000-0000-000054180000}"/>
    <cellStyle name="60% - Accent6 2 2 2 11 2" xfId="17404" xr:uid="{00000000-0005-0000-0000-000055180000}"/>
    <cellStyle name="60% - Accent6 2 2 2 12" xfId="4328" xr:uid="{00000000-0005-0000-0000-000056180000}"/>
    <cellStyle name="60% - Accent6 2 2 2 12 2" xfId="17405" xr:uid="{00000000-0005-0000-0000-000057180000}"/>
    <cellStyle name="60% - Accent6 2 2 2 13" xfId="4329" xr:uid="{00000000-0005-0000-0000-000058180000}"/>
    <cellStyle name="60% - Accent6 2 2 2 13 2" xfId="17406" xr:uid="{00000000-0005-0000-0000-000059180000}"/>
    <cellStyle name="60% - Accent6 2 2 2 14" xfId="4330" xr:uid="{00000000-0005-0000-0000-00005A180000}"/>
    <cellStyle name="60% - Accent6 2 2 2 14 2" xfId="17407" xr:uid="{00000000-0005-0000-0000-00005B180000}"/>
    <cellStyle name="60% - Accent6 2 2 2 15" xfId="4331" xr:uid="{00000000-0005-0000-0000-00005C180000}"/>
    <cellStyle name="60% - Accent6 2 2 2 15 2" xfId="17408" xr:uid="{00000000-0005-0000-0000-00005D180000}"/>
    <cellStyle name="60% - Accent6 2 2 2 16" xfId="4332" xr:uid="{00000000-0005-0000-0000-00005E180000}"/>
    <cellStyle name="60% - Accent6 2 2 2 16 2" xfId="17409" xr:uid="{00000000-0005-0000-0000-00005F180000}"/>
    <cellStyle name="60% - Accent6 2 2 2 17" xfId="4333" xr:uid="{00000000-0005-0000-0000-000060180000}"/>
    <cellStyle name="60% - Accent6 2 2 2 17 2" xfId="17410" xr:uid="{00000000-0005-0000-0000-000061180000}"/>
    <cellStyle name="60% - Accent6 2 2 2 18" xfId="4334" xr:uid="{00000000-0005-0000-0000-000062180000}"/>
    <cellStyle name="60% - Accent6 2 2 2 18 2" xfId="17411" xr:uid="{00000000-0005-0000-0000-000063180000}"/>
    <cellStyle name="60% - Accent6 2 2 2 19" xfId="4335" xr:uid="{00000000-0005-0000-0000-000064180000}"/>
    <cellStyle name="60% - Accent6 2 2 2 19 2" xfId="17412" xr:uid="{00000000-0005-0000-0000-000065180000}"/>
    <cellStyle name="60% - Accent6 2 2 2 2" xfId="4336" xr:uid="{00000000-0005-0000-0000-000066180000}"/>
    <cellStyle name="60% - Accent6 2 2 2 2 10" xfId="4337" xr:uid="{00000000-0005-0000-0000-000067180000}"/>
    <cellStyle name="60% - Accent6 2 2 2 2 10 2" xfId="17414" xr:uid="{00000000-0005-0000-0000-000068180000}"/>
    <cellStyle name="60% - Accent6 2 2 2 2 11" xfId="4338" xr:uid="{00000000-0005-0000-0000-000069180000}"/>
    <cellStyle name="60% - Accent6 2 2 2 2 11 2" xfId="17415" xr:uid="{00000000-0005-0000-0000-00006A180000}"/>
    <cellStyle name="60% - Accent6 2 2 2 2 12" xfId="4339" xr:uid="{00000000-0005-0000-0000-00006B180000}"/>
    <cellStyle name="60% - Accent6 2 2 2 2 12 2" xfId="17416" xr:uid="{00000000-0005-0000-0000-00006C180000}"/>
    <cellStyle name="60% - Accent6 2 2 2 2 13" xfId="4340" xr:uid="{00000000-0005-0000-0000-00006D180000}"/>
    <cellStyle name="60% - Accent6 2 2 2 2 13 2" xfId="17417" xr:uid="{00000000-0005-0000-0000-00006E180000}"/>
    <cellStyle name="60% - Accent6 2 2 2 2 14" xfId="4341" xr:uid="{00000000-0005-0000-0000-00006F180000}"/>
    <cellStyle name="60% - Accent6 2 2 2 2 14 2" xfId="17418" xr:uid="{00000000-0005-0000-0000-000070180000}"/>
    <cellStyle name="60% - Accent6 2 2 2 2 15" xfId="4342" xr:uid="{00000000-0005-0000-0000-000071180000}"/>
    <cellStyle name="60% - Accent6 2 2 2 2 15 2" xfId="17419" xr:uid="{00000000-0005-0000-0000-000072180000}"/>
    <cellStyle name="60% - Accent6 2 2 2 2 16" xfId="4343" xr:uid="{00000000-0005-0000-0000-000073180000}"/>
    <cellStyle name="60% - Accent6 2 2 2 2 16 2" xfId="17420" xr:uid="{00000000-0005-0000-0000-000074180000}"/>
    <cellStyle name="60% - Accent6 2 2 2 2 17" xfId="4344" xr:uid="{00000000-0005-0000-0000-000075180000}"/>
    <cellStyle name="60% - Accent6 2 2 2 2 17 2" xfId="17421" xr:uid="{00000000-0005-0000-0000-000076180000}"/>
    <cellStyle name="60% - Accent6 2 2 2 2 18" xfId="4345" xr:uid="{00000000-0005-0000-0000-000077180000}"/>
    <cellStyle name="60% - Accent6 2 2 2 2 18 2" xfId="17422" xr:uid="{00000000-0005-0000-0000-000078180000}"/>
    <cellStyle name="60% - Accent6 2 2 2 2 19" xfId="4346" xr:uid="{00000000-0005-0000-0000-000079180000}"/>
    <cellStyle name="60% - Accent6 2 2 2 2 19 2" xfId="17423" xr:uid="{00000000-0005-0000-0000-00007A180000}"/>
    <cellStyle name="60% - Accent6 2 2 2 2 2" xfId="4347" xr:uid="{00000000-0005-0000-0000-00007B180000}"/>
    <cellStyle name="60% - Accent6 2 2 2 2 2 10" xfId="4348" xr:uid="{00000000-0005-0000-0000-00007C180000}"/>
    <cellStyle name="60% - Accent6 2 2 2 2 2 10 2" xfId="17425" xr:uid="{00000000-0005-0000-0000-00007D180000}"/>
    <cellStyle name="60% - Accent6 2 2 2 2 2 11" xfId="4349" xr:uid="{00000000-0005-0000-0000-00007E180000}"/>
    <cellStyle name="60% - Accent6 2 2 2 2 2 11 2" xfId="4350" xr:uid="{00000000-0005-0000-0000-00007F180000}"/>
    <cellStyle name="60% - Accent6 2 2 2 2 2 11 2 2" xfId="17427" xr:uid="{00000000-0005-0000-0000-000080180000}"/>
    <cellStyle name="60% - Accent6 2 2 2 2 2 11 3" xfId="17426" xr:uid="{00000000-0005-0000-0000-000081180000}"/>
    <cellStyle name="60% - Accent6 2 2 2 2 2 12" xfId="17424" xr:uid="{00000000-0005-0000-0000-000082180000}"/>
    <cellStyle name="60% - Accent6 2 2 2 2 2 2" xfId="4351" xr:uid="{00000000-0005-0000-0000-000083180000}"/>
    <cellStyle name="60% - Accent6 2 2 2 2 2 2 10" xfId="4352" xr:uid="{00000000-0005-0000-0000-000084180000}"/>
    <cellStyle name="60% - Accent6 2 2 2 2 2 2 10 2" xfId="17429" xr:uid="{00000000-0005-0000-0000-000085180000}"/>
    <cellStyle name="60% - Accent6 2 2 2 2 2 2 11" xfId="4353" xr:uid="{00000000-0005-0000-0000-000086180000}"/>
    <cellStyle name="60% - Accent6 2 2 2 2 2 2 11 2" xfId="4354" xr:uid="{00000000-0005-0000-0000-000087180000}"/>
    <cellStyle name="60% - Accent6 2 2 2 2 2 2 11 2 2" xfId="17431" xr:uid="{00000000-0005-0000-0000-000088180000}"/>
    <cellStyle name="60% - Accent6 2 2 2 2 2 2 11 3" xfId="17430" xr:uid="{00000000-0005-0000-0000-000089180000}"/>
    <cellStyle name="60% - Accent6 2 2 2 2 2 2 12" xfId="17428" xr:uid="{00000000-0005-0000-0000-00008A180000}"/>
    <cellStyle name="60% - Accent6 2 2 2 2 2 2 2" xfId="4355" xr:uid="{00000000-0005-0000-0000-00008B180000}"/>
    <cellStyle name="60% - Accent6 2 2 2 2 2 2 2 2" xfId="4356" xr:uid="{00000000-0005-0000-0000-00008C180000}"/>
    <cellStyle name="60% - Accent6 2 2 2 2 2 2 2 2 2" xfId="4357" xr:uid="{00000000-0005-0000-0000-00008D180000}"/>
    <cellStyle name="60% - Accent6 2 2 2 2 2 2 2 2 2 2" xfId="4358" xr:uid="{00000000-0005-0000-0000-00008E180000}"/>
    <cellStyle name="60% - Accent6 2 2 2 2 2 2 2 2 2 2 2" xfId="17435" xr:uid="{00000000-0005-0000-0000-00008F180000}"/>
    <cellStyle name="60% - Accent6 2 2 2 2 2 2 2 2 2 3" xfId="17434" xr:uid="{00000000-0005-0000-0000-000090180000}"/>
    <cellStyle name="60% - Accent6 2 2 2 2 2 2 2 2 3" xfId="4359" xr:uid="{00000000-0005-0000-0000-000091180000}"/>
    <cellStyle name="60% - Accent6 2 2 2 2 2 2 2 2 3 2" xfId="17436" xr:uid="{00000000-0005-0000-0000-000092180000}"/>
    <cellStyle name="60% - Accent6 2 2 2 2 2 2 2 2 4" xfId="17433" xr:uid="{00000000-0005-0000-0000-000093180000}"/>
    <cellStyle name="60% - Accent6 2 2 2 2 2 2 2 3" xfId="4360" xr:uid="{00000000-0005-0000-0000-000094180000}"/>
    <cellStyle name="60% - Accent6 2 2 2 2 2 2 2 3 2" xfId="4361" xr:uid="{00000000-0005-0000-0000-000095180000}"/>
    <cellStyle name="60% - Accent6 2 2 2 2 2 2 2 3 2 2" xfId="17438" xr:uid="{00000000-0005-0000-0000-000096180000}"/>
    <cellStyle name="60% - Accent6 2 2 2 2 2 2 2 3 3" xfId="17437" xr:uid="{00000000-0005-0000-0000-000097180000}"/>
    <cellStyle name="60% - Accent6 2 2 2 2 2 2 2 4" xfId="17432" xr:uid="{00000000-0005-0000-0000-000098180000}"/>
    <cellStyle name="60% - Accent6 2 2 2 2 2 2 3" xfId="4362" xr:uid="{00000000-0005-0000-0000-000099180000}"/>
    <cellStyle name="60% - Accent6 2 2 2 2 2 2 3 2" xfId="17439" xr:uid="{00000000-0005-0000-0000-00009A180000}"/>
    <cellStyle name="60% - Accent6 2 2 2 2 2 2 4" xfId="4363" xr:uid="{00000000-0005-0000-0000-00009B180000}"/>
    <cellStyle name="60% - Accent6 2 2 2 2 2 2 4 2" xfId="17440" xr:uid="{00000000-0005-0000-0000-00009C180000}"/>
    <cellStyle name="60% - Accent6 2 2 2 2 2 2 5" xfId="4364" xr:uid="{00000000-0005-0000-0000-00009D180000}"/>
    <cellStyle name="60% - Accent6 2 2 2 2 2 2 5 2" xfId="17441" xr:uid="{00000000-0005-0000-0000-00009E180000}"/>
    <cellStyle name="60% - Accent6 2 2 2 2 2 2 6" xfId="4365" xr:uid="{00000000-0005-0000-0000-00009F180000}"/>
    <cellStyle name="60% - Accent6 2 2 2 2 2 2 6 2" xfId="17442" xr:uid="{00000000-0005-0000-0000-0000A0180000}"/>
    <cellStyle name="60% - Accent6 2 2 2 2 2 2 7" xfId="4366" xr:uid="{00000000-0005-0000-0000-0000A1180000}"/>
    <cellStyle name="60% - Accent6 2 2 2 2 2 2 7 2" xfId="17443" xr:uid="{00000000-0005-0000-0000-0000A2180000}"/>
    <cellStyle name="60% - Accent6 2 2 2 2 2 2 8" xfId="4367" xr:uid="{00000000-0005-0000-0000-0000A3180000}"/>
    <cellStyle name="60% - Accent6 2 2 2 2 2 2 8 2" xfId="17444" xr:uid="{00000000-0005-0000-0000-0000A4180000}"/>
    <cellStyle name="60% - Accent6 2 2 2 2 2 2 9" xfId="4368" xr:uid="{00000000-0005-0000-0000-0000A5180000}"/>
    <cellStyle name="60% - Accent6 2 2 2 2 2 2 9 2" xfId="17445" xr:uid="{00000000-0005-0000-0000-0000A6180000}"/>
    <cellStyle name="60% - Accent6 2 2 2 2 2 3" xfId="4369" xr:uid="{00000000-0005-0000-0000-0000A7180000}"/>
    <cellStyle name="60% - Accent6 2 2 2 2 2 3 2" xfId="4370" xr:uid="{00000000-0005-0000-0000-0000A8180000}"/>
    <cellStyle name="60% - Accent6 2 2 2 2 2 3 2 2" xfId="17447" xr:uid="{00000000-0005-0000-0000-0000A9180000}"/>
    <cellStyle name="60% - Accent6 2 2 2 2 2 3 3" xfId="17446" xr:uid="{00000000-0005-0000-0000-0000AA180000}"/>
    <cellStyle name="60% - Accent6 2 2 2 2 2 4" xfId="4371" xr:uid="{00000000-0005-0000-0000-0000AB180000}"/>
    <cellStyle name="60% - Accent6 2 2 2 2 2 4 2" xfId="17448" xr:uid="{00000000-0005-0000-0000-0000AC180000}"/>
    <cellStyle name="60% - Accent6 2 2 2 2 2 5" xfId="4372" xr:uid="{00000000-0005-0000-0000-0000AD180000}"/>
    <cellStyle name="60% - Accent6 2 2 2 2 2 5 2" xfId="17449" xr:uid="{00000000-0005-0000-0000-0000AE180000}"/>
    <cellStyle name="60% - Accent6 2 2 2 2 2 6" xfId="4373" xr:uid="{00000000-0005-0000-0000-0000AF180000}"/>
    <cellStyle name="60% - Accent6 2 2 2 2 2 6 2" xfId="17450" xr:uid="{00000000-0005-0000-0000-0000B0180000}"/>
    <cellStyle name="60% - Accent6 2 2 2 2 2 7" xfId="4374" xr:uid="{00000000-0005-0000-0000-0000B1180000}"/>
    <cellStyle name="60% - Accent6 2 2 2 2 2 7 2" xfId="17451" xr:uid="{00000000-0005-0000-0000-0000B2180000}"/>
    <cellStyle name="60% - Accent6 2 2 2 2 2 8" xfId="4375" xr:uid="{00000000-0005-0000-0000-0000B3180000}"/>
    <cellStyle name="60% - Accent6 2 2 2 2 2 8 2" xfId="17452" xr:uid="{00000000-0005-0000-0000-0000B4180000}"/>
    <cellStyle name="60% - Accent6 2 2 2 2 2 9" xfId="4376" xr:uid="{00000000-0005-0000-0000-0000B5180000}"/>
    <cellStyle name="60% - Accent6 2 2 2 2 2 9 2" xfId="17453" xr:uid="{00000000-0005-0000-0000-0000B6180000}"/>
    <cellStyle name="60% - Accent6 2 2 2 2 20" xfId="4377" xr:uid="{00000000-0005-0000-0000-0000B7180000}"/>
    <cellStyle name="60% - Accent6 2 2 2 2 20 2" xfId="4378" xr:uid="{00000000-0005-0000-0000-0000B8180000}"/>
    <cellStyle name="60% - Accent6 2 2 2 2 20 2 2" xfId="17455" xr:uid="{00000000-0005-0000-0000-0000B9180000}"/>
    <cellStyle name="60% - Accent6 2 2 2 2 20 3" xfId="17454" xr:uid="{00000000-0005-0000-0000-0000BA180000}"/>
    <cellStyle name="60% - Accent6 2 2 2 2 21" xfId="4379" xr:uid="{00000000-0005-0000-0000-0000BB180000}"/>
    <cellStyle name="60% - Accent6 2 2 2 2 21 2" xfId="17456" xr:uid="{00000000-0005-0000-0000-0000BC180000}"/>
    <cellStyle name="60% - Accent6 2 2 2 2 22" xfId="4380" xr:uid="{00000000-0005-0000-0000-0000BD180000}"/>
    <cellStyle name="60% - Accent6 2 2 2 2 22 2" xfId="17457" xr:uid="{00000000-0005-0000-0000-0000BE180000}"/>
    <cellStyle name="60% - Accent6 2 2 2 2 23" xfId="4381" xr:uid="{00000000-0005-0000-0000-0000BF180000}"/>
    <cellStyle name="60% - Accent6 2 2 2 2 23 2" xfId="17458" xr:uid="{00000000-0005-0000-0000-0000C0180000}"/>
    <cellStyle name="60% - Accent6 2 2 2 2 24" xfId="4382" xr:uid="{00000000-0005-0000-0000-0000C1180000}"/>
    <cellStyle name="60% - Accent6 2 2 2 2 24 2" xfId="17459" xr:uid="{00000000-0005-0000-0000-0000C2180000}"/>
    <cellStyle name="60% - Accent6 2 2 2 2 25" xfId="4383" xr:uid="{00000000-0005-0000-0000-0000C3180000}"/>
    <cellStyle name="60% - Accent6 2 2 2 2 25 2" xfId="17460" xr:uid="{00000000-0005-0000-0000-0000C4180000}"/>
    <cellStyle name="60% - Accent6 2 2 2 2 26" xfId="4384" xr:uid="{00000000-0005-0000-0000-0000C5180000}"/>
    <cellStyle name="60% - Accent6 2 2 2 2 26 2" xfId="17461" xr:uid="{00000000-0005-0000-0000-0000C6180000}"/>
    <cellStyle name="60% - Accent6 2 2 2 2 27" xfId="4385" xr:uid="{00000000-0005-0000-0000-0000C7180000}"/>
    <cellStyle name="60% - Accent6 2 2 2 2 27 2" xfId="17462" xr:uid="{00000000-0005-0000-0000-0000C8180000}"/>
    <cellStyle name="60% - Accent6 2 2 2 2 28" xfId="4386" xr:uid="{00000000-0005-0000-0000-0000C9180000}"/>
    <cellStyle name="60% - Accent6 2 2 2 2 28 2" xfId="4387" xr:uid="{00000000-0005-0000-0000-0000CA180000}"/>
    <cellStyle name="60% - Accent6 2 2 2 2 28 2 2" xfId="17464" xr:uid="{00000000-0005-0000-0000-0000CB180000}"/>
    <cellStyle name="60% - Accent6 2 2 2 2 28 3" xfId="17463" xr:uid="{00000000-0005-0000-0000-0000CC180000}"/>
    <cellStyle name="60% - Accent6 2 2 2 2 29" xfId="17413" xr:uid="{00000000-0005-0000-0000-0000CD180000}"/>
    <cellStyle name="60% - Accent6 2 2 2 2 3" xfId="4388" xr:uid="{00000000-0005-0000-0000-0000CE180000}"/>
    <cellStyle name="60% - Accent6 2 2 2 2 3 2" xfId="17465" xr:uid="{00000000-0005-0000-0000-0000CF180000}"/>
    <cellStyle name="60% - Accent6 2 2 2 2 4" xfId="4389" xr:uid="{00000000-0005-0000-0000-0000D0180000}"/>
    <cellStyle name="60% - Accent6 2 2 2 2 4 2" xfId="17466" xr:uid="{00000000-0005-0000-0000-0000D1180000}"/>
    <cellStyle name="60% - Accent6 2 2 2 2 5" xfId="4390" xr:uid="{00000000-0005-0000-0000-0000D2180000}"/>
    <cellStyle name="60% - Accent6 2 2 2 2 5 2" xfId="17467" xr:uid="{00000000-0005-0000-0000-0000D3180000}"/>
    <cellStyle name="60% - Accent6 2 2 2 2 6" xfId="4391" xr:uid="{00000000-0005-0000-0000-0000D4180000}"/>
    <cellStyle name="60% - Accent6 2 2 2 2 6 2" xfId="17468" xr:uid="{00000000-0005-0000-0000-0000D5180000}"/>
    <cellStyle name="60% - Accent6 2 2 2 2 7" xfId="4392" xr:uid="{00000000-0005-0000-0000-0000D6180000}"/>
    <cellStyle name="60% - Accent6 2 2 2 2 7 2" xfId="17469" xr:uid="{00000000-0005-0000-0000-0000D7180000}"/>
    <cellStyle name="60% - Accent6 2 2 2 2 8" xfId="4393" xr:uid="{00000000-0005-0000-0000-0000D8180000}"/>
    <cellStyle name="60% - Accent6 2 2 2 2 8 2" xfId="17470" xr:uid="{00000000-0005-0000-0000-0000D9180000}"/>
    <cellStyle name="60% - Accent6 2 2 2 2 9" xfId="4394" xr:uid="{00000000-0005-0000-0000-0000DA180000}"/>
    <cellStyle name="60% - Accent6 2 2 2 2 9 2" xfId="17471" xr:uid="{00000000-0005-0000-0000-0000DB180000}"/>
    <cellStyle name="60% - Accent6 2 2 2 20" xfId="4395" xr:uid="{00000000-0005-0000-0000-0000DC180000}"/>
    <cellStyle name="60% - Accent6 2 2 2 20 2" xfId="4396" xr:uid="{00000000-0005-0000-0000-0000DD180000}"/>
    <cellStyle name="60% - Accent6 2 2 2 20 2 2" xfId="17473" xr:uid="{00000000-0005-0000-0000-0000DE180000}"/>
    <cellStyle name="60% - Accent6 2 2 2 20 3" xfId="17472" xr:uid="{00000000-0005-0000-0000-0000DF180000}"/>
    <cellStyle name="60% - Accent6 2 2 2 21" xfId="4397" xr:uid="{00000000-0005-0000-0000-0000E0180000}"/>
    <cellStyle name="60% - Accent6 2 2 2 21 2" xfId="17474" xr:uid="{00000000-0005-0000-0000-0000E1180000}"/>
    <cellStyle name="60% - Accent6 2 2 2 22" xfId="4398" xr:uid="{00000000-0005-0000-0000-0000E2180000}"/>
    <cellStyle name="60% - Accent6 2 2 2 22 2" xfId="17475" xr:uid="{00000000-0005-0000-0000-0000E3180000}"/>
    <cellStyle name="60% - Accent6 2 2 2 23" xfId="4399" xr:uid="{00000000-0005-0000-0000-0000E4180000}"/>
    <cellStyle name="60% - Accent6 2 2 2 23 2" xfId="17476" xr:uid="{00000000-0005-0000-0000-0000E5180000}"/>
    <cellStyle name="60% - Accent6 2 2 2 24" xfId="4400" xr:uid="{00000000-0005-0000-0000-0000E6180000}"/>
    <cellStyle name="60% - Accent6 2 2 2 24 2" xfId="17477" xr:uid="{00000000-0005-0000-0000-0000E7180000}"/>
    <cellStyle name="60% - Accent6 2 2 2 25" xfId="4401" xr:uid="{00000000-0005-0000-0000-0000E8180000}"/>
    <cellStyle name="60% - Accent6 2 2 2 25 2" xfId="17478" xr:uid="{00000000-0005-0000-0000-0000E9180000}"/>
    <cellStyle name="60% - Accent6 2 2 2 26" xfId="4402" xr:uid="{00000000-0005-0000-0000-0000EA180000}"/>
    <cellStyle name="60% - Accent6 2 2 2 26 2" xfId="17479" xr:uid="{00000000-0005-0000-0000-0000EB180000}"/>
    <cellStyle name="60% - Accent6 2 2 2 27" xfId="4403" xr:uid="{00000000-0005-0000-0000-0000EC180000}"/>
    <cellStyle name="60% - Accent6 2 2 2 27 2" xfId="17480" xr:uid="{00000000-0005-0000-0000-0000ED180000}"/>
    <cellStyle name="60% - Accent6 2 2 2 28" xfId="4404" xr:uid="{00000000-0005-0000-0000-0000EE180000}"/>
    <cellStyle name="60% - Accent6 2 2 2 28 2" xfId="4405" xr:uid="{00000000-0005-0000-0000-0000EF180000}"/>
    <cellStyle name="60% - Accent6 2 2 2 28 2 2" xfId="17482" xr:uid="{00000000-0005-0000-0000-0000F0180000}"/>
    <cellStyle name="60% - Accent6 2 2 2 28 3" xfId="17481" xr:uid="{00000000-0005-0000-0000-0000F1180000}"/>
    <cellStyle name="60% - Accent6 2 2 2 29" xfId="17402" xr:uid="{00000000-0005-0000-0000-0000F2180000}"/>
    <cellStyle name="60% - Accent6 2 2 2 3" xfId="4406" xr:uid="{00000000-0005-0000-0000-0000F3180000}"/>
    <cellStyle name="60% - Accent6 2 2 2 3 2" xfId="4407" xr:uid="{00000000-0005-0000-0000-0000F4180000}"/>
    <cellStyle name="60% - Accent6 2 2 2 3 2 2" xfId="17484" xr:uid="{00000000-0005-0000-0000-0000F5180000}"/>
    <cellStyle name="60% - Accent6 2 2 2 3 3" xfId="17483" xr:uid="{00000000-0005-0000-0000-0000F6180000}"/>
    <cellStyle name="60% - Accent6 2 2 2 30" xfId="30309" xr:uid="{00000000-0005-0000-0000-0000F7180000}"/>
    <cellStyle name="60% - Accent6 2 2 2 4" xfId="4408" xr:uid="{00000000-0005-0000-0000-0000F8180000}"/>
    <cellStyle name="60% - Accent6 2 2 2 4 2" xfId="17485" xr:uid="{00000000-0005-0000-0000-0000F9180000}"/>
    <cellStyle name="60% - Accent6 2 2 2 5" xfId="4409" xr:uid="{00000000-0005-0000-0000-0000FA180000}"/>
    <cellStyle name="60% - Accent6 2 2 2 5 2" xfId="17486" xr:uid="{00000000-0005-0000-0000-0000FB180000}"/>
    <cellStyle name="60% - Accent6 2 2 2 6" xfId="4410" xr:uid="{00000000-0005-0000-0000-0000FC180000}"/>
    <cellStyle name="60% - Accent6 2 2 2 6 2" xfId="17487" xr:uid="{00000000-0005-0000-0000-0000FD180000}"/>
    <cellStyle name="60% - Accent6 2 2 2 7" xfId="4411" xr:uid="{00000000-0005-0000-0000-0000FE180000}"/>
    <cellStyle name="60% - Accent6 2 2 2 7 2" xfId="17488" xr:uid="{00000000-0005-0000-0000-0000FF180000}"/>
    <cellStyle name="60% - Accent6 2 2 2 8" xfId="4412" xr:uid="{00000000-0005-0000-0000-000000190000}"/>
    <cellStyle name="60% - Accent6 2 2 2 8 2" xfId="17489" xr:uid="{00000000-0005-0000-0000-000001190000}"/>
    <cellStyle name="60% - Accent6 2 2 2 9" xfId="4413" xr:uid="{00000000-0005-0000-0000-000002190000}"/>
    <cellStyle name="60% - Accent6 2 2 2 9 2" xfId="17490" xr:uid="{00000000-0005-0000-0000-000003190000}"/>
    <cellStyle name="60% - Accent6 2 2 20" xfId="4414" xr:uid="{00000000-0005-0000-0000-000004190000}"/>
    <cellStyle name="60% - Accent6 2 2 20 2" xfId="17491" xr:uid="{00000000-0005-0000-0000-000005190000}"/>
    <cellStyle name="60% - Accent6 2 2 21" xfId="4415" xr:uid="{00000000-0005-0000-0000-000006190000}"/>
    <cellStyle name="60% - Accent6 2 2 21 2" xfId="17492" xr:uid="{00000000-0005-0000-0000-000007190000}"/>
    <cellStyle name="60% - Accent6 2 2 22" xfId="4416" xr:uid="{00000000-0005-0000-0000-000008190000}"/>
    <cellStyle name="60% - Accent6 2 2 22 2" xfId="17493" xr:uid="{00000000-0005-0000-0000-000009190000}"/>
    <cellStyle name="60% - Accent6 2 2 23" xfId="4417" xr:uid="{00000000-0005-0000-0000-00000A190000}"/>
    <cellStyle name="60% - Accent6 2 2 23 2" xfId="17494" xr:uid="{00000000-0005-0000-0000-00000B190000}"/>
    <cellStyle name="60% - Accent6 2 2 24" xfId="4418" xr:uid="{00000000-0005-0000-0000-00000C190000}"/>
    <cellStyle name="60% - Accent6 2 2 24 2" xfId="17495" xr:uid="{00000000-0005-0000-0000-00000D190000}"/>
    <cellStyle name="60% - Accent6 2 2 25" xfId="4419" xr:uid="{00000000-0005-0000-0000-00000E190000}"/>
    <cellStyle name="60% - Accent6 2 2 25 2" xfId="17496" xr:uid="{00000000-0005-0000-0000-00000F190000}"/>
    <cellStyle name="60% - Accent6 2 2 26" xfId="4420" xr:uid="{00000000-0005-0000-0000-000010190000}"/>
    <cellStyle name="60% - Accent6 2 2 26 2" xfId="17497" xr:uid="{00000000-0005-0000-0000-000011190000}"/>
    <cellStyle name="60% - Accent6 2 2 27" xfId="4421" xr:uid="{00000000-0005-0000-0000-000012190000}"/>
    <cellStyle name="60% - Accent6 2 2 27 2" xfId="17498" xr:uid="{00000000-0005-0000-0000-000013190000}"/>
    <cellStyle name="60% - Accent6 2 2 28" xfId="4422" xr:uid="{00000000-0005-0000-0000-000014190000}"/>
    <cellStyle name="60% - Accent6 2 2 28 2" xfId="17499" xr:uid="{00000000-0005-0000-0000-000015190000}"/>
    <cellStyle name="60% - Accent6 2 2 29" xfId="4423" xr:uid="{00000000-0005-0000-0000-000016190000}"/>
    <cellStyle name="60% - Accent6 2 2 29 2" xfId="17500" xr:uid="{00000000-0005-0000-0000-000017190000}"/>
    <cellStyle name="60% - Accent6 2 2 3" xfId="4424" xr:uid="{00000000-0005-0000-0000-000018190000}"/>
    <cellStyle name="60% - Accent6 2 2 3 2" xfId="17501" xr:uid="{00000000-0005-0000-0000-000019190000}"/>
    <cellStyle name="60% - Accent6 2 2 30" xfId="4425" xr:uid="{00000000-0005-0000-0000-00001A190000}"/>
    <cellStyle name="60% - Accent6 2 2 30 2" xfId="17502" xr:uid="{00000000-0005-0000-0000-00001B190000}"/>
    <cellStyle name="60% - Accent6 2 2 31" xfId="4426" xr:uid="{00000000-0005-0000-0000-00001C190000}"/>
    <cellStyle name="60% - Accent6 2 2 31 2" xfId="4427" xr:uid="{00000000-0005-0000-0000-00001D190000}"/>
    <cellStyle name="60% - Accent6 2 2 31 2 2" xfId="17504" xr:uid="{00000000-0005-0000-0000-00001E190000}"/>
    <cellStyle name="60% - Accent6 2 2 31 3" xfId="17503" xr:uid="{00000000-0005-0000-0000-00001F190000}"/>
    <cellStyle name="60% - Accent6 2 2 32" xfId="4428" xr:uid="{00000000-0005-0000-0000-000020190000}"/>
    <cellStyle name="60% - Accent6 2 2 32 2" xfId="17505" xr:uid="{00000000-0005-0000-0000-000021190000}"/>
    <cellStyle name="60% - Accent6 2 2 33" xfId="4429" xr:uid="{00000000-0005-0000-0000-000022190000}"/>
    <cellStyle name="60% - Accent6 2 2 33 2" xfId="17506" xr:uid="{00000000-0005-0000-0000-000023190000}"/>
    <cellStyle name="60% - Accent6 2 2 34" xfId="4430" xr:uid="{00000000-0005-0000-0000-000024190000}"/>
    <cellStyle name="60% - Accent6 2 2 34 2" xfId="17507" xr:uid="{00000000-0005-0000-0000-000025190000}"/>
    <cellStyle name="60% - Accent6 2 2 35" xfId="4431" xr:uid="{00000000-0005-0000-0000-000026190000}"/>
    <cellStyle name="60% - Accent6 2 2 35 2" xfId="17508" xr:uid="{00000000-0005-0000-0000-000027190000}"/>
    <cellStyle name="60% - Accent6 2 2 36" xfId="4432" xr:uid="{00000000-0005-0000-0000-000028190000}"/>
    <cellStyle name="60% - Accent6 2 2 36 2" xfId="17509" xr:uid="{00000000-0005-0000-0000-000029190000}"/>
    <cellStyle name="60% - Accent6 2 2 37" xfId="4433" xr:uid="{00000000-0005-0000-0000-00002A190000}"/>
    <cellStyle name="60% - Accent6 2 2 37 2" xfId="17510" xr:uid="{00000000-0005-0000-0000-00002B190000}"/>
    <cellStyle name="60% - Accent6 2 2 38" xfId="4434" xr:uid="{00000000-0005-0000-0000-00002C190000}"/>
    <cellStyle name="60% - Accent6 2 2 38 2" xfId="17511" xr:uid="{00000000-0005-0000-0000-00002D190000}"/>
    <cellStyle name="60% - Accent6 2 2 39" xfId="4435" xr:uid="{00000000-0005-0000-0000-00002E190000}"/>
    <cellStyle name="60% - Accent6 2 2 39 2" xfId="4436" xr:uid="{00000000-0005-0000-0000-00002F190000}"/>
    <cellStyle name="60% - Accent6 2 2 39 2 2" xfId="17513" xr:uid="{00000000-0005-0000-0000-000030190000}"/>
    <cellStyle name="60% - Accent6 2 2 39 3" xfId="17512" xr:uid="{00000000-0005-0000-0000-000031190000}"/>
    <cellStyle name="60% - Accent6 2 2 4" xfId="4437" xr:uid="{00000000-0005-0000-0000-000032190000}"/>
    <cellStyle name="60% - Accent6 2 2 4 2" xfId="17514" xr:uid="{00000000-0005-0000-0000-000033190000}"/>
    <cellStyle name="60% - Accent6 2 2 40" xfId="17390" xr:uid="{00000000-0005-0000-0000-000034190000}"/>
    <cellStyle name="60% - Accent6 2 2 41" xfId="30310" xr:uid="{00000000-0005-0000-0000-000035190000}"/>
    <cellStyle name="60% - Accent6 2 2 42" xfId="30311" xr:uid="{00000000-0005-0000-0000-000036190000}"/>
    <cellStyle name="60% - Accent6 2 2 43" xfId="30312" xr:uid="{00000000-0005-0000-0000-000037190000}"/>
    <cellStyle name="60% - Accent6 2 2 44" xfId="30313" xr:uid="{00000000-0005-0000-0000-000038190000}"/>
    <cellStyle name="60% - Accent6 2 2 5" xfId="4438" xr:uid="{00000000-0005-0000-0000-000039190000}"/>
    <cellStyle name="60% - Accent6 2 2 5 2" xfId="17515" xr:uid="{00000000-0005-0000-0000-00003A190000}"/>
    <cellStyle name="60% - Accent6 2 2 6" xfId="4439" xr:uid="{00000000-0005-0000-0000-00003B190000}"/>
    <cellStyle name="60% - Accent6 2 2 6 2" xfId="17516" xr:uid="{00000000-0005-0000-0000-00003C190000}"/>
    <cellStyle name="60% - Accent6 2 2 7" xfId="4440" xr:uid="{00000000-0005-0000-0000-00003D190000}"/>
    <cellStyle name="60% - Accent6 2 2 7 2" xfId="17517" xr:uid="{00000000-0005-0000-0000-00003E190000}"/>
    <cellStyle name="60% - Accent6 2 2 8" xfId="4441" xr:uid="{00000000-0005-0000-0000-00003F190000}"/>
    <cellStyle name="60% - Accent6 2 2 8 2" xfId="17518" xr:uid="{00000000-0005-0000-0000-000040190000}"/>
    <cellStyle name="60% - Accent6 2 2 9" xfId="4442" xr:uid="{00000000-0005-0000-0000-000041190000}"/>
    <cellStyle name="60% - Accent6 2 2 9 2" xfId="17519" xr:uid="{00000000-0005-0000-0000-000042190000}"/>
    <cellStyle name="60% - Accent6 2 2_Loan Classification" xfId="11423" xr:uid="{00000000-0005-0000-0000-000043190000}"/>
    <cellStyle name="60% - Accent6 2 20" xfId="4443" xr:uid="{00000000-0005-0000-0000-000044190000}"/>
    <cellStyle name="60% - Accent6 2 20 2" xfId="17520" xr:uid="{00000000-0005-0000-0000-000045190000}"/>
    <cellStyle name="60% - Accent6 2 21" xfId="4444" xr:uid="{00000000-0005-0000-0000-000046190000}"/>
    <cellStyle name="60% - Accent6 2 21 2" xfId="17521" xr:uid="{00000000-0005-0000-0000-000047190000}"/>
    <cellStyle name="60% - Accent6 2 22" xfId="4445" xr:uid="{00000000-0005-0000-0000-000048190000}"/>
    <cellStyle name="60% - Accent6 2 22 2" xfId="17522" xr:uid="{00000000-0005-0000-0000-000049190000}"/>
    <cellStyle name="60% - Accent6 2 23" xfId="4446" xr:uid="{00000000-0005-0000-0000-00004A190000}"/>
    <cellStyle name="60% - Accent6 2 23 2" xfId="17523" xr:uid="{00000000-0005-0000-0000-00004B190000}"/>
    <cellStyle name="60% - Accent6 2 24" xfId="4447" xr:uid="{00000000-0005-0000-0000-00004C190000}"/>
    <cellStyle name="60% - Accent6 2 24 2" xfId="17524" xr:uid="{00000000-0005-0000-0000-00004D190000}"/>
    <cellStyle name="60% - Accent6 2 25" xfId="4448" xr:uid="{00000000-0005-0000-0000-00004E190000}"/>
    <cellStyle name="60% - Accent6 2 25 2" xfId="17525" xr:uid="{00000000-0005-0000-0000-00004F190000}"/>
    <cellStyle name="60% - Accent6 2 26" xfId="4449" xr:uid="{00000000-0005-0000-0000-000050190000}"/>
    <cellStyle name="60% - Accent6 2 26 2" xfId="17526" xr:uid="{00000000-0005-0000-0000-000051190000}"/>
    <cellStyle name="60% - Accent6 2 27" xfId="4450" xr:uid="{00000000-0005-0000-0000-000052190000}"/>
    <cellStyle name="60% - Accent6 2 27 2" xfId="17527" xr:uid="{00000000-0005-0000-0000-000053190000}"/>
    <cellStyle name="60% - Accent6 2 28" xfId="4451" xr:uid="{00000000-0005-0000-0000-000054190000}"/>
    <cellStyle name="60% - Accent6 2 28 2" xfId="17528" xr:uid="{00000000-0005-0000-0000-000055190000}"/>
    <cellStyle name="60% - Accent6 2 29" xfId="4452" xr:uid="{00000000-0005-0000-0000-000056190000}"/>
    <cellStyle name="60% - Accent6 2 29 2" xfId="17529" xr:uid="{00000000-0005-0000-0000-000057190000}"/>
    <cellStyle name="60% - Accent6 2 3" xfId="4453" xr:uid="{00000000-0005-0000-0000-000058190000}"/>
    <cellStyle name="60% - Accent6 2 3 2" xfId="17530" xr:uid="{00000000-0005-0000-0000-000059190000}"/>
    <cellStyle name="60% - Accent6 2 3 2 2" xfId="30314" xr:uid="{00000000-0005-0000-0000-00005A190000}"/>
    <cellStyle name="60% - Accent6 2 3 3" xfId="30315" xr:uid="{00000000-0005-0000-0000-00005B190000}"/>
    <cellStyle name="60% - Accent6 2 3 4" xfId="30316" xr:uid="{00000000-0005-0000-0000-00005C190000}"/>
    <cellStyle name="60% - Accent6 2 3 5" xfId="30317" xr:uid="{00000000-0005-0000-0000-00005D190000}"/>
    <cellStyle name="60% - Accent6 2 3 6" xfId="30318" xr:uid="{00000000-0005-0000-0000-00005E190000}"/>
    <cellStyle name="60% - Accent6 2 30" xfId="4454" xr:uid="{00000000-0005-0000-0000-00005F190000}"/>
    <cellStyle name="60% - Accent6 2 30 2" xfId="17531" xr:uid="{00000000-0005-0000-0000-000060190000}"/>
    <cellStyle name="60% - Accent6 2 31" xfId="4455" xr:uid="{00000000-0005-0000-0000-000061190000}"/>
    <cellStyle name="60% - Accent6 2 31 2" xfId="17532" xr:uid="{00000000-0005-0000-0000-000062190000}"/>
    <cellStyle name="60% - Accent6 2 32" xfId="4456" xr:uid="{00000000-0005-0000-0000-000063190000}"/>
    <cellStyle name="60% - Accent6 2 32 2" xfId="17533" xr:uid="{00000000-0005-0000-0000-000064190000}"/>
    <cellStyle name="60% - Accent6 2 33" xfId="4457" xr:uid="{00000000-0005-0000-0000-000065190000}"/>
    <cellStyle name="60% - Accent6 2 33 2" xfId="4458" xr:uid="{00000000-0005-0000-0000-000066190000}"/>
    <cellStyle name="60% - Accent6 2 33 2 2" xfId="17535" xr:uid="{00000000-0005-0000-0000-000067190000}"/>
    <cellStyle name="60% - Accent6 2 33 3" xfId="17534" xr:uid="{00000000-0005-0000-0000-000068190000}"/>
    <cellStyle name="60% - Accent6 2 34" xfId="4459" xr:uid="{00000000-0005-0000-0000-000069190000}"/>
    <cellStyle name="60% - Accent6 2 34 2" xfId="17536" xr:uid="{00000000-0005-0000-0000-00006A190000}"/>
    <cellStyle name="60% - Accent6 2 35" xfId="4460" xr:uid="{00000000-0005-0000-0000-00006B190000}"/>
    <cellStyle name="60% - Accent6 2 35 2" xfId="17537" xr:uid="{00000000-0005-0000-0000-00006C190000}"/>
    <cellStyle name="60% - Accent6 2 36" xfId="4461" xr:uid="{00000000-0005-0000-0000-00006D190000}"/>
    <cellStyle name="60% - Accent6 2 36 2" xfId="17538" xr:uid="{00000000-0005-0000-0000-00006E190000}"/>
    <cellStyle name="60% - Accent6 2 37" xfId="4462" xr:uid="{00000000-0005-0000-0000-00006F190000}"/>
    <cellStyle name="60% - Accent6 2 37 2" xfId="17539" xr:uid="{00000000-0005-0000-0000-000070190000}"/>
    <cellStyle name="60% - Accent6 2 38" xfId="4463" xr:uid="{00000000-0005-0000-0000-000071190000}"/>
    <cellStyle name="60% - Accent6 2 38 2" xfId="17540" xr:uid="{00000000-0005-0000-0000-000072190000}"/>
    <cellStyle name="60% - Accent6 2 39" xfId="4464" xr:uid="{00000000-0005-0000-0000-000073190000}"/>
    <cellStyle name="60% - Accent6 2 39 2" xfId="17541" xr:uid="{00000000-0005-0000-0000-000074190000}"/>
    <cellStyle name="60% - Accent6 2 4" xfId="4465" xr:uid="{00000000-0005-0000-0000-000075190000}"/>
    <cellStyle name="60% - Accent6 2 4 2" xfId="17542" xr:uid="{00000000-0005-0000-0000-000076190000}"/>
    <cellStyle name="60% - Accent6 2 4 2 2" xfId="30319" xr:uid="{00000000-0005-0000-0000-000077190000}"/>
    <cellStyle name="60% - Accent6 2 4 3" xfId="30320" xr:uid="{00000000-0005-0000-0000-000078190000}"/>
    <cellStyle name="60% - Accent6 2 4 4" xfId="30321" xr:uid="{00000000-0005-0000-0000-000079190000}"/>
    <cellStyle name="60% - Accent6 2 4 5" xfId="30322" xr:uid="{00000000-0005-0000-0000-00007A190000}"/>
    <cellStyle name="60% - Accent6 2 4 6" xfId="30323" xr:uid="{00000000-0005-0000-0000-00007B190000}"/>
    <cellStyle name="60% - Accent6 2 40" xfId="4466" xr:uid="{00000000-0005-0000-0000-00007C190000}"/>
    <cellStyle name="60% - Accent6 2 40 2" xfId="17543" xr:uid="{00000000-0005-0000-0000-00007D190000}"/>
    <cellStyle name="60% - Accent6 2 41" xfId="4467" xr:uid="{00000000-0005-0000-0000-00007E190000}"/>
    <cellStyle name="60% - Accent6 2 41 2" xfId="4468" xr:uid="{00000000-0005-0000-0000-00007F190000}"/>
    <cellStyle name="60% - Accent6 2 41 2 2" xfId="17545" xr:uid="{00000000-0005-0000-0000-000080190000}"/>
    <cellStyle name="60% - Accent6 2 41 3" xfId="17544" xr:uid="{00000000-0005-0000-0000-000081190000}"/>
    <cellStyle name="60% - Accent6 2 42" xfId="17378" xr:uid="{00000000-0005-0000-0000-000082190000}"/>
    <cellStyle name="60% - Accent6 2 43" xfId="30324" xr:uid="{00000000-0005-0000-0000-000083190000}"/>
    <cellStyle name="60% - Accent6 2 44" xfId="30325" xr:uid="{00000000-0005-0000-0000-000084190000}"/>
    <cellStyle name="60% - Accent6 2 45" xfId="30326" xr:uid="{00000000-0005-0000-0000-000085190000}"/>
    <cellStyle name="60% - Accent6 2 46" xfId="30327" xr:uid="{00000000-0005-0000-0000-000086190000}"/>
    <cellStyle name="60% - Accent6 2 47" xfId="30328" xr:uid="{00000000-0005-0000-0000-000087190000}"/>
    <cellStyle name="60% - Accent6 2 48" xfId="33160" xr:uid="{00000000-0005-0000-0000-000088190000}"/>
    <cellStyle name="60% - Accent6 2 49" xfId="33243" xr:uid="{00000000-0005-0000-0000-000089190000}"/>
    <cellStyle name="60% - Accent6 2 5" xfId="4469" xr:uid="{00000000-0005-0000-0000-00008A190000}"/>
    <cellStyle name="60% - Accent6 2 5 2" xfId="4470" xr:uid="{00000000-0005-0000-0000-00008B190000}"/>
    <cellStyle name="60% - Accent6 2 5 2 2" xfId="17547" xr:uid="{00000000-0005-0000-0000-00008C190000}"/>
    <cellStyle name="60% - Accent6 2 5 3" xfId="17546" xr:uid="{00000000-0005-0000-0000-00008D190000}"/>
    <cellStyle name="60% - Accent6 2 5 4" xfId="30329" xr:uid="{00000000-0005-0000-0000-00008E190000}"/>
    <cellStyle name="60% - Accent6 2 50" xfId="4301" xr:uid="{00000000-0005-0000-0000-00008F190000}"/>
    <cellStyle name="60% - Accent6 2 6" xfId="4471" xr:uid="{00000000-0005-0000-0000-000090190000}"/>
    <cellStyle name="60% - Accent6 2 6 2" xfId="17548" xr:uid="{00000000-0005-0000-0000-000091190000}"/>
    <cellStyle name="60% - Accent6 2 6 3" xfId="30330" xr:uid="{00000000-0005-0000-0000-000092190000}"/>
    <cellStyle name="60% - Accent6 2 7" xfId="4472" xr:uid="{00000000-0005-0000-0000-000093190000}"/>
    <cellStyle name="60% - Accent6 2 7 2" xfId="17549" xr:uid="{00000000-0005-0000-0000-000094190000}"/>
    <cellStyle name="60% - Accent6 2 8" xfId="4473" xr:uid="{00000000-0005-0000-0000-000095190000}"/>
    <cellStyle name="60% - Accent6 2 8 2" xfId="17550" xr:uid="{00000000-0005-0000-0000-000096190000}"/>
    <cellStyle name="60% - Accent6 2 9" xfId="4474" xr:uid="{00000000-0005-0000-0000-000097190000}"/>
    <cellStyle name="60% - Accent6 2 9 2" xfId="17551" xr:uid="{00000000-0005-0000-0000-000098190000}"/>
    <cellStyle name="60% - Accent6 2_Loan Classification" xfId="11422" xr:uid="{00000000-0005-0000-0000-000099190000}"/>
    <cellStyle name="60% - Accent6 20" xfId="4475" xr:uid="{00000000-0005-0000-0000-00009A190000}"/>
    <cellStyle name="60% - Accent6 20 2" xfId="17552" xr:uid="{00000000-0005-0000-0000-00009B190000}"/>
    <cellStyle name="60% - Accent6 21" xfId="4476" xr:uid="{00000000-0005-0000-0000-00009C190000}"/>
    <cellStyle name="60% - Accent6 21 2" xfId="17553" xr:uid="{00000000-0005-0000-0000-00009D190000}"/>
    <cellStyle name="60% - Accent6 22" xfId="4477" xr:uid="{00000000-0005-0000-0000-00009E190000}"/>
    <cellStyle name="60% - Accent6 22 2" xfId="17554" xr:uid="{00000000-0005-0000-0000-00009F190000}"/>
    <cellStyle name="60% - Accent6 23" xfId="4478" xr:uid="{00000000-0005-0000-0000-0000A0190000}"/>
    <cellStyle name="60% - Accent6 23 2" xfId="17555" xr:uid="{00000000-0005-0000-0000-0000A1190000}"/>
    <cellStyle name="60% - Accent6 24" xfId="4479" xr:uid="{00000000-0005-0000-0000-0000A2190000}"/>
    <cellStyle name="60% - Accent6 24 2" xfId="17556" xr:uid="{00000000-0005-0000-0000-0000A3190000}"/>
    <cellStyle name="60% - Accent6 25" xfId="4480" xr:uid="{00000000-0005-0000-0000-0000A4190000}"/>
    <cellStyle name="60% - Accent6 25 2" xfId="17557" xr:uid="{00000000-0005-0000-0000-0000A5190000}"/>
    <cellStyle name="60% - Accent6 26" xfId="4481" xr:uid="{00000000-0005-0000-0000-0000A6190000}"/>
    <cellStyle name="60% - Accent6 26 2" xfId="17558" xr:uid="{00000000-0005-0000-0000-0000A7190000}"/>
    <cellStyle name="60% - Accent6 27" xfId="4482" xr:uid="{00000000-0005-0000-0000-0000A8190000}"/>
    <cellStyle name="60% - Accent6 27 2" xfId="17559" xr:uid="{00000000-0005-0000-0000-0000A9190000}"/>
    <cellStyle name="60% - Accent6 28" xfId="4483" xr:uid="{00000000-0005-0000-0000-0000AA190000}"/>
    <cellStyle name="60% - Accent6 28 2" xfId="17560" xr:uid="{00000000-0005-0000-0000-0000AB190000}"/>
    <cellStyle name="60% - Accent6 29" xfId="4484" xr:uid="{00000000-0005-0000-0000-0000AC190000}"/>
    <cellStyle name="60% - Accent6 29 2" xfId="17561" xr:uid="{00000000-0005-0000-0000-0000AD190000}"/>
    <cellStyle name="60% - Accent6 3" xfId="78" xr:uid="{00000000-0005-0000-0000-0000AE190000}"/>
    <cellStyle name="60% - Accent6 3 2" xfId="17562" xr:uid="{00000000-0005-0000-0000-0000AF190000}"/>
    <cellStyle name="60% - Accent6 3 2 2" xfId="30331" xr:uid="{00000000-0005-0000-0000-0000B0190000}"/>
    <cellStyle name="60% - Accent6 3 3" xfId="30332" xr:uid="{00000000-0005-0000-0000-0000B1190000}"/>
    <cellStyle name="60% - Accent6 3 4" xfId="30333" xr:uid="{00000000-0005-0000-0000-0000B2190000}"/>
    <cellStyle name="60% - Accent6 3 5" xfId="4485" xr:uid="{00000000-0005-0000-0000-0000B3190000}"/>
    <cellStyle name="60% - Accent6 30" xfId="4486" xr:uid="{00000000-0005-0000-0000-0000B4190000}"/>
    <cellStyle name="60% - Accent6 30 2" xfId="17563" xr:uid="{00000000-0005-0000-0000-0000B5190000}"/>
    <cellStyle name="60% - Accent6 31" xfId="4487" xr:uid="{00000000-0005-0000-0000-0000B6190000}"/>
    <cellStyle name="60% - Accent6 31 2" xfId="17564" xr:uid="{00000000-0005-0000-0000-0000B7190000}"/>
    <cellStyle name="60% - Accent6 32" xfId="4488" xr:uid="{00000000-0005-0000-0000-0000B8190000}"/>
    <cellStyle name="60% - Accent6 32 2" xfId="17565" xr:uid="{00000000-0005-0000-0000-0000B9190000}"/>
    <cellStyle name="60% - Accent6 33" xfId="4489" xr:uid="{00000000-0005-0000-0000-0000BA190000}"/>
    <cellStyle name="60% - Accent6 33 2" xfId="17566" xr:uid="{00000000-0005-0000-0000-0000BB190000}"/>
    <cellStyle name="60% - Accent6 34" xfId="4490" xr:uid="{00000000-0005-0000-0000-0000BC190000}"/>
    <cellStyle name="60% - Accent6 34 2" xfId="17567" xr:uid="{00000000-0005-0000-0000-0000BD190000}"/>
    <cellStyle name="60% - Accent6 35" xfId="4491" xr:uid="{00000000-0005-0000-0000-0000BE190000}"/>
    <cellStyle name="60% - Accent6 35 2" xfId="17568" xr:uid="{00000000-0005-0000-0000-0000BF190000}"/>
    <cellStyle name="60% - Accent6 36" xfId="4492" xr:uid="{00000000-0005-0000-0000-0000C0190000}"/>
    <cellStyle name="60% - Accent6 36 2" xfId="17569" xr:uid="{00000000-0005-0000-0000-0000C1190000}"/>
    <cellStyle name="60% - Accent6 37" xfId="4493" xr:uid="{00000000-0005-0000-0000-0000C2190000}"/>
    <cellStyle name="60% - Accent6 37 2" xfId="17570" xr:uid="{00000000-0005-0000-0000-0000C3190000}"/>
    <cellStyle name="60% - Accent6 38" xfId="4494" xr:uid="{00000000-0005-0000-0000-0000C4190000}"/>
    <cellStyle name="60% - Accent6 38 2" xfId="17571" xr:uid="{00000000-0005-0000-0000-0000C5190000}"/>
    <cellStyle name="60% - Accent6 39" xfId="4495" xr:uid="{00000000-0005-0000-0000-0000C6190000}"/>
    <cellStyle name="60% - Accent6 39 2" xfId="17572" xr:uid="{00000000-0005-0000-0000-0000C7190000}"/>
    <cellStyle name="60% - Accent6 4" xfId="4496" xr:uid="{00000000-0005-0000-0000-0000C8190000}"/>
    <cellStyle name="60% - Accent6 4 2" xfId="17573" xr:uid="{00000000-0005-0000-0000-0000C9190000}"/>
    <cellStyle name="60% - Accent6 4 2 2" xfId="30334" xr:uid="{00000000-0005-0000-0000-0000CA190000}"/>
    <cellStyle name="60% - Accent6 4 3" xfId="30335" xr:uid="{00000000-0005-0000-0000-0000CB190000}"/>
    <cellStyle name="60% - Accent6 4 4" xfId="30336" xr:uid="{00000000-0005-0000-0000-0000CC190000}"/>
    <cellStyle name="60% - Accent6 40" xfId="4497" xr:uid="{00000000-0005-0000-0000-0000CD190000}"/>
    <cellStyle name="60% - Accent6 40 2" xfId="17574" xr:uid="{00000000-0005-0000-0000-0000CE190000}"/>
    <cellStyle name="60% - Accent6 41" xfId="4498" xr:uid="{00000000-0005-0000-0000-0000CF190000}"/>
    <cellStyle name="60% - Accent6 41 2" xfId="17575" xr:uid="{00000000-0005-0000-0000-0000D0190000}"/>
    <cellStyle name="60% - Accent6 42" xfId="4499" xr:uid="{00000000-0005-0000-0000-0000D1190000}"/>
    <cellStyle name="60% - Accent6 42 2" xfId="17576" xr:uid="{00000000-0005-0000-0000-0000D2190000}"/>
    <cellStyle name="60% - Accent6 43" xfId="11580" xr:uid="{00000000-0005-0000-0000-0000D3190000}"/>
    <cellStyle name="60% - Accent6 43 2" xfId="17577" xr:uid="{00000000-0005-0000-0000-0000D4190000}"/>
    <cellStyle name="60% - Accent6 44" xfId="11561" xr:uid="{00000000-0005-0000-0000-0000D5190000}"/>
    <cellStyle name="60% - Accent6 44 2" xfId="17578" xr:uid="{00000000-0005-0000-0000-0000D6190000}"/>
    <cellStyle name="60% - Accent6 45" xfId="17579" xr:uid="{00000000-0005-0000-0000-0000D7190000}"/>
    <cellStyle name="60% - Accent6 46" xfId="30337" xr:uid="{00000000-0005-0000-0000-0000D8190000}"/>
    <cellStyle name="60% - Accent6 47" xfId="30338" xr:uid="{00000000-0005-0000-0000-0000D9190000}"/>
    <cellStyle name="60% - Accent6 48" xfId="30339" xr:uid="{00000000-0005-0000-0000-0000DA190000}"/>
    <cellStyle name="60% - Accent6 49" xfId="500" xr:uid="{00000000-0005-0000-0000-0000DB190000}"/>
    <cellStyle name="60% - Accent6 5" xfId="4500" xr:uid="{00000000-0005-0000-0000-0000DC190000}"/>
    <cellStyle name="60% - Accent6 5 2" xfId="17580" xr:uid="{00000000-0005-0000-0000-0000DD190000}"/>
    <cellStyle name="60% - Accent6 5 2 2" xfId="30340" xr:uid="{00000000-0005-0000-0000-0000DE190000}"/>
    <cellStyle name="60% - Accent6 5 3" xfId="30341" xr:uid="{00000000-0005-0000-0000-0000DF190000}"/>
    <cellStyle name="60% - Accent6 5 4" xfId="30342" xr:uid="{00000000-0005-0000-0000-0000E0190000}"/>
    <cellStyle name="60% - Accent6 6" xfId="4501" xr:uid="{00000000-0005-0000-0000-0000E1190000}"/>
    <cellStyle name="60% - Accent6 6 2" xfId="17581" xr:uid="{00000000-0005-0000-0000-0000E2190000}"/>
    <cellStyle name="60% - Accent6 6 3" xfId="30343" xr:uid="{00000000-0005-0000-0000-0000E3190000}"/>
    <cellStyle name="60% - Accent6 6 4" xfId="30344" xr:uid="{00000000-0005-0000-0000-0000E4190000}"/>
    <cellStyle name="60% - Accent6 7" xfId="4502" xr:uid="{00000000-0005-0000-0000-0000E5190000}"/>
    <cellStyle name="60% - Accent6 7 2" xfId="17582" xr:uid="{00000000-0005-0000-0000-0000E6190000}"/>
    <cellStyle name="60% - Accent6 7 3" xfId="30345" xr:uid="{00000000-0005-0000-0000-0000E7190000}"/>
    <cellStyle name="60% - Accent6 8" xfId="4503" xr:uid="{00000000-0005-0000-0000-0000E8190000}"/>
    <cellStyle name="60% - Accent6 8 2" xfId="17583" xr:uid="{00000000-0005-0000-0000-0000E9190000}"/>
    <cellStyle name="60% - Accent6 8 3" xfId="30346" xr:uid="{00000000-0005-0000-0000-0000EA190000}"/>
    <cellStyle name="60% - Accent6 9" xfId="4504" xr:uid="{00000000-0005-0000-0000-0000EB190000}"/>
    <cellStyle name="60% - Accent6 9 2" xfId="17584" xr:uid="{00000000-0005-0000-0000-0000EC190000}"/>
    <cellStyle name="60% - Accent6 9 3" xfId="30347" xr:uid="{00000000-0005-0000-0000-0000ED190000}"/>
    <cellStyle name="Accent1" xfId="25" builtinId="29" customBuiltin="1"/>
    <cellStyle name="Accent1 10" xfId="4505" xr:uid="{00000000-0005-0000-0000-0000EF190000}"/>
    <cellStyle name="Accent1 10 2" xfId="17585" xr:uid="{00000000-0005-0000-0000-0000F0190000}"/>
    <cellStyle name="Accent1 10 3" xfId="30348" xr:uid="{00000000-0005-0000-0000-0000F1190000}"/>
    <cellStyle name="Accent1 11" xfId="4506" xr:uid="{00000000-0005-0000-0000-0000F2190000}"/>
    <cellStyle name="Accent1 11 2" xfId="17586" xr:uid="{00000000-0005-0000-0000-0000F3190000}"/>
    <cellStyle name="Accent1 11 3" xfId="30349" xr:uid="{00000000-0005-0000-0000-0000F4190000}"/>
    <cellStyle name="Accent1 12" xfId="4507" xr:uid="{00000000-0005-0000-0000-0000F5190000}"/>
    <cellStyle name="Accent1 12 2" xfId="17587" xr:uid="{00000000-0005-0000-0000-0000F6190000}"/>
    <cellStyle name="Accent1 12 3" xfId="30350" xr:uid="{00000000-0005-0000-0000-0000F7190000}"/>
    <cellStyle name="Accent1 13" xfId="4508" xr:uid="{00000000-0005-0000-0000-0000F8190000}"/>
    <cellStyle name="Accent1 13 2" xfId="17588" xr:uid="{00000000-0005-0000-0000-0000F9190000}"/>
    <cellStyle name="Accent1 13 3" xfId="30351" xr:uid="{00000000-0005-0000-0000-0000FA190000}"/>
    <cellStyle name="Accent1 14" xfId="4509" xr:uid="{00000000-0005-0000-0000-0000FB190000}"/>
    <cellStyle name="Accent1 14 2" xfId="17589" xr:uid="{00000000-0005-0000-0000-0000FC190000}"/>
    <cellStyle name="Accent1 14 3" xfId="30352" xr:uid="{00000000-0005-0000-0000-0000FD190000}"/>
    <cellStyle name="Accent1 15" xfId="4510" xr:uid="{00000000-0005-0000-0000-0000FE190000}"/>
    <cellStyle name="Accent1 15 2" xfId="17590" xr:uid="{00000000-0005-0000-0000-0000FF190000}"/>
    <cellStyle name="Accent1 15 3" xfId="30353" xr:uid="{00000000-0005-0000-0000-0000001A0000}"/>
    <cellStyle name="Accent1 16" xfId="4511" xr:uid="{00000000-0005-0000-0000-0000011A0000}"/>
    <cellStyle name="Accent1 16 2" xfId="17591" xr:uid="{00000000-0005-0000-0000-0000021A0000}"/>
    <cellStyle name="Accent1 16 3" xfId="30354" xr:uid="{00000000-0005-0000-0000-0000031A0000}"/>
    <cellStyle name="Accent1 17" xfId="4512" xr:uid="{00000000-0005-0000-0000-0000041A0000}"/>
    <cellStyle name="Accent1 17 2" xfId="17592" xr:uid="{00000000-0005-0000-0000-0000051A0000}"/>
    <cellStyle name="Accent1 17 3" xfId="30355" xr:uid="{00000000-0005-0000-0000-0000061A0000}"/>
    <cellStyle name="Accent1 18" xfId="4513" xr:uid="{00000000-0005-0000-0000-0000071A0000}"/>
    <cellStyle name="Accent1 18 2" xfId="17593" xr:uid="{00000000-0005-0000-0000-0000081A0000}"/>
    <cellStyle name="Accent1 19" xfId="4514" xr:uid="{00000000-0005-0000-0000-0000091A0000}"/>
    <cellStyle name="Accent1 19 2" xfId="17594" xr:uid="{00000000-0005-0000-0000-00000A1A0000}"/>
    <cellStyle name="Accent1 2" xfId="79" xr:uid="{00000000-0005-0000-0000-00000B1A0000}"/>
    <cellStyle name="Accent1 2 10" xfId="4516" xr:uid="{00000000-0005-0000-0000-00000C1A0000}"/>
    <cellStyle name="Accent1 2 10 2" xfId="17596" xr:uid="{00000000-0005-0000-0000-00000D1A0000}"/>
    <cellStyle name="Accent1 2 11" xfId="4517" xr:uid="{00000000-0005-0000-0000-00000E1A0000}"/>
    <cellStyle name="Accent1 2 11 2" xfId="17597" xr:uid="{00000000-0005-0000-0000-00000F1A0000}"/>
    <cellStyle name="Accent1 2 12" xfId="4518" xr:uid="{00000000-0005-0000-0000-0000101A0000}"/>
    <cellStyle name="Accent1 2 12 2" xfId="17598" xr:uid="{00000000-0005-0000-0000-0000111A0000}"/>
    <cellStyle name="Accent1 2 13" xfId="4519" xr:uid="{00000000-0005-0000-0000-0000121A0000}"/>
    <cellStyle name="Accent1 2 13 2" xfId="17599" xr:uid="{00000000-0005-0000-0000-0000131A0000}"/>
    <cellStyle name="Accent1 2 14" xfId="4520" xr:uid="{00000000-0005-0000-0000-0000141A0000}"/>
    <cellStyle name="Accent1 2 14 2" xfId="17600" xr:uid="{00000000-0005-0000-0000-0000151A0000}"/>
    <cellStyle name="Accent1 2 15" xfId="4521" xr:uid="{00000000-0005-0000-0000-0000161A0000}"/>
    <cellStyle name="Accent1 2 15 2" xfId="17601" xr:uid="{00000000-0005-0000-0000-0000171A0000}"/>
    <cellStyle name="Accent1 2 16" xfId="4522" xr:uid="{00000000-0005-0000-0000-0000181A0000}"/>
    <cellStyle name="Accent1 2 16 2" xfId="4523" xr:uid="{00000000-0005-0000-0000-0000191A0000}"/>
    <cellStyle name="Accent1 2 16 2 2" xfId="17603" xr:uid="{00000000-0005-0000-0000-00001A1A0000}"/>
    <cellStyle name="Accent1 2 16 3" xfId="17602" xr:uid="{00000000-0005-0000-0000-00001B1A0000}"/>
    <cellStyle name="Accent1 2 17" xfId="4524" xr:uid="{00000000-0005-0000-0000-00001C1A0000}"/>
    <cellStyle name="Accent1 2 17 2" xfId="17604" xr:uid="{00000000-0005-0000-0000-00001D1A0000}"/>
    <cellStyle name="Accent1 2 18" xfId="4525" xr:uid="{00000000-0005-0000-0000-00001E1A0000}"/>
    <cellStyle name="Accent1 2 18 2" xfId="17605" xr:uid="{00000000-0005-0000-0000-00001F1A0000}"/>
    <cellStyle name="Accent1 2 19" xfId="4526" xr:uid="{00000000-0005-0000-0000-0000201A0000}"/>
    <cellStyle name="Accent1 2 19 2" xfId="17606" xr:uid="{00000000-0005-0000-0000-0000211A0000}"/>
    <cellStyle name="Accent1 2 2" xfId="4527" xr:uid="{00000000-0005-0000-0000-0000221A0000}"/>
    <cellStyle name="Accent1 2 2 10" xfId="4528" xr:uid="{00000000-0005-0000-0000-0000231A0000}"/>
    <cellStyle name="Accent1 2 2 10 2" xfId="17608" xr:uid="{00000000-0005-0000-0000-0000241A0000}"/>
    <cellStyle name="Accent1 2 2 11" xfId="4529" xr:uid="{00000000-0005-0000-0000-0000251A0000}"/>
    <cellStyle name="Accent1 2 2 11 2" xfId="17609" xr:uid="{00000000-0005-0000-0000-0000261A0000}"/>
    <cellStyle name="Accent1 2 2 12" xfId="4530" xr:uid="{00000000-0005-0000-0000-0000271A0000}"/>
    <cellStyle name="Accent1 2 2 12 2" xfId="17610" xr:uid="{00000000-0005-0000-0000-0000281A0000}"/>
    <cellStyle name="Accent1 2 2 13" xfId="4531" xr:uid="{00000000-0005-0000-0000-0000291A0000}"/>
    <cellStyle name="Accent1 2 2 13 2" xfId="17611" xr:uid="{00000000-0005-0000-0000-00002A1A0000}"/>
    <cellStyle name="Accent1 2 2 14" xfId="4532" xr:uid="{00000000-0005-0000-0000-00002B1A0000}"/>
    <cellStyle name="Accent1 2 2 14 2" xfId="4533" xr:uid="{00000000-0005-0000-0000-00002C1A0000}"/>
    <cellStyle name="Accent1 2 2 14 2 2" xfId="17613" xr:uid="{00000000-0005-0000-0000-00002D1A0000}"/>
    <cellStyle name="Accent1 2 2 14 3" xfId="17612" xr:uid="{00000000-0005-0000-0000-00002E1A0000}"/>
    <cellStyle name="Accent1 2 2 15" xfId="4534" xr:uid="{00000000-0005-0000-0000-00002F1A0000}"/>
    <cellStyle name="Accent1 2 2 15 2" xfId="17614" xr:uid="{00000000-0005-0000-0000-0000301A0000}"/>
    <cellStyle name="Accent1 2 2 16" xfId="4535" xr:uid="{00000000-0005-0000-0000-0000311A0000}"/>
    <cellStyle name="Accent1 2 2 16 2" xfId="17615" xr:uid="{00000000-0005-0000-0000-0000321A0000}"/>
    <cellStyle name="Accent1 2 2 17" xfId="4536" xr:uid="{00000000-0005-0000-0000-0000331A0000}"/>
    <cellStyle name="Accent1 2 2 17 2" xfId="17616" xr:uid="{00000000-0005-0000-0000-0000341A0000}"/>
    <cellStyle name="Accent1 2 2 18" xfId="4537" xr:uid="{00000000-0005-0000-0000-0000351A0000}"/>
    <cellStyle name="Accent1 2 2 18 2" xfId="17617" xr:uid="{00000000-0005-0000-0000-0000361A0000}"/>
    <cellStyle name="Accent1 2 2 19" xfId="4538" xr:uid="{00000000-0005-0000-0000-0000371A0000}"/>
    <cellStyle name="Accent1 2 2 19 2" xfId="17618" xr:uid="{00000000-0005-0000-0000-0000381A0000}"/>
    <cellStyle name="Accent1 2 2 2" xfId="4539" xr:uid="{00000000-0005-0000-0000-0000391A0000}"/>
    <cellStyle name="Accent1 2 2 2 10" xfId="4540" xr:uid="{00000000-0005-0000-0000-00003A1A0000}"/>
    <cellStyle name="Accent1 2 2 2 10 2" xfId="17620" xr:uid="{00000000-0005-0000-0000-00003B1A0000}"/>
    <cellStyle name="Accent1 2 2 2 11" xfId="4541" xr:uid="{00000000-0005-0000-0000-00003C1A0000}"/>
    <cellStyle name="Accent1 2 2 2 11 2" xfId="17621" xr:uid="{00000000-0005-0000-0000-00003D1A0000}"/>
    <cellStyle name="Accent1 2 2 2 12" xfId="4542" xr:uid="{00000000-0005-0000-0000-00003E1A0000}"/>
    <cellStyle name="Accent1 2 2 2 12 2" xfId="17622" xr:uid="{00000000-0005-0000-0000-00003F1A0000}"/>
    <cellStyle name="Accent1 2 2 2 13" xfId="4543" xr:uid="{00000000-0005-0000-0000-0000401A0000}"/>
    <cellStyle name="Accent1 2 2 2 13 2" xfId="17623" xr:uid="{00000000-0005-0000-0000-0000411A0000}"/>
    <cellStyle name="Accent1 2 2 2 14" xfId="4544" xr:uid="{00000000-0005-0000-0000-0000421A0000}"/>
    <cellStyle name="Accent1 2 2 2 14 2" xfId="17624" xr:uid="{00000000-0005-0000-0000-0000431A0000}"/>
    <cellStyle name="Accent1 2 2 2 15" xfId="4545" xr:uid="{00000000-0005-0000-0000-0000441A0000}"/>
    <cellStyle name="Accent1 2 2 2 15 2" xfId="17625" xr:uid="{00000000-0005-0000-0000-0000451A0000}"/>
    <cellStyle name="Accent1 2 2 2 16" xfId="4546" xr:uid="{00000000-0005-0000-0000-0000461A0000}"/>
    <cellStyle name="Accent1 2 2 2 16 2" xfId="17626" xr:uid="{00000000-0005-0000-0000-0000471A0000}"/>
    <cellStyle name="Accent1 2 2 2 17" xfId="4547" xr:uid="{00000000-0005-0000-0000-0000481A0000}"/>
    <cellStyle name="Accent1 2 2 2 17 2" xfId="17627" xr:uid="{00000000-0005-0000-0000-0000491A0000}"/>
    <cellStyle name="Accent1 2 2 2 18" xfId="4548" xr:uid="{00000000-0005-0000-0000-00004A1A0000}"/>
    <cellStyle name="Accent1 2 2 2 18 2" xfId="17628" xr:uid="{00000000-0005-0000-0000-00004B1A0000}"/>
    <cellStyle name="Accent1 2 2 2 19" xfId="4549" xr:uid="{00000000-0005-0000-0000-00004C1A0000}"/>
    <cellStyle name="Accent1 2 2 2 19 2" xfId="17629" xr:uid="{00000000-0005-0000-0000-00004D1A0000}"/>
    <cellStyle name="Accent1 2 2 2 2" xfId="4550" xr:uid="{00000000-0005-0000-0000-00004E1A0000}"/>
    <cellStyle name="Accent1 2 2 2 2 10" xfId="4551" xr:uid="{00000000-0005-0000-0000-00004F1A0000}"/>
    <cellStyle name="Accent1 2 2 2 2 10 2" xfId="17631" xr:uid="{00000000-0005-0000-0000-0000501A0000}"/>
    <cellStyle name="Accent1 2 2 2 2 11" xfId="4552" xr:uid="{00000000-0005-0000-0000-0000511A0000}"/>
    <cellStyle name="Accent1 2 2 2 2 11 2" xfId="17632" xr:uid="{00000000-0005-0000-0000-0000521A0000}"/>
    <cellStyle name="Accent1 2 2 2 2 12" xfId="4553" xr:uid="{00000000-0005-0000-0000-0000531A0000}"/>
    <cellStyle name="Accent1 2 2 2 2 12 2" xfId="17633" xr:uid="{00000000-0005-0000-0000-0000541A0000}"/>
    <cellStyle name="Accent1 2 2 2 2 13" xfId="4554" xr:uid="{00000000-0005-0000-0000-0000551A0000}"/>
    <cellStyle name="Accent1 2 2 2 2 13 2" xfId="17634" xr:uid="{00000000-0005-0000-0000-0000561A0000}"/>
    <cellStyle name="Accent1 2 2 2 2 14" xfId="4555" xr:uid="{00000000-0005-0000-0000-0000571A0000}"/>
    <cellStyle name="Accent1 2 2 2 2 14 2" xfId="17635" xr:uid="{00000000-0005-0000-0000-0000581A0000}"/>
    <cellStyle name="Accent1 2 2 2 2 15" xfId="4556" xr:uid="{00000000-0005-0000-0000-0000591A0000}"/>
    <cellStyle name="Accent1 2 2 2 2 15 2" xfId="17636" xr:uid="{00000000-0005-0000-0000-00005A1A0000}"/>
    <cellStyle name="Accent1 2 2 2 2 16" xfId="4557" xr:uid="{00000000-0005-0000-0000-00005B1A0000}"/>
    <cellStyle name="Accent1 2 2 2 2 16 2" xfId="17637" xr:uid="{00000000-0005-0000-0000-00005C1A0000}"/>
    <cellStyle name="Accent1 2 2 2 2 17" xfId="4558" xr:uid="{00000000-0005-0000-0000-00005D1A0000}"/>
    <cellStyle name="Accent1 2 2 2 2 17 2" xfId="17638" xr:uid="{00000000-0005-0000-0000-00005E1A0000}"/>
    <cellStyle name="Accent1 2 2 2 2 18" xfId="4559" xr:uid="{00000000-0005-0000-0000-00005F1A0000}"/>
    <cellStyle name="Accent1 2 2 2 2 18 2" xfId="17639" xr:uid="{00000000-0005-0000-0000-0000601A0000}"/>
    <cellStyle name="Accent1 2 2 2 2 19" xfId="4560" xr:uid="{00000000-0005-0000-0000-0000611A0000}"/>
    <cellStyle name="Accent1 2 2 2 2 19 2" xfId="17640" xr:uid="{00000000-0005-0000-0000-0000621A0000}"/>
    <cellStyle name="Accent1 2 2 2 2 2" xfId="4561" xr:uid="{00000000-0005-0000-0000-0000631A0000}"/>
    <cellStyle name="Accent1 2 2 2 2 2 10" xfId="4562" xr:uid="{00000000-0005-0000-0000-0000641A0000}"/>
    <cellStyle name="Accent1 2 2 2 2 2 10 2" xfId="17642" xr:uid="{00000000-0005-0000-0000-0000651A0000}"/>
    <cellStyle name="Accent1 2 2 2 2 2 11" xfId="4563" xr:uid="{00000000-0005-0000-0000-0000661A0000}"/>
    <cellStyle name="Accent1 2 2 2 2 2 11 2" xfId="4564" xr:uid="{00000000-0005-0000-0000-0000671A0000}"/>
    <cellStyle name="Accent1 2 2 2 2 2 11 2 2" xfId="17644" xr:uid="{00000000-0005-0000-0000-0000681A0000}"/>
    <cellStyle name="Accent1 2 2 2 2 2 11 3" xfId="17643" xr:uid="{00000000-0005-0000-0000-0000691A0000}"/>
    <cellStyle name="Accent1 2 2 2 2 2 12" xfId="17641" xr:uid="{00000000-0005-0000-0000-00006A1A0000}"/>
    <cellStyle name="Accent1 2 2 2 2 2 2" xfId="4565" xr:uid="{00000000-0005-0000-0000-00006B1A0000}"/>
    <cellStyle name="Accent1 2 2 2 2 2 2 10" xfId="4566" xr:uid="{00000000-0005-0000-0000-00006C1A0000}"/>
    <cellStyle name="Accent1 2 2 2 2 2 2 10 2" xfId="17646" xr:uid="{00000000-0005-0000-0000-00006D1A0000}"/>
    <cellStyle name="Accent1 2 2 2 2 2 2 11" xfId="4567" xr:uid="{00000000-0005-0000-0000-00006E1A0000}"/>
    <cellStyle name="Accent1 2 2 2 2 2 2 11 2" xfId="4568" xr:uid="{00000000-0005-0000-0000-00006F1A0000}"/>
    <cellStyle name="Accent1 2 2 2 2 2 2 11 2 2" xfId="17648" xr:uid="{00000000-0005-0000-0000-0000701A0000}"/>
    <cellStyle name="Accent1 2 2 2 2 2 2 11 3" xfId="17647" xr:uid="{00000000-0005-0000-0000-0000711A0000}"/>
    <cellStyle name="Accent1 2 2 2 2 2 2 12" xfId="17645" xr:uid="{00000000-0005-0000-0000-0000721A0000}"/>
    <cellStyle name="Accent1 2 2 2 2 2 2 2" xfId="4569" xr:uid="{00000000-0005-0000-0000-0000731A0000}"/>
    <cellStyle name="Accent1 2 2 2 2 2 2 2 2" xfId="4570" xr:uid="{00000000-0005-0000-0000-0000741A0000}"/>
    <cellStyle name="Accent1 2 2 2 2 2 2 2 2 2" xfId="4571" xr:uid="{00000000-0005-0000-0000-0000751A0000}"/>
    <cellStyle name="Accent1 2 2 2 2 2 2 2 2 2 2" xfId="4572" xr:uid="{00000000-0005-0000-0000-0000761A0000}"/>
    <cellStyle name="Accent1 2 2 2 2 2 2 2 2 2 2 2" xfId="17652" xr:uid="{00000000-0005-0000-0000-0000771A0000}"/>
    <cellStyle name="Accent1 2 2 2 2 2 2 2 2 2 3" xfId="17651" xr:uid="{00000000-0005-0000-0000-0000781A0000}"/>
    <cellStyle name="Accent1 2 2 2 2 2 2 2 2 3" xfId="4573" xr:uid="{00000000-0005-0000-0000-0000791A0000}"/>
    <cellStyle name="Accent1 2 2 2 2 2 2 2 2 3 2" xfId="17653" xr:uid="{00000000-0005-0000-0000-00007A1A0000}"/>
    <cellStyle name="Accent1 2 2 2 2 2 2 2 2 4" xfId="17650" xr:uid="{00000000-0005-0000-0000-00007B1A0000}"/>
    <cellStyle name="Accent1 2 2 2 2 2 2 2 3" xfId="4574" xr:uid="{00000000-0005-0000-0000-00007C1A0000}"/>
    <cellStyle name="Accent1 2 2 2 2 2 2 2 3 2" xfId="4575" xr:uid="{00000000-0005-0000-0000-00007D1A0000}"/>
    <cellStyle name="Accent1 2 2 2 2 2 2 2 3 2 2" xfId="17655" xr:uid="{00000000-0005-0000-0000-00007E1A0000}"/>
    <cellStyle name="Accent1 2 2 2 2 2 2 2 3 3" xfId="17654" xr:uid="{00000000-0005-0000-0000-00007F1A0000}"/>
    <cellStyle name="Accent1 2 2 2 2 2 2 2 4" xfId="17649" xr:uid="{00000000-0005-0000-0000-0000801A0000}"/>
    <cellStyle name="Accent1 2 2 2 2 2 2 3" xfId="4576" xr:uid="{00000000-0005-0000-0000-0000811A0000}"/>
    <cellStyle name="Accent1 2 2 2 2 2 2 3 2" xfId="17656" xr:uid="{00000000-0005-0000-0000-0000821A0000}"/>
    <cellStyle name="Accent1 2 2 2 2 2 2 4" xfId="4577" xr:uid="{00000000-0005-0000-0000-0000831A0000}"/>
    <cellStyle name="Accent1 2 2 2 2 2 2 4 2" xfId="17657" xr:uid="{00000000-0005-0000-0000-0000841A0000}"/>
    <cellStyle name="Accent1 2 2 2 2 2 2 5" xfId="4578" xr:uid="{00000000-0005-0000-0000-0000851A0000}"/>
    <cellStyle name="Accent1 2 2 2 2 2 2 5 2" xfId="17658" xr:uid="{00000000-0005-0000-0000-0000861A0000}"/>
    <cellStyle name="Accent1 2 2 2 2 2 2 6" xfId="4579" xr:uid="{00000000-0005-0000-0000-0000871A0000}"/>
    <cellStyle name="Accent1 2 2 2 2 2 2 6 2" xfId="17659" xr:uid="{00000000-0005-0000-0000-0000881A0000}"/>
    <cellStyle name="Accent1 2 2 2 2 2 2 7" xfId="4580" xr:uid="{00000000-0005-0000-0000-0000891A0000}"/>
    <cellStyle name="Accent1 2 2 2 2 2 2 7 2" xfId="17660" xr:uid="{00000000-0005-0000-0000-00008A1A0000}"/>
    <cellStyle name="Accent1 2 2 2 2 2 2 8" xfId="4581" xr:uid="{00000000-0005-0000-0000-00008B1A0000}"/>
    <cellStyle name="Accent1 2 2 2 2 2 2 8 2" xfId="17661" xr:uid="{00000000-0005-0000-0000-00008C1A0000}"/>
    <cellStyle name="Accent1 2 2 2 2 2 2 9" xfId="4582" xr:uid="{00000000-0005-0000-0000-00008D1A0000}"/>
    <cellStyle name="Accent1 2 2 2 2 2 2 9 2" xfId="17662" xr:uid="{00000000-0005-0000-0000-00008E1A0000}"/>
    <cellStyle name="Accent1 2 2 2 2 2 3" xfId="4583" xr:uid="{00000000-0005-0000-0000-00008F1A0000}"/>
    <cellStyle name="Accent1 2 2 2 2 2 3 2" xfId="4584" xr:uid="{00000000-0005-0000-0000-0000901A0000}"/>
    <cellStyle name="Accent1 2 2 2 2 2 3 2 2" xfId="17664" xr:uid="{00000000-0005-0000-0000-0000911A0000}"/>
    <cellStyle name="Accent1 2 2 2 2 2 3 3" xfId="17663" xr:uid="{00000000-0005-0000-0000-0000921A0000}"/>
    <cellStyle name="Accent1 2 2 2 2 2 4" xfId="4585" xr:uid="{00000000-0005-0000-0000-0000931A0000}"/>
    <cellStyle name="Accent1 2 2 2 2 2 4 2" xfId="17665" xr:uid="{00000000-0005-0000-0000-0000941A0000}"/>
    <cellStyle name="Accent1 2 2 2 2 2 5" xfId="4586" xr:uid="{00000000-0005-0000-0000-0000951A0000}"/>
    <cellStyle name="Accent1 2 2 2 2 2 5 2" xfId="17666" xr:uid="{00000000-0005-0000-0000-0000961A0000}"/>
    <cellStyle name="Accent1 2 2 2 2 2 6" xfId="4587" xr:uid="{00000000-0005-0000-0000-0000971A0000}"/>
    <cellStyle name="Accent1 2 2 2 2 2 6 2" xfId="17667" xr:uid="{00000000-0005-0000-0000-0000981A0000}"/>
    <cellStyle name="Accent1 2 2 2 2 2 7" xfId="4588" xr:uid="{00000000-0005-0000-0000-0000991A0000}"/>
    <cellStyle name="Accent1 2 2 2 2 2 7 2" xfId="17668" xr:uid="{00000000-0005-0000-0000-00009A1A0000}"/>
    <cellStyle name="Accent1 2 2 2 2 2 8" xfId="4589" xr:uid="{00000000-0005-0000-0000-00009B1A0000}"/>
    <cellStyle name="Accent1 2 2 2 2 2 8 2" xfId="17669" xr:uid="{00000000-0005-0000-0000-00009C1A0000}"/>
    <cellStyle name="Accent1 2 2 2 2 2 9" xfId="4590" xr:uid="{00000000-0005-0000-0000-00009D1A0000}"/>
    <cellStyle name="Accent1 2 2 2 2 2 9 2" xfId="17670" xr:uid="{00000000-0005-0000-0000-00009E1A0000}"/>
    <cellStyle name="Accent1 2 2 2 2 20" xfId="4591" xr:uid="{00000000-0005-0000-0000-00009F1A0000}"/>
    <cellStyle name="Accent1 2 2 2 2 20 2" xfId="4592" xr:uid="{00000000-0005-0000-0000-0000A01A0000}"/>
    <cellStyle name="Accent1 2 2 2 2 20 2 2" xfId="17672" xr:uid="{00000000-0005-0000-0000-0000A11A0000}"/>
    <cellStyle name="Accent1 2 2 2 2 20 3" xfId="17671" xr:uid="{00000000-0005-0000-0000-0000A21A0000}"/>
    <cellStyle name="Accent1 2 2 2 2 21" xfId="4593" xr:uid="{00000000-0005-0000-0000-0000A31A0000}"/>
    <cellStyle name="Accent1 2 2 2 2 21 2" xfId="17673" xr:uid="{00000000-0005-0000-0000-0000A41A0000}"/>
    <cellStyle name="Accent1 2 2 2 2 22" xfId="4594" xr:uid="{00000000-0005-0000-0000-0000A51A0000}"/>
    <cellStyle name="Accent1 2 2 2 2 22 2" xfId="17674" xr:uid="{00000000-0005-0000-0000-0000A61A0000}"/>
    <cellStyle name="Accent1 2 2 2 2 23" xfId="4595" xr:uid="{00000000-0005-0000-0000-0000A71A0000}"/>
    <cellStyle name="Accent1 2 2 2 2 23 2" xfId="17675" xr:uid="{00000000-0005-0000-0000-0000A81A0000}"/>
    <cellStyle name="Accent1 2 2 2 2 24" xfId="4596" xr:uid="{00000000-0005-0000-0000-0000A91A0000}"/>
    <cellStyle name="Accent1 2 2 2 2 24 2" xfId="17676" xr:uid="{00000000-0005-0000-0000-0000AA1A0000}"/>
    <cellStyle name="Accent1 2 2 2 2 25" xfId="4597" xr:uid="{00000000-0005-0000-0000-0000AB1A0000}"/>
    <cellStyle name="Accent1 2 2 2 2 25 2" xfId="17677" xr:uid="{00000000-0005-0000-0000-0000AC1A0000}"/>
    <cellStyle name="Accent1 2 2 2 2 26" xfId="4598" xr:uid="{00000000-0005-0000-0000-0000AD1A0000}"/>
    <cellStyle name="Accent1 2 2 2 2 26 2" xfId="17678" xr:uid="{00000000-0005-0000-0000-0000AE1A0000}"/>
    <cellStyle name="Accent1 2 2 2 2 27" xfId="4599" xr:uid="{00000000-0005-0000-0000-0000AF1A0000}"/>
    <cellStyle name="Accent1 2 2 2 2 27 2" xfId="17679" xr:uid="{00000000-0005-0000-0000-0000B01A0000}"/>
    <cellStyle name="Accent1 2 2 2 2 28" xfId="4600" xr:uid="{00000000-0005-0000-0000-0000B11A0000}"/>
    <cellStyle name="Accent1 2 2 2 2 28 2" xfId="4601" xr:uid="{00000000-0005-0000-0000-0000B21A0000}"/>
    <cellStyle name="Accent1 2 2 2 2 28 2 2" xfId="17681" xr:uid="{00000000-0005-0000-0000-0000B31A0000}"/>
    <cellStyle name="Accent1 2 2 2 2 28 3" xfId="17680" xr:uid="{00000000-0005-0000-0000-0000B41A0000}"/>
    <cellStyle name="Accent1 2 2 2 2 29" xfId="17630" xr:uid="{00000000-0005-0000-0000-0000B51A0000}"/>
    <cellStyle name="Accent1 2 2 2 2 3" xfId="4602" xr:uid="{00000000-0005-0000-0000-0000B61A0000}"/>
    <cellStyle name="Accent1 2 2 2 2 3 2" xfId="17682" xr:uid="{00000000-0005-0000-0000-0000B71A0000}"/>
    <cellStyle name="Accent1 2 2 2 2 4" xfId="4603" xr:uid="{00000000-0005-0000-0000-0000B81A0000}"/>
    <cellStyle name="Accent1 2 2 2 2 4 2" xfId="17683" xr:uid="{00000000-0005-0000-0000-0000B91A0000}"/>
    <cellStyle name="Accent1 2 2 2 2 5" xfId="4604" xr:uid="{00000000-0005-0000-0000-0000BA1A0000}"/>
    <cellStyle name="Accent1 2 2 2 2 5 2" xfId="17684" xr:uid="{00000000-0005-0000-0000-0000BB1A0000}"/>
    <cellStyle name="Accent1 2 2 2 2 6" xfId="4605" xr:uid="{00000000-0005-0000-0000-0000BC1A0000}"/>
    <cellStyle name="Accent1 2 2 2 2 6 2" xfId="17685" xr:uid="{00000000-0005-0000-0000-0000BD1A0000}"/>
    <cellStyle name="Accent1 2 2 2 2 7" xfId="4606" xr:uid="{00000000-0005-0000-0000-0000BE1A0000}"/>
    <cellStyle name="Accent1 2 2 2 2 7 2" xfId="17686" xr:uid="{00000000-0005-0000-0000-0000BF1A0000}"/>
    <cellStyle name="Accent1 2 2 2 2 8" xfId="4607" xr:uid="{00000000-0005-0000-0000-0000C01A0000}"/>
    <cellStyle name="Accent1 2 2 2 2 8 2" xfId="17687" xr:uid="{00000000-0005-0000-0000-0000C11A0000}"/>
    <cellStyle name="Accent1 2 2 2 2 9" xfId="4608" xr:uid="{00000000-0005-0000-0000-0000C21A0000}"/>
    <cellStyle name="Accent1 2 2 2 2 9 2" xfId="17688" xr:uid="{00000000-0005-0000-0000-0000C31A0000}"/>
    <cellStyle name="Accent1 2 2 2 20" xfId="4609" xr:uid="{00000000-0005-0000-0000-0000C41A0000}"/>
    <cellStyle name="Accent1 2 2 2 20 2" xfId="4610" xr:uid="{00000000-0005-0000-0000-0000C51A0000}"/>
    <cellStyle name="Accent1 2 2 2 20 2 2" xfId="17690" xr:uid="{00000000-0005-0000-0000-0000C61A0000}"/>
    <cellStyle name="Accent1 2 2 2 20 3" xfId="17689" xr:uid="{00000000-0005-0000-0000-0000C71A0000}"/>
    <cellStyle name="Accent1 2 2 2 21" xfId="4611" xr:uid="{00000000-0005-0000-0000-0000C81A0000}"/>
    <cellStyle name="Accent1 2 2 2 21 2" xfId="17691" xr:uid="{00000000-0005-0000-0000-0000C91A0000}"/>
    <cellStyle name="Accent1 2 2 2 22" xfId="4612" xr:uid="{00000000-0005-0000-0000-0000CA1A0000}"/>
    <cellStyle name="Accent1 2 2 2 22 2" xfId="17692" xr:uid="{00000000-0005-0000-0000-0000CB1A0000}"/>
    <cellStyle name="Accent1 2 2 2 23" xfId="4613" xr:uid="{00000000-0005-0000-0000-0000CC1A0000}"/>
    <cellStyle name="Accent1 2 2 2 23 2" xfId="17693" xr:uid="{00000000-0005-0000-0000-0000CD1A0000}"/>
    <cellStyle name="Accent1 2 2 2 24" xfId="4614" xr:uid="{00000000-0005-0000-0000-0000CE1A0000}"/>
    <cellStyle name="Accent1 2 2 2 24 2" xfId="17694" xr:uid="{00000000-0005-0000-0000-0000CF1A0000}"/>
    <cellStyle name="Accent1 2 2 2 25" xfId="4615" xr:uid="{00000000-0005-0000-0000-0000D01A0000}"/>
    <cellStyle name="Accent1 2 2 2 25 2" xfId="17695" xr:uid="{00000000-0005-0000-0000-0000D11A0000}"/>
    <cellStyle name="Accent1 2 2 2 26" xfId="4616" xr:uid="{00000000-0005-0000-0000-0000D21A0000}"/>
    <cellStyle name="Accent1 2 2 2 26 2" xfId="17696" xr:uid="{00000000-0005-0000-0000-0000D31A0000}"/>
    <cellStyle name="Accent1 2 2 2 27" xfId="4617" xr:uid="{00000000-0005-0000-0000-0000D41A0000}"/>
    <cellStyle name="Accent1 2 2 2 27 2" xfId="17697" xr:uid="{00000000-0005-0000-0000-0000D51A0000}"/>
    <cellStyle name="Accent1 2 2 2 28" xfId="4618" xr:uid="{00000000-0005-0000-0000-0000D61A0000}"/>
    <cellStyle name="Accent1 2 2 2 28 2" xfId="4619" xr:uid="{00000000-0005-0000-0000-0000D71A0000}"/>
    <cellStyle name="Accent1 2 2 2 28 2 2" xfId="17699" xr:uid="{00000000-0005-0000-0000-0000D81A0000}"/>
    <cellStyle name="Accent1 2 2 2 28 3" xfId="17698" xr:uid="{00000000-0005-0000-0000-0000D91A0000}"/>
    <cellStyle name="Accent1 2 2 2 29" xfId="17619" xr:uid="{00000000-0005-0000-0000-0000DA1A0000}"/>
    <cellStyle name="Accent1 2 2 2 3" xfId="4620" xr:uid="{00000000-0005-0000-0000-0000DB1A0000}"/>
    <cellStyle name="Accent1 2 2 2 3 2" xfId="4621" xr:uid="{00000000-0005-0000-0000-0000DC1A0000}"/>
    <cellStyle name="Accent1 2 2 2 3 2 2" xfId="17701" xr:uid="{00000000-0005-0000-0000-0000DD1A0000}"/>
    <cellStyle name="Accent1 2 2 2 3 3" xfId="17700" xr:uid="{00000000-0005-0000-0000-0000DE1A0000}"/>
    <cellStyle name="Accent1 2 2 2 30" xfId="30356" xr:uid="{00000000-0005-0000-0000-0000DF1A0000}"/>
    <cellStyle name="Accent1 2 2 2 4" xfId="4622" xr:uid="{00000000-0005-0000-0000-0000E01A0000}"/>
    <cellStyle name="Accent1 2 2 2 4 2" xfId="17702" xr:uid="{00000000-0005-0000-0000-0000E11A0000}"/>
    <cellStyle name="Accent1 2 2 2 5" xfId="4623" xr:uid="{00000000-0005-0000-0000-0000E21A0000}"/>
    <cellStyle name="Accent1 2 2 2 5 2" xfId="17703" xr:uid="{00000000-0005-0000-0000-0000E31A0000}"/>
    <cellStyle name="Accent1 2 2 2 6" xfId="4624" xr:uid="{00000000-0005-0000-0000-0000E41A0000}"/>
    <cellStyle name="Accent1 2 2 2 6 2" xfId="17704" xr:uid="{00000000-0005-0000-0000-0000E51A0000}"/>
    <cellStyle name="Accent1 2 2 2 7" xfId="4625" xr:uid="{00000000-0005-0000-0000-0000E61A0000}"/>
    <cellStyle name="Accent1 2 2 2 7 2" xfId="17705" xr:uid="{00000000-0005-0000-0000-0000E71A0000}"/>
    <cellStyle name="Accent1 2 2 2 8" xfId="4626" xr:uid="{00000000-0005-0000-0000-0000E81A0000}"/>
    <cellStyle name="Accent1 2 2 2 8 2" xfId="17706" xr:uid="{00000000-0005-0000-0000-0000E91A0000}"/>
    <cellStyle name="Accent1 2 2 2 9" xfId="4627" xr:uid="{00000000-0005-0000-0000-0000EA1A0000}"/>
    <cellStyle name="Accent1 2 2 2 9 2" xfId="17707" xr:uid="{00000000-0005-0000-0000-0000EB1A0000}"/>
    <cellStyle name="Accent1 2 2 20" xfId="4628" xr:uid="{00000000-0005-0000-0000-0000EC1A0000}"/>
    <cellStyle name="Accent1 2 2 20 2" xfId="17708" xr:uid="{00000000-0005-0000-0000-0000ED1A0000}"/>
    <cellStyle name="Accent1 2 2 21" xfId="4629" xr:uid="{00000000-0005-0000-0000-0000EE1A0000}"/>
    <cellStyle name="Accent1 2 2 21 2" xfId="17709" xr:uid="{00000000-0005-0000-0000-0000EF1A0000}"/>
    <cellStyle name="Accent1 2 2 22" xfId="4630" xr:uid="{00000000-0005-0000-0000-0000F01A0000}"/>
    <cellStyle name="Accent1 2 2 22 2" xfId="17710" xr:uid="{00000000-0005-0000-0000-0000F11A0000}"/>
    <cellStyle name="Accent1 2 2 23" xfId="4631" xr:uid="{00000000-0005-0000-0000-0000F21A0000}"/>
    <cellStyle name="Accent1 2 2 23 2" xfId="17711" xr:uid="{00000000-0005-0000-0000-0000F31A0000}"/>
    <cellStyle name="Accent1 2 2 24" xfId="4632" xr:uid="{00000000-0005-0000-0000-0000F41A0000}"/>
    <cellStyle name="Accent1 2 2 24 2" xfId="17712" xr:uid="{00000000-0005-0000-0000-0000F51A0000}"/>
    <cellStyle name="Accent1 2 2 25" xfId="4633" xr:uid="{00000000-0005-0000-0000-0000F61A0000}"/>
    <cellStyle name="Accent1 2 2 25 2" xfId="17713" xr:uid="{00000000-0005-0000-0000-0000F71A0000}"/>
    <cellStyle name="Accent1 2 2 26" xfId="4634" xr:uid="{00000000-0005-0000-0000-0000F81A0000}"/>
    <cellStyle name="Accent1 2 2 26 2" xfId="17714" xr:uid="{00000000-0005-0000-0000-0000F91A0000}"/>
    <cellStyle name="Accent1 2 2 27" xfId="4635" xr:uid="{00000000-0005-0000-0000-0000FA1A0000}"/>
    <cellStyle name="Accent1 2 2 27 2" xfId="17715" xr:uid="{00000000-0005-0000-0000-0000FB1A0000}"/>
    <cellStyle name="Accent1 2 2 28" xfId="4636" xr:uid="{00000000-0005-0000-0000-0000FC1A0000}"/>
    <cellStyle name="Accent1 2 2 28 2" xfId="17716" xr:uid="{00000000-0005-0000-0000-0000FD1A0000}"/>
    <cellStyle name="Accent1 2 2 29" xfId="4637" xr:uid="{00000000-0005-0000-0000-0000FE1A0000}"/>
    <cellStyle name="Accent1 2 2 29 2" xfId="17717" xr:uid="{00000000-0005-0000-0000-0000FF1A0000}"/>
    <cellStyle name="Accent1 2 2 3" xfId="4638" xr:uid="{00000000-0005-0000-0000-0000001B0000}"/>
    <cellStyle name="Accent1 2 2 3 2" xfId="17718" xr:uid="{00000000-0005-0000-0000-0000011B0000}"/>
    <cellStyle name="Accent1 2 2 30" xfId="4639" xr:uid="{00000000-0005-0000-0000-0000021B0000}"/>
    <cellStyle name="Accent1 2 2 30 2" xfId="17719" xr:uid="{00000000-0005-0000-0000-0000031B0000}"/>
    <cellStyle name="Accent1 2 2 31" xfId="4640" xr:uid="{00000000-0005-0000-0000-0000041B0000}"/>
    <cellStyle name="Accent1 2 2 31 2" xfId="4641" xr:uid="{00000000-0005-0000-0000-0000051B0000}"/>
    <cellStyle name="Accent1 2 2 31 2 2" xfId="17721" xr:uid="{00000000-0005-0000-0000-0000061B0000}"/>
    <cellStyle name="Accent1 2 2 31 3" xfId="17720" xr:uid="{00000000-0005-0000-0000-0000071B0000}"/>
    <cellStyle name="Accent1 2 2 32" xfId="4642" xr:uid="{00000000-0005-0000-0000-0000081B0000}"/>
    <cellStyle name="Accent1 2 2 32 2" xfId="17722" xr:uid="{00000000-0005-0000-0000-0000091B0000}"/>
    <cellStyle name="Accent1 2 2 33" xfId="4643" xr:uid="{00000000-0005-0000-0000-00000A1B0000}"/>
    <cellStyle name="Accent1 2 2 33 2" xfId="17723" xr:uid="{00000000-0005-0000-0000-00000B1B0000}"/>
    <cellStyle name="Accent1 2 2 34" xfId="4644" xr:uid="{00000000-0005-0000-0000-00000C1B0000}"/>
    <cellStyle name="Accent1 2 2 34 2" xfId="17724" xr:uid="{00000000-0005-0000-0000-00000D1B0000}"/>
    <cellStyle name="Accent1 2 2 35" xfId="4645" xr:uid="{00000000-0005-0000-0000-00000E1B0000}"/>
    <cellStyle name="Accent1 2 2 35 2" xfId="17725" xr:uid="{00000000-0005-0000-0000-00000F1B0000}"/>
    <cellStyle name="Accent1 2 2 36" xfId="4646" xr:uid="{00000000-0005-0000-0000-0000101B0000}"/>
    <cellStyle name="Accent1 2 2 36 2" xfId="17726" xr:uid="{00000000-0005-0000-0000-0000111B0000}"/>
    <cellStyle name="Accent1 2 2 37" xfId="4647" xr:uid="{00000000-0005-0000-0000-0000121B0000}"/>
    <cellStyle name="Accent1 2 2 37 2" xfId="17727" xr:uid="{00000000-0005-0000-0000-0000131B0000}"/>
    <cellStyle name="Accent1 2 2 38" xfId="4648" xr:uid="{00000000-0005-0000-0000-0000141B0000}"/>
    <cellStyle name="Accent1 2 2 38 2" xfId="17728" xr:uid="{00000000-0005-0000-0000-0000151B0000}"/>
    <cellStyle name="Accent1 2 2 39" xfId="4649" xr:uid="{00000000-0005-0000-0000-0000161B0000}"/>
    <cellStyle name="Accent1 2 2 39 2" xfId="4650" xr:uid="{00000000-0005-0000-0000-0000171B0000}"/>
    <cellStyle name="Accent1 2 2 39 2 2" xfId="17730" xr:uid="{00000000-0005-0000-0000-0000181B0000}"/>
    <cellStyle name="Accent1 2 2 39 3" xfId="17729" xr:uid="{00000000-0005-0000-0000-0000191B0000}"/>
    <cellStyle name="Accent1 2 2 4" xfId="4651" xr:uid="{00000000-0005-0000-0000-00001A1B0000}"/>
    <cellStyle name="Accent1 2 2 4 2" xfId="17731" xr:uid="{00000000-0005-0000-0000-00001B1B0000}"/>
    <cellStyle name="Accent1 2 2 40" xfId="17607" xr:uid="{00000000-0005-0000-0000-00001C1B0000}"/>
    <cellStyle name="Accent1 2 2 41" xfId="30357" xr:uid="{00000000-0005-0000-0000-00001D1B0000}"/>
    <cellStyle name="Accent1 2 2 42" xfId="30358" xr:uid="{00000000-0005-0000-0000-00001E1B0000}"/>
    <cellStyle name="Accent1 2 2 43" xfId="30359" xr:uid="{00000000-0005-0000-0000-00001F1B0000}"/>
    <cellStyle name="Accent1 2 2 44" xfId="30360" xr:uid="{00000000-0005-0000-0000-0000201B0000}"/>
    <cellStyle name="Accent1 2 2 5" xfId="4652" xr:uid="{00000000-0005-0000-0000-0000211B0000}"/>
    <cellStyle name="Accent1 2 2 5 2" xfId="17732" xr:uid="{00000000-0005-0000-0000-0000221B0000}"/>
    <cellStyle name="Accent1 2 2 6" xfId="4653" xr:uid="{00000000-0005-0000-0000-0000231B0000}"/>
    <cellStyle name="Accent1 2 2 6 2" xfId="17733" xr:uid="{00000000-0005-0000-0000-0000241B0000}"/>
    <cellStyle name="Accent1 2 2 7" xfId="4654" xr:uid="{00000000-0005-0000-0000-0000251B0000}"/>
    <cellStyle name="Accent1 2 2 7 2" xfId="17734" xr:uid="{00000000-0005-0000-0000-0000261B0000}"/>
    <cellStyle name="Accent1 2 2 8" xfId="4655" xr:uid="{00000000-0005-0000-0000-0000271B0000}"/>
    <cellStyle name="Accent1 2 2 8 2" xfId="17735" xr:uid="{00000000-0005-0000-0000-0000281B0000}"/>
    <cellStyle name="Accent1 2 2 9" xfId="4656" xr:uid="{00000000-0005-0000-0000-0000291B0000}"/>
    <cellStyle name="Accent1 2 2 9 2" xfId="17736" xr:uid="{00000000-0005-0000-0000-00002A1B0000}"/>
    <cellStyle name="Accent1 2 2_Loan Classification" xfId="11425" xr:uid="{00000000-0005-0000-0000-00002B1B0000}"/>
    <cellStyle name="Accent1 2 20" xfId="4657" xr:uid="{00000000-0005-0000-0000-00002C1B0000}"/>
    <cellStyle name="Accent1 2 20 2" xfId="17737" xr:uid="{00000000-0005-0000-0000-00002D1B0000}"/>
    <cellStyle name="Accent1 2 21" xfId="4658" xr:uid="{00000000-0005-0000-0000-00002E1B0000}"/>
    <cellStyle name="Accent1 2 21 2" xfId="17738" xr:uid="{00000000-0005-0000-0000-00002F1B0000}"/>
    <cellStyle name="Accent1 2 22" xfId="4659" xr:uid="{00000000-0005-0000-0000-0000301B0000}"/>
    <cellStyle name="Accent1 2 22 2" xfId="17739" xr:uid="{00000000-0005-0000-0000-0000311B0000}"/>
    <cellStyle name="Accent1 2 23" xfId="4660" xr:uid="{00000000-0005-0000-0000-0000321B0000}"/>
    <cellStyle name="Accent1 2 23 2" xfId="17740" xr:uid="{00000000-0005-0000-0000-0000331B0000}"/>
    <cellStyle name="Accent1 2 24" xfId="4661" xr:uid="{00000000-0005-0000-0000-0000341B0000}"/>
    <cellStyle name="Accent1 2 24 2" xfId="17741" xr:uid="{00000000-0005-0000-0000-0000351B0000}"/>
    <cellStyle name="Accent1 2 25" xfId="4662" xr:uid="{00000000-0005-0000-0000-0000361B0000}"/>
    <cellStyle name="Accent1 2 25 2" xfId="17742" xr:uid="{00000000-0005-0000-0000-0000371B0000}"/>
    <cellStyle name="Accent1 2 26" xfId="4663" xr:uid="{00000000-0005-0000-0000-0000381B0000}"/>
    <cellStyle name="Accent1 2 26 2" xfId="17743" xr:uid="{00000000-0005-0000-0000-0000391B0000}"/>
    <cellStyle name="Accent1 2 27" xfId="4664" xr:uid="{00000000-0005-0000-0000-00003A1B0000}"/>
    <cellStyle name="Accent1 2 27 2" xfId="17744" xr:uid="{00000000-0005-0000-0000-00003B1B0000}"/>
    <cellStyle name="Accent1 2 28" xfId="4665" xr:uid="{00000000-0005-0000-0000-00003C1B0000}"/>
    <cellStyle name="Accent1 2 28 2" xfId="17745" xr:uid="{00000000-0005-0000-0000-00003D1B0000}"/>
    <cellStyle name="Accent1 2 29" xfId="4666" xr:uid="{00000000-0005-0000-0000-00003E1B0000}"/>
    <cellStyle name="Accent1 2 29 2" xfId="17746" xr:uid="{00000000-0005-0000-0000-00003F1B0000}"/>
    <cellStyle name="Accent1 2 3" xfId="4667" xr:uid="{00000000-0005-0000-0000-0000401B0000}"/>
    <cellStyle name="Accent1 2 3 2" xfId="17747" xr:uid="{00000000-0005-0000-0000-0000411B0000}"/>
    <cellStyle name="Accent1 2 3 2 2" xfId="30361" xr:uid="{00000000-0005-0000-0000-0000421B0000}"/>
    <cellStyle name="Accent1 2 3 3" xfId="30362" xr:uid="{00000000-0005-0000-0000-0000431B0000}"/>
    <cellStyle name="Accent1 2 3 4" xfId="30363" xr:uid="{00000000-0005-0000-0000-0000441B0000}"/>
    <cellStyle name="Accent1 2 3 5" xfId="30364" xr:uid="{00000000-0005-0000-0000-0000451B0000}"/>
    <cellStyle name="Accent1 2 30" xfId="4668" xr:uid="{00000000-0005-0000-0000-0000461B0000}"/>
    <cellStyle name="Accent1 2 30 2" xfId="17748" xr:uid="{00000000-0005-0000-0000-0000471B0000}"/>
    <cellStyle name="Accent1 2 31" xfId="4669" xr:uid="{00000000-0005-0000-0000-0000481B0000}"/>
    <cellStyle name="Accent1 2 31 2" xfId="17749" xr:uid="{00000000-0005-0000-0000-0000491B0000}"/>
    <cellStyle name="Accent1 2 32" xfId="4670" xr:uid="{00000000-0005-0000-0000-00004A1B0000}"/>
    <cellStyle name="Accent1 2 32 2" xfId="17750" xr:uid="{00000000-0005-0000-0000-00004B1B0000}"/>
    <cellStyle name="Accent1 2 33" xfId="4671" xr:uid="{00000000-0005-0000-0000-00004C1B0000}"/>
    <cellStyle name="Accent1 2 33 2" xfId="4672" xr:uid="{00000000-0005-0000-0000-00004D1B0000}"/>
    <cellStyle name="Accent1 2 33 2 2" xfId="17752" xr:uid="{00000000-0005-0000-0000-00004E1B0000}"/>
    <cellStyle name="Accent1 2 33 3" xfId="17751" xr:uid="{00000000-0005-0000-0000-00004F1B0000}"/>
    <cellStyle name="Accent1 2 34" xfId="4673" xr:uid="{00000000-0005-0000-0000-0000501B0000}"/>
    <cellStyle name="Accent1 2 34 2" xfId="17753" xr:uid="{00000000-0005-0000-0000-0000511B0000}"/>
    <cellStyle name="Accent1 2 35" xfId="4674" xr:uid="{00000000-0005-0000-0000-0000521B0000}"/>
    <cellStyle name="Accent1 2 35 2" xfId="17754" xr:uid="{00000000-0005-0000-0000-0000531B0000}"/>
    <cellStyle name="Accent1 2 36" xfId="4675" xr:uid="{00000000-0005-0000-0000-0000541B0000}"/>
    <cellStyle name="Accent1 2 36 2" xfId="17755" xr:uid="{00000000-0005-0000-0000-0000551B0000}"/>
    <cellStyle name="Accent1 2 37" xfId="4676" xr:uid="{00000000-0005-0000-0000-0000561B0000}"/>
    <cellStyle name="Accent1 2 37 2" xfId="17756" xr:uid="{00000000-0005-0000-0000-0000571B0000}"/>
    <cellStyle name="Accent1 2 38" xfId="4677" xr:uid="{00000000-0005-0000-0000-0000581B0000}"/>
    <cellStyle name="Accent1 2 38 2" xfId="17757" xr:uid="{00000000-0005-0000-0000-0000591B0000}"/>
    <cellStyle name="Accent1 2 39" xfId="4678" xr:uid="{00000000-0005-0000-0000-00005A1B0000}"/>
    <cellStyle name="Accent1 2 39 2" xfId="17758" xr:uid="{00000000-0005-0000-0000-00005B1B0000}"/>
    <cellStyle name="Accent1 2 4" xfId="4679" xr:uid="{00000000-0005-0000-0000-00005C1B0000}"/>
    <cellStyle name="Accent1 2 4 2" xfId="17759" xr:uid="{00000000-0005-0000-0000-00005D1B0000}"/>
    <cellStyle name="Accent1 2 4 2 2" xfId="30365" xr:uid="{00000000-0005-0000-0000-00005E1B0000}"/>
    <cellStyle name="Accent1 2 4 3" xfId="30366" xr:uid="{00000000-0005-0000-0000-00005F1B0000}"/>
    <cellStyle name="Accent1 2 4 4" xfId="30367" xr:uid="{00000000-0005-0000-0000-0000601B0000}"/>
    <cellStyle name="Accent1 2 4 5" xfId="30368" xr:uid="{00000000-0005-0000-0000-0000611B0000}"/>
    <cellStyle name="Accent1 2 40" xfId="4680" xr:uid="{00000000-0005-0000-0000-0000621B0000}"/>
    <cellStyle name="Accent1 2 40 2" xfId="17760" xr:uid="{00000000-0005-0000-0000-0000631B0000}"/>
    <cellStyle name="Accent1 2 41" xfId="4681" xr:uid="{00000000-0005-0000-0000-0000641B0000}"/>
    <cellStyle name="Accent1 2 41 2" xfId="4682" xr:uid="{00000000-0005-0000-0000-0000651B0000}"/>
    <cellStyle name="Accent1 2 41 2 2" xfId="17762" xr:uid="{00000000-0005-0000-0000-0000661B0000}"/>
    <cellStyle name="Accent1 2 41 3" xfId="17761" xr:uid="{00000000-0005-0000-0000-0000671B0000}"/>
    <cellStyle name="Accent1 2 42" xfId="17595" xr:uid="{00000000-0005-0000-0000-0000681B0000}"/>
    <cellStyle name="Accent1 2 43" xfId="30369" xr:uid="{00000000-0005-0000-0000-0000691B0000}"/>
    <cellStyle name="Accent1 2 44" xfId="30370" xr:uid="{00000000-0005-0000-0000-00006A1B0000}"/>
    <cellStyle name="Accent1 2 45" xfId="30371" xr:uid="{00000000-0005-0000-0000-00006B1B0000}"/>
    <cellStyle name="Accent1 2 46" xfId="30372" xr:uid="{00000000-0005-0000-0000-00006C1B0000}"/>
    <cellStyle name="Accent1 2 47" xfId="33161" xr:uid="{00000000-0005-0000-0000-00006D1B0000}"/>
    <cellStyle name="Accent1 2 48" xfId="33181" xr:uid="{00000000-0005-0000-0000-00006E1B0000}"/>
    <cellStyle name="Accent1 2 49" xfId="4515" xr:uid="{00000000-0005-0000-0000-00006F1B0000}"/>
    <cellStyle name="Accent1 2 5" xfId="4683" xr:uid="{00000000-0005-0000-0000-0000701B0000}"/>
    <cellStyle name="Accent1 2 5 2" xfId="4684" xr:uid="{00000000-0005-0000-0000-0000711B0000}"/>
    <cellStyle name="Accent1 2 5 2 2" xfId="17764" xr:uid="{00000000-0005-0000-0000-0000721B0000}"/>
    <cellStyle name="Accent1 2 5 3" xfId="17763" xr:uid="{00000000-0005-0000-0000-0000731B0000}"/>
    <cellStyle name="Accent1 2 5 4" xfId="30373" xr:uid="{00000000-0005-0000-0000-0000741B0000}"/>
    <cellStyle name="Accent1 2 6" xfId="4685" xr:uid="{00000000-0005-0000-0000-0000751B0000}"/>
    <cellStyle name="Accent1 2 6 2" xfId="17765" xr:uid="{00000000-0005-0000-0000-0000761B0000}"/>
    <cellStyle name="Accent1 2 6 3" xfId="30374" xr:uid="{00000000-0005-0000-0000-0000771B0000}"/>
    <cellStyle name="Accent1 2 7" xfId="4686" xr:uid="{00000000-0005-0000-0000-0000781B0000}"/>
    <cellStyle name="Accent1 2 7 2" xfId="17766" xr:uid="{00000000-0005-0000-0000-0000791B0000}"/>
    <cellStyle name="Accent1 2 8" xfId="4687" xr:uid="{00000000-0005-0000-0000-00007A1B0000}"/>
    <cellStyle name="Accent1 2 8 2" xfId="17767" xr:uid="{00000000-0005-0000-0000-00007B1B0000}"/>
    <cellStyle name="Accent1 2 9" xfId="4688" xr:uid="{00000000-0005-0000-0000-00007C1B0000}"/>
    <cellStyle name="Accent1 2 9 2" xfId="17768" xr:uid="{00000000-0005-0000-0000-00007D1B0000}"/>
    <cellStyle name="Accent1 2_Loan Classification" xfId="11424" xr:uid="{00000000-0005-0000-0000-00007E1B0000}"/>
    <cellStyle name="Accent1 20" xfId="4689" xr:uid="{00000000-0005-0000-0000-00007F1B0000}"/>
    <cellStyle name="Accent1 20 2" xfId="17769" xr:uid="{00000000-0005-0000-0000-0000801B0000}"/>
    <cellStyle name="Accent1 21" xfId="4690" xr:uid="{00000000-0005-0000-0000-0000811B0000}"/>
    <cellStyle name="Accent1 21 2" xfId="17770" xr:uid="{00000000-0005-0000-0000-0000821B0000}"/>
    <cellStyle name="Accent1 22" xfId="4691" xr:uid="{00000000-0005-0000-0000-0000831B0000}"/>
    <cellStyle name="Accent1 22 2" xfId="17771" xr:uid="{00000000-0005-0000-0000-0000841B0000}"/>
    <cellStyle name="Accent1 23" xfId="4692" xr:uid="{00000000-0005-0000-0000-0000851B0000}"/>
    <cellStyle name="Accent1 23 2" xfId="17772" xr:uid="{00000000-0005-0000-0000-0000861B0000}"/>
    <cellStyle name="Accent1 24" xfId="4693" xr:uid="{00000000-0005-0000-0000-0000871B0000}"/>
    <cellStyle name="Accent1 24 2" xfId="17773" xr:uid="{00000000-0005-0000-0000-0000881B0000}"/>
    <cellStyle name="Accent1 25" xfId="4694" xr:uid="{00000000-0005-0000-0000-0000891B0000}"/>
    <cellStyle name="Accent1 25 2" xfId="17774" xr:uid="{00000000-0005-0000-0000-00008A1B0000}"/>
    <cellStyle name="Accent1 26" xfId="4695" xr:uid="{00000000-0005-0000-0000-00008B1B0000}"/>
    <cellStyle name="Accent1 26 2" xfId="17775" xr:uid="{00000000-0005-0000-0000-00008C1B0000}"/>
    <cellStyle name="Accent1 27" xfId="4696" xr:uid="{00000000-0005-0000-0000-00008D1B0000}"/>
    <cellStyle name="Accent1 27 2" xfId="17776" xr:uid="{00000000-0005-0000-0000-00008E1B0000}"/>
    <cellStyle name="Accent1 28" xfId="4697" xr:uid="{00000000-0005-0000-0000-00008F1B0000}"/>
    <cellStyle name="Accent1 28 2" xfId="17777" xr:uid="{00000000-0005-0000-0000-0000901B0000}"/>
    <cellStyle name="Accent1 29" xfId="4698" xr:uid="{00000000-0005-0000-0000-0000911B0000}"/>
    <cellStyle name="Accent1 29 2" xfId="17778" xr:uid="{00000000-0005-0000-0000-0000921B0000}"/>
    <cellStyle name="Accent1 3" xfId="80" xr:uid="{00000000-0005-0000-0000-0000931B0000}"/>
    <cellStyle name="Accent1 3 2" xfId="17779" xr:uid="{00000000-0005-0000-0000-0000941B0000}"/>
    <cellStyle name="Accent1 3 2 2" xfId="30375" xr:uid="{00000000-0005-0000-0000-0000951B0000}"/>
    <cellStyle name="Accent1 3 3" xfId="30376" xr:uid="{00000000-0005-0000-0000-0000961B0000}"/>
    <cellStyle name="Accent1 3 4" xfId="30377" xr:uid="{00000000-0005-0000-0000-0000971B0000}"/>
    <cellStyle name="Accent1 3 5" xfId="4699" xr:uid="{00000000-0005-0000-0000-0000981B0000}"/>
    <cellStyle name="Accent1 30" xfId="4700" xr:uid="{00000000-0005-0000-0000-0000991B0000}"/>
    <cellStyle name="Accent1 30 2" xfId="17780" xr:uid="{00000000-0005-0000-0000-00009A1B0000}"/>
    <cellStyle name="Accent1 31" xfId="4701" xr:uid="{00000000-0005-0000-0000-00009B1B0000}"/>
    <cellStyle name="Accent1 31 2" xfId="17781" xr:uid="{00000000-0005-0000-0000-00009C1B0000}"/>
    <cellStyle name="Accent1 32" xfId="4702" xr:uid="{00000000-0005-0000-0000-00009D1B0000}"/>
    <cellStyle name="Accent1 32 2" xfId="17782" xr:uid="{00000000-0005-0000-0000-00009E1B0000}"/>
    <cellStyle name="Accent1 33" xfId="4703" xr:uid="{00000000-0005-0000-0000-00009F1B0000}"/>
    <cellStyle name="Accent1 33 2" xfId="17783" xr:uid="{00000000-0005-0000-0000-0000A01B0000}"/>
    <cellStyle name="Accent1 34" xfId="4704" xr:uid="{00000000-0005-0000-0000-0000A11B0000}"/>
    <cellStyle name="Accent1 34 2" xfId="17784" xr:uid="{00000000-0005-0000-0000-0000A21B0000}"/>
    <cellStyle name="Accent1 35" xfId="4705" xr:uid="{00000000-0005-0000-0000-0000A31B0000}"/>
    <cellStyle name="Accent1 35 2" xfId="17785" xr:uid="{00000000-0005-0000-0000-0000A41B0000}"/>
    <cellStyle name="Accent1 36" xfId="4706" xr:uid="{00000000-0005-0000-0000-0000A51B0000}"/>
    <cellStyle name="Accent1 36 2" xfId="17786" xr:uid="{00000000-0005-0000-0000-0000A61B0000}"/>
    <cellStyle name="Accent1 37" xfId="4707" xr:uid="{00000000-0005-0000-0000-0000A71B0000}"/>
    <cellStyle name="Accent1 37 2" xfId="17787" xr:uid="{00000000-0005-0000-0000-0000A81B0000}"/>
    <cellStyle name="Accent1 38" xfId="4708" xr:uid="{00000000-0005-0000-0000-0000A91B0000}"/>
    <cellStyle name="Accent1 38 2" xfId="17788" xr:uid="{00000000-0005-0000-0000-0000AA1B0000}"/>
    <cellStyle name="Accent1 39" xfId="4709" xr:uid="{00000000-0005-0000-0000-0000AB1B0000}"/>
    <cellStyle name="Accent1 39 2" xfId="17789" xr:uid="{00000000-0005-0000-0000-0000AC1B0000}"/>
    <cellStyle name="Accent1 4" xfId="4710" xr:uid="{00000000-0005-0000-0000-0000AD1B0000}"/>
    <cellStyle name="Accent1 4 2" xfId="17790" xr:uid="{00000000-0005-0000-0000-0000AE1B0000}"/>
    <cellStyle name="Accent1 4 2 2" xfId="30378" xr:uid="{00000000-0005-0000-0000-0000AF1B0000}"/>
    <cellStyle name="Accent1 4 3" xfId="30379" xr:uid="{00000000-0005-0000-0000-0000B01B0000}"/>
    <cellStyle name="Accent1 4 4" xfId="30380" xr:uid="{00000000-0005-0000-0000-0000B11B0000}"/>
    <cellStyle name="Accent1 40" xfId="4711" xr:uid="{00000000-0005-0000-0000-0000B21B0000}"/>
    <cellStyle name="Accent1 40 2" xfId="17791" xr:uid="{00000000-0005-0000-0000-0000B31B0000}"/>
    <cellStyle name="Accent1 41" xfId="4712" xr:uid="{00000000-0005-0000-0000-0000B41B0000}"/>
    <cellStyle name="Accent1 41 2" xfId="17792" xr:uid="{00000000-0005-0000-0000-0000B51B0000}"/>
    <cellStyle name="Accent1 42" xfId="4713" xr:uid="{00000000-0005-0000-0000-0000B61B0000}"/>
    <cellStyle name="Accent1 42 2" xfId="17793" xr:uid="{00000000-0005-0000-0000-0000B71B0000}"/>
    <cellStyle name="Accent1 43" xfId="11581" xr:uid="{00000000-0005-0000-0000-0000B81B0000}"/>
    <cellStyle name="Accent1 43 2" xfId="17794" xr:uid="{00000000-0005-0000-0000-0000B91B0000}"/>
    <cellStyle name="Accent1 44" xfId="11538" xr:uid="{00000000-0005-0000-0000-0000BA1B0000}"/>
    <cellStyle name="Accent1 44 2" xfId="17795" xr:uid="{00000000-0005-0000-0000-0000BB1B0000}"/>
    <cellStyle name="Accent1 45" xfId="17796" xr:uid="{00000000-0005-0000-0000-0000BC1B0000}"/>
    <cellStyle name="Accent1 46" xfId="30381" xr:uid="{00000000-0005-0000-0000-0000BD1B0000}"/>
    <cellStyle name="Accent1 47" xfId="501" xr:uid="{00000000-0005-0000-0000-0000BE1B0000}"/>
    <cellStyle name="Accent1 5" xfId="4714" xr:uid="{00000000-0005-0000-0000-0000BF1B0000}"/>
    <cellStyle name="Accent1 5 2" xfId="17797" xr:uid="{00000000-0005-0000-0000-0000C01B0000}"/>
    <cellStyle name="Accent1 5 2 2" xfId="30382" xr:uid="{00000000-0005-0000-0000-0000C11B0000}"/>
    <cellStyle name="Accent1 5 3" xfId="30383" xr:uid="{00000000-0005-0000-0000-0000C21B0000}"/>
    <cellStyle name="Accent1 5 4" xfId="30384" xr:uid="{00000000-0005-0000-0000-0000C31B0000}"/>
    <cellStyle name="Accent1 6" xfId="4715" xr:uid="{00000000-0005-0000-0000-0000C41B0000}"/>
    <cellStyle name="Accent1 6 2" xfId="17798" xr:uid="{00000000-0005-0000-0000-0000C51B0000}"/>
    <cellStyle name="Accent1 6 3" xfId="30385" xr:uid="{00000000-0005-0000-0000-0000C61B0000}"/>
    <cellStyle name="Accent1 7" xfId="4716" xr:uid="{00000000-0005-0000-0000-0000C71B0000}"/>
    <cellStyle name="Accent1 7 2" xfId="17799" xr:uid="{00000000-0005-0000-0000-0000C81B0000}"/>
    <cellStyle name="Accent1 7 3" xfId="30386" xr:uid="{00000000-0005-0000-0000-0000C91B0000}"/>
    <cellStyle name="Accent1 8" xfId="4717" xr:uid="{00000000-0005-0000-0000-0000CA1B0000}"/>
    <cellStyle name="Accent1 8 2" xfId="17800" xr:uid="{00000000-0005-0000-0000-0000CB1B0000}"/>
    <cellStyle name="Accent1 8 3" xfId="30387" xr:uid="{00000000-0005-0000-0000-0000CC1B0000}"/>
    <cellStyle name="Accent1 9" xfId="4718" xr:uid="{00000000-0005-0000-0000-0000CD1B0000}"/>
    <cellStyle name="Accent1 9 2" xfId="17801" xr:uid="{00000000-0005-0000-0000-0000CE1B0000}"/>
    <cellStyle name="Accent1 9 3" xfId="30388" xr:uid="{00000000-0005-0000-0000-0000CF1B0000}"/>
    <cellStyle name="Accent2" xfId="29" builtinId="33" customBuiltin="1"/>
    <cellStyle name="Accent2 10" xfId="4719" xr:uid="{00000000-0005-0000-0000-0000D11B0000}"/>
    <cellStyle name="Accent2 10 2" xfId="17802" xr:uid="{00000000-0005-0000-0000-0000D21B0000}"/>
    <cellStyle name="Accent2 10 3" xfId="30389" xr:uid="{00000000-0005-0000-0000-0000D31B0000}"/>
    <cellStyle name="Accent2 11" xfId="4720" xr:uid="{00000000-0005-0000-0000-0000D41B0000}"/>
    <cellStyle name="Accent2 11 2" xfId="17803" xr:uid="{00000000-0005-0000-0000-0000D51B0000}"/>
    <cellStyle name="Accent2 11 3" xfId="30390" xr:uid="{00000000-0005-0000-0000-0000D61B0000}"/>
    <cellStyle name="Accent2 12" xfId="4721" xr:uid="{00000000-0005-0000-0000-0000D71B0000}"/>
    <cellStyle name="Accent2 12 2" xfId="17804" xr:uid="{00000000-0005-0000-0000-0000D81B0000}"/>
    <cellStyle name="Accent2 12 3" xfId="30391" xr:uid="{00000000-0005-0000-0000-0000D91B0000}"/>
    <cellStyle name="Accent2 13" xfId="4722" xr:uid="{00000000-0005-0000-0000-0000DA1B0000}"/>
    <cellStyle name="Accent2 13 2" xfId="17805" xr:uid="{00000000-0005-0000-0000-0000DB1B0000}"/>
    <cellStyle name="Accent2 13 3" xfId="30392" xr:uid="{00000000-0005-0000-0000-0000DC1B0000}"/>
    <cellStyle name="Accent2 14" xfId="4723" xr:uid="{00000000-0005-0000-0000-0000DD1B0000}"/>
    <cellStyle name="Accent2 14 2" xfId="17806" xr:uid="{00000000-0005-0000-0000-0000DE1B0000}"/>
    <cellStyle name="Accent2 14 3" xfId="30393" xr:uid="{00000000-0005-0000-0000-0000DF1B0000}"/>
    <cellStyle name="Accent2 15" xfId="4724" xr:uid="{00000000-0005-0000-0000-0000E01B0000}"/>
    <cellStyle name="Accent2 15 2" xfId="17807" xr:uid="{00000000-0005-0000-0000-0000E11B0000}"/>
    <cellStyle name="Accent2 15 3" xfId="30394" xr:uid="{00000000-0005-0000-0000-0000E21B0000}"/>
    <cellStyle name="Accent2 16" xfId="4725" xr:uid="{00000000-0005-0000-0000-0000E31B0000}"/>
    <cellStyle name="Accent2 16 2" xfId="17808" xr:uid="{00000000-0005-0000-0000-0000E41B0000}"/>
    <cellStyle name="Accent2 16 3" xfId="30395" xr:uid="{00000000-0005-0000-0000-0000E51B0000}"/>
    <cellStyle name="Accent2 17" xfId="4726" xr:uid="{00000000-0005-0000-0000-0000E61B0000}"/>
    <cellStyle name="Accent2 17 2" xfId="17809" xr:uid="{00000000-0005-0000-0000-0000E71B0000}"/>
    <cellStyle name="Accent2 17 3" xfId="30396" xr:uid="{00000000-0005-0000-0000-0000E81B0000}"/>
    <cellStyle name="Accent2 18" xfId="4727" xr:uid="{00000000-0005-0000-0000-0000E91B0000}"/>
    <cellStyle name="Accent2 18 2" xfId="17810" xr:uid="{00000000-0005-0000-0000-0000EA1B0000}"/>
    <cellStyle name="Accent2 19" xfId="4728" xr:uid="{00000000-0005-0000-0000-0000EB1B0000}"/>
    <cellStyle name="Accent2 19 2" xfId="17811" xr:uid="{00000000-0005-0000-0000-0000EC1B0000}"/>
    <cellStyle name="Accent2 2" xfId="4729" xr:uid="{00000000-0005-0000-0000-0000ED1B0000}"/>
    <cellStyle name="Accent2 2 10" xfId="4730" xr:uid="{00000000-0005-0000-0000-0000EE1B0000}"/>
    <cellStyle name="Accent2 2 10 2" xfId="17813" xr:uid="{00000000-0005-0000-0000-0000EF1B0000}"/>
    <cellStyle name="Accent2 2 11" xfId="4731" xr:uid="{00000000-0005-0000-0000-0000F01B0000}"/>
    <cellStyle name="Accent2 2 11 2" xfId="17814" xr:uid="{00000000-0005-0000-0000-0000F11B0000}"/>
    <cellStyle name="Accent2 2 12" xfId="4732" xr:uid="{00000000-0005-0000-0000-0000F21B0000}"/>
    <cellStyle name="Accent2 2 12 2" xfId="17815" xr:uid="{00000000-0005-0000-0000-0000F31B0000}"/>
    <cellStyle name="Accent2 2 13" xfId="4733" xr:uid="{00000000-0005-0000-0000-0000F41B0000}"/>
    <cellStyle name="Accent2 2 13 2" xfId="17816" xr:uid="{00000000-0005-0000-0000-0000F51B0000}"/>
    <cellStyle name="Accent2 2 14" xfId="4734" xr:uid="{00000000-0005-0000-0000-0000F61B0000}"/>
    <cellStyle name="Accent2 2 14 2" xfId="17817" xr:uid="{00000000-0005-0000-0000-0000F71B0000}"/>
    <cellStyle name="Accent2 2 15" xfId="4735" xr:uid="{00000000-0005-0000-0000-0000F81B0000}"/>
    <cellStyle name="Accent2 2 15 2" xfId="17818" xr:uid="{00000000-0005-0000-0000-0000F91B0000}"/>
    <cellStyle name="Accent2 2 16" xfId="4736" xr:uid="{00000000-0005-0000-0000-0000FA1B0000}"/>
    <cellStyle name="Accent2 2 16 2" xfId="4737" xr:uid="{00000000-0005-0000-0000-0000FB1B0000}"/>
    <cellStyle name="Accent2 2 16 2 2" xfId="17820" xr:uid="{00000000-0005-0000-0000-0000FC1B0000}"/>
    <cellStyle name="Accent2 2 16 3" xfId="17819" xr:uid="{00000000-0005-0000-0000-0000FD1B0000}"/>
    <cellStyle name="Accent2 2 17" xfId="4738" xr:uid="{00000000-0005-0000-0000-0000FE1B0000}"/>
    <cellStyle name="Accent2 2 17 2" xfId="17821" xr:uid="{00000000-0005-0000-0000-0000FF1B0000}"/>
    <cellStyle name="Accent2 2 18" xfId="4739" xr:uid="{00000000-0005-0000-0000-0000001C0000}"/>
    <cellStyle name="Accent2 2 18 2" xfId="17822" xr:uid="{00000000-0005-0000-0000-0000011C0000}"/>
    <cellStyle name="Accent2 2 19" xfId="4740" xr:uid="{00000000-0005-0000-0000-0000021C0000}"/>
    <cellStyle name="Accent2 2 19 2" xfId="17823" xr:uid="{00000000-0005-0000-0000-0000031C0000}"/>
    <cellStyle name="Accent2 2 2" xfId="4741" xr:uid="{00000000-0005-0000-0000-0000041C0000}"/>
    <cellStyle name="Accent2 2 2 10" xfId="4742" xr:uid="{00000000-0005-0000-0000-0000051C0000}"/>
    <cellStyle name="Accent2 2 2 10 2" xfId="17825" xr:uid="{00000000-0005-0000-0000-0000061C0000}"/>
    <cellStyle name="Accent2 2 2 11" xfId="4743" xr:uid="{00000000-0005-0000-0000-0000071C0000}"/>
    <cellStyle name="Accent2 2 2 11 2" xfId="17826" xr:uid="{00000000-0005-0000-0000-0000081C0000}"/>
    <cellStyle name="Accent2 2 2 12" xfId="4744" xr:uid="{00000000-0005-0000-0000-0000091C0000}"/>
    <cellStyle name="Accent2 2 2 12 2" xfId="17827" xr:uid="{00000000-0005-0000-0000-00000A1C0000}"/>
    <cellStyle name="Accent2 2 2 13" xfId="4745" xr:uid="{00000000-0005-0000-0000-00000B1C0000}"/>
    <cellStyle name="Accent2 2 2 13 2" xfId="17828" xr:uid="{00000000-0005-0000-0000-00000C1C0000}"/>
    <cellStyle name="Accent2 2 2 14" xfId="4746" xr:uid="{00000000-0005-0000-0000-00000D1C0000}"/>
    <cellStyle name="Accent2 2 2 14 2" xfId="4747" xr:uid="{00000000-0005-0000-0000-00000E1C0000}"/>
    <cellStyle name="Accent2 2 2 14 2 2" xfId="17830" xr:uid="{00000000-0005-0000-0000-00000F1C0000}"/>
    <cellStyle name="Accent2 2 2 14 3" xfId="17829" xr:uid="{00000000-0005-0000-0000-0000101C0000}"/>
    <cellStyle name="Accent2 2 2 15" xfId="4748" xr:uid="{00000000-0005-0000-0000-0000111C0000}"/>
    <cellStyle name="Accent2 2 2 15 2" xfId="17831" xr:uid="{00000000-0005-0000-0000-0000121C0000}"/>
    <cellStyle name="Accent2 2 2 16" xfId="4749" xr:uid="{00000000-0005-0000-0000-0000131C0000}"/>
    <cellStyle name="Accent2 2 2 16 2" xfId="17832" xr:uid="{00000000-0005-0000-0000-0000141C0000}"/>
    <cellStyle name="Accent2 2 2 17" xfId="4750" xr:uid="{00000000-0005-0000-0000-0000151C0000}"/>
    <cellStyle name="Accent2 2 2 17 2" xfId="17833" xr:uid="{00000000-0005-0000-0000-0000161C0000}"/>
    <cellStyle name="Accent2 2 2 18" xfId="4751" xr:uid="{00000000-0005-0000-0000-0000171C0000}"/>
    <cellStyle name="Accent2 2 2 18 2" xfId="17834" xr:uid="{00000000-0005-0000-0000-0000181C0000}"/>
    <cellStyle name="Accent2 2 2 19" xfId="4752" xr:uid="{00000000-0005-0000-0000-0000191C0000}"/>
    <cellStyle name="Accent2 2 2 19 2" xfId="17835" xr:uid="{00000000-0005-0000-0000-00001A1C0000}"/>
    <cellStyle name="Accent2 2 2 2" xfId="4753" xr:uid="{00000000-0005-0000-0000-00001B1C0000}"/>
    <cellStyle name="Accent2 2 2 2 10" xfId="4754" xr:uid="{00000000-0005-0000-0000-00001C1C0000}"/>
    <cellStyle name="Accent2 2 2 2 10 2" xfId="17837" xr:uid="{00000000-0005-0000-0000-00001D1C0000}"/>
    <cellStyle name="Accent2 2 2 2 11" xfId="4755" xr:uid="{00000000-0005-0000-0000-00001E1C0000}"/>
    <cellStyle name="Accent2 2 2 2 11 2" xfId="17838" xr:uid="{00000000-0005-0000-0000-00001F1C0000}"/>
    <cellStyle name="Accent2 2 2 2 12" xfId="4756" xr:uid="{00000000-0005-0000-0000-0000201C0000}"/>
    <cellStyle name="Accent2 2 2 2 12 2" xfId="17839" xr:uid="{00000000-0005-0000-0000-0000211C0000}"/>
    <cellStyle name="Accent2 2 2 2 13" xfId="4757" xr:uid="{00000000-0005-0000-0000-0000221C0000}"/>
    <cellStyle name="Accent2 2 2 2 13 2" xfId="17840" xr:uid="{00000000-0005-0000-0000-0000231C0000}"/>
    <cellStyle name="Accent2 2 2 2 14" xfId="4758" xr:uid="{00000000-0005-0000-0000-0000241C0000}"/>
    <cellStyle name="Accent2 2 2 2 14 2" xfId="17841" xr:uid="{00000000-0005-0000-0000-0000251C0000}"/>
    <cellStyle name="Accent2 2 2 2 15" xfId="4759" xr:uid="{00000000-0005-0000-0000-0000261C0000}"/>
    <cellStyle name="Accent2 2 2 2 15 2" xfId="17842" xr:uid="{00000000-0005-0000-0000-0000271C0000}"/>
    <cellStyle name="Accent2 2 2 2 16" xfId="4760" xr:uid="{00000000-0005-0000-0000-0000281C0000}"/>
    <cellStyle name="Accent2 2 2 2 16 2" xfId="17843" xr:uid="{00000000-0005-0000-0000-0000291C0000}"/>
    <cellStyle name="Accent2 2 2 2 17" xfId="4761" xr:uid="{00000000-0005-0000-0000-00002A1C0000}"/>
    <cellStyle name="Accent2 2 2 2 17 2" xfId="17844" xr:uid="{00000000-0005-0000-0000-00002B1C0000}"/>
    <cellStyle name="Accent2 2 2 2 18" xfId="4762" xr:uid="{00000000-0005-0000-0000-00002C1C0000}"/>
    <cellStyle name="Accent2 2 2 2 18 2" xfId="17845" xr:uid="{00000000-0005-0000-0000-00002D1C0000}"/>
    <cellStyle name="Accent2 2 2 2 19" xfId="4763" xr:uid="{00000000-0005-0000-0000-00002E1C0000}"/>
    <cellStyle name="Accent2 2 2 2 19 2" xfId="17846" xr:uid="{00000000-0005-0000-0000-00002F1C0000}"/>
    <cellStyle name="Accent2 2 2 2 2" xfId="4764" xr:uid="{00000000-0005-0000-0000-0000301C0000}"/>
    <cellStyle name="Accent2 2 2 2 2 10" xfId="4765" xr:uid="{00000000-0005-0000-0000-0000311C0000}"/>
    <cellStyle name="Accent2 2 2 2 2 10 2" xfId="17848" xr:uid="{00000000-0005-0000-0000-0000321C0000}"/>
    <cellStyle name="Accent2 2 2 2 2 11" xfId="4766" xr:uid="{00000000-0005-0000-0000-0000331C0000}"/>
    <cellStyle name="Accent2 2 2 2 2 11 2" xfId="17849" xr:uid="{00000000-0005-0000-0000-0000341C0000}"/>
    <cellStyle name="Accent2 2 2 2 2 12" xfId="4767" xr:uid="{00000000-0005-0000-0000-0000351C0000}"/>
    <cellStyle name="Accent2 2 2 2 2 12 2" xfId="17850" xr:uid="{00000000-0005-0000-0000-0000361C0000}"/>
    <cellStyle name="Accent2 2 2 2 2 13" xfId="4768" xr:uid="{00000000-0005-0000-0000-0000371C0000}"/>
    <cellStyle name="Accent2 2 2 2 2 13 2" xfId="17851" xr:uid="{00000000-0005-0000-0000-0000381C0000}"/>
    <cellStyle name="Accent2 2 2 2 2 14" xfId="4769" xr:uid="{00000000-0005-0000-0000-0000391C0000}"/>
    <cellStyle name="Accent2 2 2 2 2 14 2" xfId="17852" xr:uid="{00000000-0005-0000-0000-00003A1C0000}"/>
    <cellStyle name="Accent2 2 2 2 2 15" xfId="4770" xr:uid="{00000000-0005-0000-0000-00003B1C0000}"/>
    <cellStyle name="Accent2 2 2 2 2 15 2" xfId="17853" xr:uid="{00000000-0005-0000-0000-00003C1C0000}"/>
    <cellStyle name="Accent2 2 2 2 2 16" xfId="4771" xr:uid="{00000000-0005-0000-0000-00003D1C0000}"/>
    <cellStyle name="Accent2 2 2 2 2 16 2" xfId="17854" xr:uid="{00000000-0005-0000-0000-00003E1C0000}"/>
    <cellStyle name="Accent2 2 2 2 2 17" xfId="4772" xr:uid="{00000000-0005-0000-0000-00003F1C0000}"/>
    <cellStyle name="Accent2 2 2 2 2 17 2" xfId="17855" xr:uid="{00000000-0005-0000-0000-0000401C0000}"/>
    <cellStyle name="Accent2 2 2 2 2 18" xfId="4773" xr:uid="{00000000-0005-0000-0000-0000411C0000}"/>
    <cellStyle name="Accent2 2 2 2 2 18 2" xfId="17856" xr:uid="{00000000-0005-0000-0000-0000421C0000}"/>
    <cellStyle name="Accent2 2 2 2 2 19" xfId="4774" xr:uid="{00000000-0005-0000-0000-0000431C0000}"/>
    <cellStyle name="Accent2 2 2 2 2 19 2" xfId="17857" xr:uid="{00000000-0005-0000-0000-0000441C0000}"/>
    <cellStyle name="Accent2 2 2 2 2 2" xfId="4775" xr:uid="{00000000-0005-0000-0000-0000451C0000}"/>
    <cellStyle name="Accent2 2 2 2 2 2 10" xfId="4776" xr:uid="{00000000-0005-0000-0000-0000461C0000}"/>
    <cellStyle name="Accent2 2 2 2 2 2 10 2" xfId="17859" xr:uid="{00000000-0005-0000-0000-0000471C0000}"/>
    <cellStyle name="Accent2 2 2 2 2 2 11" xfId="4777" xr:uid="{00000000-0005-0000-0000-0000481C0000}"/>
    <cellStyle name="Accent2 2 2 2 2 2 11 2" xfId="4778" xr:uid="{00000000-0005-0000-0000-0000491C0000}"/>
    <cellStyle name="Accent2 2 2 2 2 2 11 2 2" xfId="17861" xr:uid="{00000000-0005-0000-0000-00004A1C0000}"/>
    <cellStyle name="Accent2 2 2 2 2 2 11 3" xfId="17860" xr:uid="{00000000-0005-0000-0000-00004B1C0000}"/>
    <cellStyle name="Accent2 2 2 2 2 2 12" xfId="17858" xr:uid="{00000000-0005-0000-0000-00004C1C0000}"/>
    <cellStyle name="Accent2 2 2 2 2 2 2" xfId="4779" xr:uid="{00000000-0005-0000-0000-00004D1C0000}"/>
    <cellStyle name="Accent2 2 2 2 2 2 2 10" xfId="4780" xr:uid="{00000000-0005-0000-0000-00004E1C0000}"/>
    <cellStyle name="Accent2 2 2 2 2 2 2 10 2" xfId="17863" xr:uid="{00000000-0005-0000-0000-00004F1C0000}"/>
    <cellStyle name="Accent2 2 2 2 2 2 2 11" xfId="4781" xr:uid="{00000000-0005-0000-0000-0000501C0000}"/>
    <cellStyle name="Accent2 2 2 2 2 2 2 11 2" xfId="4782" xr:uid="{00000000-0005-0000-0000-0000511C0000}"/>
    <cellStyle name="Accent2 2 2 2 2 2 2 11 2 2" xfId="17865" xr:uid="{00000000-0005-0000-0000-0000521C0000}"/>
    <cellStyle name="Accent2 2 2 2 2 2 2 11 3" xfId="17864" xr:uid="{00000000-0005-0000-0000-0000531C0000}"/>
    <cellStyle name="Accent2 2 2 2 2 2 2 12" xfId="17862" xr:uid="{00000000-0005-0000-0000-0000541C0000}"/>
    <cellStyle name="Accent2 2 2 2 2 2 2 2" xfId="4783" xr:uid="{00000000-0005-0000-0000-0000551C0000}"/>
    <cellStyle name="Accent2 2 2 2 2 2 2 2 2" xfId="4784" xr:uid="{00000000-0005-0000-0000-0000561C0000}"/>
    <cellStyle name="Accent2 2 2 2 2 2 2 2 2 2" xfId="4785" xr:uid="{00000000-0005-0000-0000-0000571C0000}"/>
    <cellStyle name="Accent2 2 2 2 2 2 2 2 2 2 2" xfId="4786" xr:uid="{00000000-0005-0000-0000-0000581C0000}"/>
    <cellStyle name="Accent2 2 2 2 2 2 2 2 2 2 2 2" xfId="17869" xr:uid="{00000000-0005-0000-0000-0000591C0000}"/>
    <cellStyle name="Accent2 2 2 2 2 2 2 2 2 2 3" xfId="17868" xr:uid="{00000000-0005-0000-0000-00005A1C0000}"/>
    <cellStyle name="Accent2 2 2 2 2 2 2 2 2 3" xfId="4787" xr:uid="{00000000-0005-0000-0000-00005B1C0000}"/>
    <cellStyle name="Accent2 2 2 2 2 2 2 2 2 3 2" xfId="17870" xr:uid="{00000000-0005-0000-0000-00005C1C0000}"/>
    <cellStyle name="Accent2 2 2 2 2 2 2 2 2 4" xfId="17867" xr:uid="{00000000-0005-0000-0000-00005D1C0000}"/>
    <cellStyle name="Accent2 2 2 2 2 2 2 2 3" xfId="4788" xr:uid="{00000000-0005-0000-0000-00005E1C0000}"/>
    <cellStyle name="Accent2 2 2 2 2 2 2 2 3 2" xfId="4789" xr:uid="{00000000-0005-0000-0000-00005F1C0000}"/>
    <cellStyle name="Accent2 2 2 2 2 2 2 2 3 2 2" xfId="17872" xr:uid="{00000000-0005-0000-0000-0000601C0000}"/>
    <cellStyle name="Accent2 2 2 2 2 2 2 2 3 3" xfId="17871" xr:uid="{00000000-0005-0000-0000-0000611C0000}"/>
    <cellStyle name="Accent2 2 2 2 2 2 2 2 4" xfId="17866" xr:uid="{00000000-0005-0000-0000-0000621C0000}"/>
    <cellStyle name="Accent2 2 2 2 2 2 2 3" xfId="4790" xr:uid="{00000000-0005-0000-0000-0000631C0000}"/>
    <cellStyle name="Accent2 2 2 2 2 2 2 3 2" xfId="17873" xr:uid="{00000000-0005-0000-0000-0000641C0000}"/>
    <cellStyle name="Accent2 2 2 2 2 2 2 4" xfId="4791" xr:uid="{00000000-0005-0000-0000-0000651C0000}"/>
    <cellStyle name="Accent2 2 2 2 2 2 2 4 2" xfId="17874" xr:uid="{00000000-0005-0000-0000-0000661C0000}"/>
    <cellStyle name="Accent2 2 2 2 2 2 2 5" xfId="4792" xr:uid="{00000000-0005-0000-0000-0000671C0000}"/>
    <cellStyle name="Accent2 2 2 2 2 2 2 5 2" xfId="17875" xr:uid="{00000000-0005-0000-0000-0000681C0000}"/>
    <cellStyle name="Accent2 2 2 2 2 2 2 6" xfId="4793" xr:uid="{00000000-0005-0000-0000-0000691C0000}"/>
    <cellStyle name="Accent2 2 2 2 2 2 2 6 2" xfId="17876" xr:uid="{00000000-0005-0000-0000-00006A1C0000}"/>
    <cellStyle name="Accent2 2 2 2 2 2 2 7" xfId="4794" xr:uid="{00000000-0005-0000-0000-00006B1C0000}"/>
    <cellStyle name="Accent2 2 2 2 2 2 2 7 2" xfId="17877" xr:uid="{00000000-0005-0000-0000-00006C1C0000}"/>
    <cellStyle name="Accent2 2 2 2 2 2 2 8" xfId="4795" xr:uid="{00000000-0005-0000-0000-00006D1C0000}"/>
    <cellStyle name="Accent2 2 2 2 2 2 2 8 2" xfId="17878" xr:uid="{00000000-0005-0000-0000-00006E1C0000}"/>
    <cellStyle name="Accent2 2 2 2 2 2 2 9" xfId="4796" xr:uid="{00000000-0005-0000-0000-00006F1C0000}"/>
    <cellStyle name="Accent2 2 2 2 2 2 2 9 2" xfId="17879" xr:uid="{00000000-0005-0000-0000-0000701C0000}"/>
    <cellStyle name="Accent2 2 2 2 2 2 3" xfId="4797" xr:uid="{00000000-0005-0000-0000-0000711C0000}"/>
    <cellStyle name="Accent2 2 2 2 2 2 3 2" xfId="4798" xr:uid="{00000000-0005-0000-0000-0000721C0000}"/>
    <cellStyle name="Accent2 2 2 2 2 2 3 2 2" xfId="17881" xr:uid="{00000000-0005-0000-0000-0000731C0000}"/>
    <cellStyle name="Accent2 2 2 2 2 2 3 3" xfId="17880" xr:uid="{00000000-0005-0000-0000-0000741C0000}"/>
    <cellStyle name="Accent2 2 2 2 2 2 4" xfId="4799" xr:uid="{00000000-0005-0000-0000-0000751C0000}"/>
    <cellStyle name="Accent2 2 2 2 2 2 4 2" xfId="17882" xr:uid="{00000000-0005-0000-0000-0000761C0000}"/>
    <cellStyle name="Accent2 2 2 2 2 2 5" xfId="4800" xr:uid="{00000000-0005-0000-0000-0000771C0000}"/>
    <cellStyle name="Accent2 2 2 2 2 2 5 2" xfId="17883" xr:uid="{00000000-0005-0000-0000-0000781C0000}"/>
    <cellStyle name="Accent2 2 2 2 2 2 6" xfId="4801" xr:uid="{00000000-0005-0000-0000-0000791C0000}"/>
    <cellStyle name="Accent2 2 2 2 2 2 6 2" xfId="17884" xr:uid="{00000000-0005-0000-0000-00007A1C0000}"/>
    <cellStyle name="Accent2 2 2 2 2 2 7" xfId="4802" xr:uid="{00000000-0005-0000-0000-00007B1C0000}"/>
    <cellStyle name="Accent2 2 2 2 2 2 7 2" xfId="17885" xr:uid="{00000000-0005-0000-0000-00007C1C0000}"/>
    <cellStyle name="Accent2 2 2 2 2 2 8" xfId="4803" xr:uid="{00000000-0005-0000-0000-00007D1C0000}"/>
    <cellStyle name="Accent2 2 2 2 2 2 8 2" xfId="17886" xr:uid="{00000000-0005-0000-0000-00007E1C0000}"/>
    <cellStyle name="Accent2 2 2 2 2 2 9" xfId="4804" xr:uid="{00000000-0005-0000-0000-00007F1C0000}"/>
    <cellStyle name="Accent2 2 2 2 2 2 9 2" xfId="17887" xr:uid="{00000000-0005-0000-0000-0000801C0000}"/>
    <cellStyle name="Accent2 2 2 2 2 20" xfId="4805" xr:uid="{00000000-0005-0000-0000-0000811C0000}"/>
    <cellStyle name="Accent2 2 2 2 2 20 2" xfId="4806" xr:uid="{00000000-0005-0000-0000-0000821C0000}"/>
    <cellStyle name="Accent2 2 2 2 2 20 2 2" xfId="17889" xr:uid="{00000000-0005-0000-0000-0000831C0000}"/>
    <cellStyle name="Accent2 2 2 2 2 20 3" xfId="17888" xr:uid="{00000000-0005-0000-0000-0000841C0000}"/>
    <cellStyle name="Accent2 2 2 2 2 21" xfId="4807" xr:uid="{00000000-0005-0000-0000-0000851C0000}"/>
    <cellStyle name="Accent2 2 2 2 2 21 2" xfId="17890" xr:uid="{00000000-0005-0000-0000-0000861C0000}"/>
    <cellStyle name="Accent2 2 2 2 2 22" xfId="4808" xr:uid="{00000000-0005-0000-0000-0000871C0000}"/>
    <cellStyle name="Accent2 2 2 2 2 22 2" xfId="17891" xr:uid="{00000000-0005-0000-0000-0000881C0000}"/>
    <cellStyle name="Accent2 2 2 2 2 23" xfId="4809" xr:uid="{00000000-0005-0000-0000-0000891C0000}"/>
    <cellStyle name="Accent2 2 2 2 2 23 2" xfId="17892" xr:uid="{00000000-0005-0000-0000-00008A1C0000}"/>
    <cellStyle name="Accent2 2 2 2 2 24" xfId="4810" xr:uid="{00000000-0005-0000-0000-00008B1C0000}"/>
    <cellStyle name="Accent2 2 2 2 2 24 2" xfId="17893" xr:uid="{00000000-0005-0000-0000-00008C1C0000}"/>
    <cellStyle name="Accent2 2 2 2 2 25" xfId="4811" xr:uid="{00000000-0005-0000-0000-00008D1C0000}"/>
    <cellStyle name="Accent2 2 2 2 2 25 2" xfId="17894" xr:uid="{00000000-0005-0000-0000-00008E1C0000}"/>
    <cellStyle name="Accent2 2 2 2 2 26" xfId="4812" xr:uid="{00000000-0005-0000-0000-00008F1C0000}"/>
    <cellStyle name="Accent2 2 2 2 2 26 2" xfId="17895" xr:uid="{00000000-0005-0000-0000-0000901C0000}"/>
    <cellStyle name="Accent2 2 2 2 2 27" xfId="4813" xr:uid="{00000000-0005-0000-0000-0000911C0000}"/>
    <cellStyle name="Accent2 2 2 2 2 27 2" xfId="17896" xr:uid="{00000000-0005-0000-0000-0000921C0000}"/>
    <cellStyle name="Accent2 2 2 2 2 28" xfId="4814" xr:uid="{00000000-0005-0000-0000-0000931C0000}"/>
    <cellStyle name="Accent2 2 2 2 2 28 2" xfId="4815" xr:uid="{00000000-0005-0000-0000-0000941C0000}"/>
    <cellStyle name="Accent2 2 2 2 2 28 2 2" xfId="17898" xr:uid="{00000000-0005-0000-0000-0000951C0000}"/>
    <cellStyle name="Accent2 2 2 2 2 28 3" xfId="17897" xr:uid="{00000000-0005-0000-0000-0000961C0000}"/>
    <cellStyle name="Accent2 2 2 2 2 29" xfId="17847" xr:uid="{00000000-0005-0000-0000-0000971C0000}"/>
    <cellStyle name="Accent2 2 2 2 2 3" xfId="4816" xr:uid="{00000000-0005-0000-0000-0000981C0000}"/>
    <cellStyle name="Accent2 2 2 2 2 3 2" xfId="17899" xr:uid="{00000000-0005-0000-0000-0000991C0000}"/>
    <cellStyle name="Accent2 2 2 2 2 4" xfId="4817" xr:uid="{00000000-0005-0000-0000-00009A1C0000}"/>
    <cellStyle name="Accent2 2 2 2 2 4 2" xfId="17900" xr:uid="{00000000-0005-0000-0000-00009B1C0000}"/>
    <cellStyle name="Accent2 2 2 2 2 5" xfId="4818" xr:uid="{00000000-0005-0000-0000-00009C1C0000}"/>
    <cellStyle name="Accent2 2 2 2 2 5 2" xfId="17901" xr:uid="{00000000-0005-0000-0000-00009D1C0000}"/>
    <cellStyle name="Accent2 2 2 2 2 6" xfId="4819" xr:uid="{00000000-0005-0000-0000-00009E1C0000}"/>
    <cellStyle name="Accent2 2 2 2 2 6 2" xfId="17902" xr:uid="{00000000-0005-0000-0000-00009F1C0000}"/>
    <cellStyle name="Accent2 2 2 2 2 7" xfId="4820" xr:uid="{00000000-0005-0000-0000-0000A01C0000}"/>
    <cellStyle name="Accent2 2 2 2 2 7 2" xfId="17903" xr:uid="{00000000-0005-0000-0000-0000A11C0000}"/>
    <cellStyle name="Accent2 2 2 2 2 8" xfId="4821" xr:uid="{00000000-0005-0000-0000-0000A21C0000}"/>
    <cellStyle name="Accent2 2 2 2 2 8 2" xfId="17904" xr:uid="{00000000-0005-0000-0000-0000A31C0000}"/>
    <cellStyle name="Accent2 2 2 2 2 9" xfId="4822" xr:uid="{00000000-0005-0000-0000-0000A41C0000}"/>
    <cellStyle name="Accent2 2 2 2 2 9 2" xfId="17905" xr:uid="{00000000-0005-0000-0000-0000A51C0000}"/>
    <cellStyle name="Accent2 2 2 2 20" xfId="4823" xr:uid="{00000000-0005-0000-0000-0000A61C0000}"/>
    <cellStyle name="Accent2 2 2 2 20 2" xfId="4824" xr:uid="{00000000-0005-0000-0000-0000A71C0000}"/>
    <cellStyle name="Accent2 2 2 2 20 2 2" xfId="17907" xr:uid="{00000000-0005-0000-0000-0000A81C0000}"/>
    <cellStyle name="Accent2 2 2 2 20 3" xfId="17906" xr:uid="{00000000-0005-0000-0000-0000A91C0000}"/>
    <cellStyle name="Accent2 2 2 2 21" xfId="4825" xr:uid="{00000000-0005-0000-0000-0000AA1C0000}"/>
    <cellStyle name="Accent2 2 2 2 21 2" xfId="17908" xr:uid="{00000000-0005-0000-0000-0000AB1C0000}"/>
    <cellStyle name="Accent2 2 2 2 22" xfId="4826" xr:uid="{00000000-0005-0000-0000-0000AC1C0000}"/>
    <cellStyle name="Accent2 2 2 2 22 2" xfId="17909" xr:uid="{00000000-0005-0000-0000-0000AD1C0000}"/>
    <cellStyle name="Accent2 2 2 2 23" xfId="4827" xr:uid="{00000000-0005-0000-0000-0000AE1C0000}"/>
    <cellStyle name="Accent2 2 2 2 23 2" xfId="17910" xr:uid="{00000000-0005-0000-0000-0000AF1C0000}"/>
    <cellStyle name="Accent2 2 2 2 24" xfId="4828" xr:uid="{00000000-0005-0000-0000-0000B01C0000}"/>
    <cellStyle name="Accent2 2 2 2 24 2" xfId="17911" xr:uid="{00000000-0005-0000-0000-0000B11C0000}"/>
    <cellStyle name="Accent2 2 2 2 25" xfId="4829" xr:uid="{00000000-0005-0000-0000-0000B21C0000}"/>
    <cellStyle name="Accent2 2 2 2 25 2" xfId="17912" xr:uid="{00000000-0005-0000-0000-0000B31C0000}"/>
    <cellStyle name="Accent2 2 2 2 26" xfId="4830" xr:uid="{00000000-0005-0000-0000-0000B41C0000}"/>
    <cellStyle name="Accent2 2 2 2 26 2" xfId="17913" xr:uid="{00000000-0005-0000-0000-0000B51C0000}"/>
    <cellStyle name="Accent2 2 2 2 27" xfId="4831" xr:uid="{00000000-0005-0000-0000-0000B61C0000}"/>
    <cellStyle name="Accent2 2 2 2 27 2" xfId="17914" xr:uid="{00000000-0005-0000-0000-0000B71C0000}"/>
    <cellStyle name="Accent2 2 2 2 28" xfId="4832" xr:uid="{00000000-0005-0000-0000-0000B81C0000}"/>
    <cellStyle name="Accent2 2 2 2 28 2" xfId="4833" xr:uid="{00000000-0005-0000-0000-0000B91C0000}"/>
    <cellStyle name="Accent2 2 2 2 28 2 2" xfId="17916" xr:uid="{00000000-0005-0000-0000-0000BA1C0000}"/>
    <cellStyle name="Accent2 2 2 2 28 3" xfId="17915" xr:uid="{00000000-0005-0000-0000-0000BB1C0000}"/>
    <cellStyle name="Accent2 2 2 2 29" xfId="17836" xr:uid="{00000000-0005-0000-0000-0000BC1C0000}"/>
    <cellStyle name="Accent2 2 2 2 3" xfId="4834" xr:uid="{00000000-0005-0000-0000-0000BD1C0000}"/>
    <cellStyle name="Accent2 2 2 2 3 2" xfId="4835" xr:uid="{00000000-0005-0000-0000-0000BE1C0000}"/>
    <cellStyle name="Accent2 2 2 2 3 2 2" xfId="17918" xr:uid="{00000000-0005-0000-0000-0000BF1C0000}"/>
    <cellStyle name="Accent2 2 2 2 3 3" xfId="17917" xr:uid="{00000000-0005-0000-0000-0000C01C0000}"/>
    <cellStyle name="Accent2 2 2 2 30" xfId="30397" xr:uid="{00000000-0005-0000-0000-0000C11C0000}"/>
    <cellStyle name="Accent2 2 2 2 4" xfId="4836" xr:uid="{00000000-0005-0000-0000-0000C21C0000}"/>
    <cellStyle name="Accent2 2 2 2 4 2" xfId="17919" xr:uid="{00000000-0005-0000-0000-0000C31C0000}"/>
    <cellStyle name="Accent2 2 2 2 5" xfId="4837" xr:uid="{00000000-0005-0000-0000-0000C41C0000}"/>
    <cellStyle name="Accent2 2 2 2 5 2" xfId="17920" xr:uid="{00000000-0005-0000-0000-0000C51C0000}"/>
    <cellStyle name="Accent2 2 2 2 6" xfId="4838" xr:uid="{00000000-0005-0000-0000-0000C61C0000}"/>
    <cellStyle name="Accent2 2 2 2 6 2" xfId="17921" xr:uid="{00000000-0005-0000-0000-0000C71C0000}"/>
    <cellStyle name="Accent2 2 2 2 7" xfId="4839" xr:uid="{00000000-0005-0000-0000-0000C81C0000}"/>
    <cellStyle name="Accent2 2 2 2 7 2" xfId="17922" xr:uid="{00000000-0005-0000-0000-0000C91C0000}"/>
    <cellStyle name="Accent2 2 2 2 8" xfId="4840" xr:uid="{00000000-0005-0000-0000-0000CA1C0000}"/>
    <cellStyle name="Accent2 2 2 2 8 2" xfId="17923" xr:uid="{00000000-0005-0000-0000-0000CB1C0000}"/>
    <cellStyle name="Accent2 2 2 2 9" xfId="4841" xr:uid="{00000000-0005-0000-0000-0000CC1C0000}"/>
    <cellStyle name="Accent2 2 2 2 9 2" xfId="17924" xr:uid="{00000000-0005-0000-0000-0000CD1C0000}"/>
    <cellStyle name="Accent2 2 2 20" xfId="4842" xr:uid="{00000000-0005-0000-0000-0000CE1C0000}"/>
    <cellStyle name="Accent2 2 2 20 2" xfId="17925" xr:uid="{00000000-0005-0000-0000-0000CF1C0000}"/>
    <cellStyle name="Accent2 2 2 21" xfId="4843" xr:uid="{00000000-0005-0000-0000-0000D01C0000}"/>
    <cellStyle name="Accent2 2 2 21 2" xfId="17926" xr:uid="{00000000-0005-0000-0000-0000D11C0000}"/>
    <cellStyle name="Accent2 2 2 22" xfId="4844" xr:uid="{00000000-0005-0000-0000-0000D21C0000}"/>
    <cellStyle name="Accent2 2 2 22 2" xfId="17927" xr:uid="{00000000-0005-0000-0000-0000D31C0000}"/>
    <cellStyle name="Accent2 2 2 23" xfId="4845" xr:uid="{00000000-0005-0000-0000-0000D41C0000}"/>
    <cellStyle name="Accent2 2 2 23 2" xfId="17928" xr:uid="{00000000-0005-0000-0000-0000D51C0000}"/>
    <cellStyle name="Accent2 2 2 24" xfId="4846" xr:uid="{00000000-0005-0000-0000-0000D61C0000}"/>
    <cellStyle name="Accent2 2 2 24 2" xfId="17929" xr:uid="{00000000-0005-0000-0000-0000D71C0000}"/>
    <cellStyle name="Accent2 2 2 25" xfId="4847" xr:uid="{00000000-0005-0000-0000-0000D81C0000}"/>
    <cellStyle name="Accent2 2 2 25 2" xfId="17930" xr:uid="{00000000-0005-0000-0000-0000D91C0000}"/>
    <cellStyle name="Accent2 2 2 26" xfId="4848" xr:uid="{00000000-0005-0000-0000-0000DA1C0000}"/>
    <cellStyle name="Accent2 2 2 26 2" xfId="17931" xr:uid="{00000000-0005-0000-0000-0000DB1C0000}"/>
    <cellStyle name="Accent2 2 2 27" xfId="4849" xr:uid="{00000000-0005-0000-0000-0000DC1C0000}"/>
    <cellStyle name="Accent2 2 2 27 2" xfId="17932" xr:uid="{00000000-0005-0000-0000-0000DD1C0000}"/>
    <cellStyle name="Accent2 2 2 28" xfId="4850" xr:uid="{00000000-0005-0000-0000-0000DE1C0000}"/>
    <cellStyle name="Accent2 2 2 28 2" xfId="17933" xr:uid="{00000000-0005-0000-0000-0000DF1C0000}"/>
    <cellStyle name="Accent2 2 2 29" xfId="4851" xr:uid="{00000000-0005-0000-0000-0000E01C0000}"/>
    <cellStyle name="Accent2 2 2 29 2" xfId="17934" xr:uid="{00000000-0005-0000-0000-0000E11C0000}"/>
    <cellStyle name="Accent2 2 2 3" xfId="4852" xr:uid="{00000000-0005-0000-0000-0000E21C0000}"/>
    <cellStyle name="Accent2 2 2 3 2" xfId="17935" xr:uid="{00000000-0005-0000-0000-0000E31C0000}"/>
    <cellStyle name="Accent2 2 2 30" xfId="4853" xr:uid="{00000000-0005-0000-0000-0000E41C0000}"/>
    <cellStyle name="Accent2 2 2 30 2" xfId="17936" xr:uid="{00000000-0005-0000-0000-0000E51C0000}"/>
    <cellStyle name="Accent2 2 2 31" xfId="4854" xr:uid="{00000000-0005-0000-0000-0000E61C0000}"/>
    <cellStyle name="Accent2 2 2 31 2" xfId="4855" xr:uid="{00000000-0005-0000-0000-0000E71C0000}"/>
    <cellStyle name="Accent2 2 2 31 2 2" xfId="17938" xr:uid="{00000000-0005-0000-0000-0000E81C0000}"/>
    <cellStyle name="Accent2 2 2 31 3" xfId="17937" xr:uid="{00000000-0005-0000-0000-0000E91C0000}"/>
    <cellStyle name="Accent2 2 2 32" xfId="4856" xr:uid="{00000000-0005-0000-0000-0000EA1C0000}"/>
    <cellStyle name="Accent2 2 2 32 2" xfId="17939" xr:uid="{00000000-0005-0000-0000-0000EB1C0000}"/>
    <cellStyle name="Accent2 2 2 33" xfId="4857" xr:uid="{00000000-0005-0000-0000-0000EC1C0000}"/>
    <cellStyle name="Accent2 2 2 33 2" xfId="17940" xr:uid="{00000000-0005-0000-0000-0000ED1C0000}"/>
    <cellStyle name="Accent2 2 2 34" xfId="4858" xr:uid="{00000000-0005-0000-0000-0000EE1C0000}"/>
    <cellStyle name="Accent2 2 2 34 2" xfId="17941" xr:uid="{00000000-0005-0000-0000-0000EF1C0000}"/>
    <cellStyle name="Accent2 2 2 35" xfId="4859" xr:uid="{00000000-0005-0000-0000-0000F01C0000}"/>
    <cellStyle name="Accent2 2 2 35 2" xfId="17942" xr:uid="{00000000-0005-0000-0000-0000F11C0000}"/>
    <cellStyle name="Accent2 2 2 36" xfId="4860" xr:uid="{00000000-0005-0000-0000-0000F21C0000}"/>
    <cellStyle name="Accent2 2 2 36 2" xfId="17943" xr:uid="{00000000-0005-0000-0000-0000F31C0000}"/>
    <cellStyle name="Accent2 2 2 37" xfId="4861" xr:uid="{00000000-0005-0000-0000-0000F41C0000}"/>
    <cellStyle name="Accent2 2 2 37 2" xfId="17944" xr:uid="{00000000-0005-0000-0000-0000F51C0000}"/>
    <cellStyle name="Accent2 2 2 38" xfId="4862" xr:uid="{00000000-0005-0000-0000-0000F61C0000}"/>
    <cellStyle name="Accent2 2 2 38 2" xfId="17945" xr:uid="{00000000-0005-0000-0000-0000F71C0000}"/>
    <cellStyle name="Accent2 2 2 39" xfId="4863" xr:uid="{00000000-0005-0000-0000-0000F81C0000}"/>
    <cellStyle name="Accent2 2 2 39 2" xfId="4864" xr:uid="{00000000-0005-0000-0000-0000F91C0000}"/>
    <cellStyle name="Accent2 2 2 39 2 2" xfId="17947" xr:uid="{00000000-0005-0000-0000-0000FA1C0000}"/>
    <cellStyle name="Accent2 2 2 39 3" xfId="17946" xr:uid="{00000000-0005-0000-0000-0000FB1C0000}"/>
    <cellStyle name="Accent2 2 2 4" xfId="4865" xr:uid="{00000000-0005-0000-0000-0000FC1C0000}"/>
    <cellStyle name="Accent2 2 2 4 2" xfId="17948" xr:uid="{00000000-0005-0000-0000-0000FD1C0000}"/>
    <cellStyle name="Accent2 2 2 40" xfId="17824" xr:uid="{00000000-0005-0000-0000-0000FE1C0000}"/>
    <cellStyle name="Accent2 2 2 41" xfId="30398" xr:uid="{00000000-0005-0000-0000-0000FF1C0000}"/>
    <cellStyle name="Accent2 2 2 42" xfId="30399" xr:uid="{00000000-0005-0000-0000-0000001D0000}"/>
    <cellStyle name="Accent2 2 2 43" xfId="30400" xr:uid="{00000000-0005-0000-0000-0000011D0000}"/>
    <cellStyle name="Accent2 2 2 44" xfId="30401" xr:uid="{00000000-0005-0000-0000-0000021D0000}"/>
    <cellStyle name="Accent2 2 2 5" xfId="4866" xr:uid="{00000000-0005-0000-0000-0000031D0000}"/>
    <cellStyle name="Accent2 2 2 5 2" xfId="17949" xr:uid="{00000000-0005-0000-0000-0000041D0000}"/>
    <cellStyle name="Accent2 2 2 6" xfId="4867" xr:uid="{00000000-0005-0000-0000-0000051D0000}"/>
    <cellStyle name="Accent2 2 2 6 2" xfId="17950" xr:uid="{00000000-0005-0000-0000-0000061D0000}"/>
    <cellStyle name="Accent2 2 2 7" xfId="4868" xr:uid="{00000000-0005-0000-0000-0000071D0000}"/>
    <cellStyle name="Accent2 2 2 7 2" xfId="17951" xr:uid="{00000000-0005-0000-0000-0000081D0000}"/>
    <cellStyle name="Accent2 2 2 8" xfId="4869" xr:uid="{00000000-0005-0000-0000-0000091D0000}"/>
    <cellStyle name="Accent2 2 2 8 2" xfId="17952" xr:uid="{00000000-0005-0000-0000-00000A1D0000}"/>
    <cellStyle name="Accent2 2 2 9" xfId="4870" xr:uid="{00000000-0005-0000-0000-00000B1D0000}"/>
    <cellStyle name="Accent2 2 2 9 2" xfId="17953" xr:uid="{00000000-0005-0000-0000-00000C1D0000}"/>
    <cellStyle name="Accent2 2 2_Loan Classification" xfId="11427" xr:uid="{00000000-0005-0000-0000-00000D1D0000}"/>
    <cellStyle name="Accent2 2 20" xfId="4871" xr:uid="{00000000-0005-0000-0000-00000E1D0000}"/>
    <cellStyle name="Accent2 2 20 2" xfId="17954" xr:uid="{00000000-0005-0000-0000-00000F1D0000}"/>
    <cellStyle name="Accent2 2 21" xfId="4872" xr:uid="{00000000-0005-0000-0000-0000101D0000}"/>
    <cellStyle name="Accent2 2 21 2" xfId="17955" xr:uid="{00000000-0005-0000-0000-0000111D0000}"/>
    <cellStyle name="Accent2 2 22" xfId="4873" xr:uid="{00000000-0005-0000-0000-0000121D0000}"/>
    <cellStyle name="Accent2 2 22 2" xfId="17956" xr:uid="{00000000-0005-0000-0000-0000131D0000}"/>
    <cellStyle name="Accent2 2 23" xfId="4874" xr:uid="{00000000-0005-0000-0000-0000141D0000}"/>
    <cellStyle name="Accent2 2 23 2" xfId="17957" xr:uid="{00000000-0005-0000-0000-0000151D0000}"/>
    <cellStyle name="Accent2 2 24" xfId="4875" xr:uid="{00000000-0005-0000-0000-0000161D0000}"/>
    <cellStyle name="Accent2 2 24 2" xfId="17958" xr:uid="{00000000-0005-0000-0000-0000171D0000}"/>
    <cellStyle name="Accent2 2 25" xfId="4876" xr:uid="{00000000-0005-0000-0000-0000181D0000}"/>
    <cellStyle name="Accent2 2 25 2" xfId="17959" xr:uid="{00000000-0005-0000-0000-0000191D0000}"/>
    <cellStyle name="Accent2 2 26" xfId="4877" xr:uid="{00000000-0005-0000-0000-00001A1D0000}"/>
    <cellStyle name="Accent2 2 26 2" xfId="17960" xr:uid="{00000000-0005-0000-0000-00001B1D0000}"/>
    <cellStyle name="Accent2 2 27" xfId="4878" xr:uid="{00000000-0005-0000-0000-00001C1D0000}"/>
    <cellStyle name="Accent2 2 27 2" xfId="17961" xr:uid="{00000000-0005-0000-0000-00001D1D0000}"/>
    <cellStyle name="Accent2 2 28" xfId="4879" xr:uid="{00000000-0005-0000-0000-00001E1D0000}"/>
    <cellStyle name="Accent2 2 28 2" xfId="17962" xr:uid="{00000000-0005-0000-0000-00001F1D0000}"/>
    <cellStyle name="Accent2 2 29" xfId="4880" xr:uid="{00000000-0005-0000-0000-0000201D0000}"/>
    <cellStyle name="Accent2 2 29 2" xfId="17963" xr:uid="{00000000-0005-0000-0000-0000211D0000}"/>
    <cellStyle name="Accent2 2 3" xfId="4881" xr:uid="{00000000-0005-0000-0000-0000221D0000}"/>
    <cellStyle name="Accent2 2 3 2" xfId="17964" xr:uid="{00000000-0005-0000-0000-0000231D0000}"/>
    <cellStyle name="Accent2 2 3 2 2" xfId="30402" xr:uid="{00000000-0005-0000-0000-0000241D0000}"/>
    <cellStyle name="Accent2 2 3 3" xfId="30403" xr:uid="{00000000-0005-0000-0000-0000251D0000}"/>
    <cellStyle name="Accent2 2 3 4" xfId="30404" xr:uid="{00000000-0005-0000-0000-0000261D0000}"/>
    <cellStyle name="Accent2 2 3 5" xfId="30405" xr:uid="{00000000-0005-0000-0000-0000271D0000}"/>
    <cellStyle name="Accent2 2 30" xfId="4882" xr:uid="{00000000-0005-0000-0000-0000281D0000}"/>
    <cellStyle name="Accent2 2 30 2" xfId="17965" xr:uid="{00000000-0005-0000-0000-0000291D0000}"/>
    <cellStyle name="Accent2 2 31" xfId="4883" xr:uid="{00000000-0005-0000-0000-00002A1D0000}"/>
    <cellStyle name="Accent2 2 31 2" xfId="17966" xr:uid="{00000000-0005-0000-0000-00002B1D0000}"/>
    <cellStyle name="Accent2 2 32" xfId="4884" xr:uid="{00000000-0005-0000-0000-00002C1D0000}"/>
    <cellStyle name="Accent2 2 32 2" xfId="17967" xr:uid="{00000000-0005-0000-0000-00002D1D0000}"/>
    <cellStyle name="Accent2 2 33" xfId="4885" xr:uid="{00000000-0005-0000-0000-00002E1D0000}"/>
    <cellStyle name="Accent2 2 33 2" xfId="4886" xr:uid="{00000000-0005-0000-0000-00002F1D0000}"/>
    <cellStyle name="Accent2 2 33 2 2" xfId="17969" xr:uid="{00000000-0005-0000-0000-0000301D0000}"/>
    <cellStyle name="Accent2 2 33 3" xfId="17968" xr:uid="{00000000-0005-0000-0000-0000311D0000}"/>
    <cellStyle name="Accent2 2 34" xfId="4887" xr:uid="{00000000-0005-0000-0000-0000321D0000}"/>
    <cellStyle name="Accent2 2 34 2" xfId="17970" xr:uid="{00000000-0005-0000-0000-0000331D0000}"/>
    <cellStyle name="Accent2 2 35" xfId="4888" xr:uid="{00000000-0005-0000-0000-0000341D0000}"/>
    <cellStyle name="Accent2 2 35 2" xfId="17971" xr:uid="{00000000-0005-0000-0000-0000351D0000}"/>
    <cellStyle name="Accent2 2 36" xfId="4889" xr:uid="{00000000-0005-0000-0000-0000361D0000}"/>
    <cellStyle name="Accent2 2 36 2" xfId="17972" xr:uid="{00000000-0005-0000-0000-0000371D0000}"/>
    <cellStyle name="Accent2 2 37" xfId="4890" xr:uid="{00000000-0005-0000-0000-0000381D0000}"/>
    <cellStyle name="Accent2 2 37 2" xfId="17973" xr:uid="{00000000-0005-0000-0000-0000391D0000}"/>
    <cellStyle name="Accent2 2 38" xfId="4891" xr:uid="{00000000-0005-0000-0000-00003A1D0000}"/>
    <cellStyle name="Accent2 2 38 2" xfId="17974" xr:uid="{00000000-0005-0000-0000-00003B1D0000}"/>
    <cellStyle name="Accent2 2 39" xfId="4892" xr:uid="{00000000-0005-0000-0000-00003C1D0000}"/>
    <cellStyle name="Accent2 2 39 2" xfId="17975" xr:uid="{00000000-0005-0000-0000-00003D1D0000}"/>
    <cellStyle name="Accent2 2 4" xfId="4893" xr:uid="{00000000-0005-0000-0000-00003E1D0000}"/>
    <cellStyle name="Accent2 2 4 2" xfId="17976" xr:uid="{00000000-0005-0000-0000-00003F1D0000}"/>
    <cellStyle name="Accent2 2 4 2 2" xfId="30406" xr:uid="{00000000-0005-0000-0000-0000401D0000}"/>
    <cellStyle name="Accent2 2 4 3" xfId="30407" xr:uid="{00000000-0005-0000-0000-0000411D0000}"/>
    <cellStyle name="Accent2 2 4 4" xfId="30408" xr:uid="{00000000-0005-0000-0000-0000421D0000}"/>
    <cellStyle name="Accent2 2 4 5" xfId="30409" xr:uid="{00000000-0005-0000-0000-0000431D0000}"/>
    <cellStyle name="Accent2 2 40" xfId="4894" xr:uid="{00000000-0005-0000-0000-0000441D0000}"/>
    <cellStyle name="Accent2 2 40 2" xfId="17977" xr:uid="{00000000-0005-0000-0000-0000451D0000}"/>
    <cellStyle name="Accent2 2 41" xfId="4895" xr:uid="{00000000-0005-0000-0000-0000461D0000}"/>
    <cellStyle name="Accent2 2 41 2" xfId="4896" xr:uid="{00000000-0005-0000-0000-0000471D0000}"/>
    <cellStyle name="Accent2 2 41 2 2" xfId="17979" xr:uid="{00000000-0005-0000-0000-0000481D0000}"/>
    <cellStyle name="Accent2 2 41 3" xfId="17978" xr:uid="{00000000-0005-0000-0000-0000491D0000}"/>
    <cellStyle name="Accent2 2 42" xfId="17812" xr:uid="{00000000-0005-0000-0000-00004A1D0000}"/>
    <cellStyle name="Accent2 2 43" xfId="30410" xr:uid="{00000000-0005-0000-0000-00004B1D0000}"/>
    <cellStyle name="Accent2 2 5" xfId="4897" xr:uid="{00000000-0005-0000-0000-00004C1D0000}"/>
    <cellStyle name="Accent2 2 5 2" xfId="4898" xr:uid="{00000000-0005-0000-0000-00004D1D0000}"/>
    <cellStyle name="Accent2 2 5 2 2" xfId="17981" xr:uid="{00000000-0005-0000-0000-00004E1D0000}"/>
    <cellStyle name="Accent2 2 5 3" xfId="17980" xr:uid="{00000000-0005-0000-0000-00004F1D0000}"/>
    <cellStyle name="Accent2 2 5 4" xfId="30411" xr:uid="{00000000-0005-0000-0000-0000501D0000}"/>
    <cellStyle name="Accent2 2 6" xfId="4899" xr:uid="{00000000-0005-0000-0000-0000511D0000}"/>
    <cellStyle name="Accent2 2 6 2" xfId="17982" xr:uid="{00000000-0005-0000-0000-0000521D0000}"/>
    <cellStyle name="Accent2 2 6 3" xfId="30412" xr:uid="{00000000-0005-0000-0000-0000531D0000}"/>
    <cellStyle name="Accent2 2 7" xfId="4900" xr:uid="{00000000-0005-0000-0000-0000541D0000}"/>
    <cellStyle name="Accent2 2 7 2" xfId="17983" xr:uid="{00000000-0005-0000-0000-0000551D0000}"/>
    <cellStyle name="Accent2 2 8" xfId="4901" xr:uid="{00000000-0005-0000-0000-0000561D0000}"/>
    <cellStyle name="Accent2 2 8 2" xfId="17984" xr:uid="{00000000-0005-0000-0000-0000571D0000}"/>
    <cellStyle name="Accent2 2 9" xfId="4902" xr:uid="{00000000-0005-0000-0000-0000581D0000}"/>
    <cellStyle name="Accent2 2 9 2" xfId="17985" xr:uid="{00000000-0005-0000-0000-0000591D0000}"/>
    <cellStyle name="Accent2 2_Loan Classification" xfId="11426" xr:uid="{00000000-0005-0000-0000-00005A1D0000}"/>
    <cellStyle name="Accent2 20" xfId="4903" xr:uid="{00000000-0005-0000-0000-00005B1D0000}"/>
    <cellStyle name="Accent2 20 2" xfId="17986" xr:uid="{00000000-0005-0000-0000-00005C1D0000}"/>
    <cellStyle name="Accent2 21" xfId="4904" xr:uid="{00000000-0005-0000-0000-00005D1D0000}"/>
    <cellStyle name="Accent2 21 2" xfId="17987" xr:uid="{00000000-0005-0000-0000-00005E1D0000}"/>
    <cellStyle name="Accent2 22" xfId="4905" xr:uid="{00000000-0005-0000-0000-00005F1D0000}"/>
    <cellStyle name="Accent2 22 2" xfId="17988" xr:uid="{00000000-0005-0000-0000-0000601D0000}"/>
    <cellStyle name="Accent2 23" xfId="4906" xr:uid="{00000000-0005-0000-0000-0000611D0000}"/>
    <cellStyle name="Accent2 23 2" xfId="17989" xr:uid="{00000000-0005-0000-0000-0000621D0000}"/>
    <cellStyle name="Accent2 24" xfId="4907" xr:uid="{00000000-0005-0000-0000-0000631D0000}"/>
    <cellStyle name="Accent2 24 2" xfId="17990" xr:uid="{00000000-0005-0000-0000-0000641D0000}"/>
    <cellStyle name="Accent2 25" xfId="4908" xr:uid="{00000000-0005-0000-0000-0000651D0000}"/>
    <cellStyle name="Accent2 25 2" xfId="17991" xr:uid="{00000000-0005-0000-0000-0000661D0000}"/>
    <cellStyle name="Accent2 26" xfId="4909" xr:uid="{00000000-0005-0000-0000-0000671D0000}"/>
    <cellStyle name="Accent2 26 2" xfId="17992" xr:uid="{00000000-0005-0000-0000-0000681D0000}"/>
    <cellStyle name="Accent2 27" xfId="4910" xr:uid="{00000000-0005-0000-0000-0000691D0000}"/>
    <cellStyle name="Accent2 27 2" xfId="17993" xr:uid="{00000000-0005-0000-0000-00006A1D0000}"/>
    <cellStyle name="Accent2 28" xfId="4911" xr:uid="{00000000-0005-0000-0000-00006B1D0000}"/>
    <cellStyle name="Accent2 28 2" xfId="17994" xr:uid="{00000000-0005-0000-0000-00006C1D0000}"/>
    <cellStyle name="Accent2 29" xfId="4912" xr:uid="{00000000-0005-0000-0000-00006D1D0000}"/>
    <cellStyle name="Accent2 29 2" xfId="17995" xr:uid="{00000000-0005-0000-0000-00006E1D0000}"/>
    <cellStyle name="Accent2 3" xfId="4913" xr:uid="{00000000-0005-0000-0000-00006F1D0000}"/>
    <cellStyle name="Accent2 3 2" xfId="17996" xr:uid="{00000000-0005-0000-0000-0000701D0000}"/>
    <cellStyle name="Accent2 3 2 2" xfId="30413" xr:uid="{00000000-0005-0000-0000-0000711D0000}"/>
    <cellStyle name="Accent2 3 3" xfId="30414" xr:uid="{00000000-0005-0000-0000-0000721D0000}"/>
    <cellStyle name="Accent2 3 4" xfId="30415" xr:uid="{00000000-0005-0000-0000-0000731D0000}"/>
    <cellStyle name="Accent2 30" xfId="4914" xr:uid="{00000000-0005-0000-0000-0000741D0000}"/>
    <cellStyle name="Accent2 30 2" xfId="17997" xr:uid="{00000000-0005-0000-0000-0000751D0000}"/>
    <cellStyle name="Accent2 31" xfId="4915" xr:uid="{00000000-0005-0000-0000-0000761D0000}"/>
    <cellStyle name="Accent2 31 2" xfId="17998" xr:uid="{00000000-0005-0000-0000-0000771D0000}"/>
    <cellStyle name="Accent2 32" xfId="4916" xr:uid="{00000000-0005-0000-0000-0000781D0000}"/>
    <cellStyle name="Accent2 32 2" xfId="17999" xr:uid="{00000000-0005-0000-0000-0000791D0000}"/>
    <cellStyle name="Accent2 33" xfId="4917" xr:uid="{00000000-0005-0000-0000-00007A1D0000}"/>
    <cellStyle name="Accent2 33 2" xfId="18000" xr:uid="{00000000-0005-0000-0000-00007B1D0000}"/>
    <cellStyle name="Accent2 34" xfId="4918" xr:uid="{00000000-0005-0000-0000-00007C1D0000}"/>
    <cellStyle name="Accent2 34 2" xfId="18001" xr:uid="{00000000-0005-0000-0000-00007D1D0000}"/>
    <cellStyle name="Accent2 35" xfId="4919" xr:uid="{00000000-0005-0000-0000-00007E1D0000}"/>
    <cellStyle name="Accent2 35 2" xfId="18002" xr:uid="{00000000-0005-0000-0000-00007F1D0000}"/>
    <cellStyle name="Accent2 36" xfId="4920" xr:uid="{00000000-0005-0000-0000-0000801D0000}"/>
    <cellStyle name="Accent2 36 2" xfId="18003" xr:uid="{00000000-0005-0000-0000-0000811D0000}"/>
    <cellStyle name="Accent2 37" xfId="4921" xr:uid="{00000000-0005-0000-0000-0000821D0000}"/>
    <cellStyle name="Accent2 37 2" xfId="18004" xr:uid="{00000000-0005-0000-0000-0000831D0000}"/>
    <cellStyle name="Accent2 38" xfId="4922" xr:uid="{00000000-0005-0000-0000-0000841D0000}"/>
    <cellStyle name="Accent2 38 2" xfId="18005" xr:uid="{00000000-0005-0000-0000-0000851D0000}"/>
    <cellStyle name="Accent2 39" xfId="4923" xr:uid="{00000000-0005-0000-0000-0000861D0000}"/>
    <cellStyle name="Accent2 39 2" xfId="18006" xr:uid="{00000000-0005-0000-0000-0000871D0000}"/>
    <cellStyle name="Accent2 4" xfId="4924" xr:uid="{00000000-0005-0000-0000-0000881D0000}"/>
    <cellStyle name="Accent2 4 2" xfId="18007" xr:uid="{00000000-0005-0000-0000-0000891D0000}"/>
    <cellStyle name="Accent2 4 2 2" xfId="30416" xr:uid="{00000000-0005-0000-0000-00008A1D0000}"/>
    <cellStyle name="Accent2 4 3" xfId="30417" xr:uid="{00000000-0005-0000-0000-00008B1D0000}"/>
    <cellStyle name="Accent2 4 4" xfId="30418" xr:uid="{00000000-0005-0000-0000-00008C1D0000}"/>
    <cellStyle name="Accent2 40" xfId="4925" xr:uid="{00000000-0005-0000-0000-00008D1D0000}"/>
    <cellStyle name="Accent2 40 2" xfId="18008" xr:uid="{00000000-0005-0000-0000-00008E1D0000}"/>
    <cellStyle name="Accent2 41" xfId="4926" xr:uid="{00000000-0005-0000-0000-00008F1D0000}"/>
    <cellStyle name="Accent2 41 2" xfId="18009" xr:uid="{00000000-0005-0000-0000-0000901D0000}"/>
    <cellStyle name="Accent2 42" xfId="4927" xr:uid="{00000000-0005-0000-0000-0000911D0000}"/>
    <cellStyle name="Accent2 42 2" xfId="18010" xr:uid="{00000000-0005-0000-0000-0000921D0000}"/>
    <cellStyle name="Accent2 43" xfId="11582" xr:uid="{00000000-0005-0000-0000-0000931D0000}"/>
    <cellStyle name="Accent2 43 2" xfId="18011" xr:uid="{00000000-0005-0000-0000-0000941D0000}"/>
    <cellStyle name="Accent2 44" xfId="11542" xr:uid="{00000000-0005-0000-0000-0000951D0000}"/>
    <cellStyle name="Accent2 44 2" xfId="18012" xr:uid="{00000000-0005-0000-0000-0000961D0000}"/>
    <cellStyle name="Accent2 45" xfId="18013" xr:uid="{00000000-0005-0000-0000-0000971D0000}"/>
    <cellStyle name="Accent2 46" xfId="30419" xr:uid="{00000000-0005-0000-0000-0000981D0000}"/>
    <cellStyle name="Accent2 47" xfId="502" xr:uid="{00000000-0005-0000-0000-0000991D0000}"/>
    <cellStyle name="Accent2 5" xfId="4928" xr:uid="{00000000-0005-0000-0000-00009A1D0000}"/>
    <cellStyle name="Accent2 5 2" xfId="18014" xr:uid="{00000000-0005-0000-0000-00009B1D0000}"/>
    <cellStyle name="Accent2 5 2 2" xfId="30420" xr:uid="{00000000-0005-0000-0000-00009C1D0000}"/>
    <cellStyle name="Accent2 5 3" xfId="30421" xr:uid="{00000000-0005-0000-0000-00009D1D0000}"/>
    <cellStyle name="Accent2 5 4" xfId="30422" xr:uid="{00000000-0005-0000-0000-00009E1D0000}"/>
    <cellStyle name="Accent2 6" xfId="4929" xr:uid="{00000000-0005-0000-0000-00009F1D0000}"/>
    <cellStyle name="Accent2 6 2" xfId="18015" xr:uid="{00000000-0005-0000-0000-0000A01D0000}"/>
    <cellStyle name="Accent2 6 3" xfId="30423" xr:uid="{00000000-0005-0000-0000-0000A11D0000}"/>
    <cellStyle name="Accent2 7" xfId="4930" xr:uid="{00000000-0005-0000-0000-0000A21D0000}"/>
    <cellStyle name="Accent2 7 2" xfId="18016" xr:uid="{00000000-0005-0000-0000-0000A31D0000}"/>
    <cellStyle name="Accent2 7 3" xfId="30424" xr:uid="{00000000-0005-0000-0000-0000A41D0000}"/>
    <cellStyle name="Accent2 8" xfId="4931" xr:uid="{00000000-0005-0000-0000-0000A51D0000}"/>
    <cellStyle name="Accent2 8 2" xfId="18017" xr:uid="{00000000-0005-0000-0000-0000A61D0000}"/>
    <cellStyle name="Accent2 8 3" xfId="30425" xr:uid="{00000000-0005-0000-0000-0000A71D0000}"/>
    <cellStyle name="Accent2 9" xfId="4932" xr:uid="{00000000-0005-0000-0000-0000A81D0000}"/>
    <cellStyle name="Accent2 9 2" xfId="18018" xr:uid="{00000000-0005-0000-0000-0000A91D0000}"/>
    <cellStyle name="Accent2 9 3" xfId="30426" xr:uid="{00000000-0005-0000-0000-0000AA1D0000}"/>
    <cellStyle name="Accent3" xfId="33" builtinId="37" customBuiltin="1"/>
    <cellStyle name="Accent3 10" xfId="4933" xr:uid="{00000000-0005-0000-0000-0000AC1D0000}"/>
    <cellStyle name="Accent3 10 2" xfId="18019" xr:uid="{00000000-0005-0000-0000-0000AD1D0000}"/>
    <cellStyle name="Accent3 10 3" xfId="30427" xr:uid="{00000000-0005-0000-0000-0000AE1D0000}"/>
    <cellStyle name="Accent3 11" xfId="4934" xr:uid="{00000000-0005-0000-0000-0000AF1D0000}"/>
    <cellStyle name="Accent3 11 2" xfId="18020" xr:uid="{00000000-0005-0000-0000-0000B01D0000}"/>
    <cellStyle name="Accent3 11 3" xfId="30428" xr:uid="{00000000-0005-0000-0000-0000B11D0000}"/>
    <cellStyle name="Accent3 12" xfId="4935" xr:uid="{00000000-0005-0000-0000-0000B21D0000}"/>
    <cellStyle name="Accent3 12 2" xfId="18021" xr:uid="{00000000-0005-0000-0000-0000B31D0000}"/>
    <cellStyle name="Accent3 12 3" xfId="30429" xr:uid="{00000000-0005-0000-0000-0000B41D0000}"/>
    <cellStyle name="Accent3 13" xfId="4936" xr:uid="{00000000-0005-0000-0000-0000B51D0000}"/>
    <cellStyle name="Accent3 13 2" xfId="18022" xr:uid="{00000000-0005-0000-0000-0000B61D0000}"/>
    <cellStyle name="Accent3 13 3" xfId="30430" xr:uid="{00000000-0005-0000-0000-0000B71D0000}"/>
    <cellStyle name="Accent3 14" xfId="4937" xr:uid="{00000000-0005-0000-0000-0000B81D0000}"/>
    <cellStyle name="Accent3 14 2" xfId="18023" xr:uid="{00000000-0005-0000-0000-0000B91D0000}"/>
    <cellStyle name="Accent3 14 3" xfId="30431" xr:uid="{00000000-0005-0000-0000-0000BA1D0000}"/>
    <cellStyle name="Accent3 15" xfId="4938" xr:uid="{00000000-0005-0000-0000-0000BB1D0000}"/>
    <cellStyle name="Accent3 15 2" xfId="18024" xr:uid="{00000000-0005-0000-0000-0000BC1D0000}"/>
    <cellStyle name="Accent3 15 3" xfId="30432" xr:uid="{00000000-0005-0000-0000-0000BD1D0000}"/>
    <cellStyle name="Accent3 16" xfId="4939" xr:uid="{00000000-0005-0000-0000-0000BE1D0000}"/>
    <cellStyle name="Accent3 16 2" xfId="18025" xr:uid="{00000000-0005-0000-0000-0000BF1D0000}"/>
    <cellStyle name="Accent3 16 3" xfId="30433" xr:uid="{00000000-0005-0000-0000-0000C01D0000}"/>
    <cellStyle name="Accent3 17" xfId="4940" xr:uid="{00000000-0005-0000-0000-0000C11D0000}"/>
    <cellStyle name="Accent3 17 2" xfId="18026" xr:uid="{00000000-0005-0000-0000-0000C21D0000}"/>
    <cellStyle name="Accent3 17 3" xfId="30434" xr:uid="{00000000-0005-0000-0000-0000C31D0000}"/>
    <cellStyle name="Accent3 18" xfId="4941" xr:uid="{00000000-0005-0000-0000-0000C41D0000}"/>
    <cellStyle name="Accent3 18 2" xfId="18027" xr:uid="{00000000-0005-0000-0000-0000C51D0000}"/>
    <cellStyle name="Accent3 19" xfId="4942" xr:uid="{00000000-0005-0000-0000-0000C61D0000}"/>
    <cellStyle name="Accent3 19 2" xfId="18028" xr:uid="{00000000-0005-0000-0000-0000C71D0000}"/>
    <cellStyle name="Accent3 2" xfId="4943" xr:uid="{00000000-0005-0000-0000-0000C81D0000}"/>
    <cellStyle name="Accent3 2 10" xfId="4944" xr:uid="{00000000-0005-0000-0000-0000C91D0000}"/>
    <cellStyle name="Accent3 2 10 2" xfId="18030" xr:uid="{00000000-0005-0000-0000-0000CA1D0000}"/>
    <cellStyle name="Accent3 2 11" xfId="4945" xr:uid="{00000000-0005-0000-0000-0000CB1D0000}"/>
    <cellStyle name="Accent3 2 11 2" xfId="18031" xr:uid="{00000000-0005-0000-0000-0000CC1D0000}"/>
    <cellStyle name="Accent3 2 12" xfId="4946" xr:uid="{00000000-0005-0000-0000-0000CD1D0000}"/>
    <cellStyle name="Accent3 2 12 2" xfId="18032" xr:uid="{00000000-0005-0000-0000-0000CE1D0000}"/>
    <cellStyle name="Accent3 2 13" xfId="4947" xr:uid="{00000000-0005-0000-0000-0000CF1D0000}"/>
    <cellStyle name="Accent3 2 13 2" xfId="18033" xr:uid="{00000000-0005-0000-0000-0000D01D0000}"/>
    <cellStyle name="Accent3 2 14" xfId="4948" xr:uid="{00000000-0005-0000-0000-0000D11D0000}"/>
    <cellStyle name="Accent3 2 14 2" xfId="18034" xr:uid="{00000000-0005-0000-0000-0000D21D0000}"/>
    <cellStyle name="Accent3 2 15" xfId="4949" xr:uid="{00000000-0005-0000-0000-0000D31D0000}"/>
    <cellStyle name="Accent3 2 15 2" xfId="18035" xr:uid="{00000000-0005-0000-0000-0000D41D0000}"/>
    <cellStyle name="Accent3 2 16" xfId="4950" xr:uid="{00000000-0005-0000-0000-0000D51D0000}"/>
    <cellStyle name="Accent3 2 16 2" xfId="4951" xr:uid="{00000000-0005-0000-0000-0000D61D0000}"/>
    <cellStyle name="Accent3 2 16 2 2" xfId="18037" xr:uid="{00000000-0005-0000-0000-0000D71D0000}"/>
    <cellStyle name="Accent3 2 16 3" xfId="18036" xr:uid="{00000000-0005-0000-0000-0000D81D0000}"/>
    <cellStyle name="Accent3 2 17" xfId="4952" xr:uid="{00000000-0005-0000-0000-0000D91D0000}"/>
    <cellStyle name="Accent3 2 17 2" xfId="18038" xr:uid="{00000000-0005-0000-0000-0000DA1D0000}"/>
    <cellStyle name="Accent3 2 18" xfId="4953" xr:uid="{00000000-0005-0000-0000-0000DB1D0000}"/>
    <cellStyle name="Accent3 2 18 2" xfId="18039" xr:uid="{00000000-0005-0000-0000-0000DC1D0000}"/>
    <cellStyle name="Accent3 2 19" xfId="4954" xr:uid="{00000000-0005-0000-0000-0000DD1D0000}"/>
    <cellStyle name="Accent3 2 19 2" xfId="18040" xr:uid="{00000000-0005-0000-0000-0000DE1D0000}"/>
    <cellStyle name="Accent3 2 2" xfId="4955" xr:uid="{00000000-0005-0000-0000-0000DF1D0000}"/>
    <cellStyle name="Accent3 2 2 10" xfId="4956" xr:uid="{00000000-0005-0000-0000-0000E01D0000}"/>
    <cellStyle name="Accent3 2 2 10 2" xfId="18042" xr:uid="{00000000-0005-0000-0000-0000E11D0000}"/>
    <cellStyle name="Accent3 2 2 11" xfId="4957" xr:uid="{00000000-0005-0000-0000-0000E21D0000}"/>
    <cellStyle name="Accent3 2 2 11 2" xfId="18043" xr:uid="{00000000-0005-0000-0000-0000E31D0000}"/>
    <cellStyle name="Accent3 2 2 12" xfId="4958" xr:uid="{00000000-0005-0000-0000-0000E41D0000}"/>
    <cellStyle name="Accent3 2 2 12 2" xfId="18044" xr:uid="{00000000-0005-0000-0000-0000E51D0000}"/>
    <cellStyle name="Accent3 2 2 13" xfId="4959" xr:uid="{00000000-0005-0000-0000-0000E61D0000}"/>
    <cellStyle name="Accent3 2 2 13 2" xfId="18045" xr:uid="{00000000-0005-0000-0000-0000E71D0000}"/>
    <cellStyle name="Accent3 2 2 14" xfId="4960" xr:uid="{00000000-0005-0000-0000-0000E81D0000}"/>
    <cellStyle name="Accent3 2 2 14 2" xfId="4961" xr:uid="{00000000-0005-0000-0000-0000E91D0000}"/>
    <cellStyle name="Accent3 2 2 14 2 2" xfId="18047" xr:uid="{00000000-0005-0000-0000-0000EA1D0000}"/>
    <cellStyle name="Accent3 2 2 14 3" xfId="18046" xr:uid="{00000000-0005-0000-0000-0000EB1D0000}"/>
    <cellStyle name="Accent3 2 2 15" xfId="4962" xr:uid="{00000000-0005-0000-0000-0000EC1D0000}"/>
    <cellStyle name="Accent3 2 2 15 2" xfId="18048" xr:uid="{00000000-0005-0000-0000-0000ED1D0000}"/>
    <cellStyle name="Accent3 2 2 16" xfId="4963" xr:uid="{00000000-0005-0000-0000-0000EE1D0000}"/>
    <cellStyle name="Accent3 2 2 16 2" xfId="18049" xr:uid="{00000000-0005-0000-0000-0000EF1D0000}"/>
    <cellStyle name="Accent3 2 2 17" xfId="4964" xr:uid="{00000000-0005-0000-0000-0000F01D0000}"/>
    <cellStyle name="Accent3 2 2 17 2" xfId="18050" xr:uid="{00000000-0005-0000-0000-0000F11D0000}"/>
    <cellStyle name="Accent3 2 2 18" xfId="4965" xr:uid="{00000000-0005-0000-0000-0000F21D0000}"/>
    <cellStyle name="Accent3 2 2 18 2" xfId="18051" xr:uid="{00000000-0005-0000-0000-0000F31D0000}"/>
    <cellStyle name="Accent3 2 2 19" xfId="4966" xr:uid="{00000000-0005-0000-0000-0000F41D0000}"/>
    <cellStyle name="Accent3 2 2 19 2" xfId="18052" xr:uid="{00000000-0005-0000-0000-0000F51D0000}"/>
    <cellStyle name="Accent3 2 2 2" xfId="4967" xr:uid="{00000000-0005-0000-0000-0000F61D0000}"/>
    <cellStyle name="Accent3 2 2 2 10" xfId="4968" xr:uid="{00000000-0005-0000-0000-0000F71D0000}"/>
    <cellStyle name="Accent3 2 2 2 10 2" xfId="18054" xr:uid="{00000000-0005-0000-0000-0000F81D0000}"/>
    <cellStyle name="Accent3 2 2 2 11" xfId="4969" xr:uid="{00000000-0005-0000-0000-0000F91D0000}"/>
    <cellStyle name="Accent3 2 2 2 11 2" xfId="18055" xr:uid="{00000000-0005-0000-0000-0000FA1D0000}"/>
    <cellStyle name="Accent3 2 2 2 12" xfId="4970" xr:uid="{00000000-0005-0000-0000-0000FB1D0000}"/>
    <cellStyle name="Accent3 2 2 2 12 2" xfId="18056" xr:uid="{00000000-0005-0000-0000-0000FC1D0000}"/>
    <cellStyle name="Accent3 2 2 2 13" xfId="4971" xr:uid="{00000000-0005-0000-0000-0000FD1D0000}"/>
    <cellStyle name="Accent3 2 2 2 13 2" xfId="18057" xr:uid="{00000000-0005-0000-0000-0000FE1D0000}"/>
    <cellStyle name="Accent3 2 2 2 14" xfId="4972" xr:uid="{00000000-0005-0000-0000-0000FF1D0000}"/>
    <cellStyle name="Accent3 2 2 2 14 2" xfId="18058" xr:uid="{00000000-0005-0000-0000-0000001E0000}"/>
    <cellStyle name="Accent3 2 2 2 15" xfId="4973" xr:uid="{00000000-0005-0000-0000-0000011E0000}"/>
    <cellStyle name="Accent3 2 2 2 15 2" xfId="18059" xr:uid="{00000000-0005-0000-0000-0000021E0000}"/>
    <cellStyle name="Accent3 2 2 2 16" xfId="4974" xr:uid="{00000000-0005-0000-0000-0000031E0000}"/>
    <cellStyle name="Accent3 2 2 2 16 2" xfId="18060" xr:uid="{00000000-0005-0000-0000-0000041E0000}"/>
    <cellStyle name="Accent3 2 2 2 17" xfId="4975" xr:uid="{00000000-0005-0000-0000-0000051E0000}"/>
    <cellStyle name="Accent3 2 2 2 17 2" xfId="18061" xr:uid="{00000000-0005-0000-0000-0000061E0000}"/>
    <cellStyle name="Accent3 2 2 2 18" xfId="4976" xr:uid="{00000000-0005-0000-0000-0000071E0000}"/>
    <cellStyle name="Accent3 2 2 2 18 2" xfId="18062" xr:uid="{00000000-0005-0000-0000-0000081E0000}"/>
    <cellStyle name="Accent3 2 2 2 19" xfId="4977" xr:uid="{00000000-0005-0000-0000-0000091E0000}"/>
    <cellStyle name="Accent3 2 2 2 19 2" xfId="18063" xr:uid="{00000000-0005-0000-0000-00000A1E0000}"/>
    <cellStyle name="Accent3 2 2 2 2" xfId="4978" xr:uid="{00000000-0005-0000-0000-00000B1E0000}"/>
    <cellStyle name="Accent3 2 2 2 2 10" xfId="4979" xr:uid="{00000000-0005-0000-0000-00000C1E0000}"/>
    <cellStyle name="Accent3 2 2 2 2 10 2" xfId="18065" xr:uid="{00000000-0005-0000-0000-00000D1E0000}"/>
    <cellStyle name="Accent3 2 2 2 2 11" xfId="4980" xr:uid="{00000000-0005-0000-0000-00000E1E0000}"/>
    <cellStyle name="Accent3 2 2 2 2 11 2" xfId="18066" xr:uid="{00000000-0005-0000-0000-00000F1E0000}"/>
    <cellStyle name="Accent3 2 2 2 2 12" xfId="4981" xr:uid="{00000000-0005-0000-0000-0000101E0000}"/>
    <cellStyle name="Accent3 2 2 2 2 12 2" xfId="18067" xr:uid="{00000000-0005-0000-0000-0000111E0000}"/>
    <cellStyle name="Accent3 2 2 2 2 13" xfId="4982" xr:uid="{00000000-0005-0000-0000-0000121E0000}"/>
    <cellStyle name="Accent3 2 2 2 2 13 2" xfId="18068" xr:uid="{00000000-0005-0000-0000-0000131E0000}"/>
    <cellStyle name="Accent3 2 2 2 2 14" xfId="4983" xr:uid="{00000000-0005-0000-0000-0000141E0000}"/>
    <cellStyle name="Accent3 2 2 2 2 14 2" xfId="18069" xr:uid="{00000000-0005-0000-0000-0000151E0000}"/>
    <cellStyle name="Accent3 2 2 2 2 15" xfId="4984" xr:uid="{00000000-0005-0000-0000-0000161E0000}"/>
    <cellStyle name="Accent3 2 2 2 2 15 2" xfId="18070" xr:uid="{00000000-0005-0000-0000-0000171E0000}"/>
    <cellStyle name="Accent3 2 2 2 2 16" xfId="4985" xr:uid="{00000000-0005-0000-0000-0000181E0000}"/>
    <cellStyle name="Accent3 2 2 2 2 16 2" xfId="18071" xr:uid="{00000000-0005-0000-0000-0000191E0000}"/>
    <cellStyle name="Accent3 2 2 2 2 17" xfId="4986" xr:uid="{00000000-0005-0000-0000-00001A1E0000}"/>
    <cellStyle name="Accent3 2 2 2 2 17 2" xfId="18072" xr:uid="{00000000-0005-0000-0000-00001B1E0000}"/>
    <cellStyle name="Accent3 2 2 2 2 18" xfId="4987" xr:uid="{00000000-0005-0000-0000-00001C1E0000}"/>
    <cellStyle name="Accent3 2 2 2 2 18 2" xfId="18073" xr:uid="{00000000-0005-0000-0000-00001D1E0000}"/>
    <cellStyle name="Accent3 2 2 2 2 19" xfId="4988" xr:uid="{00000000-0005-0000-0000-00001E1E0000}"/>
    <cellStyle name="Accent3 2 2 2 2 19 2" xfId="18074" xr:uid="{00000000-0005-0000-0000-00001F1E0000}"/>
    <cellStyle name="Accent3 2 2 2 2 2" xfId="4989" xr:uid="{00000000-0005-0000-0000-0000201E0000}"/>
    <cellStyle name="Accent3 2 2 2 2 2 10" xfId="4990" xr:uid="{00000000-0005-0000-0000-0000211E0000}"/>
    <cellStyle name="Accent3 2 2 2 2 2 10 2" xfId="18076" xr:uid="{00000000-0005-0000-0000-0000221E0000}"/>
    <cellStyle name="Accent3 2 2 2 2 2 11" xfId="4991" xr:uid="{00000000-0005-0000-0000-0000231E0000}"/>
    <cellStyle name="Accent3 2 2 2 2 2 11 2" xfId="4992" xr:uid="{00000000-0005-0000-0000-0000241E0000}"/>
    <cellStyle name="Accent3 2 2 2 2 2 11 2 2" xfId="18078" xr:uid="{00000000-0005-0000-0000-0000251E0000}"/>
    <cellStyle name="Accent3 2 2 2 2 2 11 3" xfId="18077" xr:uid="{00000000-0005-0000-0000-0000261E0000}"/>
    <cellStyle name="Accent3 2 2 2 2 2 12" xfId="18075" xr:uid="{00000000-0005-0000-0000-0000271E0000}"/>
    <cellStyle name="Accent3 2 2 2 2 2 2" xfId="4993" xr:uid="{00000000-0005-0000-0000-0000281E0000}"/>
    <cellStyle name="Accent3 2 2 2 2 2 2 10" xfId="4994" xr:uid="{00000000-0005-0000-0000-0000291E0000}"/>
    <cellStyle name="Accent3 2 2 2 2 2 2 10 2" xfId="18080" xr:uid="{00000000-0005-0000-0000-00002A1E0000}"/>
    <cellStyle name="Accent3 2 2 2 2 2 2 11" xfId="4995" xr:uid="{00000000-0005-0000-0000-00002B1E0000}"/>
    <cellStyle name="Accent3 2 2 2 2 2 2 11 2" xfId="4996" xr:uid="{00000000-0005-0000-0000-00002C1E0000}"/>
    <cellStyle name="Accent3 2 2 2 2 2 2 11 2 2" xfId="18082" xr:uid="{00000000-0005-0000-0000-00002D1E0000}"/>
    <cellStyle name="Accent3 2 2 2 2 2 2 11 3" xfId="18081" xr:uid="{00000000-0005-0000-0000-00002E1E0000}"/>
    <cellStyle name="Accent3 2 2 2 2 2 2 12" xfId="18079" xr:uid="{00000000-0005-0000-0000-00002F1E0000}"/>
    <cellStyle name="Accent3 2 2 2 2 2 2 2" xfId="4997" xr:uid="{00000000-0005-0000-0000-0000301E0000}"/>
    <cellStyle name="Accent3 2 2 2 2 2 2 2 2" xfId="4998" xr:uid="{00000000-0005-0000-0000-0000311E0000}"/>
    <cellStyle name="Accent3 2 2 2 2 2 2 2 2 2" xfId="4999" xr:uid="{00000000-0005-0000-0000-0000321E0000}"/>
    <cellStyle name="Accent3 2 2 2 2 2 2 2 2 2 2" xfId="5000" xr:uid="{00000000-0005-0000-0000-0000331E0000}"/>
    <cellStyle name="Accent3 2 2 2 2 2 2 2 2 2 2 2" xfId="18086" xr:uid="{00000000-0005-0000-0000-0000341E0000}"/>
    <cellStyle name="Accent3 2 2 2 2 2 2 2 2 2 3" xfId="18085" xr:uid="{00000000-0005-0000-0000-0000351E0000}"/>
    <cellStyle name="Accent3 2 2 2 2 2 2 2 2 3" xfId="5001" xr:uid="{00000000-0005-0000-0000-0000361E0000}"/>
    <cellStyle name="Accent3 2 2 2 2 2 2 2 2 3 2" xfId="18087" xr:uid="{00000000-0005-0000-0000-0000371E0000}"/>
    <cellStyle name="Accent3 2 2 2 2 2 2 2 2 4" xfId="18084" xr:uid="{00000000-0005-0000-0000-0000381E0000}"/>
    <cellStyle name="Accent3 2 2 2 2 2 2 2 3" xfId="5002" xr:uid="{00000000-0005-0000-0000-0000391E0000}"/>
    <cellStyle name="Accent3 2 2 2 2 2 2 2 3 2" xfId="5003" xr:uid="{00000000-0005-0000-0000-00003A1E0000}"/>
    <cellStyle name="Accent3 2 2 2 2 2 2 2 3 2 2" xfId="18089" xr:uid="{00000000-0005-0000-0000-00003B1E0000}"/>
    <cellStyle name="Accent3 2 2 2 2 2 2 2 3 3" xfId="18088" xr:uid="{00000000-0005-0000-0000-00003C1E0000}"/>
    <cellStyle name="Accent3 2 2 2 2 2 2 2 4" xfId="18083" xr:uid="{00000000-0005-0000-0000-00003D1E0000}"/>
    <cellStyle name="Accent3 2 2 2 2 2 2 3" xfId="5004" xr:uid="{00000000-0005-0000-0000-00003E1E0000}"/>
    <cellStyle name="Accent3 2 2 2 2 2 2 3 2" xfId="18090" xr:uid="{00000000-0005-0000-0000-00003F1E0000}"/>
    <cellStyle name="Accent3 2 2 2 2 2 2 4" xfId="5005" xr:uid="{00000000-0005-0000-0000-0000401E0000}"/>
    <cellStyle name="Accent3 2 2 2 2 2 2 4 2" xfId="18091" xr:uid="{00000000-0005-0000-0000-0000411E0000}"/>
    <cellStyle name="Accent3 2 2 2 2 2 2 5" xfId="5006" xr:uid="{00000000-0005-0000-0000-0000421E0000}"/>
    <cellStyle name="Accent3 2 2 2 2 2 2 5 2" xfId="18092" xr:uid="{00000000-0005-0000-0000-0000431E0000}"/>
    <cellStyle name="Accent3 2 2 2 2 2 2 6" xfId="5007" xr:uid="{00000000-0005-0000-0000-0000441E0000}"/>
    <cellStyle name="Accent3 2 2 2 2 2 2 6 2" xfId="18093" xr:uid="{00000000-0005-0000-0000-0000451E0000}"/>
    <cellStyle name="Accent3 2 2 2 2 2 2 7" xfId="5008" xr:uid="{00000000-0005-0000-0000-0000461E0000}"/>
    <cellStyle name="Accent3 2 2 2 2 2 2 7 2" xfId="18094" xr:uid="{00000000-0005-0000-0000-0000471E0000}"/>
    <cellStyle name="Accent3 2 2 2 2 2 2 8" xfId="5009" xr:uid="{00000000-0005-0000-0000-0000481E0000}"/>
    <cellStyle name="Accent3 2 2 2 2 2 2 8 2" xfId="18095" xr:uid="{00000000-0005-0000-0000-0000491E0000}"/>
    <cellStyle name="Accent3 2 2 2 2 2 2 9" xfId="5010" xr:uid="{00000000-0005-0000-0000-00004A1E0000}"/>
    <cellStyle name="Accent3 2 2 2 2 2 2 9 2" xfId="18096" xr:uid="{00000000-0005-0000-0000-00004B1E0000}"/>
    <cellStyle name="Accent3 2 2 2 2 2 3" xfId="5011" xr:uid="{00000000-0005-0000-0000-00004C1E0000}"/>
    <cellStyle name="Accent3 2 2 2 2 2 3 2" xfId="5012" xr:uid="{00000000-0005-0000-0000-00004D1E0000}"/>
    <cellStyle name="Accent3 2 2 2 2 2 3 2 2" xfId="18098" xr:uid="{00000000-0005-0000-0000-00004E1E0000}"/>
    <cellStyle name="Accent3 2 2 2 2 2 3 3" xfId="18097" xr:uid="{00000000-0005-0000-0000-00004F1E0000}"/>
    <cellStyle name="Accent3 2 2 2 2 2 4" xfId="5013" xr:uid="{00000000-0005-0000-0000-0000501E0000}"/>
    <cellStyle name="Accent3 2 2 2 2 2 4 2" xfId="18099" xr:uid="{00000000-0005-0000-0000-0000511E0000}"/>
    <cellStyle name="Accent3 2 2 2 2 2 5" xfId="5014" xr:uid="{00000000-0005-0000-0000-0000521E0000}"/>
    <cellStyle name="Accent3 2 2 2 2 2 5 2" xfId="18100" xr:uid="{00000000-0005-0000-0000-0000531E0000}"/>
    <cellStyle name="Accent3 2 2 2 2 2 6" xfId="5015" xr:uid="{00000000-0005-0000-0000-0000541E0000}"/>
    <cellStyle name="Accent3 2 2 2 2 2 6 2" xfId="18101" xr:uid="{00000000-0005-0000-0000-0000551E0000}"/>
    <cellStyle name="Accent3 2 2 2 2 2 7" xfId="5016" xr:uid="{00000000-0005-0000-0000-0000561E0000}"/>
    <cellStyle name="Accent3 2 2 2 2 2 7 2" xfId="18102" xr:uid="{00000000-0005-0000-0000-0000571E0000}"/>
    <cellStyle name="Accent3 2 2 2 2 2 8" xfId="5017" xr:uid="{00000000-0005-0000-0000-0000581E0000}"/>
    <cellStyle name="Accent3 2 2 2 2 2 8 2" xfId="18103" xr:uid="{00000000-0005-0000-0000-0000591E0000}"/>
    <cellStyle name="Accent3 2 2 2 2 2 9" xfId="5018" xr:uid="{00000000-0005-0000-0000-00005A1E0000}"/>
    <cellStyle name="Accent3 2 2 2 2 2 9 2" xfId="18104" xr:uid="{00000000-0005-0000-0000-00005B1E0000}"/>
    <cellStyle name="Accent3 2 2 2 2 20" xfId="5019" xr:uid="{00000000-0005-0000-0000-00005C1E0000}"/>
    <cellStyle name="Accent3 2 2 2 2 20 2" xfId="5020" xr:uid="{00000000-0005-0000-0000-00005D1E0000}"/>
    <cellStyle name="Accent3 2 2 2 2 20 2 2" xfId="18106" xr:uid="{00000000-0005-0000-0000-00005E1E0000}"/>
    <cellStyle name="Accent3 2 2 2 2 20 3" xfId="18105" xr:uid="{00000000-0005-0000-0000-00005F1E0000}"/>
    <cellStyle name="Accent3 2 2 2 2 21" xfId="5021" xr:uid="{00000000-0005-0000-0000-0000601E0000}"/>
    <cellStyle name="Accent3 2 2 2 2 21 2" xfId="18107" xr:uid="{00000000-0005-0000-0000-0000611E0000}"/>
    <cellStyle name="Accent3 2 2 2 2 22" xfId="5022" xr:uid="{00000000-0005-0000-0000-0000621E0000}"/>
    <cellStyle name="Accent3 2 2 2 2 22 2" xfId="18108" xr:uid="{00000000-0005-0000-0000-0000631E0000}"/>
    <cellStyle name="Accent3 2 2 2 2 23" xfId="5023" xr:uid="{00000000-0005-0000-0000-0000641E0000}"/>
    <cellStyle name="Accent3 2 2 2 2 23 2" xfId="18109" xr:uid="{00000000-0005-0000-0000-0000651E0000}"/>
    <cellStyle name="Accent3 2 2 2 2 24" xfId="5024" xr:uid="{00000000-0005-0000-0000-0000661E0000}"/>
    <cellStyle name="Accent3 2 2 2 2 24 2" xfId="18110" xr:uid="{00000000-0005-0000-0000-0000671E0000}"/>
    <cellStyle name="Accent3 2 2 2 2 25" xfId="5025" xr:uid="{00000000-0005-0000-0000-0000681E0000}"/>
    <cellStyle name="Accent3 2 2 2 2 25 2" xfId="18111" xr:uid="{00000000-0005-0000-0000-0000691E0000}"/>
    <cellStyle name="Accent3 2 2 2 2 26" xfId="5026" xr:uid="{00000000-0005-0000-0000-00006A1E0000}"/>
    <cellStyle name="Accent3 2 2 2 2 26 2" xfId="18112" xr:uid="{00000000-0005-0000-0000-00006B1E0000}"/>
    <cellStyle name="Accent3 2 2 2 2 27" xfId="5027" xr:uid="{00000000-0005-0000-0000-00006C1E0000}"/>
    <cellStyle name="Accent3 2 2 2 2 27 2" xfId="18113" xr:uid="{00000000-0005-0000-0000-00006D1E0000}"/>
    <cellStyle name="Accent3 2 2 2 2 28" xfId="5028" xr:uid="{00000000-0005-0000-0000-00006E1E0000}"/>
    <cellStyle name="Accent3 2 2 2 2 28 2" xfId="5029" xr:uid="{00000000-0005-0000-0000-00006F1E0000}"/>
    <cellStyle name="Accent3 2 2 2 2 28 2 2" xfId="18115" xr:uid="{00000000-0005-0000-0000-0000701E0000}"/>
    <cellStyle name="Accent3 2 2 2 2 28 3" xfId="18114" xr:uid="{00000000-0005-0000-0000-0000711E0000}"/>
    <cellStyle name="Accent3 2 2 2 2 29" xfId="18064" xr:uid="{00000000-0005-0000-0000-0000721E0000}"/>
    <cellStyle name="Accent3 2 2 2 2 3" xfId="5030" xr:uid="{00000000-0005-0000-0000-0000731E0000}"/>
    <cellStyle name="Accent3 2 2 2 2 3 2" xfId="18116" xr:uid="{00000000-0005-0000-0000-0000741E0000}"/>
    <cellStyle name="Accent3 2 2 2 2 4" xfId="5031" xr:uid="{00000000-0005-0000-0000-0000751E0000}"/>
    <cellStyle name="Accent3 2 2 2 2 4 2" xfId="18117" xr:uid="{00000000-0005-0000-0000-0000761E0000}"/>
    <cellStyle name="Accent3 2 2 2 2 5" xfId="5032" xr:uid="{00000000-0005-0000-0000-0000771E0000}"/>
    <cellStyle name="Accent3 2 2 2 2 5 2" xfId="18118" xr:uid="{00000000-0005-0000-0000-0000781E0000}"/>
    <cellStyle name="Accent3 2 2 2 2 6" xfId="5033" xr:uid="{00000000-0005-0000-0000-0000791E0000}"/>
    <cellStyle name="Accent3 2 2 2 2 6 2" xfId="18119" xr:uid="{00000000-0005-0000-0000-00007A1E0000}"/>
    <cellStyle name="Accent3 2 2 2 2 7" xfId="5034" xr:uid="{00000000-0005-0000-0000-00007B1E0000}"/>
    <cellStyle name="Accent3 2 2 2 2 7 2" xfId="18120" xr:uid="{00000000-0005-0000-0000-00007C1E0000}"/>
    <cellStyle name="Accent3 2 2 2 2 8" xfId="5035" xr:uid="{00000000-0005-0000-0000-00007D1E0000}"/>
    <cellStyle name="Accent3 2 2 2 2 8 2" xfId="18121" xr:uid="{00000000-0005-0000-0000-00007E1E0000}"/>
    <cellStyle name="Accent3 2 2 2 2 9" xfId="5036" xr:uid="{00000000-0005-0000-0000-00007F1E0000}"/>
    <cellStyle name="Accent3 2 2 2 2 9 2" xfId="18122" xr:uid="{00000000-0005-0000-0000-0000801E0000}"/>
    <cellStyle name="Accent3 2 2 2 20" xfId="5037" xr:uid="{00000000-0005-0000-0000-0000811E0000}"/>
    <cellStyle name="Accent3 2 2 2 20 2" xfId="5038" xr:uid="{00000000-0005-0000-0000-0000821E0000}"/>
    <cellStyle name="Accent3 2 2 2 20 2 2" xfId="18124" xr:uid="{00000000-0005-0000-0000-0000831E0000}"/>
    <cellStyle name="Accent3 2 2 2 20 3" xfId="18123" xr:uid="{00000000-0005-0000-0000-0000841E0000}"/>
    <cellStyle name="Accent3 2 2 2 21" xfId="5039" xr:uid="{00000000-0005-0000-0000-0000851E0000}"/>
    <cellStyle name="Accent3 2 2 2 21 2" xfId="18125" xr:uid="{00000000-0005-0000-0000-0000861E0000}"/>
    <cellStyle name="Accent3 2 2 2 22" xfId="5040" xr:uid="{00000000-0005-0000-0000-0000871E0000}"/>
    <cellStyle name="Accent3 2 2 2 22 2" xfId="18126" xr:uid="{00000000-0005-0000-0000-0000881E0000}"/>
    <cellStyle name="Accent3 2 2 2 23" xfId="5041" xr:uid="{00000000-0005-0000-0000-0000891E0000}"/>
    <cellStyle name="Accent3 2 2 2 23 2" xfId="18127" xr:uid="{00000000-0005-0000-0000-00008A1E0000}"/>
    <cellStyle name="Accent3 2 2 2 24" xfId="5042" xr:uid="{00000000-0005-0000-0000-00008B1E0000}"/>
    <cellStyle name="Accent3 2 2 2 24 2" xfId="18128" xr:uid="{00000000-0005-0000-0000-00008C1E0000}"/>
    <cellStyle name="Accent3 2 2 2 25" xfId="5043" xr:uid="{00000000-0005-0000-0000-00008D1E0000}"/>
    <cellStyle name="Accent3 2 2 2 25 2" xfId="18129" xr:uid="{00000000-0005-0000-0000-00008E1E0000}"/>
    <cellStyle name="Accent3 2 2 2 26" xfId="5044" xr:uid="{00000000-0005-0000-0000-00008F1E0000}"/>
    <cellStyle name="Accent3 2 2 2 26 2" xfId="18130" xr:uid="{00000000-0005-0000-0000-0000901E0000}"/>
    <cellStyle name="Accent3 2 2 2 27" xfId="5045" xr:uid="{00000000-0005-0000-0000-0000911E0000}"/>
    <cellStyle name="Accent3 2 2 2 27 2" xfId="18131" xr:uid="{00000000-0005-0000-0000-0000921E0000}"/>
    <cellStyle name="Accent3 2 2 2 28" xfId="5046" xr:uid="{00000000-0005-0000-0000-0000931E0000}"/>
    <cellStyle name="Accent3 2 2 2 28 2" xfId="5047" xr:uid="{00000000-0005-0000-0000-0000941E0000}"/>
    <cellStyle name="Accent3 2 2 2 28 2 2" xfId="18133" xr:uid="{00000000-0005-0000-0000-0000951E0000}"/>
    <cellStyle name="Accent3 2 2 2 28 3" xfId="18132" xr:uid="{00000000-0005-0000-0000-0000961E0000}"/>
    <cellStyle name="Accent3 2 2 2 29" xfId="18053" xr:uid="{00000000-0005-0000-0000-0000971E0000}"/>
    <cellStyle name="Accent3 2 2 2 3" xfId="5048" xr:uid="{00000000-0005-0000-0000-0000981E0000}"/>
    <cellStyle name="Accent3 2 2 2 3 2" xfId="5049" xr:uid="{00000000-0005-0000-0000-0000991E0000}"/>
    <cellStyle name="Accent3 2 2 2 3 2 2" xfId="18135" xr:uid="{00000000-0005-0000-0000-00009A1E0000}"/>
    <cellStyle name="Accent3 2 2 2 3 3" xfId="18134" xr:uid="{00000000-0005-0000-0000-00009B1E0000}"/>
    <cellStyle name="Accent3 2 2 2 30" xfId="30435" xr:uid="{00000000-0005-0000-0000-00009C1E0000}"/>
    <cellStyle name="Accent3 2 2 2 4" xfId="5050" xr:uid="{00000000-0005-0000-0000-00009D1E0000}"/>
    <cellStyle name="Accent3 2 2 2 4 2" xfId="18136" xr:uid="{00000000-0005-0000-0000-00009E1E0000}"/>
    <cellStyle name="Accent3 2 2 2 5" xfId="5051" xr:uid="{00000000-0005-0000-0000-00009F1E0000}"/>
    <cellStyle name="Accent3 2 2 2 5 2" xfId="18137" xr:uid="{00000000-0005-0000-0000-0000A01E0000}"/>
    <cellStyle name="Accent3 2 2 2 6" xfId="5052" xr:uid="{00000000-0005-0000-0000-0000A11E0000}"/>
    <cellStyle name="Accent3 2 2 2 6 2" xfId="18138" xr:uid="{00000000-0005-0000-0000-0000A21E0000}"/>
    <cellStyle name="Accent3 2 2 2 7" xfId="5053" xr:uid="{00000000-0005-0000-0000-0000A31E0000}"/>
    <cellStyle name="Accent3 2 2 2 7 2" xfId="18139" xr:uid="{00000000-0005-0000-0000-0000A41E0000}"/>
    <cellStyle name="Accent3 2 2 2 8" xfId="5054" xr:uid="{00000000-0005-0000-0000-0000A51E0000}"/>
    <cellStyle name="Accent3 2 2 2 8 2" xfId="18140" xr:uid="{00000000-0005-0000-0000-0000A61E0000}"/>
    <cellStyle name="Accent3 2 2 2 9" xfId="5055" xr:uid="{00000000-0005-0000-0000-0000A71E0000}"/>
    <cellStyle name="Accent3 2 2 2 9 2" xfId="18141" xr:uid="{00000000-0005-0000-0000-0000A81E0000}"/>
    <cellStyle name="Accent3 2 2 20" xfId="5056" xr:uid="{00000000-0005-0000-0000-0000A91E0000}"/>
    <cellStyle name="Accent3 2 2 20 2" xfId="18142" xr:uid="{00000000-0005-0000-0000-0000AA1E0000}"/>
    <cellStyle name="Accent3 2 2 21" xfId="5057" xr:uid="{00000000-0005-0000-0000-0000AB1E0000}"/>
    <cellStyle name="Accent3 2 2 21 2" xfId="18143" xr:uid="{00000000-0005-0000-0000-0000AC1E0000}"/>
    <cellStyle name="Accent3 2 2 22" xfId="5058" xr:uid="{00000000-0005-0000-0000-0000AD1E0000}"/>
    <cellStyle name="Accent3 2 2 22 2" xfId="18144" xr:uid="{00000000-0005-0000-0000-0000AE1E0000}"/>
    <cellStyle name="Accent3 2 2 23" xfId="5059" xr:uid="{00000000-0005-0000-0000-0000AF1E0000}"/>
    <cellStyle name="Accent3 2 2 23 2" xfId="18145" xr:uid="{00000000-0005-0000-0000-0000B01E0000}"/>
    <cellStyle name="Accent3 2 2 24" xfId="5060" xr:uid="{00000000-0005-0000-0000-0000B11E0000}"/>
    <cellStyle name="Accent3 2 2 24 2" xfId="18146" xr:uid="{00000000-0005-0000-0000-0000B21E0000}"/>
    <cellStyle name="Accent3 2 2 25" xfId="5061" xr:uid="{00000000-0005-0000-0000-0000B31E0000}"/>
    <cellStyle name="Accent3 2 2 25 2" xfId="18147" xr:uid="{00000000-0005-0000-0000-0000B41E0000}"/>
    <cellStyle name="Accent3 2 2 26" xfId="5062" xr:uid="{00000000-0005-0000-0000-0000B51E0000}"/>
    <cellStyle name="Accent3 2 2 26 2" xfId="18148" xr:uid="{00000000-0005-0000-0000-0000B61E0000}"/>
    <cellStyle name="Accent3 2 2 27" xfId="5063" xr:uid="{00000000-0005-0000-0000-0000B71E0000}"/>
    <cellStyle name="Accent3 2 2 27 2" xfId="18149" xr:uid="{00000000-0005-0000-0000-0000B81E0000}"/>
    <cellStyle name="Accent3 2 2 28" xfId="5064" xr:uid="{00000000-0005-0000-0000-0000B91E0000}"/>
    <cellStyle name="Accent3 2 2 28 2" xfId="18150" xr:uid="{00000000-0005-0000-0000-0000BA1E0000}"/>
    <cellStyle name="Accent3 2 2 29" xfId="5065" xr:uid="{00000000-0005-0000-0000-0000BB1E0000}"/>
    <cellStyle name="Accent3 2 2 29 2" xfId="18151" xr:uid="{00000000-0005-0000-0000-0000BC1E0000}"/>
    <cellStyle name="Accent3 2 2 3" xfId="5066" xr:uid="{00000000-0005-0000-0000-0000BD1E0000}"/>
    <cellStyle name="Accent3 2 2 3 2" xfId="18152" xr:uid="{00000000-0005-0000-0000-0000BE1E0000}"/>
    <cellStyle name="Accent3 2 2 30" xfId="5067" xr:uid="{00000000-0005-0000-0000-0000BF1E0000}"/>
    <cellStyle name="Accent3 2 2 30 2" xfId="18153" xr:uid="{00000000-0005-0000-0000-0000C01E0000}"/>
    <cellStyle name="Accent3 2 2 31" xfId="5068" xr:uid="{00000000-0005-0000-0000-0000C11E0000}"/>
    <cellStyle name="Accent3 2 2 31 2" xfId="5069" xr:uid="{00000000-0005-0000-0000-0000C21E0000}"/>
    <cellStyle name="Accent3 2 2 31 2 2" xfId="18155" xr:uid="{00000000-0005-0000-0000-0000C31E0000}"/>
    <cellStyle name="Accent3 2 2 31 3" xfId="18154" xr:uid="{00000000-0005-0000-0000-0000C41E0000}"/>
    <cellStyle name="Accent3 2 2 32" xfId="5070" xr:uid="{00000000-0005-0000-0000-0000C51E0000}"/>
    <cellStyle name="Accent3 2 2 32 2" xfId="18156" xr:uid="{00000000-0005-0000-0000-0000C61E0000}"/>
    <cellStyle name="Accent3 2 2 33" xfId="5071" xr:uid="{00000000-0005-0000-0000-0000C71E0000}"/>
    <cellStyle name="Accent3 2 2 33 2" xfId="18157" xr:uid="{00000000-0005-0000-0000-0000C81E0000}"/>
    <cellStyle name="Accent3 2 2 34" xfId="5072" xr:uid="{00000000-0005-0000-0000-0000C91E0000}"/>
    <cellStyle name="Accent3 2 2 34 2" xfId="18158" xr:uid="{00000000-0005-0000-0000-0000CA1E0000}"/>
    <cellStyle name="Accent3 2 2 35" xfId="5073" xr:uid="{00000000-0005-0000-0000-0000CB1E0000}"/>
    <cellStyle name="Accent3 2 2 35 2" xfId="18159" xr:uid="{00000000-0005-0000-0000-0000CC1E0000}"/>
    <cellStyle name="Accent3 2 2 36" xfId="5074" xr:uid="{00000000-0005-0000-0000-0000CD1E0000}"/>
    <cellStyle name="Accent3 2 2 36 2" xfId="18160" xr:uid="{00000000-0005-0000-0000-0000CE1E0000}"/>
    <cellStyle name="Accent3 2 2 37" xfId="5075" xr:uid="{00000000-0005-0000-0000-0000CF1E0000}"/>
    <cellStyle name="Accent3 2 2 37 2" xfId="18161" xr:uid="{00000000-0005-0000-0000-0000D01E0000}"/>
    <cellStyle name="Accent3 2 2 38" xfId="5076" xr:uid="{00000000-0005-0000-0000-0000D11E0000}"/>
    <cellStyle name="Accent3 2 2 38 2" xfId="18162" xr:uid="{00000000-0005-0000-0000-0000D21E0000}"/>
    <cellStyle name="Accent3 2 2 39" xfId="5077" xr:uid="{00000000-0005-0000-0000-0000D31E0000}"/>
    <cellStyle name="Accent3 2 2 39 2" xfId="5078" xr:uid="{00000000-0005-0000-0000-0000D41E0000}"/>
    <cellStyle name="Accent3 2 2 39 2 2" xfId="18164" xr:uid="{00000000-0005-0000-0000-0000D51E0000}"/>
    <cellStyle name="Accent3 2 2 39 3" xfId="18163" xr:uid="{00000000-0005-0000-0000-0000D61E0000}"/>
    <cellStyle name="Accent3 2 2 4" xfId="5079" xr:uid="{00000000-0005-0000-0000-0000D71E0000}"/>
    <cellStyle name="Accent3 2 2 4 2" xfId="18165" xr:uid="{00000000-0005-0000-0000-0000D81E0000}"/>
    <cellStyle name="Accent3 2 2 40" xfId="18041" xr:uid="{00000000-0005-0000-0000-0000D91E0000}"/>
    <cellStyle name="Accent3 2 2 41" xfId="30436" xr:uid="{00000000-0005-0000-0000-0000DA1E0000}"/>
    <cellStyle name="Accent3 2 2 42" xfId="30437" xr:uid="{00000000-0005-0000-0000-0000DB1E0000}"/>
    <cellStyle name="Accent3 2 2 43" xfId="30438" xr:uid="{00000000-0005-0000-0000-0000DC1E0000}"/>
    <cellStyle name="Accent3 2 2 44" xfId="30439" xr:uid="{00000000-0005-0000-0000-0000DD1E0000}"/>
    <cellStyle name="Accent3 2 2 5" xfId="5080" xr:uid="{00000000-0005-0000-0000-0000DE1E0000}"/>
    <cellStyle name="Accent3 2 2 5 2" xfId="18166" xr:uid="{00000000-0005-0000-0000-0000DF1E0000}"/>
    <cellStyle name="Accent3 2 2 6" xfId="5081" xr:uid="{00000000-0005-0000-0000-0000E01E0000}"/>
    <cellStyle name="Accent3 2 2 6 2" xfId="18167" xr:uid="{00000000-0005-0000-0000-0000E11E0000}"/>
    <cellStyle name="Accent3 2 2 7" xfId="5082" xr:uid="{00000000-0005-0000-0000-0000E21E0000}"/>
    <cellStyle name="Accent3 2 2 7 2" xfId="18168" xr:uid="{00000000-0005-0000-0000-0000E31E0000}"/>
    <cellStyle name="Accent3 2 2 8" xfId="5083" xr:uid="{00000000-0005-0000-0000-0000E41E0000}"/>
    <cellStyle name="Accent3 2 2 8 2" xfId="18169" xr:uid="{00000000-0005-0000-0000-0000E51E0000}"/>
    <cellStyle name="Accent3 2 2 9" xfId="5084" xr:uid="{00000000-0005-0000-0000-0000E61E0000}"/>
    <cellStyle name="Accent3 2 2 9 2" xfId="18170" xr:uid="{00000000-0005-0000-0000-0000E71E0000}"/>
    <cellStyle name="Accent3 2 2_Loan Classification" xfId="11429" xr:uid="{00000000-0005-0000-0000-0000E81E0000}"/>
    <cellStyle name="Accent3 2 20" xfId="5085" xr:uid="{00000000-0005-0000-0000-0000E91E0000}"/>
    <cellStyle name="Accent3 2 20 2" xfId="18171" xr:uid="{00000000-0005-0000-0000-0000EA1E0000}"/>
    <cellStyle name="Accent3 2 21" xfId="5086" xr:uid="{00000000-0005-0000-0000-0000EB1E0000}"/>
    <cellStyle name="Accent3 2 21 2" xfId="18172" xr:uid="{00000000-0005-0000-0000-0000EC1E0000}"/>
    <cellStyle name="Accent3 2 22" xfId="5087" xr:uid="{00000000-0005-0000-0000-0000ED1E0000}"/>
    <cellStyle name="Accent3 2 22 2" xfId="18173" xr:uid="{00000000-0005-0000-0000-0000EE1E0000}"/>
    <cellStyle name="Accent3 2 23" xfId="5088" xr:uid="{00000000-0005-0000-0000-0000EF1E0000}"/>
    <cellStyle name="Accent3 2 23 2" xfId="18174" xr:uid="{00000000-0005-0000-0000-0000F01E0000}"/>
    <cellStyle name="Accent3 2 24" xfId="5089" xr:uid="{00000000-0005-0000-0000-0000F11E0000}"/>
    <cellStyle name="Accent3 2 24 2" xfId="18175" xr:uid="{00000000-0005-0000-0000-0000F21E0000}"/>
    <cellStyle name="Accent3 2 25" xfId="5090" xr:uid="{00000000-0005-0000-0000-0000F31E0000}"/>
    <cellStyle name="Accent3 2 25 2" xfId="18176" xr:uid="{00000000-0005-0000-0000-0000F41E0000}"/>
    <cellStyle name="Accent3 2 26" xfId="5091" xr:uid="{00000000-0005-0000-0000-0000F51E0000}"/>
    <cellStyle name="Accent3 2 26 2" xfId="18177" xr:uid="{00000000-0005-0000-0000-0000F61E0000}"/>
    <cellStyle name="Accent3 2 27" xfId="5092" xr:uid="{00000000-0005-0000-0000-0000F71E0000}"/>
    <cellStyle name="Accent3 2 27 2" xfId="18178" xr:uid="{00000000-0005-0000-0000-0000F81E0000}"/>
    <cellStyle name="Accent3 2 28" xfId="5093" xr:uid="{00000000-0005-0000-0000-0000F91E0000}"/>
    <cellStyle name="Accent3 2 28 2" xfId="18179" xr:uid="{00000000-0005-0000-0000-0000FA1E0000}"/>
    <cellStyle name="Accent3 2 29" xfId="5094" xr:uid="{00000000-0005-0000-0000-0000FB1E0000}"/>
    <cellStyle name="Accent3 2 29 2" xfId="18180" xr:uid="{00000000-0005-0000-0000-0000FC1E0000}"/>
    <cellStyle name="Accent3 2 3" xfId="5095" xr:uid="{00000000-0005-0000-0000-0000FD1E0000}"/>
    <cellStyle name="Accent3 2 3 2" xfId="18181" xr:uid="{00000000-0005-0000-0000-0000FE1E0000}"/>
    <cellStyle name="Accent3 2 3 2 2" xfId="30440" xr:uid="{00000000-0005-0000-0000-0000FF1E0000}"/>
    <cellStyle name="Accent3 2 3 3" xfId="30441" xr:uid="{00000000-0005-0000-0000-0000001F0000}"/>
    <cellStyle name="Accent3 2 3 4" xfId="30442" xr:uid="{00000000-0005-0000-0000-0000011F0000}"/>
    <cellStyle name="Accent3 2 3 5" xfId="30443" xr:uid="{00000000-0005-0000-0000-0000021F0000}"/>
    <cellStyle name="Accent3 2 30" xfId="5096" xr:uid="{00000000-0005-0000-0000-0000031F0000}"/>
    <cellStyle name="Accent3 2 30 2" xfId="18182" xr:uid="{00000000-0005-0000-0000-0000041F0000}"/>
    <cellStyle name="Accent3 2 31" xfId="5097" xr:uid="{00000000-0005-0000-0000-0000051F0000}"/>
    <cellStyle name="Accent3 2 31 2" xfId="18183" xr:uid="{00000000-0005-0000-0000-0000061F0000}"/>
    <cellStyle name="Accent3 2 32" xfId="5098" xr:uid="{00000000-0005-0000-0000-0000071F0000}"/>
    <cellStyle name="Accent3 2 32 2" xfId="18184" xr:uid="{00000000-0005-0000-0000-0000081F0000}"/>
    <cellStyle name="Accent3 2 33" xfId="5099" xr:uid="{00000000-0005-0000-0000-0000091F0000}"/>
    <cellStyle name="Accent3 2 33 2" xfId="5100" xr:uid="{00000000-0005-0000-0000-00000A1F0000}"/>
    <cellStyle name="Accent3 2 33 2 2" xfId="18186" xr:uid="{00000000-0005-0000-0000-00000B1F0000}"/>
    <cellStyle name="Accent3 2 33 3" xfId="18185" xr:uid="{00000000-0005-0000-0000-00000C1F0000}"/>
    <cellStyle name="Accent3 2 34" xfId="5101" xr:uid="{00000000-0005-0000-0000-00000D1F0000}"/>
    <cellStyle name="Accent3 2 34 2" xfId="18187" xr:uid="{00000000-0005-0000-0000-00000E1F0000}"/>
    <cellStyle name="Accent3 2 35" xfId="5102" xr:uid="{00000000-0005-0000-0000-00000F1F0000}"/>
    <cellStyle name="Accent3 2 35 2" xfId="18188" xr:uid="{00000000-0005-0000-0000-0000101F0000}"/>
    <cellStyle name="Accent3 2 36" xfId="5103" xr:uid="{00000000-0005-0000-0000-0000111F0000}"/>
    <cellStyle name="Accent3 2 36 2" xfId="18189" xr:uid="{00000000-0005-0000-0000-0000121F0000}"/>
    <cellStyle name="Accent3 2 37" xfId="5104" xr:uid="{00000000-0005-0000-0000-0000131F0000}"/>
    <cellStyle name="Accent3 2 37 2" xfId="18190" xr:uid="{00000000-0005-0000-0000-0000141F0000}"/>
    <cellStyle name="Accent3 2 38" xfId="5105" xr:uid="{00000000-0005-0000-0000-0000151F0000}"/>
    <cellStyle name="Accent3 2 38 2" xfId="18191" xr:uid="{00000000-0005-0000-0000-0000161F0000}"/>
    <cellStyle name="Accent3 2 39" xfId="5106" xr:uid="{00000000-0005-0000-0000-0000171F0000}"/>
    <cellStyle name="Accent3 2 39 2" xfId="18192" xr:uid="{00000000-0005-0000-0000-0000181F0000}"/>
    <cellStyle name="Accent3 2 4" xfId="5107" xr:uid="{00000000-0005-0000-0000-0000191F0000}"/>
    <cellStyle name="Accent3 2 4 2" xfId="18193" xr:uid="{00000000-0005-0000-0000-00001A1F0000}"/>
    <cellStyle name="Accent3 2 4 2 2" xfId="30444" xr:uid="{00000000-0005-0000-0000-00001B1F0000}"/>
    <cellStyle name="Accent3 2 4 3" xfId="30445" xr:uid="{00000000-0005-0000-0000-00001C1F0000}"/>
    <cellStyle name="Accent3 2 4 4" xfId="30446" xr:uid="{00000000-0005-0000-0000-00001D1F0000}"/>
    <cellStyle name="Accent3 2 4 5" xfId="30447" xr:uid="{00000000-0005-0000-0000-00001E1F0000}"/>
    <cellStyle name="Accent3 2 40" xfId="5108" xr:uid="{00000000-0005-0000-0000-00001F1F0000}"/>
    <cellStyle name="Accent3 2 40 2" xfId="18194" xr:uid="{00000000-0005-0000-0000-0000201F0000}"/>
    <cellStyle name="Accent3 2 41" xfId="5109" xr:uid="{00000000-0005-0000-0000-0000211F0000}"/>
    <cellStyle name="Accent3 2 41 2" xfId="5110" xr:uid="{00000000-0005-0000-0000-0000221F0000}"/>
    <cellStyle name="Accent3 2 41 2 2" xfId="18196" xr:uid="{00000000-0005-0000-0000-0000231F0000}"/>
    <cellStyle name="Accent3 2 41 3" xfId="18195" xr:uid="{00000000-0005-0000-0000-0000241F0000}"/>
    <cellStyle name="Accent3 2 42" xfId="18029" xr:uid="{00000000-0005-0000-0000-0000251F0000}"/>
    <cellStyle name="Accent3 2 43" xfId="30448" xr:uid="{00000000-0005-0000-0000-0000261F0000}"/>
    <cellStyle name="Accent3 2 5" xfId="5111" xr:uid="{00000000-0005-0000-0000-0000271F0000}"/>
    <cellStyle name="Accent3 2 5 2" xfId="5112" xr:uid="{00000000-0005-0000-0000-0000281F0000}"/>
    <cellStyle name="Accent3 2 5 2 2" xfId="18198" xr:uid="{00000000-0005-0000-0000-0000291F0000}"/>
    <cellStyle name="Accent3 2 5 3" xfId="18197" xr:uid="{00000000-0005-0000-0000-00002A1F0000}"/>
    <cellStyle name="Accent3 2 5 4" xfId="30449" xr:uid="{00000000-0005-0000-0000-00002B1F0000}"/>
    <cellStyle name="Accent3 2 6" xfId="5113" xr:uid="{00000000-0005-0000-0000-00002C1F0000}"/>
    <cellStyle name="Accent3 2 6 2" xfId="18199" xr:uid="{00000000-0005-0000-0000-00002D1F0000}"/>
    <cellStyle name="Accent3 2 6 3" xfId="30450" xr:uid="{00000000-0005-0000-0000-00002E1F0000}"/>
    <cellStyle name="Accent3 2 7" xfId="5114" xr:uid="{00000000-0005-0000-0000-00002F1F0000}"/>
    <cellStyle name="Accent3 2 7 2" xfId="18200" xr:uid="{00000000-0005-0000-0000-0000301F0000}"/>
    <cellStyle name="Accent3 2 8" xfId="5115" xr:uid="{00000000-0005-0000-0000-0000311F0000}"/>
    <cellStyle name="Accent3 2 8 2" xfId="18201" xr:uid="{00000000-0005-0000-0000-0000321F0000}"/>
    <cellStyle name="Accent3 2 9" xfId="5116" xr:uid="{00000000-0005-0000-0000-0000331F0000}"/>
    <cellStyle name="Accent3 2 9 2" xfId="18202" xr:uid="{00000000-0005-0000-0000-0000341F0000}"/>
    <cellStyle name="Accent3 2_Loan Classification" xfId="11428" xr:uid="{00000000-0005-0000-0000-0000351F0000}"/>
    <cellStyle name="Accent3 20" xfId="5117" xr:uid="{00000000-0005-0000-0000-0000361F0000}"/>
    <cellStyle name="Accent3 20 2" xfId="18203" xr:uid="{00000000-0005-0000-0000-0000371F0000}"/>
    <cellStyle name="Accent3 21" xfId="5118" xr:uid="{00000000-0005-0000-0000-0000381F0000}"/>
    <cellStyle name="Accent3 21 2" xfId="18204" xr:uid="{00000000-0005-0000-0000-0000391F0000}"/>
    <cellStyle name="Accent3 22" xfId="5119" xr:uid="{00000000-0005-0000-0000-00003A1F0000}"/>
    <cellStyle name="Accent3 22 2" xfId="18205" xr:uid="{00000000-0005-0000-0000-00003B1F0000}"/>
    <cellStyle name="Accent3 23" xfId="5120" xr:uid="{00000000-0005-0000-0000-00003C1F0000}"/>
    <cellStyle name="Accent3 23 2" xfId="18206" xr:uid="{00000000-0005-0000-0000-00003D1F0000}"/>
    <cellStyle name="Accent3 24" xfId="5121" xr:uid="{00000000-0005-0000-0000-00003E1F0000}"/>
    <cellStyle name="Accent3 24 2" xfId="18207" xr:uid="{00000000-0005-0000-0000-00003F1F0000}"/>
    <cellStyle name="Accent3 25" xfId="5122" xr:uid="{00000000-0005-0000-0000-0000401F0000}"/>
    <cellStyle name="Accent3 25 2" xfId="18208" xr:uid="{00000000-0005-0000-0000-0000411F0000}"/>
    <cellStyle name="Accent3 26" xfId="5123" xr:uid="{00000000-0005-0000-0000-0000421F0000}"/>
    <cellStyle name="Accent3 26 2" xfId="18209" xr:uid="{00000000-0005-0000-0000-0000431F0000}"/>
    <cellStyle name="Accent3 27" xfId="5124" xr:uid="{00000000-0005-0000-0000-0000441F0000}"/>
    <cellStyle name="Accent3 27 2" xfId="18210" xr:uid="{00000000-0005-0000-0000-0000451F0000}"/>
    <cellStyle name="Accent3 28" xfId="5125" xr:uid="{00000000-0005-0000-0000-0000461F0000}"/>
    <cellStyle name="Accent3 28 2" xfId="18211" xr:uid="{00000000-0005-0000-0000-0000471F0000}"/>
    <cellStyle name="Accent3 29" xfId="5126" xr:uid="{00000000-0005-0000-0000-0000481F0000}"/>
    <cellStyle name="Accent3 29 2" xfId="18212" xr:uid="{00000000-0005-0000-0000-0000491F0000}"/>
    <cellStyle name="Accent3 3" xfId="5127" xr:uid="{00000000-0005-0000-0000-00004A1F0000}"/>
    <cellStyle name="Accent3 3 2" xfId="18213" xr:uid="{00000000-0005-0000-0000-00004B1F0000}"/>
    <cellStyle name="Accent3 3 2 2" xfId="30451" xr:uid="{00000000-0005-0000-0000-00004C1F0000}"/>
    <cellStyle name="Accent3 3 3" xfId="30452" xr:uid="{00000000-0005-0000-0000-00004D1F0000}"/>
    <cellStyle name="Accent3 3 4" xfId="30453" xr:uid="{00000000-0005-0000-0000-00004E1F0000}"/>
    <cellStyle name="Accent3 30" xfId="5128" xr:uid="{00000000-0005-0000-0000-00004F1F0000}"/>
    <cellStyle name="Accent3 30 2" xfId="18214" xr:uid="{00000000-0005-0000-0000-0000501F0000}"/>
    <cellStyle name="Accent3 31" xfId="5129" xr:uid="{00000000-0005-0000-0000-0000511F0000}"/>
    <cellStyle name="Accent3 31 2" xfId="18215" xr:uid="{00000000-0005-0000-0000-0000521F0000}"/>
    <cellStyle name="Accent3 32" xfId="5130" xr:uid="{00000000-0005-0000-0000-0000531F0000}"/>
    <cellStyle name="Accent3 32 2" xfId="18216" xr:uid="{00000000-0005-0000-0000-0000541F0000}"/>
    <cellStyle name="Accent3 33" xfId="5131" xr:uid="{00000000-0005-0000-0000-0000551F0000}"/>
    <cellStyle name="Accent3 33 2" xfId="18217" xr:uid="{00000000-0005-0000-0000-0000561F0000}"/>
    <cellStyle name="Accent3 34" xfId="5132" xr:uid="{00000000-0005-0000-0000-0000571F0000}"/>
    <cellStyle name="Accent3 34 2" xfId="18218" xr:uid="{00000000-0005-0000-0000-0000581F0000}"/>
    <cellStyle name="Accent3 35" xfId="5133" xr:uid="{00000000-0005-0000-0000-0000591F0000}"/>
    <cellStyle name="Accent3 35 2" xfId="18219" xr:uid="{00000000-0005-0000-0000-00005A1F0000}"/>
    <cellStyle name="Accent3 36" xfId="5134" xr:uid="{00000000-0005-0000-0000-00005B1F0000}"/>
    <cellStyle name="Accent3 36 2" xfId="18220" xr:uid="{00000000-0005-0000-0000-00005C1F0000}"/>
    <cellStyle name="Accent3 37" xfId="5135" xr:uid="{00000000-0005-0000-0000-00005D1F0000}"/>
    <cellStyle name="Accent3 37 2" xfId="18221" xr:uid="{00000000-0005-0000-0000-00005E1F0000}"/>
    <cellStyle name="Accent3 38" xfId="5136" xr:uid="{00000000-0005-0000-0000-00005F1F0000}"/>
    <cellStyle name="Accent3 38 2" xfId="18222" xr:uid="{00000000-0005-0000-0000-0000601F0000}"/>
    <cellStyle name="Accent3 39" xfId="5137" xr:uid="{00000000-0005-0000-0000-0000611F0000}"/>
    <cellStyle name="Accent3 39 2" xfId="18223" xr:uid="{00000000-0005-0000-0000-0000621F0000}"/>
    <cellStyle name="Accent3 4" xfId="5138" xr:uid="{00000000-0005-0000-0000-0000631F0000}"/>
    <cellStyle name="Accent3 4 2" xfId="18224" xr:uid="{00000000-0005-0000-0000-0000641F0000}"/>
    <cellStyle name="Accent3 4 2 2" xfId="30454" xr:uid="{00000000-0005-0000-0000-0000651F0000}"/>
    <cellStyle name="Accent3 4 3" xfId="30455" xr:uid="{00000000-0005-0000-0000-0000661F0000}"/>
    <cellStyle name="Accent3 4 4" xfId="30456" xr:uid="{00000000-0005-0000-0000-0000671F0000}"/>
    <cellStyle name="Accent3 40" xfId="5139" xr:uid="{00000000-0005-0000-0000-0000681F0000}"/>
    <cellStyle name="Accent3 40 2" xfId="18225" xr:uid="{00000000-0005-0000-0000-0000691F0000}"/>
    <cellStyle name="Accent3 41" xfId="5140" xr:uid="{00000000-0005-0000-0000-00006A1F0000}"/>
    <cellStyle name="Accent3 41 2" xfId="18226" xr:uid="{00000000-0005-0000-0000-00006B1F0000}"/>
    <cellStyle name="Accent3 42" xfId="5141" xr:uid="{00000000-0005-0000-0000-00006C1F0000}"/>
    <cellStyle name="Accent3 42 2" xfId="18227" xr:uid="{00000000-0005-0000-0000-00006D1F0000}"/>
    <cellStyle name="Accent3 43" xfId="11583" xr:uid="{00000000-0005-0000-0000-00006E1F0000}"/>
    <cellStyle name="Accent3 43 2" xfId="18228" xr:uid="{00000000-0005-0000-0000-00006F1F0000}"/>
    <cellStyle name="Accent3 44" xfId="11546" xr:uid="{00000000-0005-0000-0000-0000701F0000}"/>
    <cellStyle name="Accent3 44 2" xfId="18229" xr:uid="{00000000-0005-0000-0000-0000711F0000}"/>
    <cellStyle name="Accent3 45" xfId="18230" xr:uid="{00000000-0005-0000-0000-0000721F0000}"/>
    <cellStyle name="Accent3 46" xfId="30457" xr:uid="{00000000-0005-0000-0000-0000731F0000}"/>
    <cellStyle name="Accent3 47" xfId="503" xr:uid="{00000000-0005-0000-0000-0000741F0000}"/>
    <cellStyle name="Accent3 5" xfId="5142" xr:uid="{00000000-0005-0000-0000-0000751F0000}"/>
    <cellStyle name="Accent3 5 2" xfId="18231" xr:uid="{00000000-0005-0000-0000-0000761F0000}"/>
    <cellStyle name="Accent3 5 2 2" xfId="30458" xr:uid="{00000000-0005-0000-0000-0000771F0000}"/>
    <cellStyle name="Accent3 5 3" xfId="30459" xr:uid="{00000000-0005-0000-0000-0000781F0000}"/>
    <cellStyle name="Accent3 5 4" xfId="30460" xr:uid="{00000000-0005-0000-0000-0000791F0000}"/>
    <cellStyle name="Accent3 6" xfId="5143" xr:uid="{00000000-0005-0000-0000-00007A1F0000}"/>
    <cellStyle name="Accent3 6 2" xfId="18232" xr:uid="{00000000-0005-0000-0000-00007B1F0000}"/>
    <cellStyle name="Accent3 6 3" xfId="30461" xr:uid="{00000000-0005-0000-0000-00007C1F0000}"/>
    <cellStyle name="Accent3 7" xfId="5144" xr:uid="{00000000-0005-0000-0000-00007D1F0000}"/>
    <cellStyle name="Accent3 7 2" xfId="18233" xr:uid="{00000000-0005-0000-0000-00007E1F0000}"/>
    <cellStyle name="Accent3 7 3" xfId="30462" xr:uid="{00000000-0005-0000-0000-00007F1F0000}"/>
    <cellStyle name="Accent3 8" xfId="5145" xr:uid="{00000000-0005-0000-0000-0000801F0000}"/>
    <cellStyle name="Accent3 8 2" xfId="18234" xr:uid="{00000000-0005-0000-0000-0000811F0000}"/>
    <cellStyle name="Accent3 8 3" xfId="30463" xr:uid="{00000000-0005-0000-0000-0000821F0000}"/>
    <cellStyle name="Accent3 9" xfId="5146" xr:uid="{00000000-0005-0000-0000-0000831F0000}"/>
    <cellStyle name="Accent3 9 2" xfId="18235" xr:uid="{00000000-0005-0000-0000-0000841F0000}"/>
    <cellStyle name="Accent3 9 3" xfId="30464" xr:uid="{00000000-0005-0000-0000-0000851F0000}"/>
    <cellStyle name="Accent4" xfId="37" builtinId="41" customBuiltin="1"/>
    <cellStyle name="Accent4 10" xfId="5147" xr:uid="{00000000-0005-0000-0000-0000871F0000}"/>
    <cellStyle name="Accent4 10 2" xfId="18236" xr:uid="{00000000-0005-0000-0000-0000881F0000}"/>
    <cellStyle name="Accent4 10 3" xfId="30465" xr:uid="{00000000-0005-0000-0000-0000891F0000}"/>
    <cellStyle name="Accent4 11" xfId="5148" xr:uid="{00000000-0005-0000-0000-00008A1F0000}"/>
    <cellStyle name="Accent4 11 2" xfId="18237" xr:uid="{00000000-0005-0000-0000-00008B1F0000}"/>
    <cellStyle name="Accent4 11 3" xfId="30466" xr:uid="{00000000-0005-0000-0000-00008C1F0000}"/>
    <cellStyle name="Accent4 12" xfId="5149" xr:uid="{00000000-0005-0000-0000-00008D1F0000}"/>
    <cellStyle name="Accent4 12 2" xfId="18238" xr:uid="{00000000-0005-0000-0000-00008E1F0000}"/>
    <cellStyle name="Accent4 12 3" xfId="30467" xr:uid="{00000000-0005-0000-0000-00008F1F0000}"/>
    <cellStyle name="Accent4 13" xfId="5150" xr:uid="{00000000-0005-0000-0000-0000901F0000}"/>
    <cellStyle name="Accent4 13 2" xfId="18239" xr:uid="{00000000-0005-0000-0000-0000911F0000}"/>
    <cellStyle name="Accent4 13 3" xfId="30468" xr:uid="{00000000-0005-0000-0000-0000921F0000}"/>
    <cellStyle name="Accent4 14" xfId="5151" xr:uid="{00000000-0005-0000-0000-0000931F0000}"/>
    <cellStyle name="Accent4 14 2" xfId="18240" xr:uid="{00000000-0005-0000-0000-0000941F0000}"/>
    <cellStyle name="Accent4 14 3" xfId="30469" xr:uid="{00000000-0005-0000-0000-0000951F0000}"/>
    <cellStyle name="Accent4 15" xfId="5152" xr:uid="{00000000-0005-0000-0000-0000961F0000}"/>
    <cellStyle name="Accent4 15 2" xfId="18241" xr:uid="{00000000-0005-0000-0000-0000971F0000}"/>
    <cellStyle name="Accent4 15 3" xfId="30470" xr:uid="{00000000-0005-0000-0000-0000981F0000}"/>
    <cellStyle name="Accent4 16" xfId="5153" xr:uid="{00000000-0005-0000-0000-0000991F0000}"/>
    <cellStyle name="Accent4 16 2" xfId="18242" xr:uid="{00000000-0005-0000-0000-00009A1F0000}"/>
    <cellStyle name="Accent4 16 3" xfId="30471" xr:uid="{00000000-0005-0000-0000-00009B1F0000}"/>
    <cellStyle name="Accent4 17" xfId="5154" xr:uid="{00000000-0005-0000-0000-00009C1F0000}"/>
    <cellStyle name="Accent4 17 2" xfId="18243" xr:uid="{00000000-0005-0000-0000-00009D1F0000}"/>
    <cellStyle name="Accent4 17 3" xfId="30472" xr:uid="{00000000-0005-0000-0000-00009E1F0000}"/>
    <cellStyle name="Accent4 18" xfId="5155" xr:uid="{00000000-0005-0000-0000-00009F1F0000}"/>
    <cellStyle name="Accent4 18 2" xfId="18244" xr:uid="{00000000-0005-0000-0000-0000A01F0000}"/>
    <cellStyle name="Accent4 19" xfId="5156" xr:uid="{00000000-0005-0000-0000-0000A11F0000}"/>
    <cellStyle name="Accent4 19 2" xfId="18245" xr:uid="{00000000-0005-0000-0000-0000A21F0000}"/>
    <cellStyle name="Accent4 2" xfId="81" xr:uid="{00000000-0005-0000-0000-0000A31F0000}"/>
    <cellStyle name="Accent4 2 10" xfId="5158" xr:uid="{00000000-0005-0000-0000-0000A41F0000}"/>
    <cellStyle name="Accent4 2 10 2" xfId="18247" xr:uid="{00000000-0005-0000-0000-0000A51F0000}"/>
    <cellStyle name="Accent4 2 11" xfId="5159" xr:uid="{00000000-0005-0000-0000-0000A61F0000}"/>
    <cellStyle name="Accent4 2 11 2" xfId="18248" xr:uid="{00000000-0005-0000-0000-0000A71F0000}"/>
    <cellStyle name="Accent4 2 12" xfId="5160" xr:uid="{00000000-0005-0000-0000-0000A81F0000}"/>
    <cellStyle name="Accent4 2 12 2" xfId="18249" xr:uid="{00000000-0005-0000-0000-0000A91F0000}"/>
    <cellStyle name="Accent4 2 13" xfId="5161" xr:uid="{00000000-0005-0000-0000-0000AA1F0000}"/>
    <cellStyle name="Accent4 2 13 2" xfId="18250" xr:uid="{00000000-0005-0000-0000-0000AB1F0000}"/>
    <cellStyle name="Accent4 2 14" xfId="5162" xr:uid="{00000000-0005-0000-0000-0000AC1F0000}"/>
    <cellStyle name="Accent4 2 14 2" xfId="18251" xr:uid="{00000000-0005-0000-0000-0000AD1F0000}"/>
    <cellStyle name="Accent4 2 15" xfId="5163" xr:uid="{00000000-0005-0000-0000-0000AE1F0000}"/>
    <cellStyle name="Accent4 2 15 2" xfId="18252" xr:uid="{00000000-0005-0000-0000-0000AF1F0000}"/>
    <cellStyle name="Accent4 2 16" xfId="5164" xr:uid="{00000000-0005-0000-0000-0000B01F0000}"/>
    <cellStyle name="Accent4 2 16 2" xfId="5165" xr:uid="{00000000-0005-0000-0000-0000B11F0000}"/>
    <cellStyle name="Accent4 2 16 2 2" xfId="18254" xr:uid="{00000000-0005-0000-0000-0000B21F0000}"/>
    <cellStyle name="Accent4 2 16 3" xfId="18253" xr:uid="{00000000-0005-0000-0000-0000B31F0000}"/>
    <cellStyle name="Accent4 2 17" xfId="5166" xr:uid="{00000000-0005-0000-0000-0000B41F0000}"/>
    <cellStyle name="Accent4 2 17 2" xfId="18255" xr:uid="{00000000-0005-0000-0000-0000B51F0000}"/>
    <cellStyle name="Accent4 2 18" xfId="5167" xr:uid="{00000000-0005-0000-0000-0000B61F0000}"/>
    <cellStyle name="Accent4 2 18 2" xfId="18256" xr:uid="{00000000-0005-0000-0000-0000B71F0000}"/>
    <cellStyle name="Accent4 2 19" xfId="5168" xr:uid="{00000000-0005-0000-0000-0000B81F0000}"/>
    <cellStyle name="Accent4 2 19 2" xfId="18257" xr:uid="{00000000-0005-0000-0000-0000B91F0000}"/>
    <cellStyle name="Accent4 2 2" xfId="5169" xr:uid="{00000000-0005-0000-0000-0000BA1F0000}"/>
    <cellStyle name="Accent4 2 2 10" xfId="5170" xr:uid="{00000000-0005-0000-0000-0000BB1F0000}"/>
    <cellStyle name="Accent4 2 2 10 2" xfId="18259" xr:uid="{00000000-0005-0000-0000-0000BC1F0000}"/>
    <cellStyle name="Accent4 2 2 11" xfId="5171" xr:uid="{00000000-0005-0000-0000-0000BD1F0000}"/>
    <cellStyle name="Accent4 2 2 11 2" xfId="18260" xr:uid="{00000000-0005-0000-0000-0000BE1F0000}"/>
    <cellStyle name="Accent4 2 2 12" xfId="5172" xr:uid="{00000000-0005-0000-0000-0000BF1F0000}"/>
    <cellStyle name="Accent4 2 2 12 2" xfId="18261" xr:uid="{00000000-0005-0000-0000-0000C01F0000}"/>
    <cellStyle name="Accent4 2 2 13" xfId="5173" xr:uid="{00000000-0005-0000-0000-0000C11F0000}"/>
    <cellStyle name="Accent4 2 2 13 2" xfId="18262" xr:uid="{00000000-0005-0000-0000-0000C21F0000}"/>
    <cellStyle name="Accent4 2 2 14" xfId="5174" xr:uid="{00000000-0005-0000-0000-0000C31F0000}"/>
    <cellStyle name="Accent4 2 2 14 2" xfId="5175" xr:uid="{00000000-0005-0000-0000-0000C41F0000}"/>
    <cellStyle name="Accent4 2 2 14 2 2" xfId="18264" xr:uid="{00000000-0005-0000-0000-0000C51F0000}"/>
    <cellStyle name="Accent4 2 2 14 3" xfId="18263" xr:uid="{00000000-0005-0000-0000-0000C61F0000}"/>
    <cellStyle name="Accent4 2 2 15" xfId="5176" xr:uid="{00000000-0005-0000-0000-0000C71F0000}"/>
    <cellStyle name="Accent4 2 2 15 2" xfId="18265" xr:uid="{00000000-0005-0000-0000-0000C81F0000}"/>
    <cellStyle name="Accent4 2 2 16" xfId="5177" xr:uid="{00000000-0005-0000-0000-0000C91F0000}"/>
    <cellStyle name="Accent4 2 2 16 2" xfId="18266" xr:uid="{00000000-0005-0000-0000-0000CA1F0000}"/>
    <cellStyle name="Accent4 2 2 17" xfId="5178" xr:uid="{00000000-0005-0000-0000-0000CB1F0000}"/>
    <cellStyle name="Accent4 2 2 17 2" xfId="18267" xr:uid="{00000000-0005-0000-0000-0000CC1F0000}"/>
    <cellStyle name="Accent4 2 2 18" xfId="5179" xr:uid="{00000000-0005-0000-0000-0000CD1F0000}"/>
    <cellStyle name="Accent4 2 2 18 2" xfId="18268" xr:uid="{00000000-0005-0000-0000-0000CE1F0000}"/>
    <cellStyle name="Accent4 2 2 19" xfId="5180" xr:uid="{00000000-0005-0000-0000-0000CF1F0000}"/>
    <cellStyle name="Accent4 2 2 19 2" xfId="18269" xr:uid="{00000000-0005-0000-0000-0000D01F0000}"/>
    <cellStyle name="Accent4 2 2 2" xfId="5181" xr:uid="{00000000-0005-0000-0000-0000D11F0000}"/>
    <cellStyle name="Accent4 2 2 2 10" xfId="5182" xr:uid="{00000000-0005-0000-0000-0000D21F0000}"/>
    <cellStyle name="Accent4 2 2 2 10 2" xfId="18271" xr:uid="{00000000-0005-0000-0000-0000D31F0000}"/>
    <cellStyle name="Accent4 2 2 2 11" xfId="5183" xr:uid="{00000000-0005-0000-0000-0000D41F0000}"/>
    <cellStyle name="Accent4 2 2 2 11 2" xfId="18272" xr:uid="{00000000-0005-0000-0000-0000D51F0000}"/>
    <cellStyle name="Accent4 2 2 2 12" xfId="5184" xr:uid="{00000000-0005-0000-0000-0000D61F0000}"/>
    <cellStyle name="Accent4 2 2 2 12 2" xfId="18273" xr:uid="{00000000-0005-0000-0000-0000D71F0000}"/>
    <cellStyle name="Accent4 2 2 2 13" xfId="5185" xr:uid="{00000000-0005-0000-0000-0000D81F0000}"/>
    <cellStyle name="Accent4 2 2 2 13 2" xfId="18274" xr:uid="{00000000-0005-0000-0000-0000D91F0000}"/>
    <cellStyle name="Accent4 2 2 2 14" xfId="5186" xr:uid="{00000000-0005-0000-0000-0000DA1F0000}"/>
    <cellStyle name="Accent4 2 2 2 14 2" xfId="18275" xr:uid="{00000000-0005-0000-0000-0000DB1F0000}"/>
    <cellStyle name="Accent4 2 2 2 15" xfId="5187" xr:uid="{00000000-0005-0000-0000-0000DC1F0000}"/>
    <cellStyle name="Accent4 2 2 2 15 2" xfId="18276" xr:uid="{00000000-0005-0000-0000-0000DD1F0000}"/>
    <cellStyle name="Accent4 2 2 2 16" xfId="5188" xr:uid="{00000000-0005-0000-0000-0000DE1F0000}"/>
    <cellStyle name="Accent4 2 2 2 16 2" xfId="18277" xr:uid="{00000000-0005-0000-0000-0000DF1F0000}"/>
    <cellStyle name="Accent4 2 2 2 17" xfId="5189" xr:uid="{00000000-0005-0000-0000-0000E01F0000}"/>
    <cellStyle name="Accent4 2 2 2 17 2" xfId="18278" xr:uid="{00000000-0005-0000-0000-0000E11F0000}"/>
    <cellStyle name="Accent4 2 2 2 18" xfId="5190" xr:uid="{00000000-0005-0000-0000-0000E21F0000}"/>
    <cellStyle name="Accent4 2 2 2 18 2" xfId="18279" xr:uid="{00000000-0005-0000-0000-0000E31F0000}"/>
    <cellStyle name="Accent4 2 2 2 19" xfId="5191" xr:uid="{00000000-0005-0000-0000-0000E41F0000}"/>
    <cellStyle name="Accent4 2 2 2 19 2" xfId="18280" xr:uid="{00000000-0005-0000-0000-0000E51F0000}"/>
    <cellStyle name="Accent4 2 2 2 2" xfId="5192" xr:uid="{00000000-0005-0000-0000-0000E61F0000}"/>
    <cellStyle name="Accent4 2 2 2 2 10" xfId="5193" xr:uid="{00000000-0005-0000-0000-0000E71F0000}"/>
    <cellStyle name="Accent4 2 2 2 2 10 2" xfId="18282" xr:uid="{00000000-0005-0000-0000-0000E81F0000}"/>
    <cellStyle name="Accent4 2 2 2 2 11" xfId="5194" xr:uid="{00000000-0005-0000-0000-0000E91F0000}"/>
    <cellStyle name="Accent4 2 2 2 2 11 2" xfId="18283" xr:uid="{00000000-0005-0000-0000-0000EA1F0000}"/>
    <cellStyle name="Accent4 2 2 2 2 12" xfId="5195" xr:uid="{00000000-0005-0000-0000-0000EB1F0000}"/>
    <cellStyle name="Accent4 2 2 2 2 12 2" xfId="18284" xr:uid="{00000000-0005-0000-0000-0000EC1F0000}"/>
    <cellStyle name="Accent4 2 2 2 2 13" xfId="5196" xr:uid="{00000000-0005-0000-0000-0000ED1F0000}"/>
    <cellStyle name="Accent4 2 2 2 2 13 2" xfId="18285" xr:uid="{00000000-0005-0000-0000-0000EE1F0000}"/>
    <cellStyle name="Accent4 2 2 2 2 14" xfId="5197" xr:uid="{00000000-0005-0000-0000-0000EF1F0000}"/>
    <cellStyle name="Accent4 2 2 2 2 14 2" xfId="18286" xr:uid="{00000000-0005-0000-0000-0000F01F0000}"/>
    <cellStyle name="Accent4 2 2 2 2 15" xfId="5198" xr:uid="{00000000-0005-0000-0000-0000F11F0000}"/>
    <cellStyle name="Accent4 2 2 2 2 15 2" xfId="18287" xr:uid="{00000000-0005-0000-0000-0000F21F0000}"/>
    <cellStyle name="Accent4 2 2 2 2 16" xfId="5199" xr:uid="{00000000-0005-0000-0000-0000F31F0000}"/>
    <cellStyle name="Accent4 2 2 2 2 16 2" xfId="18288" xr:uid="{00000000-0005-0000-0000-0000F41F0000}"/>
    <cellStyle name="Accent4 2 2 2 2 17" xfId="5200" xr:uid="{00000000-0005-0000-0000-0000F51F0000}"/>
    <cellStyle name="Accent4 2 2 2 2 17 2" xfId="18289" xr:uid="{00000000-0005-0000-0000-0000F61F0000}"/>
    <cellStyle name="Accent4 2 2 2 2 18" xfId="5201" xr:uid="{00000000-0005-0000-0000-0000F71F0000}"/>
    <cellStyle name="Accent4 2 2 2 2 18 2" xfId="18290" xr:uid="{00000000-0005-0000-0000-0000F81F0000}"/>
    <cellStyle name="Accent4 2 2 2 2 19" xfId="5202" xr:uid="{00000000-0005-0000-0000-0000F91F0000}"/>
    <cellStyle name="Accent4 2 2 2 2 19 2" xfId="18291" xr:uid="{00000000-0005-0000-0000-0000FA1F0000}"/>
    <cellStyle name="Accent4 2 2 2 2 2" xfId="5203" xr:uid="{00000000-0005-0000-0000-0000FB1F0000}"/>
    <cellStyle name="Accent4 2 2 2 2 2 10" xfId="5204" xr:uid="{00000000-0005-0000-0000-0000FC1F0000}"/>
    <cellStyle name="Accent4 2 2 2 2 2 10 2" xfId="18293" xr:uid="{00000000-0005-0000-0000-0000FD1F0000}"/>
    <cellStyle name="Accent4 2 2 2 2 2 11" xfId="5205" xr:uid="{00000000-0005-0000-0000-0000FE1F0000}"/>
    <cellStyle name="Accent4 2 2 2 2 2 11 2" xfId="5206" xr:uid="{00000000-0005-0000-0000-0000FF1F0000}"/>
    <cellStyle name="Accent4 2 2 2 2 2 11 2 2" xfId="18295" xr:uid="{00000000-0005-0000-0000-000000200000}"/>
    <cellStyle name="Accent4 2 2 2 2 2 11 3" xfId="18294" xr:uid="{00000000-0005-0000-0000-000001200000}"/>
    <cellStyle name="Accent4 2 2 2 2 2 12" xfId="18292" xr:uid="{00000000-0005-0000-0000-000002200000}"/>
    <cellStyle name="Accent4 2 2 2 2 2 2" xfId="5207" xr:uid="{00000000-0005-0000-0000-000003200000}"/>
    <cellStyle name="Accent4 2 2 2 2 2 2 10" xfId="5208" xr:uid="{00000000-0005-0000-0000-000004200000}"/>
    <cellStyle name="Accent4 2 2 2 2 2 2 10 2" xfId="18297" xr:uid="{00000000-0005-0000-0000-000005200000}"/>
    <cellStyle name="Accent4 2 2 2 2 2 2 11" xfId="5209" xr:uid="{00000000-0005-0000-0000-000006200000}"/>
    <cellStyle name="Accent4 2 2 2 2 2 2 11 2" xfId="5210" xr:uid="{00000000-0005-0000-0000-000007200000}"/>
    <cellStyle name="Accent4 2 2 2 2 2 2 11 2 2" xfId="18299" xr:uid="{00000000-0005-0000-0000-000008200000}"/>
    <cellStyle name="Accent4 2 2 2 2 2 2 11 3" xfId="18298" xr:uid="{00000000-0005-0000-0000-000009200000}"/>
    <cellStyle name="Accent4 2 2 2 2 2 2 12" xfId="18296" xr:uid="{00000000-0005-0000-0000-00000A200000}"/>
    <cellStyle name="Accent4 2 2 2 2 2 2 2" xfId="5211" xr:uid="{00000000-0005-0000-0000-00000B200000}"/>
    <cellStyle name="Accent4 2 2 2 2 2 2 2 2" xfId="5212" xr:uid="{00000000-0005-0000-0000-00000C200000}"/>
    <cellStyle name="Accent4 2 2 2 2 2 2 2 2 2" xfId="5213" xr:uid="{00000000-0005-0000-0000-00000D200000}"/>
    <cellStyle name="Accent4 2 2 2 2 2 2 2 2 2 2" xfId="5214" xr:uid="{00000000-0005-0000-0000-00000E200000}"/>
    <cellStyle name="Accent4 2 2 2 2 2 2 2 2 2 2 2" xfId="18303" xr:uid="{00000000-0005-0000-0000-00000F200000}"/>
    <cellStyle name="Accent4 2 2 2 2 2 2 2 2 2 3" xfId="18302" xr:uid="{00000000-0005-0000-0000-000010200000}"/>
    <cellStyle name="Accent4 2 2 2 2 2 2 2 2 3" xfId="5215" xr:uid="{00000000-0005-0000-0000-000011200000}"/>
    <cellStyle name="Accent4 2 2 2 2 2 2 2 2 3 2" xfId="18304" xr:uid="{00000000-0005-0000-0000-000012200000}"/>
    <cellStyle name="Accent4 2 2 2 2 2 2 2 2 4" xfId="18301" xr:uid="{00000000-0005-0000-0000-000013200000}"/>
    <cellStyle name="Accent4 2 2 2 2 2 2 2 3" xfId="5216" xr:uid="{00000000-0005-0000-0000-000014200000}"/>
    <cellStyle name="Accent4 2 2 2 2 2 2 2 3 2" xfId="5217" xr:uid="{00000000-0005-0000-0000-000015200000}"/>
    <cellStyle name="Accent4 2 2 2 2 2 2 2 3 2 2" xfId="18306" xr:uid="{00000000-0005-0000-0000-000016200000}"/>
    <cellStyle name="Accent4 2 2 2 2 2 2 2 3 3" xfId="18305" xr:uid="{00000000-0005-0000-0000-000017200000}"/>
    <cellStyle name="Accent4 2 2 2 2 2 2 2 4" xfId="18300" xr:uid="{00000000-0005-0000-0000-000018200000}"/>
    <cellStyle name="Accent4 2 2 2 2 2 2 3" xfId="5218" xr:uid="{00000000-0005-0000-0000-000019200000}"/>
    <cellStyle name="Accent4 2 2 2 2 2 2 3 2" xfId="18307" xr:uid="{00000000-0005-0000-0000-00001A200000}"/>
    <cellStyle name="Accent4 2 2 2 2 2 2 4" xfId="5219" xr:uid="{00000000-0005-0000-0000-00001B200000}"/>
    <cellStyle name="Accent4 2 2 2 2 2 2 4 2" xfId="18308" xr:uid="{00000000-0005-0000-0000-00001C200000}"/>
    <cellStyle name="Accent4 2 2 2 2 2 2 5" xfId="5220" xr:uid="{00000000-0005-0000-0000-00001D200000}"/>
    <cellStyle name="Accent4 2 2 2 2 2 2 5 2" xfId="18309" xr:uid="{00000000-0005-0000-0000-00001E200000}"/>
    <cellStyle name="Accent4 2 2 2 2 2 2 6" xfId="5221" xr:uid="{00000000-0005-0000-0000-00001F200000}"/>
    <cellStyle name="Accent4 2 2 2 2 2 2 6 2" xfId="18310" xr:uid="{00000000-0005-0000-0000-000020200000}"/>
    <cellStyle name="Accent4 2 2 2 2 2 2 7" xfId="5222" xr:uid="{00000000-0005-0000-0000-000021200000}"/>
    <cellStyle name="Accent4 2 2 2 2 2 2 7 2" xfId="18311" xr:uid="{00000000-0005-0000-0000-000022200000}"/>
    <cellStyle name="Accent4 2 2 2 2 2 2 8" xfId="5223" xr:uid="{00000000-0005-0000-0000-000023200000}"/>
    <cellStyle name="Accent4 2 2 2 2 2 2 8 2" xfId="18312" xr:uid="{00000000-0005-0000-0000-000024200000}"/>
    <cellStyle name="Accent4 2 2 2 2 2 2 9" xfId="5224" xr:uid="{00000000-0005-0000-0000-000025200000}"/>
    <cellStyle name="Accent4 2 2 2 2 2 2 9 2" xfId="18313" xr:uid="{00000000-0005-0000-0000-000026200000}"/>
    <cellStyle name="Accent4 2 2 2 2 2 3" xfId="5225" xr:uid="{00000000-0005-0000-0000-000027200000}"/>
    <cellStyle name="Accent4 2 2 2 2 2 3 2" xfId="5226" xr:uid="{00000000-0005-0000-0000-000028200000}"/>
    <cellStyle name="Accent4 2 2 2 2 2 3 2 2" xfId="18315" xr:uid="{00000000-0005-0000-0000-000029200000}"/>
    <cellStyle name="Accent4 2 2 2 2 2 3 3" xfId="18314" xr:uid="{00000000-0005-0000-0000-00002A200000}"/>
    <cellStyle name="Accent4 2 2 2 2 2 4" xfId="5227" xr:uid="{00000000-0005-0000-0000-00002B200000}"/>
    <cellStyle name="Accent4 2 2 2 2 2 4 2" xfId="18316" xr:uid="{00000000-0005-0000-0000-00002C200000}"/>
    <cellStyle name="Accent4 2 2 2 2 2 5" xfId="5228" xr:uid="{00000000-0005-0000-0000-00002D200000}"/>
    <cellStyle name="Accent4 2 2 2 2 2 5 2" xfId="18317" xr:uid="{00000000-0005-0000-0000-00002E200000}"/>
    <cellStyle name="Accent4 2 2 2 2 2 6" xfId="5229" xr:uid="{00000000-0005-0000-0000-00002F200000}"/>
    <cellStyle name="Accent4 2 2 2 2 2 6 2" xfId="18318" xr:uid="{00000000-0005-0000-0000-000030200000}"/>
    <cellStyle name="Accent4 2 2 2 2 2 7" xfId="5230" xr:uid="{00000000-0005-0000-0000-000031200000}"/>
    <cellStyle name="Accent4 2 2 2 2 2 7 2" xfId="18319" xr:uid="{00000000-0005-0000-0000-000032200000}"/>
    <cellStyle name="Accent4 2 2 2 2 2 8" xfId="5231" xr:uid="{00000000-0005-0000-0000-000033200000}"/>
    <cellStyle name="Accent4 2 2 2 2 2 8 2" xfId="18320" xr:uid="{00000000-0005-0000-0000-000034200000}"/>
    <cellStyle name="Accent4 2 2 2 2 2 9" xfId="5232" xr:uid="{00000000-0005-0000-0000-000035200000}"/>
    <cellStyle name="Accent4 2 2 2 2 2 9 2" xfId="18321" xr:uid="{00000000-0005-0000-0000-000036200000}"/>
    <cellStyle name="Accent4 2 2 2 2 20" xfId="5233" xr:uid="{00000000-0005-0000-0000-000037200000}"/>
    <cellStyle name="Accent4 2 2 2 2 20 2" xfId="5234" xr:uid="{00000000-0005-0000-0000-000038200000}"/>
    <cellStyle name="Accent4 2 2 2 2 20 2 2" xfId="18323" xr:uid="{00000000-0005-0000-0000-000039200000}"/>
    <cellStyle name="Accent4 2 2 2 2 20 3" xfId="18322" xr:uid="{00000000-0005-0000-0000-00003A200000}"/>
    <cellStyle name="Accent4 2 2 2 2 21" xfId="5235" xr:uid="{00000000-0005-0000-0000-00003B200000}"/>
    <cellStyle name="Accent4 2 2 2 2 21 2" xfId="18324" xr:uid="{00000000-0005-0000-0000-00003C200000}"/>
    <cellStyle name="Accent4 2 2 2 2 22" xfId="5236" xr:uid="{00000000-0005-0000-0000-00003D200000}"/>
    <cellStyle name="Accent4 2 2 2 2 22 2" xfId="18325" xr:uid="{00000000-0005-0000-0000-00003E200000}"/>
    <cellStyle name="Accent4 2 2 2 2 23" xfId="5237" xr:uid="{00000000-0005-0000-0000-00003F200000}"/>
    <cellStyle name="Accent4 2 2 2 2 23 2" xfId="18326" xr:uid="{00000000-0005-0000-0000-000040200000}"/>
    <cellStyle name="Accent4 2 2 2 2 24" xfId="5238" xr:uid="{00000000-0005-0000-0000-000041200000}"/>
    <cellStyle name="Accent4 2 2 2 2 24 2" xfId="18327" xr:uid="{00000000-0005-0000-0000-000042200000}"/>
    <cellStyle name="Accent4 2 2 2 2 25" xfId="5239" xr:uid="{00000000-0005-0000-0000-000043200000}"/>
    <cellStyle name="Accent4 2 2 2 2 25 2" xfId="18328" xr:uid="{00000000-0005-0000-0000-000044200000}"/>
    <cellStyle name="Accent4 2 2 2 2 26" xfId="5240" xr:uid="{00000000-0005-0000-0000-000045200000}"/>
    <cellStyle name="Accent4 2 2 2 2 26 2" xfId="18329" xr:uid="{00000000-0005-0000-0000-000046200000}"/>
    <cellStyle name="Accent4 2 2 2 2 27" xfId="5241" xr:uid="{00000000-0005-0000-0000-000047200000}"/>
    <cellStyle name="Accent4 2 2 2 2 27 2" xfId="18330" xr:uid="{00000000-0005-0000-0000-000048200000}"/>
    <cellStyle name="Accent4 2 2 2 2 28" xfId="5242" xr:uid="{00000000-0005-0000-0000-000049200000}"/>
    <cellStyle name="Accent4 2 2 2 2 28 2" xfId="5243" xr:uid="{00000000-0005-0000-0000-00004A200000}"/>
    <cellStyle name="Accent4 2 2 2 2 28 2 2" xfId="18332" xr:uid="{00000000-0005-0000-0000-00004B200000}"/>
    <cellStyle name="Accent4 2 2 2 2 28 3" xfId="18331" xr:uid="{00000000-0005-0000-0000-00004C200000}"/>
    <cellStyle name="Accent4 2 2 2 2 29" xfId="18281" xr:uid="{00000000-0005-0000-0000-00004D200000}"/>
    <cellStyle name="Accent4 2 2 2 2 3" xfId="5244" xr:uid="{00000000-0005-0000-0000-00004E200000}"/>
    <cellStyle name="Accent4 2 2 2 2 3 2" xfId="18333" xr:uid="{00000000-0005-0000-0000-00004F200000}"/>
    <cellStyle name="Accent4 2 2 2 2 4" xfId="5245" xr:uid="{00000000-0005-0000-0000-000050200000}"/>
    <cellStyle name="Accent4 2 2 2 2 4 2" xfId="18334" xr:uid="{00000000-0005-0000-0000-000051200000}"/>
    <cellStyle name="Accent4 2 2 2 2 5" xfId="5246" xr:uid="{00000000-0005-0000-0000-000052200000}"/>
    <cellStyle name="Accent4 2 2 2 2 5 2" xfId="18335" xr:uid="{00000000-0005-0000-0000-000053200000}"/>
    <cellStyle name="Accent4 2 2 2 2 6" xfId="5247" xr:uid="{00000000-0005-0000-0000-000054200000}"/>
    <cellStyle name="Accent4 2 2 2 2 6 2" xfId="18336" xr:uid="{00000000-0005-0000-0000-000055200000}"/>
    <cellStyle name="Accent4 2 2 2 2 7" xfId="5248" xr:uid="{00000000-0005-0000-0000-000056200000}"/>
    <cellStyle name="Accent4 2 2 2 2 7 2" xfId="18337" xr:uid="{00000000-0005-0000-0000-000057200000}"/>
    <cellStyle name="Accent4 2 2 2 2 8" xfId="5249" xr:uid="{00000000-0005-0000-0000-000058200000}"/>
    <cellStyle name="Accent4 2 2 2 2 8 2" xfId="18338" xr:uid="{00000000-0005-0000-0000-000059200000}"/>
    <cellStyle name="Accent4 2 2 2 2 9" xfId="5250" xr:uid="{00000000-0005-0000-0000-00005A200000}"/>
    <cellStyle name="Accent4 2 2 2 2 9 2" xfId="18339" xr:uid="{00000000-0005-0000-0000-00005B200000}"/>
    <cellStyle name="Accent4 2 2 2 20" xfId="5251" xr:uid="{00000000-0005-0000-0000-00005C200000}"/>
    <cellStyle name="Accent4 2 2 2 20 2" xfId="5252" xr:uid="{00000000-0005-0000-0000-00005D200000}"/>
    <cellStyle name="Accent4 2 2 2 20 2 2" xfId="18341" xr:uid="{00000000-0005-0000-0000-00005E200000}"/>
    <cellStyle name="Accent4 2 2 2 20 3" xfId="18340" xr:uid="{00000000-0005-0000-0000-00005F200000}"/>
    <cellStyle name="Accent4 2 2 2 21" xfId="5253" xr:uid="{00000000-0005-0000-0000-000060200000}"/>
    <cellStyle name="Accent4 2 2 2 21 2" xfId="18342" xr:uid="{00000000-0005-0000-0000-000061200000}"/>
    <cellStyle name="Accent4 2 2 2 22" xfId="5254" xr:uid="{00000000-0005-0000-0000-000062200000}"/>
    <cellStyle name="Accent4 2 2 2 22 2" xfId="18343" xr:uid="{00000000-0005-0000-0000-000063200000}"/>
    <cellStyle name="Accent4 2 2 2 23" xfId="5255" xr:uid="{00000000-0005-0000-0000-000064200000}"/>
    <cellStyle name="Accent4 2 2 2 23 2" xfId="18344" xr:uid="{00000000-0005-0000-0000-000065200000}"/>
    <cellStyle name="Accent4 2 2 2 24" xfId="5256" xr:uid="{00000000-0005-0000-0000-000066200000}"/>
    <cellStyle name="Accent4 2 2 2 24 2" xfId="18345" xr:uid="{00000000-0005-0000-0000-000067200000}"/>
    <cellStyle name="Accent4 2 2 2 25" xfId="5257" xr:uid="{00000000-0005-0000-0000-000068200000}"/>
    <cellStyle name="Accent4 2 2 2 25 2" xfId="18346" xr:uid="{00000000-0005-0000-0000-000069200000}"/>
    <cellStyle name="Accent4 2 2 2 26" xfId="5258" xr:uid="{00000000-0005-0000-0000-00006A200000}"/>
    <cellStyle name="Accent4 2 2 2 26 2" xfId="18347" xr:uid="{00000000-0005-0000-0000-00006B200000}"/>
    <cellStyle name="Accent4 2 2 2 27" xfId="5259" xr:uid="{00000000-0005-0000-0000-00006C200000}"/>
    <cellStyle name="Accent4 2 2 2 27 2" xfId="18348" xr:uid="{00000000-0005-0000-0000-00006D200000}"/>
    <cellStyle name="Accent4 2 2 2 28" xfId="5260" xr:uid="{00000000-0005-0000-0000-00006E200000}"/>
    <cellStyle name="Accent4 2 2 2 28 2" xfId="5261" xr:uid="{00000000-0005-0000-0000-00006F200000}"/>
    <cellStyle name="Accent4 2 2 2 28 2 2" xfId="18350" xr:uid="{00000000-0005-0000-0000-000070200000}"/>
    <cellStyle name="Accent4 2 2 2 28 3" xfId="18349" xr:uid="{00000000-0005-0000-0000-000071200000}"/>
    <cellStyle name="Accent4 2 2 2 29" xfId="18270" xr:uid="{00000000-0005-0000-0000-000072200000}"/>
    <cellStyle name="Accent4 2 2 2 3" xfId="5262" xr:uid="{00000000-0005-0000-0000-000073200000}"/>
    <cellStyle name="Accent4 2 2 2 3 2" xfId="5263" xr:uid="{00000000-0005-0000-0000-000074200000}"/>
    <cellStyle name="Accent4 2 2 2 3 2 2" xfId="18352" xr:uid="{00000000-0005-0000-0000-000075200000}"/>
    <cellStyle name="Accent4 2 2 2 3 3" xfId="18351" xr:uid="{00000000-0005-0000-0000-000076200000}"/>
    <cellStyle name="Accent4 2 2 2 30" xfId="30473" xr:uid="{00000000-0005-0000-0000-000077200000}"/>
    <cellStyle name="Accent4 2 2 2 4" xfId="5264" xr:uid="{00000000-0005-0000-0000-000078200000}"/>
    <cellStyle name="Accent4 2 2 2 4 2" xfId="18353" xr:uid="{00000000-0005-0000-0000-000079200000}"/>
    <cellStyle name="Accent4 2 2 2 5" xfId="5265" xr:uid="{00000000-0005-0000-0000-00007A200000}"/>
    <cellStyle name="Accent4 2 2 2 5 2" xfId="18354" xr:uid="{00000000-0005-0000-0000-00007B200000}"/>
    <cellStyle name="Accent4 2 2 2 6" xfId="5266" xr:uid="{00000000-0005-0000-0000-00007C200000}"/>
    <cellStyle name="Accent4 2 2 2 6 2" xfId="18355" xr:uid="{00000000-0005-0000-0000-00007D200000}"/>
    <cellStyle name="Accent4 2 2 2 7" xfId="5267" xr:uid="{00000000-0005-0000-0000-00007E200000}"/>
    <cellStyle name="Accent4 2 2 2 7 2" xfId="18356" xr:uid="{00000000-0005-0000-0000-00007F200000}"/>
    <cellStyle name="Accent4 2 2 2 8" xfId="5268" xr:uid="{00000000-0005-0000-0000-000080200000}"/>
    <cellStyle name="Accent4 2 2 2 8 2" xfId="18357" xr:uid="{00000000-0005-0000-0000-000081200000}"/>
    <cellStyle name="Accent4 2 2 2 9" xfId="5269" xr:uid="{00000000-0005-0000-0000-000082200000}"/>
    <cellStyle name="Accent4 2 2 2 9 2" xfId="18358" xr:uid="{00000000-0005-0000-0000-000083200000}"/>
    <cellStyle name="Accent4 2 2 20" xfId="5270" xr:uid="{00000000-0005-0000-0000-000084200000}"/>
    <cellStyle name="Accent4 2 2 20 2" xfId="18359" xr:uid="{00000000-0005-0000-0000-000085200000}"/>
    <cellStyle name="Accent4 2 2 21" xfId="5271" xr:uid="{00000000-0005-0000-0000-000086200000}"/>
    <cellStyle name="Accent4 2 2 21 2" xfId="18360" xr:uid="{00000000-0005-0000-0000-000087200000}"/>
    <cellStyle name="Accent4 2 2 22" xfId="5272" xr:uid="{00000000-0005-0000-0000-000088200000}"/>
    <cellStyle name="Accent4 2 2 22 2" xfId="18361" xr:uid="{00000000-0005-0000-0000-000089200000}"/>
    <cellStyle name="Accent4 2 2 23" xfId="5273" xr:uid="{00000000-0005-0000-0000-00008A200000}"/>
    <cellStyle name="Accent4 2 2 23 2" xfId="18362" xr:uid="{00000000-0005-0000-0000-00008B200000}"/>
    <cellStyle name="Accent4 2 2 24" xfId="5274" xr:uid="{00000000-0005-0000-0000-00008C200000}"/>
    <cellStyle name="Accent4 2 2 24 2" xfId="18363" xr:uid="{00000000-0005-0000-0000-00008D200000}"/>
    <cellStyle name="Accent4 2 2 25" xfId="5275" xr:uid="{00000000-0005-0000-0000-00008E200000}"/>
    <cellStyle name="Accent4 2 2 25 2" xfId="18364" xr:uid="{00000000-0005-0000-0000-00008F200000}"/>
    <cellStyle name="Accent4 2 2 26" xfId="5276" xr:uid="{00000000-0005-0000-0000-000090200000}"/>
    <cellStyle name="Accent4 2 2 26 2" xfId="18365" xr:uid="{00000000-0005-0000-0000-000091200000}"/>
    <cellStyle name="Accent4 2 2 27" xfId="5277" xr:uid="{00000000-0005-0000-0000-000092200000}"/>
    <cellStyle name="Accent4 2 2 27 2" xfId="18366" xr:uid="{00000000-0005-0000-0000-000093200000}"/>
    <cellStyle name="Accent4 2 2 28" xfId="5278" xr:uid="{00000000-0005-0000-0000-000094200000}"/>
    <cellStyle name="Accent4 2 2 28 2" xfId="18367" xr:uid="{00000000-0005-0000-0000-000095200000}"/>
    <cellStyle name="Accent4 2 2 29" xfId="5279" xr:uid="{00000000-0005-0000-0000-000096200000}"/>
    <cellStyle name="Accent4 2 2 29 2" xfId="18368" xr:uid="{00000000-0005-0000-0000-000097200000}"/>
    <cellStyle name="Accent4 2 2 3" xfId="5280" xr:uid="{00000000-0005-0000-0000-000098200000}"/>
    <cellStyle name="Accent4 2 2 3 2" xfId="18369" xr:uid="{00000000-0005-0000-0000-000099200000}"/>
    <cellStyle name="Accent4 2 2 30" xfId="5281" xr:uid="{00000000-0005-0000-0000-00009A200000}"/>
    <cellStyle name="Accent4 2 2 30 2" xfId="18370" xr:uid="{00000000-0005-0000-0000-00009B200000}"/>
    <cellStyle name="Accent4 2 2 31" xfId="5282" xr:uid="{00000000-0005-0000-0000-00009C200000}"/>
    <cellStyle name="Accent4 2 2 31 2" xfId="5283" xr:uid="{00000000-0005-0000-0000-00009D200000}"/>
    <cellStyle name="Accent4 2 2 31 2 2" xfId="18372" xr:uid="{00000000-0005-0000-0000-00009E200000}"/>
    <cellStyle name="Accent4 2 2 31 3" xfId="18371" xr:uid="{00000000-0005-0000-0000-00009F200000}"/>
    <cellStyle name="Accent4 2 2 32" xfId="5284" xr:uid="{00000000-0005-0000-0000-0000A0200000}"/>
    <cellStyle name="Accent4 2 2 32 2" xfId="18373" xr:uid="{00000000-0005-0000-0000-0000A1200000}"/>
    <cellStyle name="Accent4 2 2 33" xfId="5285" xr:uid="{00000000-0005-0000-0000-0000A2200000}"/>
    <cellStyle name="Accent4 2 2 33 2" xfId="18374" xr:uid="{00000000-0005-0000-0000-0000A3200000}"/>
    <cellStyle name="Accent4 2 2 34" xfId="5286" xr:uid="{00000000-0005-0000-0000-0000A4200000}"/>
    <cellStyle name="Accent4 2 2 34 2" xfId="18375" xr:uid="{00000000-0005-0000-0000-0000A5200000}"/>
    <cellStyle name="Accent4 2 2 35" xfId="5287" xr:uid="{00000000-0005-0000-0000-0000A6200000}"/>
    <cellStyle name="Accent4 2 2 35 2" xfId="18376" xr:uid="{00000000-0005-0000-0000-0000A7200000}"/>
    <cellStyle name="Accent4 2 2 36" xfId="5288" xr:uid="{00000000-0005-0000-0000-0000A8200000}"/>
    <cellStyle name="Accent4 2 2 36 2" xfId="18377" xr:uid="{00000000-0005-0000-0000-0000A9200000}"/>
    <cellStyle name="Accent4 2 2 37" xfId="5289" xr:uid="{00000000-0005-0000-0000-0000AA200000}"/>
    <cellStyle name="Accent4 2 2 37 2" xfId="18378" xr:uid="{00000000-0005-0000-0000-0000AB200000}"/>
    <cellStyle name="Accent4 2 2 38" xfId="5290" xr:uid="{00000000-0005-0000-0000-0000AC200000}"/>
    <cellStyle name="Accent4 2 2 38 2" xfId="18379" xr:uid="{00000000-0005-0000-0000-0000AD200000}"/>
    <cellStyle name="Accent4 2 2 39" xfId="5291" xr:uid="{00000000-0005-0000-0000-0000AE200000}"/>
    <cellStyle name="Accent4 2 2 39 2" xfId="5292" xr:uid="{00000000-0005-0000-0000-0000AF200000}"/>
    <cellStyle name="Accent4 2 2 39 2 2" xfId="18381" xr:uid="{00000000-0005-0000-0000-0000B0200000}"/>
    <cellStyle name="Accent4 2 2 39 3" xfId="18380" xr:uid="{00000000-0005-0000-0000-0000B1200000}"/>
    <cellStyle name="Accent4 2 2 4" xfId="5293" xr:uid="{00000000-0005-0000-0000-0000B2200000}"/>
    <cellStyle name="Accent4 2 2 4 2" xfId="18382" xr:uid="{00000000-0005-0000-0000-0000B3200000}"/>
    <cellStyle name="Accent4 2 2 40" xfId="18258" xr:uid="{00000000-0005-0000-0000-0000B4200000}"/>
    <cellStyle name="Accent4 2 2 41" xfId="30474" xr:uid="{00000000-0005-0000-0000-0000B5200000}"/>
    <cellStyle name="Accent4 2 2 42" xfId="30475" xr:uid="{00000000-0005-0000-0000-0000B6200000}"/>
    <cellStyle name="Accent4 2 2 43" xfId="30476" xr:uid="{00000000-0005-0000-0000-0000B7200000}"/>
    <cellStyle name="Accent4 2 2 44" xfId="30477" xr:uid="{00000000-0005-0000-0000-0000B8200000}"/>
    <cellStyle name="Accent4 2 2 5" xfId="5294" xr:uid="{00000000-0005-0000-0000-0000B9200000}"/>
    <cellStyle name="Accent4 2 2 5 2" xfId="18383" xr:uid="{00000000-0005-0000-0000-0000BA200000}"/>
    <cellStyle name="Accent4 2 2 6" xfId="5295" xr:uid="{00000000-0005-0000-0000-0000BB200000}"/>
    <cellStyle name="Accent4 2 2 6 2" xfId="18384" xr:uid="{00000000-0005-0000-0000-0000BC200000}"/>
    <cellStyle name="Accent4 2 2 7" xfId="5296" xr:uid="{00000000-0005-0000-0000-0000BD200000}"/>
    <cellStyle name="Accent4 2 2 7 2" xfId="18385" xr:uid="{00000000-0005-0000-0000-0000BE200000}"/>
    <cellStyle name="Accent4 2 2 8" xfId="5297" xr:uid="{00000000-0005-0000-0000-0000BF200000}"/>
    <cellStyle name="Accent4 2 2 8 2" xfId="18386" xr:uid="{00000000-0005-0000-0000-0000C0200000}"/>
    <cellStyle name="Accent4 2 2 9" xfId="5298" xr:uid="{00000000-0005-0000-0000-0000C1200000}"/>
    <cellStyle name="Accent4 2 2 9 2" xfId="18387" xr:uid="{00000000-0005-0000-0000-0000C2200000}"/>
    <cellStyle name="Accent4 2 2_Loan Classification" xfId="11431" xr:uid="{00000000-0005-0000-0000-0000C3200000}"/>
    <cellStyle name="Accent4 2 20" xfId="5299" xr:uid="{00000000-0005-0000-0000-0000C4200000}"/>
    <cellStyle name="Accent4 2 20 2" xfId="18388" xr:uid="{00000000-0005-0000-0000-0000C5200000}"/>
    <cellStyle name="Accent4 2 21" xfId="5300" xr:uid="{00000000-0005-0000-0000-0000C6200000}"/>
    <cellStyle name="Accent4 2 21 2" xfId="18389" xr:uid="{00000000-0005-0000-0000-0000C7200000}"/>
    <cellStyle name="Accent4 2 22" xfId="5301" xr:uid="{00000000-0005-0000-0000-0000C8200000}"/>
    <cellStyle name="Accent4 2 22 2" xfId="18390" xr:uid="{00000000-0005-0000-0000-0000C9200000}"/>
    <cellStyle name="Accent4 2 23" xfId="5302" xr:uid="{00000000-0005-0000-0000-0000CA200000}"/>
    <cellStyle name="Accent4 2 23 2" xfId="18391" xr:uid="{00000000-0005-0000-0000-0000CB200000}"/>
    <cellStyle name="Accent4 2 24" xfId="5303" xr:uid="{00000000-0005-0000-0000-0000CC200000}"/>
    <cellStyle name="Accent4 2 24 2" xfId="18392" xr:uid="{00000000-0005-0000-0000-0000CD200000}"/>
    <cellStyle name="Accent4 2 25" xfId="5304" xr:uid="{00000000-0005-0000-0000-0000CE200000}"/>
    <cellStyle name="Accent4 2 25 2" xfId="18393" xr:uid="{00000000-0005-0000-0000-0000CF200000}"/>
    <cellStyle name="Accent4 2 26" xfId="5305" xr:uid="{00000000-0005-0000-0000-0000D0200000}"/>
    <cellStyle name="Accent4 2 26 2" xfId="18394" xr:uid="{00000000-0005-0000-0000-0000D1200000}"/>
    <cellStyle name="Accent4 2 27" xfId="5306" xr:uid="{00000000-0005-0000-0000-0000D2200000}"/>
    <cellStyle name="Accent4 2 27 2" xfId="18395" xr:uid="{00000000-0005-0000-0000-0000D3200000}"/>
    <cellStyle name="Accent4 2 28" xfId="5307" xr:uid="{00000000-0005-0000-0000-0000D4200000}"/>
    <cellStyle name="Accent4 2 28 2" xfId="18396" xr:uid="{00000000-0005-0000-0000-0000D5200000}"/>
    <cellStyle name="Accent4 2 29" xfId="5308" xr:uid="{00000000-0005-0000-0000-0000D6200000}"/>
    <cellStyle name="Accent4 2 29 2" xfId="18397" xr:uid="{00000000-0005-0000-0000-0000D7200000}"/>
    <cellStyle name="Accent4 2 3" xfId="5309" xr:uid="{00000000-0005-0000-0000-0000D8200000}"/>
    <cellStyle name="Accent4 2 3 2" xfId="18398" xr:uid="{00000000-0005-0000-0000-0000D9200000}"/>
    <cellStyle name="Accent4 2 3 2 2" xfId="30478" xr:uid="{00000000-0005-0000-0000-0000DA200000}"/>
    <cellStyle name="Accent4 2 3 3" xfId="30479" xr:uid="{00000000-0005-0000-0000-0000DB200000}"/>
    <cellStyle name="Accent4 2 3 4" xfId="30480" xr:uid="{00000000-0005-0000-0000-0000DC200000}"/>
    <cellStyle name="Accent4 2 3 5" xfId="30481" xr:uid="{00000000-0005-0000-0000-0000DD200000}"/>
    <cellStyle name="Accent4 2 30" xfId="5310" xr:uid="{00000000-0005-0000-0000-0000DE200000}"/>
    <cellStyle name="Accent4 2 30 2" xfId="18399" xr:uid="{00000000-0005-0000-0000-0000DF200000}"/>
    <cellStyle name="Accent4 2 31" xfId="5311" xr:uid="{00000000-0005-0000-0000-0000E0200000}"/>
    <cellStyle name="Accent4 2 31 2" xfId="18400" xr:uid="{00000000-0005-0000-0000-0000E1200000}"/>
    <cellStyle name="Accent4 2 32" xfId="5312" xr:uid="{00000000-0005-0000-0000-0000E2200000}"/>
    <cellStyle name="Accent4 2 32 2" xfId="18401" xr:uid="{00000000-0005-0000-0000-0000E3200000}"/>
    <cellStyle name="Accent4 2 33" xfId="5313" xr:uid="{00000000-0005-0000-0000-0000E4200000}"/>
    <cellStyle name="Accent4 2 33 2" xfId="5314" xr:uid="{00000000-0005-0000-0000-0000E5200000}"/>
    <cellStyle name="Accent4 2 33 2 2" xfId="18403" xr:uid="{00000000-0005-0000-0000-0000E6200000}"/>
    <cellStyle name="Accent4 2 33 3" xfId="18402" xr:uid="{00000000-0005-0000-0000-0000E7200000}"/>
    <cellStyle name="Accent4 2 34" xfId="5315" xr:uid="{00000000-0005-0000-0000-0000E8200000}"/>
    <cellStyle name="Accent4 2 34 2" xfId="18404" xr:uid="{00000000-0005-0000-0000-0000E9200000}"/>
    <cellStyle name="Accent4 2 35" xfId="5316" xr:uid="{00000000-0005-0000-0000-0000EA200000}"/>
    <cellStyle name="Accent4 2 35 2" xfId="18405" xr:uid="{00000000-0005-0000-0000-0000EB200000}"/>
    <cellStyle name="Accent4 2 36" xfId="5317" xr:uid="{00000000-0005-0000-0000-0000EC200000}"/>
    <cellStyle name="Accent4 2 36 2" xfId="18406" xr:uid="{00000000-0005-0000-0000-0000ED200000}"/>
    <cellStyle name="Accent4 2 37" xfId="5318" xr:uid="{00000000-0005-0000-0000-0000EE200000}"/>
    <cellStyle name="Accent4 2 37 2" xfId="18407" xr:uid="{00000000-0005-0000-0000-0000EF200000}"/>
    <cellStyle name="Accent4 2 38" xfId="5319" xr:uid="{00000000-0005-0000-0000-0000F0200000}"/>
    <cellStyle name="Accent4 2 38 2" xfId="18408" xr:uid="{00000000-0005-0000-0000-0000F1200000}"/>
    <cellStyle name="Accent4 2 39" xfId="5320" xr:uid="{00000000-0005-0000-0000-0000F2200000}"/>
    <cellStyle name="Accent4 2 39 2" xfId="18409" xr:uid="{00000000-0005-0000-0000-0000F3200000}"/>
    <cellStyle name="Accent4 2 4" xfId="5321" xr:uid="{00000000-0005-0000-0000-0000F4200000}"/>
    <cellStyle name="Accent4 2 4 2" xfId="18410" xr:uid="{00000000-0005-0000-0000-0000F5200000}"/>
    <cellStyle name="Accent4 2 4 2 2" xfId="30482" xr:uid="{00000000-0005-0000-0000-0000F6200000}"/>
    <cellStyle name="Accent4 2 4 3" xfId="30483" xr:uid="{00000000-0005-0000-0000-0000F7200000}"/>
    <cellStyle name="Accent4 2 4 4" xfId="30484" xr:uid="{00000000-0005-0000-0000-0000F8200000}"/>
    <cellStyle name="Accent4 2 4 5" xfId="30485" xr:uid="{00000000-0005-0000-0000-0000F9200000}"/>
    <cellStyle name="Accent4 2 40" xfId="5322" xr:uid="{00000000-0005-0000-0000-0000FA200000}"/>
    <cellStyle name="Accent4 2 40 2" xfId="18411" xr:uid="{00000000-0005-0000-0000-0000FB200000}"/>
    <cellStyle name="Accent4 2 41" xfId="5323" xr:uid="{00000000-0005-0000-0000-0000FC200000}"/>
    <cellStyle name="Accent4 2 41 2" xfId="5324" xr:uid="{00000000-0005-0000-0000-0000FD200000}"/>
    <cellStyle name="Accent4 2 41 2 2" xfId="18413" xr:uid="{00000000-0005-0000-0000-0000FE200000}"/>
    <cellStyle name="Accent4 2 41 3" xfId="18412" xr:uid="{00000000-0005-0000-0000-0000FF200000}"/>
    <cellStyle name="Accent4 2 42" xfId="18246" xr:uid="{00000000-0005-0000-0000-000000210000}"/>
    <cellStyle name="Accent4 2 43" xfId="30486" xr:uid="{00000000-0005-0000-0000-000001210000}"/>
    <cellStyle name="Accent4 2 44" xfId="30487" xr:uid="{00000000-0005-0000-0000-000002210000}"/>
    <cellStyle name="Accent4 2 45" xfId="30488" xr:uid="{00000000-0005-0000-0000-000003210000}"/>
    <cellStyle name="Accent4 2 46" xfId="30489" xr:uid="{00000000-0005-0000-0000-000004210000}"/>
    <cellStyle name="Accent4 2 47" xfId="33162" xr:uid="{00000000-0005-0000-0000-000005210000}"/>
    <cellStyle name="Accent4 2 48" xfId="33178" xr:uid="{00000000-0005-0000-0000-000006210000}"/>
    <cellStyle name="Accent4 2 49" xfId="5157" xr:uid="{00000000-0005-0000-0000-000007210000}"/>
    <cellStyle name="Accent4 2 5" xfId="5325" xr:uid="{00000000-0005-0000-0000-000008210000}"/>
    <cellStyle name="Accent4 2 5 2" xfId="5326" xr:uid="{00000000-0005-0000-0000-000009210000}"/>
    <cellStyle name="Accent4 2 5 2 2" xfId="18415" xr:uid="{00000000-0005-0000-0000-00000A210000}"/>
    <cellStyle name="Accent4 2 5 3" xfId="18414" xr:uid="{00000000-0005-0000-0000-00000B210000}"/>
    <cellStyle name="Accent4 2 5 4" xfId="30490" xr:uid="{00000000-0005-0000-0000-00000C210000}"/>
    <cellStyle name="Accent4 2 6" xfId="5327" xr:uid="{00000000-0005-0000-0000-00000D210000}"/>
    <cellStyle name="Accent4 2 6 2" xfId="18416" xr:uid="{00000000-0005-0000-0000-00000E210000}"/>
    <cellStyle name="Accent4 2 6 3" xfId="30491" xr:uid="{00000000-0005-0000-0000-00000F210000}"/>
    <cellStyle name="Accent4 2 7" xfId="5328" xr:uid="{00000000-0005-0000-0000-000010210000}"/>
    <cellStyle name="Accent4 2 7 2" xfId="18417" xr:uid="{00000000-0005-0000-0000-000011210000}"/>
    <cellStyle name="Accent4 2 8" xfId="5329" xr:uid="{00000000-0005-0000-0000-000012210000}"/>
    <cellStyle name="Accent4 2 8 2" xfId="18418" xr:uid="{00000000-0005-0000-0000-000013210000}"/>
    <cellStyle name="Accent4 2 9" xfId="5330" xr:uid="{00000000-0005-0000-0000-000014210000}"/>
    <cellStyle name="Accent4 2 9 2" xfId="18419" xr:uid="{00000000-0005-0000-0000-000015210000}"/>
    <cellStyle name="Accent4 2_Loan Classification" xfId="11430" xr:uid="{00000000-0005-0000-0000-000016210000}"/>
    <cellStyle name="Accent4 20" xfId="5331" xr:uid="{00000000-0005-0000-0000-000017210000}"/>
    <cellStyle name="Accent4 20 2" xfId="18420" xr:uid="{00000000-0005-0000-0000-000018210000}"/>
    <cellStyle name="Accent4 21" xfId="5332" xr:uid="{00000000-0005-0000-0000-000019210000}"/>
    <cellStyle name="Accent4 21 2" xfId="18421" xr:uid="{00000000-0005-0000-0000-00001A210000}"/>
    <cellStyle name="Accent4 22" xfId="5333" xr:uid="{00000000-0005-0000-0000-00001B210000}"/>
    <cellStyle name="Accent4 22 2" xfId="18422" xr:uid="{00000000-0005-0000-0000-00001C210000}"/>
    <cellStyle name="Accent4 23" xfId="5334" xr:uid="{00000000-0005-0000-0000-00001D210000}"/>
    <cellStyle name="Accent4 23 2" xfId="18423" xr:uid="{00000000-0005-0000-0000-00001E210000}"/>
    <cellStyle name="Accent4 24" xfId="5335" xr:uid="{00000000-0005-0000-0000-00001F210000}"/>
    <cellStyle name="Accent4 24 2" xfId="18424" xr:uid="{00000000-0005-0000-0000-000020210000}"/>
    <cellStyle name="Accent4 25" xfId="5336" xr:uid="{00000000-0005-0000-0000-000021210000}"/>
    <cellStyle name="Accent4 25 2" xfId="18425" xr:uid="{00000000-0005-0000-0000-000022210000}"/>
    <cellStyle name="Accent4 26" xfId="5337" xr:uid="{00000000-0005-0000-0000-000023210000}"/>
    <cellStyle name="Accent4 26 2" xfId="18426" xr:uid="{00000000-0005-0000-0000-000024210000}"/>
    <cellStyle name="Accent4 27" xfId="5338" xr:uid="{00000000-0005-0000-0000-000025210000}"/>
    <cellStyle name="Accent4 27 2" xfId="18427" xr:uid="{00000000-0005-0000-0000-000026210000}"/>
    <cellStyle name="Accent4 28" xfId="5339" xr:uid="{00000000-0005-0000-0000-000027210000}"/>
    <cellStyle name="Accent4 28 2" xfId="18428" xr:uid="{00000000-0005-0000-0000-000028210000}"/>
    <cellStyle name="Accent4 29" xfId="5340" xr:uid="{00000000-0005-0000-0000-000029210000}"/>
    <cellStyle name="Accent4 29 2" xfId="18429" xr:uid="{00000000-0005-0000-0000-00002A210000}"/>
    <cellStyle name="Accent4 3" xfId="82" xr:uid="{00000000-0005-0000-0000-00002B210000}"/>
    <cellStyle name="Accent4 3 2" xfId="18430" xr:uid="{00000000-0005-0000-0000-00002C210000}"/>
    <cellStyle name="Accent4 3 2 2" xfId="30492" xr:uid="{00000000-0005-0000-0000-00002D210000}"/>
    <cellStyle name="Accent4 3 3" xfId="30493" xr:uid="{00000000-0005-0000-0000-00002E210000}"/>
    <cellStyle name="Accent4 3 4" xfId="30494" xr:uid="{00000000-0005-0000-0000-00002F210000}"/>
    <cellStyle name="Accent4 3 5" xfId="5341" xr:uid="{00000000-0005-0000-0000-000030210000}"/>
    <cellStyle name="Accent4 30" xfId="5342" xr:uid="{00000000-0005-0000-0000-000031210000}"/>
    <cellStyle name="Accent4 30 2" xfId="18431" xr:uid="{00000000-0005-0000-0000-000032210000}"/>
    <cellStyle name="Accent4 31" xfId="5343" xr:uid="{00000000-0005-0000-0000-000033210000}"/>
    <cellStyle name="Accent4 31 2" xfId="18432" xr:uid="{00000000-0005-0000-0000-000034210000}"/>
    <cellStyle name="Accent4 32" xfId="5344" xr:uid="{00000000-0005-0000-0000-000035210000}"/>
    <cellStyle name="Accent4 32 2" xfId="18433" xr:uid="{00000000-0005-0000-0000-000036210000}"/>
    <cellStyle name="Accent4 33" xfId="5345" xr:uid="{00000000-0005-0000-0000-000037210000}"/>
    <cellStyle name="Accent4 33 2" xfId="18434" xr:uid="{00000000-0005-0000-0000-000038210000}"/>
    <cellStyle name="Accent4 34" xfId="5346" xr:uid="{00000000-0005-0000-0000-000039210000}"/>
    <cellStyle name="Accent4 34 2" xfId="18435" xr:uid="{00000000-0005-0000-0000-00003A210000}"/>
    <cellStyle name="Accent4 35" xfId="5347" xr:uid="{00000000-0005-0000-0000-00003B210000}"/>
    <cellStyle name="Accent4 35 2" xfId="18436" xr:uid="{00000000-0005-0000-0000-00003C210000}"/>
    <cellStyle name="Accent4 36" xfId="5348" xr:uid="{00000000-0005-0000-0000-00003D210000}"/>
    <cellStyle name="Accent4 36 2" xfId="18437" xr:uid="{00000000-0005-0000-0000-00003E210000}"/>
    <cellStyle name="Accent4 37" xfId="5349" xr:uid="{00000000-0005-0000-0000-00003F210000}"/>
    <cellStyle name="Accent4 37 2" xfId="18438" xr:uid="{00000000-0005-0000-0000-000040210000}"/>
    <cellStyle name="Accent4 38" xfId="5350" xr:uid="{00000000-0005-0000-0000-000041210000}"/>
    <cellStyle name="Accent4 38 2" xfId="18439" xr:uid="{00000000-0005-0000-0000-000042210000}"/>
    <cellStyle name="Accent4 39" xfId="5351" xr:uid="{00000000-0005-0000-0000-000043210000}"/>
    <cellStyle name="Accent4 39 2" xfId="18440" xr:uid="{00000000-0005-0000-0000-000044210000}"/>
    <cellStyle name="Accent4 4" xfId="5352" xr:uid="{00000000-0005-0000-0000-000045210000}"/>
    <cellStyle name="Accent4 4 2" xfId="18441" xr:uid="{00000000-0005-0000-0000-000046210000}"/>
    <cellStyle name="Accent4 4 2 2" xfId="30495" xr:uid="{00000000-0005-0000-0000-000047210000}"/>
    <cellStyle name="Accent4 4 3" xfId="30496" xr:uid="{00000000-0005-0000-0000-000048210000}"/>
    <cellStyle name="Accent4 4 4" xfId="30497" xr:uid="{00000000-0005-0000-0000-000049210000}"/>
    <cellStyle name="Accent4 40" xfId="5353" xr:uid="{00000000-0005-0000-0000-00004A210000}"/>
    <cellStyle name="Accent4 40 2" xfId="18442" xr:uid="{00000000-0005-0000-0000-00004B210000}"/>
    <cellStyle name="Accent4 41" xfId="5354" xr:uid="{00000000-0005-0000-0000-00004C210000}"/>
    <cellStyle name="Accent4 41 2" xfId="18443" xr:uid="{00000000-0005-0000-0000-00004D210000}"/>
    <cellStyle name="Accent4 42" xfId="5355" xr:uid="{00000000-0005-0000-0000-00004E210000}"/>
    <cellStyle name="Accent4 42 2" xfId="18444" xr:uid="{00000000-0005-0000-0000-00004F210000}"/>
    <cellStyle name="Accent4 43" xfId="11584" xr:uid="{00000000-0005-0000-0000-000050210000}"/>
    <cellStyle name="Accent4 43 2" xfId="18445" xr:uid="{00000000-0005-0000-0000-000051210000}"/>
    <cellStyle name="Accent4 44" xfId="11550" xr:uid="{00000000-0005-0000-0000-000052210000}"/>
    <cellStyle name="Accent4 44 2" xfId="18446" xr:uid="{00000000-0005-0000-0000-000053210000}"/>
    <cellStyle name="Accent4 45" xfId="18447" xr:uid="{00000000-0005-0000-0000-000054210000}"/>
    <cellStyle name="Accent4 46" xfId="30498" xr:uid="{00000000-0005-0000-0000-000055210000}"/>
    <cellStyle name="Accent4 47" xfId="504" xr:uid="{00000000-0005-0000-0000-000056210000}"/>
    <cellStyle name="Accent4 5" xfId="5356" xr:uid="{00000000-0005-0000-0000-000057210000}"/>
    <cellStyle name="Accent4 5 2" xfId="18448" xr:uid="{00000000-0005-0000-0000-000058210000}"/>
    <cellStyle name="Accent4 5 2 2" xfId="30499" xr:uid="{00000000-0005-0000-0000-000059210000}"/>
    <cellStyle name="Accent4 5 3" xfId="30500" xr:uid="{00000000-0005-0000-0000-00005A210000}"/>
    <cellStyle name="Accent4 5 4" xfId="30501" xr:uid="{00000000-0005-0000-0000-00005B210000}"/>
    <cellStyle name="Accent4 6" xfId="5357" xr:uid="{00000000-0005-0000-0000-00005C210000}"/>
    <cellStyle name="Accent4 6 2" xfId="18449" xr:uid="{00000000-0005-0000-0000-00005D210000}"/>
    <cellStyle name="Accent4 6 3" xfId="30502" xr:uid="{00000000-0005-0000-0000-00005E210000}"/>
    <cellStyle name="Accent4 7" xfId="5358" xr:uid="{00000000-0005-0000-0000-00005F210000}"/>
    <cellStyle name="Accent4 7 2" xfId="18450" xr:uid="{00000000-0005-0000-0000-000060210000}"/>
    <cellStyle name="Accent4 7 3" xfId="30503" xr:uid="{00000000-0005-0000-0000-000061210000}"/>
    <cellStyle name="Accent4 8" xfId="5359" xr:uid="{00000000-0005-0000-0000-000062210000}"/>
    <cellStyle name="Accent4 8 2" xfId="18451" xr:uid="{00000000-0005-0000-0000-000063210000}"/>
    <cellStyle name="Accent4 8 3" xfId="30504" xr:uid="{00000000-0005-0000-0000-000064210000}"/>
    <cellStyle name="Accent4 9" xfId="5360" xr:uid="{00000000-0005-0000-0000-000065210000}"/>
    <cellStyle name="Accent4 9 2" xfId="18452" xr:uid="{00000000-0005-0000-0000-000066210000}"/>
    <cellStyle name="Accent4 9 3" xfId="30505" xr:uid="{00000000-0005-0000-0000-000067210000}"/>
    <cellStyle name="Accent5" xfId="41" builtinId="45" customBuiltin="1"/>
    <cellStyle name="Accent5 10" xfId="5361" xr:uid="{00000000-0005-0000-0000-000069210000}"/>
    <cellStyle name="Accent5 10 2" xfId="18453" xr:uid="{00000000-0005-0000-0000-00006A210000}"/>
    <cellStyle name="Accent5 10 3" xfId="30506" xr:uid="{00000000-0005-0000-0000-00006B210000}"/>
    <cellStyle name="Accent5 11" xfId="5362" xr:uid="{00000000-0005-0000-0000-00006C210000}"/>
    <cellStyle name="Accent5 11 2" xfId="18454" xr:uid="{00000000-0005-0000-0000-00006D210000}"/>
    <cellStyle name="Accent5 11 3" xfId="30507" xr:uid="{00000000-0005-0000-0000-00006E210000}"/>
    <cellStyle name="Accent5 12" xfId="5363" xr:uid="{00000000-0005-0000-0000-00006F210000}"/>
    <cellStyle name="Accent5 12 2" xfId="18455" xr:uid="{00000000-0005-0000-0000-000070210000}"/>
    <cellStyle name="Accent5 12 3" xfId="30508" xr:uid="{00000000-0005-0000-0000-000071210000}"/>
    <cellStyle name="Accent5 13" xfId="5364" xr:uid="{00000000-0005-0000-0000-000072210000}"/>
    <cellStyle name="Accent5 13 2" xfId="18456" xr:uid="{00000000-0005-0000-0000-000073210000}"/>
    <cellStyle name="Accent5 13 3" xfId="30509" xr:uid="{00000000-0005-0000-0000-000074210000}"/>
    <cellStyle name="Accent5 14" xfId="5365" xr:uid="{00000000-0005-0000-0000-000075210000}"/>
    <cellStyle name="Accent5 14 2" xfId="18457" xr:uid="{00000000-0005-0000-0000-000076210000}"/>
    <cellStyle name="Accent5 14 3" xfId="30510" xr:uid="{00000000-0005-0000-0000-000077210000}"/>
    <cellStyle name="Accent5 15" xfId="5366" xr:uid="{00000000-0005-0000-0000-000078210000}"/>
    <cellStyle name="Accent5 15 2" xfId="18458" xr:uid="{00000000-0005-0000-0000-000079210000}"/>
    <cellStyle name="Accent5 15 3" xfId="30511" xr:uid="{00000000-0005-0000-0000-00007A210000}"/>
    <cellStyle name="Accent5 16" xfId="5367" xr:uid="{00000000-0005-0000-0000-00007B210000}"/>
    <cellStyle name="Accent5 16 2" xfId="18459" xr:uid="{00000000-0005-0000-0000-00007C210000}"/>
    <cellStyle name="Accent5 16 3" xfId="30512" xr:uid="{00000000-0005-0000-0000-00007D210000}"/>
    <cellStyle name="Accent5 17" xfId="5368" xr:uid="{00000000-0005-0000-0000-00007E210000}"/>
    <cellStyle name="Accent5 17 2" xfId="18460" xr:uid="{00000000-0005-0000-0000-00007F210000}"/>
    <cellStyle name="Accent5 17 3" xfId="30513" xr:uid="{00000000-0005-0000-0000-000080210000}"/>
    <cellStyle name="Accent5 18" xfId="5369" xr:uid="{00000000-0005-0000-0000-000081210000}"/>
    <cellStyle name="Accent5 18 2" xfId="18461" xr:uid="{00000000-0005-0000-0000-000082210000}"/>
    <cellStyle name="Accent5 19" xfId="5370" xr:uid="{00000000-0005-0000-0000-000083210000}"/>
    <cellStyle name="Accent5 19 2" xfId="18462" xr:uid="{00000000-0005-0000-0000-000084210000}"/>
    <cellStyle name="Accent5 2" xfId="5371" xr:uid="{00000000-0005-0000-0000-000085210000}"/>
    <cellStyle name="Accent5 2 10" xfId="5372" xr:uid="{00000000-0005-0000-0000-000086210000}"/>
    <cellStyle name="Accent5 2 10 2" xfId="18464" xr:uid="{00000000-0005-0000-0000-000087210000}"/>
    <cellStyle name="Accent5 2 11" xfId="5373" xr:uid="{00000000-0005-0000-0000-000088210000}"/>
    <cellStyle name="Accent5 2 11 2" xfId="18465" xr:uid="{00000000-0005-0000-0000-000089210000}"/>
    <cellStyle name="Accent5 2 12" xfId="5374" xr:uid="{00000000-0005-0000-0000-00008A210000}"/>
    <cellStyle name="Accent5 2 12 2" xfId="18466" xr:uid="{00000000-0005-0000-0000-00008B210000}"/>
    <cellStyle name="Accent5 2 13" xfId="5375" xr:uid="{00000000-0005-0000-0000-00008C210000}"/>
    <cellStyle name="Accent5 2 13 2" xfId="18467" xr:uid="{00000000-0005-0000-0000-00008D210000}"/>
    <cellStyle name="Accent5 2 14" xfId="5376" xr:uid="{00000000-0005-0000-0000-00008E210000}"/>
    <cellStyle name="Accent5 2 14 2" xfId="18468" xr:uid="{00000000-0005-0000-0000-00008F210000}"/>
    <cellStyle name="Accent5 2 15" xfId="5377" xr:uid="{00000000-0005-0000-0000-000090210000}"/>
    <cellStyle name="Accent5 2 15 2" xfId="18469" xr:uid="{00000000-0005-0000-0000-000091210000}"/>
    <cellStyle name="Accent5 2 16" xfId="5378" xr:uid="{00000000-0005-0000-0000-000092210000}"/>
    <cellStyle name="Accent5 2 16 2" xfId="5379" xr:uid="{00000000-0005-0000-0000-000093210000}"/>
    <cellStyle name="Accent5 2 16 2 2" xfId="18471" xr:uid="{00000000-0005-0000-0000-000094210000}"/>
    <cellStyle name="Accent5 2 16 3" xfId="18470" xr:uid="{00000000-0005-0000-0000-000095210000}"/>
    <cellStyle name="Accent5 2 17" xfId="5380" xr:uid="{00000000-0005-0000-0000-000096210000}"/>
    <cellStyle name="Accent5 2 17 2" xfId="18472" xr:uid="{00000000-0005-0000-0000-000097210000}"/>
    <cellStyle name="Accent5 2 18" xfId="5381" xr:uid="{00000000-0005-0000-0000-000098210000}"/>
    <cellStyle name="Accent5 2 18 2" xfId="18473" xr:uid="{00000000-0005-0000-0000-000099210000}"/>
    <cellStyle name="Accent5 2 19" xfId="5382" xr:uid="{00000000-0005-0000-0000-00009A210000}"/>
    <cellStyle name="Accent5 2 19 2" xfId="18474" xr:uid="{00000000-0005-0000-0000-00009B210000}"/>
    <cellStyle name="Accent5 2 2" xfId="5383" xr:uid="{00000000-0005-0000-0000-00009C210000}"/>
    <cellStyle name="Accent5 2 2 10" xfId="5384" xr:uid="{00000000-0005-0000-0000-00009D210000}"/>
    <cellStyle name="Accent5 2 2 10 2" xfId="18476" xr:uid="{00000000-0005-0000-0000-00009E210000}"/>
    <cellStyle name="Accent5 2 2 11" xfId="5385" xr:uid="{00000000-0005-0000-0000-00009F210000}"/>
    <cellStyle name="Accent5 2 2 11 2" xfId="18477" xr:uid="{00000000-0005-0000-0000-0000A0210000}"/>
    <cellStyle name="Accent5 2 2 12" xfId="5386" xr:uid="{00000000-0005-0000-0000-0000A1210000}"/>
    <cellStyle name="Accent5 2 2 12 2" xfId="18478" xr:uid="{00000000-0005-0000-0000-0000A2210000}"/>
    <cellStyle name="Accent5 2 2 13" xfId="5387" xr:uid="{00000000-0005-0000-0000-0000A3210000}"/>
    <cellStyle name="Accent5 2 2 13 2" xfId="18479" xr:uid="{00000000-0005-0000-0000-0000A4210000}"/>
    <cellStyle name="Accent5 2 2 14" xfId="5388" xr:uid="{00000000-0005-0000-0000-0000A5210000}"/>
    <cellStyle name="Accent5 2 2 14 2" xfId="5389" xr:uid="{00000000-0005-0000-0000-0000A6210000}"/>
    <cellStyle name="Accent5 2 2 14 2 2" xfId="18481" xr:uid="{00000000-0005-0000-0000-0000A7210000}"/>
    <cellStyle name="Accent5 2 2 14 3" xfId="18480" xr:uid="{00000000-0005-0000-0000-0000A8210000}"/>
    <cellStyle name="Accent5 2 2 15" xfId="5390" xr:uid="{00000000-0005-0000-0000-0000A9210000}"/>
    <cellStyle name="Accent5 2 2 15 2" xfId="18482" xr:uid="{00000000-0005-0000-0000-0000AA210000}"/>
    <cellStyle name="Accent5 2 2 16" xfId="5391" xr:uid="{00000000-0005-0000-0000-0000AB210000}"/>
    <cellStyle name="Accent5 2 2 16 2" xfId="18483" xr:uid="{00000000-0005-0000-0000-0000AC210000}"/>
    <cellStyle name="Accent5 2 2 17" xfId="5392" xr:uid="{00000000-0005-0000-0000-0000AD210000}"/>
    <cellStyle name="Accent5 2 2 17 2" xfId="18484" xr:uid="{00000000-0005-0000-0000-0000AE210000}"/>
    <cellStyle name="Accent5 2 2 18" xfId="5393" xr:uid="{00000000-0005-0000-0000-0000AF210000}"/>
    <cellStyle name="Accent5 2 2 18 2" xfId="18485" xr:uid="{00000000-0005-0000-0000-0000B0210000}"/>
    <cellStyle name="Accent5 2 2 19" xfId="5394" xr:uid="{00000000-0005-0000-0000-0000B1210000}"/>
    <cellStyle name="Accent5 2 2 19 2" xfId="18486" xr:uid="{00000000-0005-0000-0000-0000B2210000}"/>
    <cellStyle name="Accent5 2 2 2" xfId="5395" xr:uid="{00000000-0005-0000-0000-0000B3210000}"/>
    <cellStyle name="Accent5 2 2 2 10" xfId="5396" xr:uid="{00000000-0005-0000-0000-0000B4210000}"/>
    <cellStyle name="Accent5 2 2 2 10 2" xfId="18488" xr:uid="{00000000-0005-0000-0000-0000B5210000}"/>
    <cellStyle name="Accent5 2 2 2 11" xfId="5397" xr:uid="{00000000-0005-0000-0000-0000B6210000}"/>
    <cellStyle name="Accent5 2 2 2 11 2" xfId="18489" xr:uid="{00000000-0005-0000-0000-0000B7210000}"/>
    <cellStyle name="Accent5 2 2 2 12" xfId="5398" xr:uid="{00000000-0005-0000-0000-0000B8210000}"/>
    <cellStyle name="Accent5 2 2 2 12 2" xfId="18490" xr:uid="{00000000-0005-0000-0000-0000B9210000}"/>
    <cellStyle name="Accent5 2 2 2 13" xfId="5399" xr:uid="{00000000-0005-0000-0000-0000BA210000}"/>
    <cellStyle name="Accent5 2 2 2 13 2" xfId="18491" xr:uid="{00000000-0005-0000-0000-0000BB210000}"/>
    <cellStyle name="Accent5 2 2 2 14" xfId="5400" xr:uid="{00000000-0005-0000-0000-0000BC210000}"/>
    <cellStyle name="Accent5 2 2 2 14 2" xfId="18492" xr:uid="{00000000-0005-0000-0000-0000BD210000}"/>
    <cellStyle name="Accent5 2 2 2 15" xfId="5401" xr:uid="{00000000-0005-0000-0000-0000BE210000}"/>
    <cellStyle name="Accent5 2 2 2 15 2" xfId="18493" xr:uid="{00000000-0005-0000-0000-0000BF210000}"/>
    <cellStyle name="Accent5 2 2 2 16" xfId="5402" xr:uid="{00000000-0005-0000-0000-0000C0210000}"/>
    <cellStyle name="Accent5 2 2 2 16 2" xfId="18494" xr:uid="{00000000-0005-0000-0000-0000C1210000}"/>
    <cellStyle name="Accent5 2 2 2 17" xfId="5403" xr:uid="{00000000-0005-0000-0000-0000C2210000}"/>
    <cellStyle name="Accent5 2 2 2 17 2" xfId="18495" xr:uid="{00000000-0005-0000-0000-0000C3210000}"/>
    <cellStyle name="Accent5 2 2 2 18" xfId="5404" xr:uid="{00000000-0005-0000-0000-0000C4210000}"/>
    <cellStyle name="Accent5 2 2 2 18 2" xfId="18496" xr:uid="{00000000-0005-0000-0000-0000C5210000}"/>
    <cellStyle name="Accent5 2 2 2 19" xfId="5405" xr:uid="{00000000-0005-0000-0000-0000C6210000}"/>
    <cellStyle name="Accent5 2 2 2 19 2" xfId="18497" xr:uid="{00000000-0005-0000-0000-0000C7210000}"/>
    <cellStyle name="Accent5 2 2 2 2" xfId="5406" xr:uid="{00000000-0005-0000-0000-0000C8210000}"/>
    <cellStyle name="Accent5 2 2 2 2 10" xfId="5407" xr:uid="{00000000-0005-0000-0000-0000C9210000}"/>
    <cellStyle name="Accent5 2 2 2 2 10 2" xfId="18499" xr:uid="{00000000-0005-0000-0000-0000CA210000}"/>
    <cellStyle name="Accent5 2 2 2 2 11" xfId="5408" xr:uid="{00000000-0005-0000-0000-0000CB210000}"/>
    <cellStyle name="Accent5 2 2 2 2 11 2" xfId="18500" xr:uid="{00000000-0005-0000-0000-0000CC210000}"/>
    <cellStyle name="Accent5 2 2 2 2 12" xfId="5409" xr:uid="{00000000-0005-0000-0000-0000CD210000}"/>
    <cellStyle name="Accent5 2 2 2 2 12 2" xfId="18501" xr:uid="{00000000-0005-0000-0000-0000CE210000}"/>
    <cellStyle name="Accent5 2 2 2 2 13" xfId="5410" xr:uid="{00000000-0005-0000-0000-0000CF210000}"/>
    <cellStyle name="Accent5 2 2 2 2 13 2" xfId="18502" xr:uid="{00000000-0005-0000-0000-0000D0210000}"/>
    <cellStyle name="Accent5 2 2 2 2 14" xfId="5411" xr:uid="{00000000-0005-0000-0000-0000D1210000}"/>
    <cellStyle name="Accent5 2 2 2 2 14 2" xfId="18503" xr:uid="{00000000-0005-0000-0000-0000D2210000}"/>
    <cellStyle name="Accent5 2 2 2 2 15" xfId="5412" xr:uid="{00000000-0005-0000-0000-0000D3210000}"/>
    <cellStyle name="Accent5 2 2 2 2 15 2" xfId="18504" xr:uid="{00000000-0005-0000-0000-0000D4210000}"/>
    <cellStyle name="Accent5 2 2 2 2 16" xfId="5413" xr:uid="{00000000-0005-0000-0000-0000D5210000}"/>
    <cellStyle name="Accent5 2 2 2 2 16 2" xfId="18505" xr:uid="{00000000-0005-0000-0000-0000D6210000}"/>
    <cellStyle name="Accent5 2 2 2 2 17" xfId="5414" xr:uid="{00000000-0005-0000-0000-0000D7210000}"/>
    <cellStyle name="Accent5 2 2 2 2 17 2" xfId="18506" xr:uid="{00000000-0005-0000-0000-0000D8210000}"/>
    <cellStyle name="Accent5 2 2 2 2 18" xfId="5415" xr:uid="{00000000-0005-0000-0000-0000D9210000}"/>
    <cellStyle name="Accent5 2 2 2 2 18 2" xfId="18507" xr:uid="{00000000-0005-0000-0000-0000DA210000}"/>
    <cellStyle name="Accent5 2 2 2 2 19" xfId="5416" xr:uid="{00000000-0005-0000-0000-0000DB210000}"/>
    <cellStyle name="Accent5 2 2 2 2 19 2" xfId="18508" xr:uid="{00000000-0005-0000-0000-0000DC210000}"/>
    <cellStyle name="Accent5 2 2 2 2 2" xfId="5417" xr:uid="{00000000-0005-0000-0000-0000DD210000}"/>
    <cellStyle name="Accent5 2 2 2 2 2 10" xfId="5418" xr:uid="{00000000-0005-0000-0000-0000DE210000}"/>
    <cellStyle name="Accent5 2 2 2 2 2 10 2" xfId="18510" xr:uid="{00000000-0005-0000-0000-0000DF210000}"/>
    <cellStyle name="Accent5 2 2 2 2 2 11" xfId="5419" xr:uid="{00000000-0005-0000-0000-0000E0210000}"/>
    <cellStyle name="Accent5 2 2 2 2 2 11 2" xfId="5420" xr:uid="{00000000-0005-0000-0000-0000E1210000}"/>
    <cellStyle name="Accent5 2 2 2 2 2 11 2 2" xfId="18512" xr:uid="{00000000-0005-0000-0000-0000E2210000}"/>
    <cellStyle name="Accent5 2 2 2 2 2 11 3" xfId="18511" xr:uid="{00000000-0005-0000-0000-0000E3210000}"/>
    <cellStyle name="Accent5 2 2 2 2 2 12" xfId="18509" xr:uid="{00000000-0005-0000-0000-0000E4210000}"/>
    <cellStyle name="Accent5 2 2 2 2 2 2" xfId="5421" xr:uid="{00000000-0005-0000-0000-0000E5210000}"/>
    <cellStyle name="Accent5 2 2 2 2 2 2 10" xfId="5422" xr:uid="{00000000-0005-0000-0000-0000E6210000}"/>
    <cellStyle name="Accent5 2 2 2 2 2 2 10 2" xfId="18514" xr:uid="{00000000-0005-0000-0000-0000E7210000}"/>
    <cellStyle name="Accent5 2 2 2 2 2 2 11" xfId="5423" xr:uid="{00000000-0005-0000-0000-0000E8210000}"/>
    <cellStyle name="Accent5 2 2 2 2 2 2 11 2" xfId="5424" xr:uid="{00000000-0005-0000-0000-0000E9210000}"/>
    <cellStyle name="Accent5 2 2 2 2 2 2 11 2 2" xfId="18516" xr:uid="{00000000-0005-0000-0000-0000EA210000}"/>
    <cellStyle name="Accent5 2 2 2 2 2 2 11 3" xfId="18515" xr:uid="{00000000-0005-0000-0000-0000EB210000}"/>
    <cellStyle name="Accent5 2 2 2 2 2 2 12" xfId="18513" xr:uid="{00000000-0005-0000-0000-0000EC210000}"/>
    <cellStyle name="Accent5 2 2 2 2 2 2 2" xfId="5425" xr:uid="{00000000-0005-0000-0000-0000ED210000}"/>
    <cellStyle name="Accent5 2 2 2 2 2 2 2 2" xfId="5426" xr:uid="{00000000-0005-0000-0000-0000EE210000}"/>
    <cellStyle name="Accent5 2 2 2 2 2 2 2 2 2" xfId="5427" xr:uid="{00000000-0005-0000-0000-0000EF210000}"/>
    <cellStyle name="Accent5 2 2 2 2 2 2 2 2 2 2" xfId="5428" xr:uid="{00000000-0005-0000-0000-0000F0210000}"/>
    <cellStyle name="Accent5 2 2 2 2 2 2 2 2 2 2 2" xfId="18520" xr:uid="{00000000-0005-0000-0000-0000F1210000}"/>
    <cellStyle name="Accent5 2 2 2 2 2 2 2 2 2 3" xfId="18519" xr:uid="{00000000-0005-0000-0000-0000F2210000}"/>
    <cellStyle name="Accent5 2 2 2 2 2 2 2 2 3" xfId="5429" xr:uid="{00000000-0005-0000-0000-0000F3210000}"/>
    <cellStyle name="Accent5 2 2 2 2 2 2 2 2 3 2" xfId="18521" xr:uid="{00000000-0005-0000-0000-0000F4210000}"/>
    <cellStyle name="Accent5 2 2 2 2 2 2 2 2 4" xfId="18518" xr:uid="{00000000-0005-0000-0000-0000F5210000}"/>
    <cellStyle name="Accent5 2 2 2 2 2 2 2 3" xfId="5430" xr:uid="{00000000-0005-0000-0000-0000F6210000}"/>
    <cellStyle name="Accent5 2 2 2 2 2 2 2 3 2" xfId="5431" xr:uid="{00000000-0005-0000-0000-0000F7210000}"/>
    <cellStyle name="Accent5 2 2 2 2 2 2 2 3 2 2" xfId="18523" xr:uid="{00000000-0005-0000-0000-0000F8210000}"/>
    <cellStyle name="Accent5 2 2 2 2 2 2 2 3 3" xfId="18522" xr:uid="{00000000-0005-0000-0000-0000F9210000}"/>
    <cellStyle name="Accent5 2 2 2 2 2 2 2 4" xfId="18517" xr:uid="{00000000-0005-0000-0000-0000FA210000}"/>
    <cellStyle name="Accent5 2 2 2 2 2 2 3" xfId="5432" xr:uid="{00000000-0005-0000-0000-0000FB210000}"/>
    <cellStyle name="Accent5 2 2 2 2 2 2 3 2" xfId="18524" xr:uid="{00000000-0005-0000-0000-0000FC210000}"/>
    <cellStyle name="Accent5 2 2 2 2 2 2 4" xfId="5433" xr:uid="{00000000-0005-0000-0000-0000FD210000}"/>
    <cellStyle name="Accent5 2 2 2 2 2 2 4 2" xfId="18525" xr:uid="{00000000-0005-0000-0000-0000FE210000}"/>
    <cellStyle name="Accent5 2 2 2 2 2 2 5" xfId="5434" xr:uid="{00000000-0005-0000-0000-0000FF210000}"/>
    <cellStyle name="Accent5 2 2 2 2 2 2 5 2" xfId="18526" xr:uid="{00000000-0005-0000-0000-000000220000}"/>
    <cellStyle name="Accent5 2 2 2 2 2 2 6" xfId="5435" xr:uid="{00000000-0005-0000-0000-000001220000}"/>
    <cellStyle name="Accent5 2 2 2 2 2 2 6 2" xfId="18527" xr:uid="{00000000-0005-0000-0000-000002220000}"/>
    <cellStyle name="Accent5 2 2 2 2 2 2 7" xfId="5436" xr:uid="{00000000-0005-0000-0000-000003220000}"/>
    <cellStyle name="Accent5 2 2 2 2 2 2 7 2" xfId="18528" xr:uid="{00000000-0005-0000-0000-000004220000}"/>
    <cellStyle name="Accent5 2 2 2 2 2 2 8" xfId="5437" xr:uid="{00000000-0005-0000-0000-000005220000}"/>
    <cellStyle name="Accent5 2 2 2 2 2 2 8 2" xfId="18529" xr:uid="{00000000-0005-0000-0000-000006220000}"/>
    <cellStyle name="Accent5 2 2 2 2 2 2 9" xfId="5438" xr:uid="{00000000-0005-0000-0000-000007220000}"/>
    <cellStyle name="Accent5 2 2 2 2 2 2 9 2" xfId="18530" xr:uid="{00000000-0005-0000-0000-000008220000}"/>
    <cellStyle name="Accent5 2 2 2 2 2 3" xfId="5439" xr:uid="{00000000-0005-0000-0000-000009220000}"/>
    <cellStyle name="Accent5 2 2 2 2 2 3 2" xfId="5440" xr:uid="{00000000-0005-0000-0000-00000A220000}"/>
    <cellStyle name="Accent5 2 2 2 2 2 3 2 2" xfId="18532" xr:uid="{00000000-0005-0000-0000-00000B220000}"/>
    <cellStyle name="Accent5 2 2 2 2 2 3 3" xfId="18531" xr:uid="{00000000-0005-0000-0000-00000C220000}"/>
    <cellStyle name="Accent5 2 2 2 2 2 4" xfId="5441" xr:uid="{00000000-0005-0000-0000-00000D220000}"/>
    <cellStyle name="Accent5 2 2 2 2 2 4 2" xfId="18533" xr:uid="{00000000-0005-0000-0000-00000E220000}"/>
    <cellStyle name="Accent5 2 2 2 2 2 5" xfId="5442" xr:uid="{00000000-0005-0000-0000-00000F220000}"/>
    <cellStyle name="Accent5 2 2 2 2 2 5 2" xfId="18534" xr:uid="{00000000-0005-0000-0000-000010220000}"/>
    <cellStyle name="Accent5 2 2 2 2 2 6" xfId="5443" xr:uid="{00000000-0005-0000-0000-000011220000}"/>
    <cellStyle name="Accent5 2 2 2 2 2 6 2" xfId="18535" xr:uid="{00000000-0005-0000-0000-000012220000}"/>
    <cellStyle name="Accent5 2 2 2 2 2 7" xfId="5444" xr:uid="{00000000-0005-0000-0000-000013220000}"/>
    <cellStyle name="Accent5 2 2 2 2 2 7 2" xfId="18536" xr:uid="{00000000-0005-0000-0000-000014220000}"/>
    <cellStyle name="Accent5 2 2 2 2 2 8" xfId="5445" xr:uid="{00000000-0005-0000-0000-000015220000}"/>
    <cellStyle name="Accent5 2 2 2 2 2 8 2" xfId="18537" xr:uid="{00000000-0005-0000-0000-000016220000}"/>
    <cellStyle name="Accent5 2 2 2 2 2 9" xfId="5446" xr:uid="{00000000-0005-0000-0000-000017220000}"/>
    <cellStyle name="Accent5 2 2 2 2 2 9 2" xfId="18538" xr:uid="{00000000-0005-0000-0000-000018220000}"/>
    <cellStyle name="Accent5 2 2 2 2 20" xfId="5447" xr:uid="{00000000-0005-0000-0000-000019220000}"/>
    <cellStyle name="Accent5 2 2 2 2 20 2" xfId="5448" xr:uid="{00000000-0005-0000-0000-00001A220000}"/>
    <cellStyle name="Accent5 2 2 2 2 20 2 2" xfId="18540" xr:uid="{00000000-0005-0000-0000-00001B220000}"/>
    <cellStyle name="Accent5 2 2 2 2 20 3" xfId="18539" xr:uid="{00000000-0005-0000-0000-00001C220000}"/>
    <cellStyle name="Accent5 2 2 2 2 21" xfId="5449" xr:uid="{00000000-0005-0000-0000-00001D220000}"/>
    <cellStyle name="Accent5 2 2 2 2 21 2" xfId="18541" xr:uid="{00000000-0005-0000-0000-00001E220000}"/>
    <cellStyle name="Accent5 2 2 2 2 22" xfId="5450" xr:uid="{00000000-0005-0000-0000-00001F220000}"/>
    <cellStyle name="Accent5 2 2 2 2 22 2" xfId="18542" xr:uid="{00000000-0005-0000-0000-000020220000}"/>
    <cellStyle name="Accent5 2 2 2 2 23" xfId="5451" xr:uid="{00000000-0005-0000-0000-000021220000}"/>
    <cellStyle name="Accent5 2 2 2 2 23 2" xfId="18543" xr:uid="{00000000-0005-0000-0000-000022220000}"/>
    <cellStyle name="Accent5 2 2 2 2 24" xfId="5452" xr:uid="{00000000-0005-0000-0000-000023220000}"/>
    <cellStyle name="Accent5 2 2 2 2 24 2" xfId="18544" xr:uid="{00000000-0005-0000-0000-000024220000}"/>
    <cellStyle name="Accent5 2 2 2 2 25" xfId="5453" xr:uid="{00000000-0005-0000-0000-000025220000}"/>
    <cellStyle name="Accent5 2 2 2 2 25 2" xfId="18545" xr:uid="{00000000-0005-0000-0000-000026220000}"/>
    <cellStyle name="Accent5 2 2 2 2 26" xfId="5454" xr:uid="{00000000-0005-0000-0000-000027220000}"/>
    <cellStyle name="Accent5 2 2 2 2 26 2" xfId="18546" xr:uid="{00000000-0005-0000-0000-000028220000}"/>
    <cellStyle name="Accent5 2 2 2 2 27" xfId="5455" xr:uid="{00000000-0005-0000-0000-000029220000}"/>
    <cellStyle name="Accent5 2 2 2 2 27 2" xfId="18547" xr:uid="{00000000-0005-0000-0000-00002A220000}"/>
    <cellStyle name="Accent5 2 2 2 2 28" xfId="5456" xr:uid="{00000000-0005-0000-0000-00002B220000}"/>
    <cellStyle name="Accent5 2 2 2 2 28 2" xfId="5457" xr:uid="{00000000-0005-0000-0000-00002C220000}"/>
    <cellStyle name="Accent5 2 2 2 2 28 2 2" xfId="18549" xr:uid="{00000000-0005-0000-0000-00002D220000}"/>
    <cellStyle name="Accent5 2 2 2 2 28 3" xfId="18548" xr:uid="{00000000-0005-0000-0000-00002E220000}"/>
    <cellStyle name="Accent5 2 2 2 2 29" xfId="18498" xr:uid="{00000000-0005-0000-0000-00002F220000}"/>
    <cellStyle name="Accent5 2 2 2 2 3" xfId="5458" xr:uid="{00000000-0005-0000-0000-000030220000}"/>
    <cellStyle name="Accent5 2 2 2 2 3 2" xfId="18550" xr:uid="{00000000-0005-0000-0000-000031220000}"/>
    <cellStyle name="Accent5 2 2 2 2 4" xfId="5459" xr:uid="{00000000-0005-0000-0000-000032220000}"/>
    <cellStyle name="Accent5 2 2 2 2 4 2" xfId="18551" xr:uid="{00000000-0005-0000-0000-000033220000}"/>
    <cellStyle name="Accent5 2 2 2 2 5" xfId="5460" xr:uid="{00000000-0005-0000-0000-000034220000}"/>
    <cellStyle name="Accent5 2 2 2 2 5 2" xfId="18552" xr:uid="{00000000-0005-0000-0000-000035220000}"/>
    <cellStyle name="Accent5 2 2 2 2 6" xfId="5461" xr:uid="{00000000-0005-0000-0000-000036220000}"/>
    <cellStyle name="Accent5 2 2 2 2 6 2" xfId="18553" xr:uid="{00000000-0005-0000-0000-000037220000}"/>
    <cellStyle name="Accent5 2 2 2 2 7" xfId="5462" xr:uid="{00000000-0005-0000-0000-000038220000}"/>
    <cellStyle name="Accent5 2 2 2 2 7 2" xfId="18554" xr:uid="{00000000-0005-0000-0000-000039220000}"/>
    <cellStyle name="Accent5 2 2 2 2 8" xfId="5463" xr:uid="{00000000-0005-0000-0000-00003A220000}"/>
    <cellStyle name="Accent5 2 2 2 2 8 2" xfId="18555" xr:uid="{00000000-0005-0000-0000-00003B220000}"/>
    <cellStyle name="Accent5 2 2 2 2 9" xfId="5464" xr:uid="{00000000-0005-0000-0000-00003C220000}"/>
    <cellStyle name="Accent5 2 2 2 2 9 2" xfId="18556" xr:uid="{00000000-0005-0000-0000-00003D220000}"/>
    <cellStyle name="Accent5 2 2 2 20" xfId="5465" xr:uid="{00000000-0005-0000-0000-00003E220000}"/>
    <cellStyle name="Accent5 2 2 2 20 2" xfId="5466" xr:uid="{00000000-0005-0000-0000-00003F220000}"/>
    <cellStyle name="Accent5 2 2 2 20 2 2" xfId="18558" xr:uid="{00000000-0005-0000-0000-000040220000}"/>
    <cellStyle name="Accent5 2 2 2 20 3" xfId="18557" xr:uid="{00000000-0005-0000-0000-000041220000}"/>
    <cellStyle name="Accent5 2 2 2 21" xfId="5467" xr:uid="{00000000-0005-0000-0000-000042220000}"/>
    <cellStyle name="Accent5 2 2 2 21 2" xfId="18559" xr:uid="{00000000-0005-0000-0000-000043220000}"/>
    <cellStyle name="Accent5 2 2 2 22" xfId="5468" xr:uid="{00000000-0005-0000-0000-000044220000}"/>
    <cellStyle name="Accent5 2 2 2 22 2" xfId="18560" xr:uid="{00000000-0005-0000-0000-000045220000}"/>
    <cellStyle name="Accent5 2 2 2 23" xfId="5469" xr:uid="{00000000-0005-0000-0000-000046220000}"/>
    <cellStyle name="Accent5 2 2 2 23 2" xfId="18561" xr:uid="{00000000-0005-0000-0000-000047220000}"/>
    <cellStyle name="Accent5 2 2 2 24" xfId="5470" xr:uid="{00000000-0005-0000-0000-000048220000}"/>
    <cellStyle name="Accent5 2 2 2 24 2" xfId="18562" xr:uid="{00000000-0005-0000-0000-000049220000}"/>
    <cellStyle name="Accent5 2 2 2 25" xfId="5471" xr:uid="{00000000-0005-0000-0000-00004A220000}"/>
    <cellStyle name="Accent5 2 2 2 25 2" xfId="18563" xr:uid="{00000000-0005-0000-0000-00004B220000}"/>
    <cellStyle name="Accent5 2 2 2 26" xfId="5472" xr:uid="{00000000-0005-0000-0000-00004C220000}"/>
    <cellStyle name="Accent5 2 2 2 26 2" xfId="18564" xr:uid="{00000000-0005-0000-0000-00004D220000}"/>
    <cellStyle name="Accent5 2 2 2 27" xfId="5473" xr:uid="{00000000-0005-0000-0000-00004E220000}"/>
    <cellStyle name="Accent5 2 2 2 27 2" xfId="18565" xr:uid="{00000000-0005-0000-0000-00004F220000}"/>
    <cellStyle name="Accent5 2 2 2 28" xfId="5474" xr:uid="{00000000-0005-0000-0000-000050220000}"/>
    <cellStyle name="Accent5 2 2 2 28 2" xfId="5475" xr:uid="{00000000-0005-0000-0000-000051220000}"/>
    <cellStyle name="Accent5 2 2 2 28 2 2" xfId="18567" xr:uid="{00000000-0005-0000-0000-000052220000}"/>
    <cellStyle name="Accent5 2 2 2 28 3" xfId="18566" xr:uid="{00000000-0005-0000-0000-000053220000}"/>
    <cellStyle name="Accent5 2 2 2 29" xfId="18487" xr:uid="{00000000-0005-0000-0000-000054220000}"/>
    <cellStyle name="Accent5 2 2 2 3" xfId="5476" xr:uid="{00000000-0005-0000-0000-000055220000}"/>
    <cellStyle name="Accent5 2 2 2 3 2" xfId="5477" xr:uid="{00000000-0005-0000-0000-000056220000}"/>
    <cellStyle name="Accent5 2 2 2 3 2 2" xfId="18569" xr:uid="{00000000-0005-0000-0000-000057220000}"/>
    <cellStyle name="Accent5 2 2 2 3 3" xfId="18568" xr:uid="{00000000-0005-0000-0000-000058220000}"/>
    <cellStyle name="Accent5 2 2 2 30" xfId="30514" xr:uid="{00000000-0005-0000-0000-000059220000}"/>
    <cellStyle name="Accent5 2 2 2 4" xfId="5478" xr:uid="{00000000-0005-0000-0000-00005A220000}"/>
    <cellStyle name="Accent5 2 2 2 4 2" xfId="18570" xr:uid="{00000000-0005-0000-0000-00005B220000}"/>
    <cellStyle name="Accent5 2 2 2 5" xfId="5479" xr:uid="{00000000-0005-0000-0000-00005C220000}"/>
    <cellStyle name="Accent5 2 2 2 5 2" xfId="18571" xr:uid="{00000000-0005-0000-0000-00005D220000}"/>
    <cellStyle name="Accent5 2 2 2 6" xfId="5480" xr:uid="{00000000-0005-0000-0000-00005E220000}"/>
    <cellStyle name="Accent5 2 2 2 6 2" xfId="18572" xr:uid="{00000000-0005-0000-0000-00005F220000}"/>
    <cellStyle name="Accent5 2 2 2 7" xfId="5481" xr:uid="{00000000-0005-0000-0000-000060220000}"/>
    <cellStyle name="Accent5 2 2 2 7 2" xfId="18573" xr:uid="{00000000-0005-0000-0000-000061220000}"/>
    <cellStyle name="Accent5 2 2 2 8" xfId="5482" xr:uid="{00000000-0005-0000-0000-000062220000}"/>
    <cellStyle name="Accent5 2 2 2 8 2" xfId="18574" xr:uid="{00000000-0005-0000-0000-000063220000}"/>
    <cellStyle name="Accent5 2 2 2 9" xfId="5483" xr:uid="{00000000-0005-0000-0000-000064220000}"/>
    <cellStyle name="Accent5 2 2 2 9 2" xfId="18575" xr:uid="{00000000-0005-0000-0000-000065220000}"/>
    <cellStyle name="Accent5 2 2 20" xfId="5484" xr:uid="{00000000-0005-0000-0000-000066220000}"/>
    <cellStyle name="Accent5 2 2 20 2" xfId="18576" xr:uid="{00000000-0005-0000-0000-000067220000}"/>
    <cellStyle name="Accent5 2 2 21" xfId="5485" xr:uid="{00000000-0005-0000-0000-000068220000}"/>
    <cellStyle name="Accent5 2 2 21 2" xfId="18577" xr:uid="{00000000-0005-0000-0000-000069220000}"/>
    <cellStyle name="Accent5 2 2 22" xfId="5486" xr:uid="{00000000-0005-0000-0000-00006A220000}"/>
    <cellStyle name="Accent5 2 2 22 2" xfId="18578" xr:uid="{00000000-0005-0000-0000-00006B220000}"/>
    <cellStyle name="Accent5 2 2 23" xfId="5487" xr:uid="{00000000-0005-0000-0000-00006C220000}"/>
    <cellStyle name="Accent5 2 2 23 2" xfId="18579" xr:uid="{00000000-0005-0000-0000-00006D220000}"/>
    <cellStyle name="Accent5 2 2 24" xfId="5488" xr:uid="{00000000-0005-0000-0000-00006E220000}"/>
    <cellStyle name="Accent5 2 2 24 2" xfId="18580" xr:uid="{00000000-0005-0000-0000-00006F220000}"/>
    <cellStyle name="Accent5 2 2 25" xfId="5489" xr:uid="{00000000-0005-0000-0000-000070220000}"/>
    <cellStyle name="Accent5 2 2 25 2" xfId="18581" xr:uid="{00000000-0005-0000-0000-000071220000}"/>
    <cellStyle name="Accent5 2 2 26" xfId="5490" xr:uid="{00000000-0005-0000-0000-000072220000}"/>
    <cellStyle name="Accent5 2 2 26 2" xfId="18582" xr:uid="{00000000-0005-0000-0000-000073220000}"/>
    <cellStyle name="Accent5 2 2 27" xfId="5491" xr:uid="{00000000-0005-0000-0000-000074220000}"/>
    <cellStyle name="Accent5 2 2 27 2" xfId="18583" xr:uid="{00000000-0005-0000-0000-000075220000}"/>
    <cellStyle name="Accent5 2 2 28" xfId="5492" xr:uid="{00000000-0005-0000-0000-000076220000}"/>
    <cellStyle name="Accent5 2 2 28 2" xfId="18584" xr:uid="{00000000-0005-0000-0000-000077220000}"/>
    <cellStyle name="Accent5 2 2 29" xfId="5493" xr:uid="{00000000-0005-0000-0000-000078220000}"/>
    <cellStyle name="Accent5 2 2 29 2" xfId="18585" xr:uid="{00000000-0005-0000-0000-000079220000}"/>
    <cellStyle name="Accent5 2 2 3" xfId="5494" xr:uid="{00000000-0005-0000-0000-00007A220000}"/>
    <cellStyle name="Accent5 2 2 3 2" xfId="18586" xr:uid="{00000000-0005-0000-0000-00007B220000}"/>
    <cellStyle name="Accent5 2 2 30" xfId="5495" xr:uid="{00000000-0005-0000-0000-00007C220000}"/>
    <cellStyle name="Accent5 2 2 30 2" xfId="18587" xr:uid="{00000000-0005-0000-0000-00007D220000}"/>
    <cellStyle name="Accent5 2 2 31" xfId="5496" xr:uid="{00000000-0005-0000-0000-00007E220000}"/>
    <cellStyle name="Accent5 2 2 31 2" xfId="5497" xr:uid="{00000000-0005-0000-0000-00007F220000}"/>
    <cellStyle name="Accent5 2 2 31 2 2" xfId="18589" xr:uid="{00000000-0005-0000-0000-000080220000}"/>
    <cellStyle name="Accent5 2 2 31 3" xfId="18588" xr:uid="{00000000-0005-0000-0000-000081220000}"/>
    <cellStyle name="Accent5 2 2 32" xfId="5498" xr:uid="{00000000-0005-0000-0000-000082220000}"/>
    <cellStyle name="Accent5 2 2 32 2" xfId="18590" xr:uid="{00000000-0005-0000-0000-000083220000}"/>
    <cellStyle name="Accent5 2 2 33" xfId="5499" xr:uid="{00000000-0005-0000-0000-000084220000}"/>
    <cellStyle name="Accent5 2 2 33 2" xfId="18591" xr:uid="{00000000-0005-0000-0000-000085220000}"/>
    <cellStyle name="Accent5 2 2 34" xfId="5500" xr:uid="{00000000-0005-0000-0000-000086220000}"/>
    <cellStyle name="Accent5 2 2 34 2" xfId="18592" xr:uid="{00000000-0005-0000-0000-000087220000}"/>
    <cellStyle name="Accent5 2 2 35" xfId="5501" xr:uid="{00000000-0005-0000-0000-000088220000}"/>
    <cellStyle name="Accent5 2 2 35 2" xfId="18593" xr:uid="{00000000-0005-0000-0000-000089220000}"/>
    <cellStyle name="Accent5 2 2 36" xfId="5502" xr:uid="{00000000-0005-0000-0000-00008A220000}"/>
    <cellStyle name="Accent5 2 2 36 2" xfId="18594" xr:uid="{00000000-0005-0000-0000-00008B220000}"/>
    <cellStyle name="Accent5 2 2 37" xfId="5503" xr:uid="{00000000-0005-0000-0000-00008C220000}"/>
    <cellStyle name="Accent5 2 2 37 2" xfId="18595" xr:uid="{00000000-0005-0000-0000-00008D220000}"/>
    <cellStyle name="Accent5 2 2 38" xfId="5504" xr:uid="{00000000-0005-0000-0000-00008E220000}"/>
    <cellStyle name="Accent5 2 2 38 2" xfId="18596" xr:uid="{00000000-0005-0000-0000-00008F220000}"/>
    <cellStyle name="Accent5 2 2 39" xfId="5505" xr:uid="{00000000-0005-0000-0000-000090220000}"/>
    <cellStyle name="Accent5 2 2 39 2" xfId="5506" xr:uid="{00000000-0005-0000-0000-000091220000}"/>
    <cellStyle name="Accent5 2 2 39 2 2" xfId="18598" xr:uid="{00000000-0005-0000-0000-000092220000}"/>
    <cellStyle name="Accent5 2 2 39 3" xfId="18597" xr:uid="{00000000-0005-0000-0000-000093220000}"/>
    <cellStyle name="Accent5 2 2 4" xfId="5507" xr:uid="{00000000-0005-0000-0000-000094220000}"/>
    <cellStyle name="Accent5 2 2 4 2" xfId="18599" xr:uid="{00000000-0005-0000-0000-000095220000}"/>
    <cellStyle name="Accent5 2 2 40" xfId="18475" xr:uid="{00000000-0005-0000-0000-000096220000}"/>
    <cellStyle name="Accent5 2 2 41" xfId="30515" xr:uid="{00000000-0005-0000-0000-000097220000}"/>
    <cellStyle name="Accent5 2 2 42" xfId="30516" xr:uid="{00000000-0005-0000-0000-000098220000}"/>
    <cellStyle name="Accent5 2 2 43" xfId="30517" xr:uid="{00000000-0005-0000-0000-000099220000}"/>
    <cellStyle name="Accent5 2 2 44" xfId="30518" xr:uid="{00000000-0005-0000-0000-00009A220000}"/>
    <cellStyle name="Accent5 2 2 5" xfId="5508" xr:uid="{00000000-0005-0000-0000-00009B220000}"/>
    <cellStyle name="Accent5 2 2 5 2" xfId="18600" xr:uid="{00000000-0005-0000-0000-00009C220000}"/>
    <cellStyle name="Accent5 2 2 6" xfId="5509" xr:uid="{00000000-0005-0000-0000-00009D220000}"/>
    <cellStyle name="Accent5 2 2 6 2" xfId="18601" xr:uid="{00000000-0005-0000-0000-00009E220000}"/>
    <cellStyle name="Accent5 2 2 7" xfId="5510" xr:uid="{00000000-0005-0000-0000-00009F220000}"/>
    <cellStyle name="Accent5 2 2 7 2" xfId="18602" xr:uid="{00000000-0005-0000-0000-0000A0220000}"/>
    <cellStyle name="Accent5 2 2 8" xfId="5511" xr:uid="{00000000-0005-0000-0000-0000A1220000}"/>
    <cellStyle name="Accent5 2 2 8 2" xfId="18603" xr:uid="{00000000-0005-0000-0000-0000A2220000}"/>
    <cellStyle name="Accent5 2 2 9" xfId="5512" xr:uid="{00000000-0005-0000-0000-0000A3220000}"/>
    <cellStyle name="Accent5 2 2 9 2" xfId="18604" xr:uid="{00000000-0005-0000-0000-0000A4220000}"/>
    <cellStyle name="Accent5 2 2_Loan Classification" xfId="11433" xr:uid="{00000000-0005-0000-0000-0000A5220000}"/>
    <cellStyle name="Accent5 2 20" xfId="5513" xr:uid="{00000000-0005-0000-0000-0000A6220000}"/>
    <cellStyle name="Accent5 2 20 2" xfId="18605" xr:uid="{00000000-0005-0000-0000-0000A7220000}"/>
    <cellStyle name="Accent5 2 21" xfId="5514" xr:uid="{00000000-0005-0000-0000-0000A8220000}"/>
    <cellStyle name="Accent5 2 21 2" xfId="18606" xr:uid="{00000000-0005-0000-0000-0000A9220000}"/>
    <cellStyle name="Accent5 2 22" xfId="5515" xr:uid="{00000000-0005-0000-0000-0000AA220000}"/>
    <cellStyle name="Accent5 2 22 2" xfId="18607" xr:uid="{00000000-0005-0000-0000-0000AB220000}"/>
    <cellStyle name="Accent5 2 23" xfId="5516" xr:uid="{00000000-0005-0000-0000-0000AC220000}"/>
    <cellStyle name="Accent5 2 23 2" xfId="18608" xr:uid="{00000000-0005-0000-0000-0000AD220000}"/>
    <cellStyle name="Accent5 2 24" xfId="5517" xr:uid="{00000000-0005-0000-0000-0000AE220000}"/>
    <cellStyle name="Accent5 2 24 2" xfId="18609" xr:uid="{00000000-0005-0000-0000-0000AF220000}"/>
    <cellStyle name="Accent5 2 25" xfId="5518" xr:uid="{00000000-0005-0000-0000-0000B0220000}"/>
    <cellStyle name="Accent5 2 25 2" xfId="18610" xr:uid="{00000000-0005-0000-0000-0000B1220000}"/>
    <cellStyle name="Accent5 2 26" xfId="5519" xr:uid="{00000000-0005-0000-0000-0000B2220000}"/>
    <cellStyle name="Accent5 2 26 2" xfId="18611" xr:uid="{00000000-0005-0000-0000-0000B3220000}"/>
    <cellStyle name="Accent5 2 27" xfId="5520" xr:uid="{00000000-0005-0000-0000-0000B4220000}"/>
    <cellStyle name="Accent5 2 27 2" xfId="18612" xr:uid="{00000000-0005-0000-0000-0000B5220000}"/>
    <cellStyle name="Accent5 2 28" xfId="5521" xr:uid="{00000000-0005-0000-0000-0000B6220000}"/>
    <cellStyle name="Accent5 2 28 2" xfId="18613" xr:uid="{00000000-0005-0000-0000-0000B7220000}"/>
    <cellStyle name="Accent5 2 29" xfId="5522" xr:uid="{00000000-0005-0000-0000-0000B8220000}"/>
    <cellStyle name="Accent5 2 29 2" xfId="18614" xr:uid="{00000000-0005-0000-0000-0000B9220000}"/>
    <cellStyle name="Accent5 2 3" xfId="5523" xr:uid="{00000000-0005-0000-0000-0000BA220000}"/>
    <cellStyle name="Accent5 2 3 2" xfId="18615" xr:uid="{00000000-0005-0000-0000-0000BB220000}"/>
    <cellStyle name="Accent5 2 3 2 2" xfId="30519" xr:uid="{00000000-0005-0000-0000-0000BC220000}"/>
    <cellStyle name="Accent5 2 3 3" xfId="30520" xr:uid="{00000000-0005-0000-0000-0000BD220000}"/>
    <cellStyle name="Accent5 2 3 4" xfId="30521" xr:uid="{00000000-0005-0000-0000-0000BE220000}"/>
    <cellStyle name="Accent5 2 3 5" xfId="30522" xr:uid="{00000000-0005-0000-0000-0000BF220000}"/>
    <cellStyle name="Accent5 2 30" xfId="5524" xr:uid="{00000000-0005-0000-0000-0000C0220000}"/>
    <cellStyle name="Accent5 2 30 2" xfId="18616" xr:uid="{00000000-0005-0000-0000-0000C1220000}"/>
    <cellStyle name="Accent5 2 31" xfId="5525" xr:uid="{00000000-0005-0000-0000-0000C2220000}"/>
    <cellStyle name="Accent5 2 31 2" xfId="18617" xr:uid="{00000000-0005-0000-0000-0000C3220000}"/>
    <cellStyle name="Accent5 2 32" xfId="5526" xr:uid="{00000000-0005-0000-0000-0000C4220000}"/>
    <cellStyle name="Accent5 2 32 2" xfId="18618" xr:uid="{00000000-0005-0000-0000-0000C5220000}"/>
    <cellStyle name="Accent5 2 33" xfId="5527" xr:uid="{00000000-0005-0000-0000-0000C6220000}"/>
    <cellStyle name="Accent5 2 33 2" xfId="5528" xr:uid="{00000000-0005-0000-0000-0000C7220000}"/>
    <cellStyle name="Accent5 2 33 2 2" xfId="18620" xr:uid="{00000000-0005-0000-0000-0000C8220000}"/>
    <cellStyle name="Accent5 2 33 3" xfId="18619" xr:uid="{00000000-0005-0000-0000-0000C9220000}"/>
    <cellStyle name="Accent5 2 34" xfId="5529" xr:uid="{00000000-0005-0000-0000-0000CA220000}"/>
    <cellStyle name="Accent5 2 34 2" xfId="18621" xr:uid="{00000000-0005-0000-0000-0000CB220000}"/>
    <cellStyle name="Accent5 2 35" xfId="5530" xr:uid="{00000000-0005-0000-0000-0000CC220000}"/>
    <cellStyle name="Accent5 2 35 2" xfId="18622" xr:uid="{00000000-0005-0000-0000-0000CD220000}"/>
    <cellStyle name="Accent5 2 36" xfId="5531" xr:uid="{00000000-0005-0000-0000-0000CE220000}"/>
    <cellStyle name="Accent5 2 36 2" xfId="18623" xr:uid="{00000000-0005-0000-0000-0000CF220000}"/>
    <cellStyle name="Accent5 2 37" xfId="5532" xr:uid="{00000000-0005-0000-0000-0000D0220000}"/>
    <cellStyle name="Accent5 2 37 2" xfId="18624" xr:uid="{00000000-0005-0000-0000-0000D1220000}"/>
    <cellStyle name="Accent5 2 38" xfId="5533" xr:uid="{00000000-0005-0000-0000-0000D2220000}"/>
    <cellStyle name="Accent5 2 38 2" xfId="18625" xr:uid="{00000000-0005-0000-0000-0000D3220000}"/>
    <cellStyle name="Accent5 2 39" xfId="5534" xr:uid="{00000000-0005-0000-0000-0000D4220000}"/>
    <cellStyle name="Accent5 2 39 2" xfId="18626" xr:uid="{00000000-0005-0000-0000-0000D5220000}"/>
    <cellStyle name="Accent5 2 4" xfId="5535" xr:uid="{00000000-0005-0000-0000-0000D6220000}"/>
    <cellStyle name="Accent5 2 4 2" xfId="18627" xr:uid="{00000000-0005-0000-0000-0000D7220000}"/>
    <cellStyle name="Accent5 2 4 2 2" xfId="30523" xr:uid="{00000000-0005-0000-0000-0000D8220000}"/>
    <cellStyle name="Accent5 2 4 3" xfId="30524" xr:uid="{00000000-0005-0000-0000-0000D9220000}"/>
    <cellStyle name="Accent5 2 4 4" xfId="30525" xr:uid="{00000000-0005-0000-0000-0000DA220000}"/>
    <cellStyle name="Accent5 2 4 5" xfId="30526" xr:uid="{00000000-0005-0000-0000-0000DB220000}"/>
    <cellStyle name="Accent5 2 40" xfId="5536" xr:uid="{00000000-0005-0000-0000-0000DC220000}"/>
    <cellStyle name="Accent5 2 40 2" xfId="18628" xr:uid="{00000000-0005-0000-0000-0000DD220000}"/>
    <cellStyle name="Accent5 2 41" xfId="5537" xr:uid="{00000000-0005-0000-0000-0000DE220000}"/>
    <cellStyle name="Accent5 2 41 2" xfId="5538" xr:uid="{00000000-0005-0000-0000-0000DF220000}"/>
    <cellStyle name="Accent5 2 41 2 2" xfId="18630" xr:uid="{00000000-0005-0000-0000-0000E0220000}"/>
    <cellStyle name="Accent5 2 41 3" xfId="18629" xr:uid="{00000000-0005-0000-0000-0000E1220000}"/>
    <cellStyle name="Accent5 2 42" xfId="18463" xr:uid="{00000000-0005-0000-0000-0000E2220000}"/>
    <cellStyle name="Accent5 2 43" xfId="30527" xr:uid="{00000000-0005-0000-0000-0000E3220000}"/>
    <cellStyle name="Accent5 2 5" xfId="5539" xr:uid="{00000000-0005-0000-0000-0000E4220000}"/>
    <cellStyle name="Accent5 2 5 2" xfId="5540" xr:uid="{00000000-0005-0000-0000-0000E5220000}"/>
    <cellStyle name="Accent5 2 5 2 2" xfId="18632" xr:uid="{00000000-0005-0000-0000-0000E6220000}"/>
    <cellStyle name="Accent5 2 5 3" xfId="18631" xr:uid="{00000000-0005-0000-0000-0000E7220000}"/>
    <cellStyle name="Accent5 2 5 4" xfId="30528" xr:uid="{00000000-0005-0000-0000-0000E8220000}"/>
    <cellStyle name="Accent5 2 6" xfId="5541" xr:uid="{00000000-0005-0000-0000-0000E9220000}"/>
    <cellStyle name="Accent5 2 6 2" xfId="18633" xr:uid="{00000000-0005-0000-0000-0000EA220000}"/>
    <cellStyle name="Accent5 2 6 3" xfId="30529" xr:uid="{00000000-0005-0000-0000-0000EB220000}"/>
    <cellStyle name="Accent5 2 7" xfId="5542" xr:uid="{00000000-0005-0000-0000-0000EC220000}"/>
    <cellStyle name="Accent5 2 7 2" xfId="18634" xr:uid="{00000000-0005-0000-0000-0000ED220000}"/>
    <cellStyle name="Accent5 2 8" xfId="5543" xr:uid="{00000000-0005-0000-0000-0000EE220000}"/>
    <cellStyle name="Accent5 2 8 2" xfId="18635" xr:uid="{00000000-0005-0000-0000-0000EF220000}"/>
    <cellStyle name="Accent5 2 9" xfId="5544" xr:uid="{00000000-0005-0000-0000-0000F0220000}"/>
    <cellStyle name="Accent5 2 9 2" xfId="18636" xr:uid="{00000000-0005-0000-0000-0000F1220000}"/>
    <cellStyle name="Accent5 2_Loan Classification" xfId="11432" xr:uid="{00000000-0005-0000-0000-0000F2220000}"/>
    <cellStyle name="Accent5 20" xfId="5545" xr:uid="{00000000-0005-0000-0000-0000F3220000}"/>
    <cellStyle name="Accent5 20 2" xfId="18637" xr:uid="{00000000-0005-0000-0000-0000F4220000}"/>
    <cellStyle name="Accent5 21" xfId="5546" xr:uid="{00000000-0005-0000-0000-0000F5220000}"/>
    <cellStyle name="Accent5 21 2" xfId="18638" xr:uid="{00000000-0005-0000-0000-0000F6220000}"/>
    <cellStyle name="Accent5 22" xfId="5547" xr:uid="{00000000-0005-0000-0000-0000F7220000}"/>
    <cellStyle name="Accent5 22 2" xfId="18639" xr:uid="{00000000-0005-0000-0000-0000F8220000}"/>
    <cellStyle name="Accent5 23" xfId="5548" xr:uid="{00000000-0005-0000-0000-0000F9220000}"/>
    <cellStyle name="Accent5 23 2" xfId="18640" xr:uid="{00000000-0005-0000-0000-0000FA220000}"/>
    <cellStyle name="Accent5 24" xfId="5549" xr:uid="{00000000-0005-0000-0000-0000FB220000}"/>
    <cellStyle name="Accent5 24 2" xfId="18641" xr:uid="{00000000-0005-0000-0000-0000FC220000}"/>
    <cellStyle name="Accent5 25" xfId="5550" xr:uid="{00000000-0005-0000-0000-0000FD220000}"/>
    <cellStyle name="Accent5 25 2" xfId="18642" xr:uid="{00000000-0005-0000-0000-0000FE220000}"/>
    <cellStyle name="Accent5 26" xfId="5551" xr:uid="{00000000-0005-0000-0000-0000FF220000}"/>
    <cellStyle name="Accent5 26 2" xfId="18643" xr:uid="{00000000-0005-0000-0000-000000230000}"/>
    <cellStyle name="Accent5 27" xfId="5552" xr:uid="{00000000-0005-0000-0000-000001230000}"/>
    <cellStyle name="Accent5 27 2" xfId="18644" xr:uid="{00000000-0005-0000-0000-000002230000}"/>
    <cellStyle name="Accent5 28" xfId="5553" xr:uid="{00000000-0005-0000-0000-000003230000}"/>
    <cellStyle name="Accent5 28 2" xfId="18645" xr:uid="{00000000-0005-0000-0000-000004230000}"/>
    <cellStyle name="Accent5 29" xfId="5554" xr:uid="{00000000-0005-0000-0000-000005230000}"/>
    <cellStyle name="Accent5 29 2" xfId="18646" xr:uid="{00000000-0005-0000-0000-000006230000}"/>
    <cellStyle name="Accent5 3" xfId="5555" xr:uid="{00000000-0005-0000-0000-000007230000}"/>
    <cellStyle name="Accent5 3 2" xfId="18647" xr:uid="{00000000-0005-0000-0000-000008230000}"/>
    <cellStyle name="Accent5 3 2 2" xfId="30530" xr:uid="{00000000-0005-0000-0000-000009230000}"/>
    <cellStyle name="Accent5 3 3" xfId="30531" xr:uid="{00000000-0005-0000-0000-00000A230000}"/>
    <cellStyle name="Accent5 3 4" xfId="30532" xr:uid="{00000000-0005-0000-0000-00000B230000}"/>
    <cellStyle name="Accent5 30" xfId="5556" xr:uid="{00000000-0005-0000-0000-00000C230000}"/>
    <cellStyle name="Accent5 30 2" xfId="18648" xr:uid="{00000000-0005-0000-0000-00000D230000}"/>
    <cellStyle name="Accent5 31" xfId="5557" xr:uid="{00000000-0005-0000-0000-00000E230000}"/>
    <cellStyle name="Accent5 31 2" xfId="18649" xr:uid="{00000000-0005-0000-0000-00000F230000}"/>
    <cellStyle name="Accent5 32" xfId="5558" xr:uid="{00000000-0005-0000-0000-000010230000}"/>
    <cellStyle name="Accent5 32 2" xfId="18650" xr:uid="{00000000-0005-0000-0000-000011230000}"/>
    <cellStyle name="Accent5 33" xfId="5559" xr:uid="{00000000-0005-0000-0000-000012230000}"/>
    <cellStyle name="Accent5 33 2" xfId="18651" xr:uid="{00000000-0005-0000-0000-000013230000}"/>
    <cellStyle name="Accent5 34" xfId="5560" xr:uid="{00000000-0005-0000-0000-000014230000}"/>
    <cellStyle name="Accent5 34 2" xfId="18652" xr:uid="{00000000-0005-0000-0000-000015230000}"/>
    <cellStyle name="Accent5 35" xfId="5561" xr:uid="{00000000-0005-0000-0000-000016230000}"/>
    <cellStyle name="Accent5 35 2" xfId="18653" xr:uid="{00000000-0005-0000-0000-000017230000}"/>
    <cellStyle name="Accent5 36" xfId="5562" xr:uid="{00000000-0005-0000-0000-000018230000}"/>
    <cellStyle name="Accent5 36 2" xfId="18654" xr:uid="{00000000-0005-0000-0000-000019230000}"/>
    <cellStyle name="Accent5 37" xfId="5563" xr:uid="{00000000-0005-0000-0000-00001A230000}"/>
    <cellStyle name="Accent5 37 2" xfId="18655" xr:uid="{00000000-0005-0000-0000-00001B230000}"/>
    <cellStyle name="Accent5 38" xfId="5564" xr:uid="{00000000-0005-0000-0000-00001C230000}"/>
    <cellStyle name="Accent5 38 2" xfId="18656" xr:uid="{00000000-0005-0000-0000-00001D230000}"/>
    <cellStyle name="Accent5 39" xfId="5565" xr:uid="{00000000-0005-0000-0000-00001E230000}"/>
    <cellStyle name="Accent5 39 2" xfId="18657" xr:uid="{00000000-0005-0000-0000-00001F230000}"/>
    <cellStyle name="Accent5 4" xfId="5566" xr:uid="{00000000-0005-0000-0000-000020230000}"/>
    <cellStyle name="Accent5 4 2" xfId="18658" xr:uid="{00000000-0005-0000-0000-000021230000}"/>
    <cellStyle name="Accent5 4 2 2" xfId="30533" xr:uid="{00000000-0005-0000-0000-000022230000}"/>
    <cellStyle name="Accent5 4 3" xfId="30534" xr:uid="{00000000-0005-0000-0000-000023230000}"/>
    <cellStyle name="Accent5 4 4" xfId="30535" xr:uid="{00000000-0005-0000-0000-000024230000}"/>
    <cellStyle name="Accent5 40" xfId="5567" xr:uid="{00000000-0005-0000-0000-000025230000}"/>
    <cellStyle name="Accent5 40 2" xfId="18659" xr:uid="{00000000-0005-0000-0000-000026230000}"/>
    <cellStyle name="Accent5 41" xfId="5568" xr:uid="{00000000-0005-0000-0000-000027230000}"/>
    <cellStyle name="Accent5 41 2" xfId="18660" xr:uid="{00000000-0005-0000-0000-000028230000}"/>
    <cellStyle name="Accent5 42" xfId="5569" xr:uid="{00000000-0005-0000-0000-000029230000}"/>
    <cellStyle name="Accent5 42 2" xfId="18661" xr:uid="{00000000-0005-0000-0000-00002A230000}"/>
    <cellStyle name="Accent5 43" xfId="11585" xr:uid="{00000000-0005-0000-0000-00002B230000}"/>
    <cellStyle name="Accent5 43 2" xfId="18662" xr:uid="{00000000-0005-0000-0000-00002C230000}"/>
    <cellStyle name="Accent5 44" xfId="11554" xr:uid="{00000000-0005-0000-0000-00002D230000}"/>
    <cellStyle name="Accent5 44 2" xfId="18663" xr:uid="{00000000-0005-0000-0000-00002E230000}"/>
    <cellStyle name="Accent5 45" xfId="18664" xr:uid="{00000000-0005-0000-0000-00002F230000}"/>
    <cellStyle name="Accent5 46" xfId="30536" xr:uid="{00000000-0005-0000-0000-000030230000}"/>
    <cellStyle name="Accent5 47" xfId="505" xr:uid="{00000000-0005-0000-0000-000031230000}"/>
    <cellStyle name="Accent5 5" xfId="5570" xr:uid="{00000000-0005-0000-0000-000032230000}"/>
    <cellStyle name="Accent5 5 2" xfId="18665" xr:uid="{00000000-0005-0000-0000-000033230000}"/>
    <cellStyle name="Accent5 5 2 2" xfId="30537" xr:uid="{00000000-0005-0000-0000-000034230000}"/>
    <cellStyle name="Accent5 5 3" xfId="30538" xr:uid="{00000000-0005-0000-0000-000035230000}"/>
    <cellStyle name="Accent5 5 4" xfId="30539" xr:uid="{00000000-0005-0000-0000-000036230000}"/>
    <cellStyle name="Accent5 6" xfId="5571" xr:uid="{00000000-0005-0000-0000-000037230000}"/>
    <cellStyle name="Accent5 6 2" xfId="18666" xr:uid="{00000000-0005-0000-0000-000038230000}"/>
    <cellStyle name="Accent5 6 3" xfId="30540" xr:uid="{00000000-0005-0000-0000-000039230000}"/>
    <cellStyle name="Accent5 7" xfId="5572" xr:uid="{00000000-0005-0000-0000-00003A230000}"/>
    <cellStyle name="Accent5 7 2" xfId="18667" xr:uid="{00000000-0005-0000-0000-00003B230000}"/>
    <cellStyle name="Accent5 7 3" xfId="30541" xr:uid="{00000000-0005-0000-0000-00003C230000}"/>
    <cellStyle name="Accent5 8" xfId="5573" xr:uid="{00000000-0005-0000-0000-00003D230000}"/>
    <cellStyle name="Accent5 8 2" xfId="18668" xr:uid="{00000000-0005-0000-0000-00003E230000}"/>
    <cellStyle name="Accent5 8 3" xfId="30542" xr:uid="{00000000-0005-0000-0000-00003F230000}"/>
    <cellStyle name="Accent5 9" xfId="5574" xr:uid="{00000000-0005-0000-0000-000040230000}"/>
    <cellStyle name="Accent5 9 2" xfId="18669" xr:uid="{00000000-0005-0000-0000-000041230000}"/>
    <cellStyle name="Accent5 9 3" xfId="30543" xr:uid="{00000000-0005-0000-0000-000042230000}"/>
    <cellStyle name="Accent6" xfId="45" builtinId="49" customBuiltin="1"/>
    <cellStyle name="Accent6 10" xfId="5575" xr:uid="{00000000-0005-0000-0000-000044230000}"/>
    <cellStyle name="Accent6 10 2" xfId="18670" xr:uid="{00000000-0005-0000-0000-000045230000}"/>
    <cellStyle name="Accent6 10 3" xfId="30544" xr:uid="{00000000-0005-0000-0000-000046230000}"/>
    <cellStyle name="Accent6 11" xfId="5576" xr:uid="{00000000-0005-0000-0000-000047230000}"/>
    <cellStyle name="Accent6 11 2" xfId="18671" xr:uid="{00000000-0005-0000-0000-000048230000}"/>
    <cellStyle name="Accent6 11 3" xfId="30545" xr:uid="{00000000-0005-0000-0000-000049230000}"/>
    <cellStyle name="Accent6 12" xfId="5577" xr:uid="{00000000-0005-0000-0000-00004A230000}"/>
    <cellStyle name="Accent6 12 2" xfId="18672" xr:uid="{00000000-0005-0000-0000-00004B230000}"/>
    <cellStyle name="Accent6 12 3" xfId="30546" xr:uid="{00000000-0005-0000-0000-00004C230000}"/>
    <cellStyle name="Accent6 13" xfId="5578" xr:uid="{00000000-0005-0000-0000-00004D230000}"/>
    <cellStyle name="Accent6 13 2" xfId="18673" xr:uid="{00000000-0005-0000-0000-00004E230000}"/>
    <cellStyle name="Accent6 13 3" xfId="30547" xr:uid="{00000000-0005-0000-0000-00004F230000}"/>
    <cellStyle name="Accent6 14" xfId="5579" xr:uid="{00000000-0005-0000-0000-000050230000}"/>
    <cellStyle name="Accent6 14 2" xfId="18674" xr:uid="{00000000-0005-0000-0000-000051230000}"/>
    <cellStyle name="Accent6 14 3" xfId="30548" xr:uid="{00000000-0005-0000-0000-000052230000}"/>
    <cellStyle name="Accent6 15" xfId="5580" xr:uid="{00000000-0005-0000-0000-000053230000}"/>
    <cellStyle name="Accent6 15 2" xfId="18675" xr:uid="{00000000-0005-0000-0000-000054230000}"/>
    <cellStyle name="Accent6 15 3" xfId="30549" xr:uid="{00000000-0005-0000-0000-000055230000}"/>
    <cellStyle name="Accent6 16" xfId="5581" xr:uid="{00000000-0005-0000-0000-000056230000}"/>
    <cellStyle name="Accent6 16 2" xfId="18676" xr:uid="{00000000-0005-0000-0000-000057230000}"/>
    <cellStyle name="Accent6 16 3" xfId="30550" xr:uid="{00000000-0005-0000-0000-000058230000}"/>
    <cellStyle name="Accent6 17" xfId="5582" xr:uid="{00000000-0005-0000-0000-000059230000}"/>
    <cellStyle name="Accent6 17 2" xfId="18677" xr:uid="{00000000-0005-0000-0000-00005A230000}"/>
    <cellStyle name="Accent6 17 3" xfId="30551" xr:uid="{00000000-0005-0000-0000-00005B230000}"/>
    <cellStyle name="Accent6 18" xfId="5583" xr:uid="{00000000-0005-0000-0000-00005C230000}"/>
    <cellStyle name="Accent6 18 2" xfId="18678" xr:uid="{00000000-0005-0000-0000-00005D230000}"/>
    <cellStyle name="Accent6 19" xfId="5584" xr:uid="{00000000-0005-0000-0000-00005E230000}"/>
    <cellStyle name="Accent6 19 2" xfId="18679" xr:uid="{00000000-0005-0000-0000-00005F230000}"/>
    <cellStyle name="Accent6 2" xfId="5585" xr:uid="{00000000-0005-0000-0000-000060230000}"/>
    <cellStyle name="Accent6 2 10" xfId="5586" xr:uid="{00000000-0005-0000-0000-000061230000}"/>
    <cellStyle name="Accent6 2 10 2" xfId="18681" xr:uid="{00000000-0005-0000-0000-000062230000}"/>
    <cellStyle name="Accent6 2 11" xfId="5587" xr:uid="{00000000-0005-0000-0000-000063230000}"/>
    <cellStyle name="Accent6 2 11 2" xfId="18682" xr:uid="{00000000-0005-0000-0000-000064230000}"/>
    <cellStyle name="Accent6 2 12" xfId="5588" xr:uid="{00000000-0005-0000-0000-000065230000}"/>
    <cellStyle name="Accent6 2 12 2" xfId="18683" xr:uid="{00000000-0005-0000-0000-000066230000}"/>
    <cellStyle name="Accent6 2 13" xfId="5589" xr:uid="{00000000-0005-0000-0000-000067230000}"/>
    <cellStyle name="Accent6 2 13 2" xfId="18684" xr:uid="{00000000-0005-0000-0000-000068230000}"/>
    <cellStyle name="Accent6 2 14" xfId="5590" xr:uid="{00000000-0005-0000-0000-000069230000}"/>
    <cellStyle name="Accent6 2 14 2" xfId="18685" xr:uid="{00000000-0005-0000-0000-00006A230000}"/>
    <cellStyle name="Accent6 2 15" xfId="5591" xr:uid="{00000000-0005-0000-0000-00006B230000}"/>
    <cellStyle name="Accent6 2 15 2" xfId="18686" xr:uid="{00000000-0005-0000-0000-00006C230000}"/>
    <cellStyle name="Accent6 2 16" xfId="5592" xr:uid="{00000000-0005-0000-0000-00006D230000}"/>
    <cellStyle name="Accent6 2 16 2" xfId="5593" xr:uid="{00000000-0005-0000-0000-00006E230000}"/>
    <cellStyle name="Accent6 2 16 2 2" xfId="18688" xr:uid="{00000000-0005-0000-0000-00006F230000}"/>
    <cellStyle name="Accent6 2 16 3" xfId="18687" xr:uid="{00000000-0005-0000-0000-000070230000}"/>
    <cellStyle name="Accent6 2 17" xfId="5594" xr:uid="{00000000-0005-0000-0000-000071230000}"/>
    <cellStyle name="Accent6 2 17 2" xfId="18689" xr:uid="{00000000-0005-0000-0000-000072230000}"/>
    <cellStyle name="Accent6 2 18" xfId="5595" xr:uid="{00000000-0005-0000-0000-000073230000}"/>
    <cellStyle name="Accent6 2 18 2" xfId="18690" xr:uid="{00000000-0005-0000-0000-000074230000}"/>
    <cellStyle name="Accent6 2 19" xfId="5596" xr:uid="{00000000-0005-0000-0000-000075230000}"/>
    <cellStyle name="Accent6 2 19 2" xfId="18691" xr:uid="{00000000-0005-0000-0000-000076230000}"/>
    <cellStyle name="Accent6 2 2" xfId="5597" xr:uid="{00000000-0005-0000-0000-000077230000}"/>
    <cellStyle name="Accent6 2 2 10" xfId="5598" xr:uid="{00000000-0005-0000-0000-000078230000}"/>
    <cellStyle name="Accent6 2 2 10 2" xfId="18693" xr:uid="{00000000-0005-0000-0000-000079230000}"/>
    <cellStyle name="Accent6 2 2 11" xfId="5599" xr:uid="{00000000-0005-0000-0000-00007A230000}"/>
    <cellStyle name="Accent6 2 2 11 2" xfId="18694" xr:uid="{00000000-0005-0000-0000-00007B230000}"/>
    <cellStyle name="Accent6 2 2 12" xfId="5600" xr:uid="{00000000-0005-0000-0000-00007C230000}"/>
    <cellStyle name="Accent6 2 2 12 2" xfId="18695" xr:uid="{00000000-0005-0000-0000-00007D230000}"/>
    <cellStyle name="Accent6 2 2 13" xfId="5601" xr:uid="{00000000-0005-0000-0000-00007E230000}"/>
    <cellStyle name="Accent6 2 2 13 2" xfId="18696" xr:uid="{00000000-0005-0000-0000-00007F230000}"/>
    <cellStyle name="Accent6 2 2 14" xfId="5602" xr:uid="{00000000-0005-0000-0000-000080230000}"/>
    <cellStyle name="Accent6 2 2 14 2" xfId="5603" xr:uid="{00000000-0005-0000-0000-000081230000}"/>
    <cellStyle name="Accent6 2 2 14 2 2" xfId="18698" xr:uid="{00000000-0005-0000-0000-000082230000}"/>
    <cellStyle name="Accent6 2 2 14 3" xfId="18697" xr:uid="{00000000-0005-0000-0000-000083230000}"/>
    <cellStyle name="Accent6 2 2 15" xfId="5604" xr:uid="{00000000-0005-0000-0000-000084230000}"/>
    <cellStyle name="Accent6 2 2 15 2" xfId="18699" xr:uid="{00000000-0005-0000-0000-000085230000}"/>
    <cellStyle name="Accent6 2 2 16" xfId="5605" xr:uid="{00000000-0005-0000-0000-000086230000}"/>
    <cellStyle name="Accent6 2 2 16 2" xfId="18700" xr:uid="{00000000-0005-0000-0000-000087230000}"/>
    <cellStyle name="Accent6 2 2 17" xfId="5606" xr:uid="{00000000-0005-0000-0000-000088230000}"/>
    <cellStyle name="Accent6 2 2 17 2" xfId="18701" xr:uid="{00000000-0005-0000-0000-000089230000}"/>
    <cellStyle name="Accent6 2 2 18" xfId="5607" xr:uid="{00000000-0005-0000-0000-00008A230000}"/>
    <cellStyle name="Accent6 2 2 18 2" xfId="18702" xr:uid="{00000000-0005-0000-0000-00008B230000}"/>
    <cellStyle name="Accent6 2 2 19" xfId="5608" xr:uid="{00000000-0005-0000-0000-00008C230000}"/>
    <cellStyle name="Accent6 2 2 19 2" xfId="18703" xr:uid="{00000000-0005-0000-0000-00008D230000}"/>
    <cellStyle name="Accent6 2 2 2" xfId="5609" xr:uid="{00000000-0005-0000-0000-00008E230000}"/>
    <cellStyle name="Accent6 2 2 2 10" xfId="5610" xr:uid="{00000000-0005-0000-0000-00008F230000}"/>
    <cellStyle name="Accent6 2 2 2 10 2" xfId="18705" xr:uid="{00000000-0005-0000-0000-000090230000}"/>
    <cellStyle name="Accent6 2 2 2 11" xfId="5611" xr:uid="{00000000-0005-0000-0000-000091230000}"/>
    <cellStyle name="Accent6 2 2 2 11 2" xfId="18706" xr:uid="{00000000-0005-0000-0000-000092230000}"/>
    <cellStyle name="Accent6 2 2 2 12" xfId="5612" xr:uid="{00000000-0005-0000-0000-000093230000}"/>
    <cellStyle name="Accent6 2 2 2 12 2" xfId="18707" xr:uid="{00000000-0005-0000-0000-000094230000}"/>
    <cellStyle name="Accent6 2 2 2 13" xfId="5613" xr:uid="{00000000-0005-0000-0000-000095230000}"/>
    <cellStyle name="Accent6 2 2 2 13 2" xfId="18708" xr:uid="{00000000-0005-0000-0000-000096230000}"/>
    <cellStyle name="Accent6 2 2 2 14" xfId="5614" xr:uid="{00000000-0005-0000-0000-000097230000}"/>
    <cellStyle name="Accent6 2 2 2 14 2" xfId="18709" xr:uid="{00000000-0005-0000-0000-000098230000}"/>
    <cellStyle name="Accent6 2 2 2 15" xfId="5615" xr:uid="{00000000-0005-0000-0000-000099230000}"/>
    <cellStyle name="Accent6 2 2 2 15 2" xfId="18710" xr:uid="{00000000-0005-0000-0000-00009A230000}"/>
    <cellStyle name="Accent6 2 2 2 16" xfId="5616" xr:uid="{00000000-0005-0000-0000-00009B230000}"/>
    <cellStyle name="Accent6 2 2 2 16 2" xfId="18711" xr:uid="{00000000-0005-0000-0000-00009C230000}"/>
    <cellStyle name="Accent6 2 2 2 17" xfId="5617" xr:uid="{00000000-0005-0000-0000-00009D230000}"/>
    <cellStyle name="Accent6 2 2 2 17 2" xfId="18712" xr:uid="{00000000-0005-0000-0000-00009E230000}"/>
    <cellStyle name="Accent6 2 2 2 18" xfId="5618" xr:uid="{00000000-0005-0000-0000-00009F230000}"/>
    <cellStyle name="Accent6 2 2 2 18 2" xfId="18713" xr:uid="{00000000-0005-0000-0000-0000A0230000}"/>
    <cellStyle name="Accent6 2 2 2 19" xfId="5619" xr:uid="{00000000-0005-0000-0000-0000A1230000}"/>
    <cellStyle name="Accent6 2 2 2 19 2" xfId="18714" xr:uid="{00000000-0005-0000-0000-0000A2230000}"/>
    <cellStyle name="Accent6 2 2 2 2" xfId="5620" xr:uid="{00000000-0005-0000-0000-0000A3230000}"/>
    <cellStyle name="Accent6 2 2 2 2 10" xfId="5621" xr:uid="{00000000-0005-0000-0000-0000A4230000}"/>
    <cellStyle name="Accent6 2 2 2 2 10 2" xfId="18716" xr:uid="{00000000-0005-0000-0000-0000A5230000}"/>
    <cellStyle name="Accent6 2 2 2 2 11" xfId="5622" xr:uid="{00000000-0005-0000-0000-0000A6230000}"/>
    <cellStyle name="Accent6 2 2 2 2 11 2" xfId="18717" xr:uid="{00000000-0005-0000-0000-0000A7230000}"/>
    <cellStyle name="Accent6 2 2 2 2 12" xfId="5623" xr:uid="{00000000-0005-0000-0000-0000A8230000}"/>
    <cellStyle name="Accent6 2 2 2 2 12 2" xfId="18718" xr:uid="{00000000-0005-0000-0000-0000A9230000}"/>
    <cellStyle name="Accent6 2 2 2 2 13" xfId="5624" xr:uid="{00000000-0005-0000-0000-0000AA230000}"/>
    <cellStyle name="Accent6 2 2 2 2 13 2" xfId="18719" xr:uid="{00000000-0005-0000-0000-0000AB230000}"/>
    <cellStyle name="Accent6 2 2 2 2 14" xfId="5625" xr:uid="{00000000-0005-0000-0000-0000AC230000}"/>
    <cellStyle name="Accent6 2 2 2 2 14 2" xfId="18720" xr:uid="{00000000-0005-0000-0000-0000AD230000}"/>
    <cellStyle name="Accent6 2 2 2 2 15" xfId="5626" xr:uid="{00000000-0005-0000-0000-0000AE230000}"/>
    <cellStyle name="Accent6 2 2 2 2 15 2" xfId="18721" xr:uid="{00000000-0005-0000-0000-0000AF230000}"/>
    <cellStyle name="Accent6 2 2 2 2 16" xfId="5627" xr:uid="{00000000-0005-0000-0000-0000B0230000}"/>
    <cellStyle name="Accent6 2 2 2 2 16 2" xfId="18722" xr:uid="{00000000-0005-0000-0000-0000B1230000}"/>
    <cellStyle name="Accent6 2 2 2 2 17" xfId="5628" xr:uid="{00000000-0005-0000-0000-0000B2230000}"/>
    <cellStyle name="Accent6 2 2 2 2 17 2" xfId="18723" xr:uid="{00000000-0005-0000-0000-0000B3230000}"/>
    <cellStyle name="Accent6 2 2 2 2 18" xfId="5629" xr:uid="{00000000-0005-0000-0000-0000B4230000}"/>
    <cellStyle name="Accent6 2 2 2 2 18 2" xfId="18724" xr:uid="{00000000-0005-0000-0000-0000B5230000}"/>
    <cellStyle name="Accent6 2 2 2 2 19" xfId="5630" xr:uid="{00000000-0005-0000-0000-0000B6230000}"/>
    <cellStyle name="Accent6 2 2 2 2 19 2" xfId="18725" xr:uid="{00000000-0005-0000-0000-0000B7230000}"/>
    <cellStyle name="Accent6 2 2 2 2 2" xfId="5631" xr:uid="{00000000-0005-0000-0000-0000B8230000}"/>
    <cellStyle name="Accent6 2 2 2 2 2 10" xfId="5632" xr:uid="{00000000-0005-0000-0000-0000B9230000}"/>
    <cellStyle name="Accent6 2 2 2 2 2 10 2" xfId="18727" xr:uid="{00000000-0005-0000-0000-0000BA230000}"/>
    <cellStyle name="Accent6 2 2 2 2 2 11" xfId="5633" xr:uid="{00000000-0005-0000-0000-0000BB230000}"/>
    <cellStyle name="Accent6 2 2 2 2 2 11 2" xfId="5634" xr:uid="{00000000-0005-0000-0000-0000BC230000}"/>
    <cellStyle name="Accent6 2 2 2 2 2 11 2 2" xfId="18729" xr:uid="{00000000-0005-0000-0000-0000BD230000}"/>
    <cellStyle name="Accent6 2 2 2 2 2 11 3" xfId="18728" xr:uid="{00000000-0005-0000-0000-0000BE230000}"/>
    <cellStyle name="Accent6 2 2 2 2 2 12" xfId="18726" xr:uid="{00000000-0005-0000-0000-0000BF230000}"/>
    <cellStyle name="Accent6 2 2 2 2 2 2" xfId="5635" xr:uid="{00000000-0005-0000-0000-0000C0230000}"/>
    <cellStyle name="Accent6 2 2 2 2 2 2 10" xfId="5636" xr:uid="{00000000-0005-0000-0000-0000C1230000}"/>
    <cellStyle name="Accent6 2 2 2 2 2 2 10 2" xfId="18731" xr:uid="{00000000-0005-0000-0000-0000C2230000}"/>
    <cellStyle name="Accent6 2 2 2 2 2 2 11" xfId="5637" xr:uid="{00000000-0005-0000-0000-0000C3230000}"/>
    <cellStyle name="Accent6 2 2 2 2 2 2 11 2" xfId="5638" xr:uid="{00000000-0005-0000-0000-0000C4230000}"/>
    <cellStyle name="Accent6 2 2 2 2 2 2 11 2 2" xfId="18733" xr:uid="{00000000-0005-0000-0000-0000C5230000}"/>
    <cellStyle name="Accent6 2 2 2 2 2 2 11 3" xfId="18732" xr:uid="{00000000-0005-0000-0000-0000C6230000}"/>
    <cellStyle name="Accent6 2 2 2 2 2 2 12" xfId="18730" xr:uid="{00000000-0005-0000-0000-0000C7230000}"/>
    <cellStyle name="Accent6 2 2 2 2 2 2 2" xfId="5639" xr:uid="{00000000-0005-0000-0000-0000C8230000}"/>
    <cellStyle name="Accent6 2 2 2 2 2 2 2 2" xfId="5640" xr:uid="{00000000-0005-0000-0000-0000C9230000}"/>
    <cellStyle name="Accent6 2 2 2 2 2 2 2 2 2" xfId="5641" xr:uid="{00000000-0005-0000-0000-0000CA230000}"/>
    <cellStyle name="Accent6 2 2 2 2 2 2 2 2 2 2" xfId="5642" xr:uid="{00000000-0005-0000-0000-0000CB230000}"/>
    <cellStyle name="Accent6 2 2 2 2 2 2 2 2 2 2 2" xfId="18737" xr:uid="{00000000-0005-0000-0000-0000CC230000}"/>
    <cellStyle name="Accent6 2 2 2 2 2 2 2 2 2 3" xfId="18736" xr:uid="{00000000-0005-0000-0000-0000CD230000}"/>
    <cellStyle name="Accent6 2 2 2 2 2 2 2 2 3" xfId="5643" xr:uid="{00000000-0005-0000-0000-0000CE230000}"/>
    <cellStyle name="Accent6 2 2 2 2 2 2 2 2 3 2" xfId="18738" xr:uid="{00000000-0005-0000-0000-0000CF230000}"/>
    <cellStyle name="Accent6 2 2 2 2 2 2 2 2 4" xfId="18735" xr:uid="{00000000-0005-0000-0000-0000D0230000}"/>
    <cellStyle name="Accent6 2 2 2 2 2 2 2 3" xfId="5644" xr:uid="{00000000-0005-0000-0000-0000D1230000}"/>
    <cellStyle name="Accent6 2 2 2 2 2 2 2 3 2" xfId="5645" xr:uid="{00000000-0005-0000-0000-0000D2230000}"/>
    <cellStyle name="Accent6 2 2 2 2 2 2 2 3 2 2" xfId="18740" xr:uid="{00000000-0005-0000-0000-0000D3230000}"/>
    <cellStyle name="Accent6 2 2 2 2 2 2 2 3 3" xfId="18739" xr:uid="{00000000-0005-0000-0000-0000D4230000}"/>
    <cellStyle name="Accent6 2 2 2 2 2 2 2 4" xfId="18734" xr:uid="{00000000-0005-0000-0000-0000D5230000}"/>
    <cellStyle name="Accent6 2 2 2 2 2 2 3" xfId="5646" xr:uid="{00000000-0005-0000-0000-0000D6230000}"/>
    <cellStyle name="Accent6 2 2 2 2 2 2 3 2" xfId="18741" xr:uid="{00000000-0005-0000-0000-0000D7230000}"/>
    <cellStyle name="Accent6 2 2 2 2 2 2 4" xfId="5647" xr:uid="{00000000-0005-0000-0000-0000D8230000}"/>
    <cellStyle name="Accent6 2 2 2 2 2 2 4 2" xfId="18742" xr:uid="{00000000-0005-0000-0000-0000D9230000}"/>
    <cellStyle name="Accent6 2 2 2 2 2 2 5" xfId="5648" xr:uid="{00000000-0005-0000-0000-0000DA230000}"/>
    <cellStyle name="Accent6 2 2 2 2 2 2 5 2" xfId="18743" xr:uid="{00000000-0005-0000-0000-0000DB230000}"/>
    <cellStyle name="Accent6 2 2 2 2 2 2 6" xfId="5649" xr:uid="{00000000-0005-0000-0000-0000DC230000}"/>
    <cellStyle name="Accent6 2 2 2 2 2 2 6 2" xfId="18744" xr:uid="{00000000-0005-0000-0000-0000DD230000}"/>
    <cellStyle name="Accent6 2 2 2 2 2 2 7" xfId="5650" xr:uid="{00000000-0005-0000-0000-0000DE230000}"/>
    <cellStyle name="Accent6 2 2 2 2 2 2 7 2" xfId="18745" xr:uid="{00000000-0005-0000-0000-0000DF230000}"/>
    <cellStyle name="Accent6 2 2 2 2 2 2 8" xfId="5651" xr:uid="{00000000-0005-0000-0000-0000E0230000}"/>
    <cellStyle name="Accent6 2 2 2 2 2 2 8 2" xfId="18746" xr:uid="{00000000-0005-0000-0000-0000E1230000}"/>
    <cellStyle name="Accent6 2 2 2 2 2 2 9" xfId="5652" xr:uid="{00000000-0005-0000-0000-0000E2230000}"/>
    <cellStyle name="Accent6 2 2 2 2 2 2 9 2" xfId="18747" xr:uid="{00000000-0005-0000-0000-0000E3230000}"/>
    <cellStyle name="Accent6 2 2 2 2 2 3" xfId="5653" xr:uid="{00000000-0005-0000-0000-0000E4230000}"/>
    <cellStyle name="Accent6 2 2 2 2 2 3 2" xfId="5654" xr:uid="{00000000-0005-0000-0000-0000E5230000}"/>
    <cellStyle name="Accent6 2 2 2 2 2 3 2 2" xfId="18749" xr:uid="{00000000-0005-0000-0000-0000E6230000}"/>
    <cellStyle name="Accent6 2 2 2 2 2 3 3" xfId="18748" xr:uid="{00000000-0005-0000-0000-0000E7230000}"/>
    <cellStyle name="Accent6 2 2 2 2 2 4" xfId="5655" xr:uid="{00000000-0005-0000-0000-0000E8230000}"/>
    <cellStyle name="Accent6 2 2 2 2 2 4 2" xfId="18750" xr:uid="{00000000-0005-0000-0000-0000E9230000}"/>
    <cellStyle name="Accent6 2 2 2 2 2 5" xfId="5656" xr:uid="{00000000-0005-0000-0000-0000EA230000}"/>
    <cellStyle name="Accent6 2 2 2 2 2 5 2" xfId="18751" xr:uid="{00000000-0005-0000-0000-0000EB230000}"/>
    <cellStyle name="Accent6 2 2 2 2 2 6" xfId="5657" xr:uid="{00000000-0005-0000-0000-0000EC230000}"/>
    <cellStyle name="Accent6 2 2 2 2 2 6 2" xfId="18752" xr:uid="{00000000-0005-0000-0000-0000ED230000}"/>
    <cellStyle name="Accent6 2 2 2 2 2 7" xfId="5658" xr:uid="{00000000-0005-0000-0000-0000EE230000}"/>
    <cellStyle name="Accent6 2 2 2 2 2 7 2" xfId="18753" xr:uid="{00000000-0005-0000-0000-0000EF230000}"/>
    <cellStyle name="Accent6 2 2 2 2 2 8" xfId="5659" xr:uid="{00000000-0005-0000-0000-0000F0230000}"/>
    <cellStyle name="Accent6 2 2 2 2 2 8 2" xfId="18754" xr:uid="{00000000-0005-0000-0000-0000F1230000}"/>
    <cellStyle name="Accent6 2 2 2 2 2 9" xfId="5660" xr:uid="{00000000-0005-0000-0000-0000F2230000}"/>
    <cellStyle name="Accent6 2 2 2 2 2 9 2" xfId="18755" xr:uid="{00000000-0005-0000-0000-0000F3230000}"/>
    <cellStyle name="Accent6 2 2 2 2 20" xfId="5661" xr:uid="{00000000-0005-0000-0000-0000F4230000}"/>
    <cellStyle name="Accent6 2 2 2 2 20 2" xfId="5662" xr:uid="{00000000-0005-0000-0000-0000F5230000}"/>
    <cellStyle name="Accent6 2 2 2 2 20 2 2" xfId="18757" xr:uid="{00000000-0005-0000-0000-0000F6230000}"/>
    <cellStyle name="Accent6 2 2 2 2 20 3" xfId="18756" xr:uid="{00000000-0005-0000-0000-0000F7230000}"/>
    <cellStyle name="Accent6 2 2 2 2 21" xfId="5663" xr:uid="{00000000-0005-0000-0000-0000F8230000}"/>
    <cellStyle name="Accent6 2 2 2 2 21 2" xfId="18758" xr:uid="{00000000-0005-0000-0000-0000F9230000}"/>
    <cellStyle name="Accent6 2 2 2 2 22" xfId="5664" xr:uid="{00000000-0005-0000-0000-0000FA230000}"/>
    <cellStyle name="Accent6 2 2 2 2 22 2" xfId="18759" xr:uid="{00000000-0005-0000-0000-0000FB230000}"/>
    <cellStyle name="Accent6 2 2 2 2 23" xfId="5665" xr:uid="{00000000-0005-0000-0000-0000FC230000}"/>
    <cellStyle name="Accent6 2 2 2 2 23 2" xfId="18760" xr:uid="{00000000-0005-0000-0000-0000FD230000}"/>
    <cellStyle name="Accent6 2 2 2 2 24" xfId="5666" xr:uid="{00000000-0005-0000-0000-0000FE230000}"/>
    <cellStyle name="Accent6 2 2 2 2 24 2" xfId="18761" xr:uid="{00000000-0005-0000-0000-0000FF230000}"/>
    <cellStyle name="Accent6 2 2 2 2 25" xfId="5667" xr:uid="{00000000-0005-0000-0000-000000240000}"/>
    <cellStyle name="Accent6 2 2 2 2 25 2" xfId="18762" xr:uid="{00000000-0005-0000-0000-000001240000}"/>
    <cellStyle name="Accent6 2 2 2 2 26" xfId="5668" xr:uid="{00000000-0005-0000-0000-000002240000}"/>
    <cellStyle name="Accent6 2 2 2 2 26 2" xfId="18763" xr:uid="{00000000-0005-0000-0000-000003240000}"/>
    <cellStyle name="Accent6 2 2 2 2 27" xfId="5669" xr:uid="{00000000-0005-0000-0000-000004240000}"/>
    <cellStyle name="Accent6 2 2 2 2 27 2" xfId="18764" xr:uid="{00000000-0005-0000-0000-000005240000}"/>
    <cellStyle name="Accent6 2 2 2 2 28" xfId="5670" xr:uid="{00000000-0005-0000-0000-000006240000}"/>
    <cellStyle name="Accent6 2 2 2 2 28 2" xfId="5671" xr:uid="{00000000-0005-0000-0000-000007240000}"/>
    <cellStyle name="Accent6 2 2 2 2 28 2 2" xfId="18766" xr:uid="{00000000-0005-0000-0000-000008240000}"/>
    <cellStyle name="Accent6 2 2 2 2 28 3" xfId="18765" xr:uid="{00000000-0005-0000-0000-000009240000}"/>
    <cellStyle name="Accent6 2 2 2 2 29" xfId="18715" xr:uid="{00000000-0005-0000-0000-00000A240000}"/>
    <cellStyle name="Accent6 2 2 2 2 3" xfId="5672" xr:uid="{00000000-0005-0000-0000-00000B240000}"/>
    <cellStyle name="Accent6 2 2 2 2 3 2" xfId="18767" xr:uid="{00000000-0005-0000-0000-00000C240000}"/>
    <cellStyle name="Accent6 2 2 2 2 4" xfId="5673" xr:uid="{00000000-0005-0000-0000-00000D240000}"/>
    <cellStyle name="Accent6 2 2 2 2 4 2" xfId="18768" xr:uid="{00000000-0005-0000-0000-00000E240000}"/>
    <cellStyle name="Accent6 2 2 2 2 5" xfId="5674" xr:uid="{00000000-0005-0000-0000-00000F240000}"/>
    <cellStyle name="Accent6 2 2 2 2 5 2" xfId="18769" xr:uid="{00000000-0005-0000-0000-000010240000}"/>
    <cellStyle name="Accent6 2 2 2 2 6" xfId="5675" xr:uid="{00000000-0005-0000-0000-000011240000}"/>
    <cellStyle name="Accent6 2 2 2 2 6 2" xfId="18770" xr:uid="{00000000-0005-0000-0000-000012240000}"/>
    <cellStyle name="Accent6 2 2 2 2 7" xfId="5676" xr:uid="{00000000-0005-0000-0000-000013240000}"/>
    <cellStyle name="Accent6 2 2 2 2 7 2" xfId="18771" xr:uid="{00000000-0005-0000-0000-000014240000}"/>
    <cellStyle name="Accent6 2 2 2 2 8" xfId="5677" xr:uid="{00000000-0005-0000-0000-000015240000}"/>
    <cellStyle name="Accent6 2 2 2 2 8 2" xfId="18772" xr:uid="{00000000-0005-0000-0000-000016240000}"/>
    <cellStyle name="Accent6 2 2 2 2 9" xfId="5678" xr:uid="{00000000-0005-0000-0000-000017240000}"/>
    <cellStyle name="Accent6 2 2 2 2 9 2" xfId="18773" xr:uid="{00000000-0005-0000-0000-000018240000}"/>
    <cellStyle name="Accent6 2 2 2 20" xfId="5679" xr:uid="{00000000-0005-0000-0000-000019240000}"/>
    <cellStyle name="Accent6 2 2 2 20 2" xfId="5680" xr:uid="{00000000-0005-0000-0000-00001A240000}"/>
    <cellStyle name="Accent6 2 2 2 20 2 2" xfId="18775" xr:uid="{00000000-0005-0000-0000-00001B240000}"/>
    <cellStyle name="Accent6 2 2 2 20 3" xfId="18774" xr:uid="{00000000-0005-0000-0000-00001C240000}"/>
    <cellStyle name="Accent6 2 2 2 21" xfId="5681" xr:uid="{00000000-0005-0000-0000-00001D240000}"/>
    <cellStyle name="Accent6 2 2 2 21 2" xfId="18776" xr:uid="{00000000-0005-0000-0000-00001E240000}"/>
    <cellStyle name="Accent6 2 2 2 22" xfId="5682" xr:uid="{00000000-0005-0000-0000-00001F240000}"/>
    <cellStyle name="Accent6 2 2 2 22 2" xfId="18777" xr:uid="{00000000-0005-0000-0000-000020240000}"/>
    <cellStyle name="Accent6 2 2 2 23" xfId="5683" xr:uid="{00000000-0005-0000-0000-000021240000}"/>
    <cellStyle name="Accent6 2 2 2 23 2" xfId="18778" xr:uid="{00000000-0005-0000-0000-000022240000}"/>
    <cellStyle name="Accent6 2 2 2 24" xfId="5684" xr:uid="{00000000-0005-0000-0000-000023240000}"/>
    <cellStyle name="Accent6 2 2 2 24 2" xfId="18779" xr:uid="{00000000-0005-0000-0000-000024240000}"/>
    <cellStyle name="Accent6 2 2 2 25" xfId="5685" xr:uid="{00000000-0005-0000-0000-000025240000}"/>
    <cellStyle name="Accent6 2 2 2 25 2" xfId="18780" xr:uid="{00000000-0005-0000-0000-000026240000}"/>
    <cellStyle name="Accent6 2 2 2 26" xfId="5686" xr:uid="{00000000-0005-0000-0000-000027240000}"/>
    <cellStyle name="Accent6 2 2 2 26 2" xfId="18781" xr:uid="{00000000-0005-0000-0000-000028240000}"/>
    <cellStyle name="Accent6 2 2 2 27" xfId="5687" xr:uid="{00000000-0005-0000-0000-000029240000}"/>
    <cellStyle name="Accent6 2 2 2 27 2" xfId="18782" xr:uid="{00000000-0005-0000-0000-00002A240000}"/>
    <cellStyle name="Accent6 2 2 2 28" xfId="5688" xr:uid="{00000000-0005-0000-0000-00002B240000}"/>
    <cellStyle name="Accent6 2 2 2 28 2" xfId="5689" xr:uid="{00000000-0005-0000-0000-00002C240000}"/>
    <cellStyle name="Accent6 2 2 2 28 2 2" xfId="18784" xr:uid="{00000000-0005-0000-0000-00002D240000}"/>
    <cellStyle name="Accent6 2 2 2 28 3" xfId="18783" xr:uid="{00000000-0005-0000-0000-00002E240000}"/>
    <cellStyle name="Accent6 2 2 2 29" xfId="18704" xr:uid="{00000000-0005-0000-0000-00002F240000}"/>
    <cellStyle name="Accent6 2 2 2 3" xfId="5690" xr:uid="{00000000-0005-0000-0000-000030240000}"/>
    <cellStyle name="Accent6 2 2 2 3 2" xfId="5691" xr:uid="{00000000-0005-0000-0000-000031240000}"/>
    <cellStyle name="Accent6 2 2 2 3 2 2" xfId="18786" xr:uid="{00000000-0005-0000-0000-000032240000}"/>
    <cellStyle name="Accent6 2 2 2 3 3" xfId="18785" xr:uid="{00000000-0005-0000-0000-000033240000}"/>
    <cellStyle name="Accent6 2 2 2 30" xfId="30552" xr:uid="{00000000-0005-0000-0000-000034240000}"/>
    <cellStyle name="Accent6 2 2 2 4" xfId="5692" xr:uid="{00000000-0005-0000-0000-000035240000}"/>
    <cellStyle name="Accent6 2 2 2 4 2" xfId="18787" xr:uid="{00000000-0005-0000-0000-000036240000}"/>
    <cellStyle name="Accent6 2 2 2 5" xfId="5693" xr:uid="{00000000-0005-0000-0000-000037240000}"/>
    <cellStyle name="Accent6 2 2 2 5 2" xfId="18788" xr:uid="{00000000-0005-0000-0000-000038240000}"/>
    <cellStyle name="Accent6 2 2 2 6" xfId="5694" xr:uid="{00000000-0005-0000-0000-000039240000}"/>
    <cellStyle name="Accent6 2 2 2 6 2" xfId="18789" xr:uid="{00000000-0005-0000-0000-00003A240000}"/>
    <cellStyle name="Accent6 2 2 2 7" xfId="5695" xr:uid="{00000000-0005-0000-0000-00003B240000}"/>
    <cellStyle name="Accent6 2 2 2 7 2" xfId="18790" xr:uid="{00000000-0005-0000-0000-00003C240000}"/>
    <cellStyle name="Accent6 2 2 2 8" xfId="5696" xr:uid="{00000000-0005-0000-0000-00003D240000}"/>
    <cellStyle name="Accent6 2 2 2 8 2" xfId="18791" xr:uid="{00000000-0005-0000-0000-00003E240000}"/>
    <cellStyle name="Accent6 2 2 2 9" xfId="5697" xr:uid="{00000000-0005-0000-0000-00003F240000}"/>
    <cellStyle name="Accent6 2 2 2 9 2" xfId="18792" xr:uid="{00000000-0005-0000-0000-000040240000}"/>
    <cellStyle name="Accent6 2 2 20" xfId="5698" xr:uid="{00000000-0005-0000-0000-000041240000}"/>
    <cellStyle name="Accent6 2 2 20 2" xfId="18793" xr:uid="{00000000-0005-0000-0000-000042240000}"/>
    <cellStyle name="Accent6 2 2 21" xfId="5699" xr:uid="{00000000-0005-0000-0000-000043240000}"/>
    <cellStyle name="Accent6 2 2 21 2" xfId="18794" xr:uid="{00000000-0005-0000-0000-000044240000}"/>
    <cellStyle name="Accent6 2 2 22" xfId="5700" xr:uid="{00000000-0005-0000-0000-000045240000}"/>
    <cellStyle name="Accent6 2 2 22 2" xfId="18795" xr:uid="{00000000-0005-0000-0000-000046240000}"/>
    <cellStyle name="Accent6 2 2 23" xfId="5701" xr:uid="{00000000-0005-0000-0000-000047240000}"/>
    <cellStyle name="Accent6 2 2 23 2" xfId="18796" xr:uid="{00000000-0005-0000-0000-000048240000}"/>
    <cellStyle name="Accent6 2 2 24" xfId="5702" xr:uid="{00000000-0005-0000-0000-000049240000}"/>
    <cellStyle name="Accent6 2 2 24 2" xfId="18797" xr:uid="{00000000-0005-0000-0000-00004A240000}"/>
    <cellStyle name="Accent6 2 2 25" xfId="5703" xr:uid="{00000000-0005-0000-0000-00004B240000}"/>
    <cellStyle name="Accent6 2 2 25 2" xfId="18798" xr:uid="{00000000-0005-0000-0000-00004C240000}"/>
    <cellStyle name="Accent6 2 2 26" xfId="5704" xr:uid="{00000000-0005-0000-0000-00004D240000}"/>
    <cellStyle name="Accent6 2 2 26 2" xfId="18799" xr:uid="{00000000-0005-0000-0000-00004E240000}"/>
    <cellStyle name="Accent6 2 2 27" xfId="5705" xr:uid="{00000000-0005-0000-0000-00004F240000}"/>
    <cellStyle name="Accent6 2 2 27 2" xfId="18800" xr:uid="{00000000-0005-0000-0000-000050240000}"/>
    <cellStyle name="Accent6 2 2 28" xfId="5706" xr:uid="{00000000-0005-0000-0000-000051240000}"/>
    <cellStyle name="Accent6 2 2 28 2" xfId="18801" xr:uid="{00000000-0005-0000-0000-000052240000}"/>
    <cellStyle name="Accent6 2 2 29" xfId="5707" xr:uid="{00000000-0005-0000-0000-000053240000}"/>
    <cellStyle name="Accent6 2 2 29 2" xfId="18802" xr:uid="{00000000-0005-0000-0000-000054240000}"/>
    <cellStyle name="Accent6 2 2 3" xfId="5708" xr:uid="{00000000-0005-0000-0000-000055240000}"/>
    <cellStyle name="Accent6 2 2 3 2" xfId="18803" xr:uid="{00000000-0005-0000-0000-000056240000}"/>
    <cellStyle name="Accent6 2 2 30" xfId="5709" xr:uid="{00000000-0005-0000-0000-000057240000}"/>
    <cellStyle name="Accent6 2 2 30 2" xfId="18804" xr:uid="{00000000-0005-0000-0000-000058240000}"/>
    <cellStyle name="Accent6 2 2 31" xfId="5710" xr:uid="{00000000-0005-0000-0000-000059240000}"/>
    <cellStyle name="Accent6 2 2 31 2" xfId="5711" xr:uid="{00000000-0005-0000-0000-00005A240000}"/>
    <cellStyle name="Accent6 2 2 31 2 2" xfId="18806" xr:uid="{00000000-0005-0000-0000-00005B240000}"/>
    <cellStyle name="Accent6 2 2 31 3" xfId="18805" xr:uid="{00000000-0005-0000-0000-00005C240000}"/>
    <cellStyle name="Accent6 2 2 32" xfId="5712" xr:uid="{00000000-0005-0000-0000-00005D240000}"/>
    <cellStyle name="Accent6 2 2 32 2" xfId="18807" xr:uid="{00000000-0005-0000-0000-00005E240000}"/>
    <cellStyle name="Accent6 2 2 33" xfId="5713" xr:uid="{00000000-0005-0000-0000-00005F240000}"/>
    <cellStyle name="Accent6 2 2 33 2" xfId="18808" xr:uid="{00000000-0005-0000-0000-000060240000}"/>
    <cellStyle name="Accent6 2 2 34" xfId="5714" xr:uid="{00000000-0005-0000-0000-000061240000}"/>
    <cellStyle name="Accent6 2 2 34 2" xfId="18809" xr:uid="{00000000-0005-0000-0000-000062240000}"/>
    <cellStyle name="Accent6 2 2 35" xfId="5715" xr:uid="{00000000-0005-0000-0000-000063240000}"/>
    <cellStyle name="Accent6 2 2 35 2" xfId="18810" xr:uid="{00000000-0005-0000-0000-000064240000}"/>
    <cellStyle name="Accent6 2 2 36" xfId="5716" xr:uid="{00000000-0005-0000-0000-000065240000}"/>
    <cellStyle name="Accent6 2 2 36 2" xfId="18811" xr:uid="{00000000-0005-0000-0000-000066240000}"/>
    <cellStyle name="Accent6 2 2 37" xfId="5717" xr:uid="{00000000-0005-0000-0000-000067240000}"/>
    <cellStyle name="Accent6 2 2 37 2" xfId="18812" xr:uid="{00000000-0005-0000-0000-000068240000}"/>
    <cellStyle name="Accent6 2 2 38" xfId="5718" xr:uid="{00000000-0005-0000-0000-000069240000}"/>
    <cellStyle name="Accent6 2 2 38 2" xfId="18813" xr:uid="{00000000-0005-0000-0000-00006A240000}"/>
    <cellStyle name="Accent6 2 2 39" xfId="5719" xr:uid="{00000000-0005-0000-0000-00006B240000}"/>
    <cellStyle name="Accent6 2 2 39 2" xfId="5720" xr:uid="{00000000-0005-0000-0000-00006C240000}"/>
    <cellStyle name="Accent6 2 2 39 2 2" xfId="18815" xr:uid="{00000000-0005-0000-0000-00006D240000}"/>
    <cellStyle name="Accent6 2 2 39 3" xfId="18814" xr:uid="{00000000-0005-0000-0000-00006E240000}"/>
    <cellStyle name="Accent6 2 2 4" xfId="5721" xr:uid="{00000000-0005-0000-0000-00006F240000}"/>
    <cellStyle name="Accent6 2 2 4 2" xfId="18816" xr:uid="{00000000-0005-0000-0000-000070240000}"/>
    <cellStyle name="Accent6 2 2 40" xfId="18692" xr:uid="{00000000-0005-0000-0000-000071240000}"/>
    <cellStyle name="Accent6 2 2 41" xfId="30553" xr:uid="{00000000-0005-0000-0000-000072240000}"/>
    <cellStyle name="Accent6 2 2 42" xfId="30554" xr:uid="{00000000-0005-0000-0000-000073240000}"/>
    <cellStyle name="Accent6 2 2 43" xfId="30555" xr:uid="{00000000-0005-0000-0000-000074240000}"/>
    <cellStyle name="Accent6 2 2 44" xfId="30556" xr:uid="{00000000-0005-0000-0000-000075240000}"/>
    <cellStyle name="Accent6 2 2 5" xfId="5722" xr:uid="{00000000-0005-0000-0000-000076240000}"/>
    <cellStyle name="Accent6 2 2 5 2" xfId="18817" xr:uid="{00000000-0005-0000-0000-000077240000}"/>
    <cellStyle name="Accent6 2 2 6" xfId="5723" xr:uid="{00000000-0005-0000-0000-000078240000}"/>
    <cellStyle name="Accent6 2 2 6 2" xfId="18818" xr:uid="{00000000-0005-0000-0000-000079240000}"/>
    <cellStyle name="Accent6 2 2 7" xfId="5724" xr:uid="{00000000-0005-0000-0000-00007A240000}"/>
    <cellStyle name="Accent6 2 2 7 2" xfId="18819" xr:uid="{00000000-0005-0000-0000-00007B240000}"/>
    <cellStyle name="Accent6 2 2 8" xfId="5725" xr:uid="{00000000-0005-0000-0000-00007C240000}"/>
    <cellStyle name="Accent6 2 2 8 2" xfId="18820" xr:uid="{00000000-0005-0000-0000-00007D240000}"/>
    <cellStyle name="Accent6 2 2 9" xfId="5726" xr:uid="{00000000-0005-0000-0000-00007E240000}"/>
    <cellStyle name="Accent6 2 2 9 2" xfId="18821" xr:uid="{00000000-0005-0000-0000-00007F240000}"/>
    <cellStyle name="Accent6 2 2_Loan Classification" xfId="11435" xr:uid="{00000000-0005-0000-0000-000080240000}"/>
    <cellStyle name="Accent6 2 20" xfId="5727" xr:uid="{00000000-0005-0000-0000-000081240000}"/>
    <cellStyle name="Accent6 2 20 2" xfId="18822" xr:uid="{00000000-0005-0000-0000-000082240000}"/>
    <cellStyle name="Accent6 2 21" xfId="5728" xr:uid="{00000000-0005-0000-0000-000083240000}"/>
    <cellStyle name="Accent6 2 21 2" xfId="18823" xr:uid="{00000000-0005-0000-0000-000084240000}"/>
    <cellStyle name="Accent6 2 22" xfId="5729" xr:uid="{00000000-0005-0000-0000-000085240000}"/>
    <cellStyle name="Accent6 2 22 2" xfId="18824" xr:uid="{00000000-0005-0000-0000-000086240000}"/>
    <cellStyle name="Accent6 2 23" xfId="5730" xr:uid="{00000000-0005-0000-0000-000087240000}"/>
    <cellStyle name="Accent6 2 23 2" xfId="18825" xr:uid="{00000000-0005-0000-0000-000088240000}"/>
    <cellStyle name="Accent6 2 24" xfId="5731" xr:uid="{00000000-0005-0000-0000-000089240000}"/>
    <cellStyle name="Accent6 2 24 2" xfId="18826" xr:uid="{00000000-0005-0000-0000-00008A240000}"/>
    <cellStyle name="Accent6 2 25" xfId="5732" xr:uid="{00000000-0005-0000-0000-00008B240000}"/>
    <cellStyle name="Accent6 2 25 2" xfId="18827" xr:uid="{00000000-0005-0000-0000-00008C240000}"/>
    <cellStyle name="Accent6 2 26" xfId="5733" xr:uid="{00000000-0005-0000-0000-00008D240000}"/>
    <cellStyle name="Accent6 2 26 2" xfId="18828" xr:uid="{00000000-0005-0000-0000-00008E240000}"/>
    <cellStyle name="Accent6 2 27" xfId="5734" xr:uid="{00000000-0005-0000-0000-00008F240000}"/>
    <cellStyle name="Accent6 2 27 2" xfId="18829" xr:uid="{00000000-0005-0000-0000-000090240000}"/>
    <cellStyle name="Accent6 2 28" xfId="5735" xr:uid="{00000000-0005-0000-0000-000091240000}"/>
    <cellStyle name="Accent6 2 28 2" xfId="18830" xr:uid="{00000000-0005-0000-0000-000092240000}"/>
    <cellStyle name="Accent6 2 29" xfId="5736" xr:uid="{00000000-0005-0000-0000-000093240000}"/>
    <cellStyle name="Accent6 2 29 2" xfId="18831" xr:uid="{00000000-0005-0000-0000-000094240000}"/>
    <cellStyle name="Accent6 2 3" xfId="5737" xr:uid="{00000000-0005-0000-0000-000095240000}"/>
    <cellStyle name="Accent6 2 3 2" xfId="18832" xr:uid="{00000000-0005-0000-0000-000096240000}"/>
    <cellStyle name="Accent6 2 3 2 2" xfId="30557" xr:uid="{00000000-0005-0000-0000-000097240000}"/>
    <cellStyle name="Accent6 2 3 3" xfId="30558" xr:uid="{00000000-0005-0000-0000-000098240000}"/>
    <cellStyle name="Accent6 2 3 4" xfId="30559" xr:uid="{00000000-0005-0000-0000-000099240000}"/>
    <cellStyle name="Accent6 2 3 5" xfId="30560" xr:uid="{00000000-0005-0000-0000-00009A240000}"/>
    <cellStyle name="Accent6 2 30" xfId="5738" xr:uid="{00000000-0005-0000-0000-00009B240000}"/>
    <cellStyle name="Accent6 2 30 2" xfId="18833" xr:uid="{00000000-0005-0000-0000-00009C240000}"/>
    <cellStyle name="Accent6 2 31" xfId="5739" xr:uid="{00000000-0005-0000-0000-00009D240000}"/>
    <cellStyle name="Accent6 2 31 2" xfId="18834" xr:uid="{00000000-0005-0000-0000-00009E240000}"/>
    <cellStyle name="Accent6 2 32" xfId="5740" xr:uid="{00000000-0005-0000-0000-00009F240000}"/>
    <cellStyle name="Accent6 2 32 2" xfId="18835" xr:uid="{00000000-0005-0000-0000-0000A0240000}"/>
    <cellStyle name="Accent6 2 33" xfId="5741" xr:uid="{00000000-0005-0000-0000-0000A1240000}"/>
    <cellStyle name="Accent6 2 33 2" xfId="5742" xr:uid="{00000000-0005-0000-0000-0000A2240000}"/>
    <cellStyle name="Accent6 2 33 2 2" xfId="18837" xr:uid="{00000000-0005-0000-0000-0000A3240000}"/>
    <cellStyle name="Accent6 2 33 3" xfId="18836" xr:uid="{00000000-0005-0000-0000-0000A4240000}"/>
    <cellStyle name="Accent6 2 34" xfId="5743" xr:uid="{00000000-0005-0000-0000-0000A5240000}"/>
    <cellStyle name="Accent6 2 34 2" xfId="18838" xr:uid="{00000000-0005-0000-0000-0000A6240000}"/>
    <cellStyle name="Accent6 2 35" xfId="5744" xr:uid="{00000000-0005-0000-0000-0000A7240000}"/>
    <cellStyle name="Accent6 2 35 2" xfId="18839" xr:uid="{00000000-0005-0000-0000-0000A8240000}"/>
    <cellStyle name="Accent6 2 36" xfId="5745" xr:uid="{00000000-0005-0000-0000-0000A9240000}"/>
    <cellStyle name="Accent6 2 36 2" xfId="18840" xr:uid="{00000000-0005-0000-0000-0000AA240000}"/>
    <cellStyle name="Accent6 2 37" xfId="5746" xr:uid="{00000000-0005-0000-0000-0000AB240000}"/>
    <cellStyle name="Accent6 2 37 2" xfId="18841" xr:uid="{00000000-0005-0000-0000-0000AC240000}"/>
    <cellStyle name="Accent6 2 38" xfId="5747" xr:uid="{00000000-0005-0000-0000-0000AD240000}"/>
    <cellStyle name="Accent6 2 38 2" xfId="18842" xr:uid="{00000000-0005-0000-0000-0000AE240000}"/>
    <cellStyle name="Accent6 2 39" xfId="5748" xr:uid="{00000000-0005-0000-0000-0000AF240000}"/>
    <cellStyle name="Accent6 2 39 2" xfId="18843" xr:uid="{00000000-0005-0000-0000-0000B0240000}"/>
    <cellStyle name="Accent6 2 4" xfId="5749" xr:uid="{00000000-0005-0000-0000-0000B1240000}"/>
    <cellStyle name="Accent6 2 4 2" xfId="18844" xr:uid="{00000000-0005-0000-0000-0000B2240000}"/>
    <cellStyle name="Accent6 2 4 2 2" xfId="30561" xr:uid="{00000000-0005-0000-0000-0000B3240000}"/>
    <cellStyle name="Accent6 2 4 3" xfId="30562" xr:uid="{00000000-0005-0000-0000-0000B4240000}"/>
    <cellStyle name="Accent6 2 4 4" xfId="30563" xr:uid="{00000000-0005-0000-0000-0000B5240000}"/>
    <cellStyle name="Accent6 2 4 5" xfId="30564" xr:uid="{00000000-0005-0000-0000-0000B6240000}"/>
    <cellStyle name="Accent6 2 40" xfId="5750" xr:uid="{00000000-0005-0000-0000-0000B7240000}"/>
    <cellStyle name="Accent6 2 40 2" xfId="18845" xr:uid="{00000000-0005-0000-0000-0000B8240000}"/>
    <cellStyle name="Accent6 2 41" xfId="5751" xr:uid="{00000000-0005-0000-0000-0000B9240000}"/>
    <cellStyle name="Accent6 2 41 2" xfId="5752" xr:uid="{00000000-0005-0000-0000-0000BA240000}"/>
    <cellStyle name="Accent6 2 41 2 2" xfId="18847" xr:uid="{00000000-0005-0000-0000-0000BB240000}"/>
    <cellStyle name="Accent6 2 41 3" xfId="18846" xr:uid="{00000000-0005-0000-0000-0000BC240000}"/>
    <cellStyle name="Accent6 2 42" xfId="18680" xr:uid="{00000000-0005-0000-0000-0000BD240000}"/>
    <cellStyle name="Accent6 2 43" xfId="30565" xr:uid="{00000000-0005-0000-0000-0000BE240000}"/>
    <cellStyle name="Accent6 2 5" xfId="5753" xr:uid="{00000000-0005-0000-0000-0000BF240000}"/>
    <cellStyle name="Accent6 2 5 2" xfId="5754" xr:uid="{00000000-0005-0000-0000-0000C0240000}"/>
    <cellStyle name="Accent6 2 5 2 2" xfId="18849" xr:uid="{00000000-0005-0000-0000-0000C1240000}"/>
    <cellStyle name="Accent6 2 5 3" xfId="18848" xr:uid="{00000000-0005-0000-0000-0000C2240000}"/>
    <cellStyle name="Accent6 2 5 4" xfId="30566" xr:uid="{00000000-0005-0000-0000-0000C3240000}"/>
    <cellStyle name="Accent6 2 6" xfId="5755" xr:uid="{00000000-0005-0000-0000-0000C4240000}"/>
    <cellStyle name="Accent6 2 6 2" xfId="18850" xr:uid="{00000000-0005-0000-0000-0000C5240000}"/>
    <cellStyle name="Accent6 2 6 3" xfId="30567" xr:uid="{00000000-0005-0000-0000-0000C6240000}"/>
    <cellStyle name="Accent6 2 7" xfId="5756" xr:uid="{00000000-0005-0000-0000-0000C7240000}"/>
    <cellStyle name="Accent6 2 7 2" xfId="18851" xr:uid="{00000000-0005-0000-0000-0000C8240000}"/>
    <cellStyle name="Accent6 2 8" xfId="5757" xr:uid="{00000000-0005-0000-0000-0000C9240000}"/>
    <cellStyle name="Accent6 2 8 2" xfId="18852" xr:uid="{00000000-0005-0000-0000-0000CA240000}"/>
    <cellStyle name="Accent6 2 9" xfId="5758" xr:uid="{00000000-0005-0000-0000-0000CB240000}"/>
    <cellStyle name="Accent6 2 9 2" xfId="18853" xr:uid="{00000000-0005-0000-0000-0000CC240000}"/>
    <cellStyle name="Accent6 2_Loan Classification" xfId="11434" xr:uid="{00000000-0005-0000-0000-0000CD240000}"/>
    <cellStyle name="Accent6 20" xfId="5759" xr:uid="{00000000-0005-0000-0000-0000CE240000}"/>
    <cellStyle name="Accent6 20 2" xfId="18854" xr:uid="{00000000-0005-0000-0000-0000CF240000}"/>
    <cellStyle name="Accent6 21" xfId="5760" xr:uid="{00000000-0005-0000-0000-0000D0240000}"/>
    <cellStyle name="Accent6 21 2" xfId="18855" xr:uid="{00000000-0005-0000-0000-0000D1240000}"/>
    <cellStyle name="Accent6 22" xfId="5761" xr:uid="{00000000-0005-0000-0000-0000D2240000}"/>
    <cellStyle name="Accent6 22 2" xfId="18856" xr:uid="{00000000-0005-0000-0000-0000D3240000}"/>
    <cellStyle name="Accent6 23" xfId="5762" xr:uid="{00000000-0005-0000-0000-0000D4240000}"/>
    <cellStyle name="Accent6 23 2" xfId="18857" xr:uid="{00000000-0005-0000-0000-0000D5240000}"/>
    <cellStyle name="Accent6 24" xfId="5763" xr:uid="{00000000-0005-0000-0000-0000D6240000}"/>
    <cellStyle name="Accent6 24 2" xfId="18858" xr:uid="{00000000-0005-0000-0000-0000D7240000}"/>
    <cellStyle name="Accent6 25" xfId="5764" xr:uid="{00000000-0005-0000-0000-0000D8240000}"/>
    <cellStyle name="Accent6 25 2" xfId="18859" xr:uid="{00000000-0005-0000-0000-0000D9240000}"/>
    <cellStyle name="Accent6 26" xfId="5765" xr:uid="{00000000-0005-0000-0000-0000DA240000}"/>
    <cellStyle name="Accent6 26 2" xfId="18860" xr:uid="{00000000-0005-0000-0000-0000DB240000}"/>
    <cellStyle name="Accent6 27" xfId="5766" xr:uid="{00000000-0005-0000-0000-0000DC240000}"/>
    <cellStyle name="Accent6 27 2" xfId="18861" xr:uid="{00000000-0005-0000-0000-0000DD240000}"/>
    <cellStyle name="Accent6 28" xfId="5767" xr:uid="{00000000-0005-0000-0000-0000DE240000}"/>
    <cellStyle name="Accent6 28 2" xfId="18862" xr:uid="{00000000-0005-0000-0000-0000DF240000}"/>
    <cellStyle name="Accent6 29" xfId="5768" xr:uid="{00000000-0005-0000-0000-0000E0240000}"/>
    <cellStyle name="Accent6 29 2" xfId="18863" xr:uid="{00000000-0005-0000-0000-0000E1240000}"/>
    <cellStyle name="Accent6 3" xfId="5769" xr:uid="{00000000-0005-0000-0000-0000E2240000}"/>
    <cellStyle name="Accent6 3 2" xfId="18864" xr:uid="{00000000-0005-0000-0000-0000E3240000}"/>
    <cellStyle name="Accent6 3 2 2" xfId="30568" xr:uid="{00000000-0005-0000-0000-0000E4240000}"/>
    <cellStyle name="Accent6 3 3" xfId="30569" xr:uid="{00000000-0005-0000-0000-0000E5240000}"/>
    <cellStyle name="Accent6 3 4" xfId="30570" xr:uid="{00000000-0005-0000-0000-0000E6240000}"/>
    <cellStyle name="Accent6 30" xfId="5770" xr:uid="{00000000-0005-0000-0000-0000E7240000}"/>
    <cellStyle name="Accent6 30 2" xfId="18865" xr:uid="{00000000-0005-0000-0000-0000E8240000}"/>
    <cellStyle name="Accent6 31" xfId="5771" xr:uid="{00000000-0005-0000-0000-0000E9240000}"/>
    <cellStyle name="Accent6 31 2" xfId="18866" xr:uid="{00000000-0005-0000-0000-0000EA240000}"/>
    <cellStyle name="Accent6 32" xfId="5772" xr:uid="{00000000-0005-0000-0000-0000EB240000}"/>
    <cellStyle name="Accent6 32 2" xfId="18867" xr:uid="{00000000-0005-0000-0000-0000EC240000}"/>
    <cellStyle name="Accent6 33" xfId="5773" xr:uid="{00000000-0005-0000-0000-0000ED240000}"/>
    <cellStyle name="Accent6 33 2" xfId="18868" xr:uid="{00000000-0005-0000-0000-0000EE240000}"/>
    <cellStyle name="Accent6 34" xfId="5774" xr:uid="{00000000-0005-0000-0000-0000EF240000}"/>
    <cellStyle name="Accent6 34 2" xfId="18869" xr:uid="{00000000-0005-0000-0000-0000F0240000}"/>
    <cellStyle name="Accent6 35" xfId="5775" xr:uid="{00000000-0005-0000-0000-0000F1240000}"/>
    <cellStyle name="Accent6 35 2" xfId="18870" xr:uid="{00000000-0005-0000-0000-0000F2240000}"/>
    <cellStyle name="Accent6 36" xfId="5776" xr:uid="{00000000-0005-0000-0000-0000F3240000}"/>
    <cellStyle name="Accent6 36 2" xfId="18871" xr:uid="{00000000-0005-0000-0000-0000F4240000}"/>
    <cellStyle name="Accent6 37" xfId="5777" xr:uid="{00000000-0005-0000-0000-0000F5240000}"/>
    <cellStyle name="Accent6 37 2" xfId="18872" xr:uid="{00000000-0005-0000-0000-0000F6240000}"/>
    <cellStyle name="Accent6 38" xfId="5778" xr:uid="{00000000-0005-0000-0000-0000F7240000}"/>
    <cellStyle name="Accent6 38 2" xfId="18873" xr:uid="{00000000-0005-0000-0000-0000F8240000}"/>
    <cellStyle name="Accent6 39" xfId="5779" xr:uid="{00000000-0005-0000-0000-0000F9240000}"/>
    <cellStyle name="Accent6 39 2" xfId="18874" xr:uid="{00000000-0005-0000-0000-0000FA240000}"/>
    <cellStyle name="Accent6 4" xfId="5780" xr:uid="{00000000-0005-0000-0000-0000FB240000}"/>
    <cellStyle name="Accent6 4 2" xfId="18875" xr:uid="{00000000-0005-0000-0000-0000FC240000}"/>
    <cellStyle name="Accent6 4 2 2" xfId="30571" xr:uid="{00000000-0005-0000-0000-0000FD240000}"/>
    <cellStyle name="Accent6 4 3" xfId="30572" xr:uid="{00000000-0005-0000-0000-0000FE240000}"/>
    <cellStyle name="Accent6 4 4" xfId="30573" xr:uid="{00000000-0005-0000-0000-0000FF240000}"/>
    <cellStyle name="Accent6 40" xfId="5781" xr:uid="{00000000-0005-0000-0000-000000250000}"/>
    <cellStyle name="Accent6 40 2" xfId="18876" xr:uid="{00000000-0005-0000-0000-000001250000}"/>
    <cellStyle name="Accent6 41" xfId="5782" xr:uid="{00000000-0005-0000-0000-000002250000}"/>
    <cellStyle name="Accent6 41 2" xfId="18877" xr:uid="{00000000-0005-0000-0000-000003250000}"/>
    <cellStyle name="Accent6 42" xfId="5783" xr:uid="{00000000-0005-0000-0000-000004250000}"/>
    <cellStyle name="Accent6 42 2" xfId="18878" xr:uid="{00000000-0005-0000-0000-000005250000}"/>
    <cellStyle name="Accent6 43" xfId="11586" xr:uid="{00000000-0005-0000-0000-000006250000}"/>
    <cellStyle name="Accent6 43 2" xfId="18879" xr:uid="{00000000-0005-0000-0000-000007250000}"/>
    <cellStyle name="Accent6 44" xfId="11558" xr:uid="{00000000-0005-0000-0000-000008250000}"/>
    <cellStyle name="Accent6 44 2" xfId="18880" xr:uid="{00000000-0005-0000-0000-000009250000}"/>
    <cellStyle name="Accent6 45" xfId="18881" xr:uid="{00000000-0005-0000-0000-00000A250000}"/>
    <cellStyle name="Accent6 46" xfId="30574" xr:uid="{00000000-0005-0000-0000-00000B250000}"/>
    <cellStyle name="Accent6 47" xfId="506" xr:uid="{00000000-0005-0000-0000-00000C250000}"/>
    <cellStyle name="Accent6 5" xfId="5784" xr:uid="{00000000-0005-0000-0000-00000D250000}"/>
    <cellStyle name="Accent6 5 2" xfId="18882" xr:uid="{00000000-0005-0000-0000-00000E250000}"/>
    <cellStyle name="Accent6 5 2 2" xfId="30575" xr:uid="{00000000-0005-0000-0000-00000F250000}"/>
    <cellStyle name="Accent6 5 3" xfId="30576" xr:uid="{00000000-0005-0000-0000-000010250000}"/>
    <cellStyle name="Accent6 5 4" xfId="30577" xr:uid="{00000000-0005-0000-0000-000011250000}"/>
    <cellStyle name="Accent6 6" xfId="5785" xr:uid="{00000000-0005-0000-0000-000012250000}"/>
    <cellStyle name="Accent6 6 2" xfId="18883" xr:uid="{00000000-0005-0000-0000-000013250000}"/>
    <cellStyle name="Accent6 6 3" xfId="30578" xr:uid="{00000000-0005-0000-0000-000014250000}"/>
    <cellStyle name="Accent6 7" xfId="5786" xr:uid="{00000000-0005-0000-0000-000015250000}"/>
    <cellStyle name="Accent6 7 2" xfId="18884" xr:uid="{00000000-0005-0000-0000-000016250000}"/>
    <cellStyle name="Accent6 7 3" xfId="30579" xr:uid="{00000000-0005-0000-0000-000017250000}"/>
    <cellStyle name="Accent6 8" xfId="5787" xr:uid="{00000000-0005-0000-0000-000018250000}"/>
    <cellStyle name="Accent6 8 2" xfId="18885" xr:uid="{00000000-0005-0000-0000-000019250000}"/>
    <cellStyle name="Accent6 8 3" xfId="30580" xr:uid="{00000000-0005-0000-0000-00001A250000}"/>
    <cellStyle name="Accent6 9" xfId="5788" xr:uid="{00000000-0005-0000-0000-00001B250000}"/>
    <cellStyle name="Accent6 9 2" xfId="18886" xr:uid="{00000000-0005-0000-0000-00001C250000}"/>
    <cellStyle name="Accent6 9 3" xfId="30581" xr:uid="{00000000-0005-0000-0000-00001D250000}"/>
    <cellStyle name="AFE" xfId="507" xr:uid="{00000000-0005-0000-0000-00001E250000}"/>
    <cellStyle name="AFE 2" xfId="18887" xr:uid="{00000000-0005-0000-0000-00001F250000}"/>
    <cellStyle name="Avertissement" xfId="30582" xr:uid="{00000000-0005-0000-0000-000020250000}"/>
    <cellStyle name="Bad" xfId="15" builtinId="27" customBuiltin="1"/>
    <cellStyle name="Bad 10" xfId="5789" xr:uid="{00000000-0005-0000-0000-000022250000}"/>
    <cellStyle name="Bad 10 2" xfId="18888" xr:uid="{00000000-0005-0000-0000-000023250000}"/>
    <cellStyle name="Bad 10 3" xfId="30583" xr:uid="{00000000-0005-0000-0000-000024250000}"/>
    <cellStyle name="Bad 11" xfId="5790" xr:uid="{00000000-0005-0000-0000-000025250000}"/>
    <cellStyle name="Bad 11 2" xfId="18889" xr:uid="{00000000-0005-0000-0000-000026250000}"/>
    <cellStyle name="Bad 11 3" xfId="30584" xr:uid="{00000000-0005-0000-0000-000027250000}"/>
    <cellStyle name="Bad 12" xfId="5791" xr:uid="{00000000-0005-0000-0000-000028250000}"/>
    <cellStyle name="Bad 12 2" xfId="18890" xr:uid="{00000000-0005-0000-0000-000029250000}"/>
    <cellStyle name="Bad 12 3" xfId="30585" xr:uid="{00000000-0005-0000-0000-00002A250000}"/>
    <cellStyle name="Bad 13" xfId="5792" xr:uid="{00000000-0005-0000-0000-00002B250000}"/>
    <cellStyle name="Bad 13 2" xfId="18891" xr:uid="{00000000-0005-0000-0000-00002C250000}"/>
    <cellStyle name="Bad 13 3" xfId="30586" xr:uid="{00000000-0005-0000-0000-00002D250000}"/>
    <cellStyle name="Bad 14" xfId="5793" xr:uid="{00000000-0005-0000-0000-00002E250000}"/>
    <cellStyle name="Bad 14 2" xfId="18892" xr:uid="{00000000-0005-0000-0000-00002F250000}"/>
    <cellStyle name="Bad 14 3" xfId="30587" xr:uid="{00000000-0005-0000-0000-000030250000}"/>
    <cellStyle name="Bad 15" xfId="5794" xr:uid="{00000000-0005-0000-0000-000031250000}"/>
    <cellStyle name="Bad 15 2" xfId="18893" xr:uid="{00000000-0005-0000-0000-000032250000}"/>
    <cellStyle name="Bad 15 3" xfId="30588" xr:uid="{00000000-0005-0000-0000-000033250000}"/>
    <cellStyle name="Bad 16" xfId="5795" xr:uid="{00000000-0005-0000-0000-000034250000}"/>
    <cellStyle name="Bad 16 2" xfId="18894" xr:uid="{00000000-0005-0000-0000-000035250000}"/>
    <cellStyle name="Bad 16 3" xfId="30589" xr:uid="{00000000-0005-0000-0000-000036250000}"/>
    <cellStyle name="Bad 17" xfId="5796" xr:uid="{00000000-0005-0000-0000-000037250000}"/>
    <cellStyle name="Bad 17 2" xfId="18895" xr:uid="{00000000-0005-0000-0000-000038250000}"/>
    <cellStyle name="Bad 17 3" xfId="30590" xr:uid="{00000000-0005-0000-0000-000039250000}"/>
    <cellStyle name="Bad 18" xfId="5797" xr:uid="{00000000-0005-0000-0000-00003A250000}"/>
    <cellStyle name="Bad 18 2" xfId="18896" xr:uid="{00000000-0005-0000-0000-00003B250000}"/>
    <cellStyle name="Bad 19" xfId="5798" xr:uid="{00000000-0005-0000-0000-00003C250000}"/>
    <cellStyle name="Bad 19 2" xfId="18897" xr:uid="{00000000-0005-0000-0000-00003D250000}"/>
    <cellStyle name="Bad 2" xfId="5799" xr:uid="{00000000-0005-0000-0000-00003E250000}"/>
    <cellStyle name="Bad 2 10" xfId="5800" xr:uid="{00000000-0005-0000-0000-00003F250000}"/>
    <cellStyle name="Bad 2 10 2" xfId="18899" xr:uid="{00000000-0005-0000-0000-000040250000}"/>
    <cellStyle name="Bad 2 11" xfId="5801" xr:uid="{00000000-0005-0000-0000-000041250000}"/>
    <cellStyle name="Bad 2 11 2" xfId="18900" xr:uid="{00000000-0005-0000-0000-000042250000}"/>
    <cellStyle name="Bad 2 12" xfId="5802" xr:uid="{00000000-0005-0000-0000-000043250000}"/>
    <cellStyle name="Bad 2 12 2" xfId="18901" xr:uid="{00000000-0005-0000-0000-000044250000}"/>
    <cellStyle name="Bad 2 13" xfId="5803" xr:uid="{00000000-0005-0000-0000-000045250000}"/>
    <cellStyle name="Bad 2 13 2" xfId="18902" xr:uid="{00000000-0005-0000-0000-000046250000}"/>
    <cellStyle name="Bad 2 14" xfId="5804" xr:uid="{00000000-0005-0000-0000-000047250000}"/>
    <cellStyle name="Bad 2 14 2" xfId="18903" xr:uid="{00000000-0005-0000-0000-000048250000}"/>
    <cellStyle name="Bad 2 15" xfId="5805" xr:uid="{00000000-0005-0000-0000-000049250000}"/>
    <cellStyle name="Bad 2 15 2" xfId="18904" xr:uid="{00000000-0005-0000-0000-00004A250000}"/>
    <cellStyle name="Bad 2 16" xfId="5806" xr:uid="{00000000-0005-0000-0000-00004B250000}"/>
    <cellStyle name="Bad 2 16 2" xfId="5807" xr:uid="{00000000-0005-0000-0000-00004C250000}"/>
    <cellStyle name="Bad 2 16 2 2" xfId="18906" xr:uid="{00000000-0005-0000-0000-00004D250000}"/>
    <cellStyle name="Bad 2 16 3" xfId="18905" xr:uid="{00000000-0005-0000-0000-00004E250000}"/>
    <cellStyle name="Bad 2 17" xfId="5808" xr:uid="{00000000-0005-0000-0000-00004F250000}"/>
    <cellStyle name="Bad 2 17 2" xfId="18907" xr:uid="{00000000-0005-0000-0000-000050250000}"/>
    <cellStyle name="Bad 2 18" xfId="5809" xr:uid="{00000000-0005-0000-0000-000051250000}"/>
    <cellStyle name="Bad 2 18 2" xfId="18908" xr:uid="{00000000-0005-0000-0000-000052250000}"/>
    <cellStyle name="Bad 2 19" xfId="5810" xr:uid="{00000000-0005-0000-0000-000053250000}"/>
    <cellStyle name="Bad 2 19 2" xfId="18909" xr:uid="{00000000-0005-0000-0000-000054250000}"/>
    <cellStyle name="Bad 2 2" xfId="5811" xr:uid="{00000000-0005-0000-0000-000055250000}"/>
    <cellStyle name="Bad 2 2 10" xfId="5812" xr:uid="{00000000-0005-0000-0000-000056250000}"/>
    <cellStyle name="Bad 2 2 10 2" xfId="18911" xr:uid="{00000000-0005-0000-0000-000057250000}"/>
    <cellStyle name="Bad 2 2 11" xfId="5813" xr:uid="{00000000-0005-0000-0000-000058250000}"/>
    <cellStyle name="Bad 2 2 11 2" xfId="18912" xr:uid="{00000000-0005-0000-0000-000059250000}"/>
    <cellStyle name="Bad 2 2 12" xfId="5814" xr:uid="{00000000-0005-0000-0000-00005A250000}"/>
    <cellStyle name="Bad 2 2 12 2" xfId="18913" xr:uid="{00000000-0005-0000-0000-00005B250000}"/>
    <cellStyle name="Bad 2 2 13" xfId="5815" xr:uid="{00000000-0005-0000-0000-00005C250000}"/>
    <cellStyle name="Bad 2 2 13 2" xfId="18914" xr:uid="{00000000-0005-0000-0000-00005D250000}"/>
    <cellStyle name="Bad 2 2 14" xfId="5816" xr:uid="{00000000-0005-0000-0000-00005E250000}"/>
    <cellStyle name="Bad 2 2 14 2" xfId="5817" xr:uid="{00000000-0005-0000-0000-00005F250000}"/>
    <cellStyle name="Bad 2 2 14 2 2" xfId="18916" xr:uid="{00000000-0005-0000-0000-000060250000}"/>
    <cellStyle name="Bad 2 2 14 3" xfId="18915" xr:uid="{00000000-0005-0000-0000-000061250000}"/>
    <cellStyle name="Bad 2 2 15" xfId="5818" xr:uid="{00000000-0005-0000-0000-000062250000}"/>
    <cellStyle name="Bad 2 2 15 2" xfId="18917" xr:uid="{00000000-0005-0000-0000-000063250000}"/>
    <cellStyle name="Bad 2 2 16" xfId="5819" xr:uid="{00000000-0005-0000-0000-000064250000}"/>
    <cellStyle name="Bad 2 2 16 2" xfId="18918" xr:uid="{00000000-0005-0000-0000-000065250000}"/>
    <cellStyle name="Bad 2 2 17" xfId="5820" xr:uid="{00000000-0005-0000-0000-000066250000}"/>
    <cellStyle name="Bad 2 2 17 2" xfId="18919" xr:uid="{00000000-0005-0000-0000-000067250000}"/>
    <cellStyle name="Bad 2 2 18" xfId="5821" xr:uid="{00000000-0005-0000-0000-000068250000}"/>
    <cellStyle name="Bad 2 2 18 2" xfId="18920" xr:uid="{00000000-0005-0000-0000-000069250000}"/>
    <cellStyle name="Bad 2 2 19" xfId="5822" xr:uid="{00000000-0005-0000-0000-00006A250000}"/>
    <cellStyle name="Bad 2 2 19 2" xfId="18921" xr:uid="{00000000-0005-0000-0000-00006B250000}"/>
    <cellStyle name="Bad 2 2 2" xfId="5823" xr:uid="{00000000-0005-0000-0000-00006C250000}"/>
    <cellStyle name="Bad 2 2 2 10" xfId="5824" xr:uid="{00000000-0005-0000-0000-00006D250000}"/>
    <cellStyle name="Bad 2 2 2 10 2" xfId="18923" xr:uid="{00000000-0005-0000-0000-00006E250000}"/>
    <cellStyle name="Bad 2 2 2 11" xfId="5825" xr:uid="{00000000-0005-0000-0000-00006F250000}"/>
    <cellStyle name="Bad 2 2 2 11 2" xfId="18924" xr:uid="{00000000-0005-0000-0000-000070250000}"/>
    <cellStyle name="Bad 2 2 2 12" xfId="5826" xr:uid="{00000000-0005-0000-0000-000071250000}"/>
    <cellStyle name="Bad 2 2 2 12 2" xfId="18925" xr:uid="{00000000-0005-0000-0000-000072250000}"/>
    <cellStyle name="Bad 2 2 2 13" xfId="5827" xr:uid="{00000000-0005-0000-0000-000073250000}"/>
    <cellStyle name="Bad 2 2 2 13 2" xfId="18926" xr:uid="{00000000-0005-0000-0000-000074250000}"/>
    <cellStyle name="Bad 2 2 2 14" xfId="5828" xr:uid="{00000000-0005-0000-0000-000075250000}"/>
    <cellStyle name="Bad 2 2 2 14 2" xfId="18927" xr:uid="{00000000-0005-0000-0000-000076250000}"/>
    <cellStyle name="Bad 2 2 2 15" xfId="5829" xr:uid="{00000000-0005-0000-0000-000077250000}"/>
    <cellStyle name="Bad 2 2 2 15 2" xfId="18928" xr:uid="{00000000-0005-0000-0000-000078250000}"/>
    <cellStyle name="Bad 2 2 2 16" xfId="5830" xr:uid="{00000000-0005-0000-0000-000079250000}"/>
    <cellStyle name="Bad 2 2 2 16 2" xfId="18929" xr:uid="{00000000-0005-0000-0000-00007A250000}"/>
    <cellStyle name="Bad 2 2 2 17" xfId="5831" xr:uid="{00000000-0005-0000-0000-00007B250000}"/>
    <cellStyle name="Bad 2 2 2 17 2" xfId="18930" xr:uid="{00000000-0005-0000-0000-00007C250000}"/>
    <cellStyle name="Bad 2 2 2 18" xfId="5832" xr:uid="{00000000-0005-0000-0000-00007D250000}"/>
    <cellStyle name="Bad 2 2 2 18 2" xfId="18931" xr:uid="{00000000-0005-0000-0000-00007E250000}"/>
    <cellStyle name="Bad 2 2 2 19" xfId="5833" xr:uid="{00000000-0005-0000-0000-00007F250000}"/>
    <cellStyle name="Bad 2 2 2 19 2" xfId="18932" xr:uid="{00000000-0005-0000-0000-000080250000}"/>
    <cellStyle name="Bad 2 2 2 2" xfId="5834" xr:uid="{00000000-0005-0000-0000-000081250000}"/>
    <cellStyle name="Bad 2 2 2 2 10" xfId="5835" xr:uid="{00000000-0005-0000-0000-000082250000}"/>
    <cellStyle name="Bad 2 2 2 2 10 2" xfId="18934" xr:uid="{00000000-0005-0000-0000-000083250000}"/>
    <cellStyle name="Bad 2 2 2 2 11" xfId="5836" xr:uid="{00000000-0005-0000-0000-000084250000}"/>
    <cellStyle name="Bad 2 2 2 2 11 2" xfId="18935" xr:uid="{00000000-0005-0000-0000-000085250000}"/>
    <cellStyle name="Bad 2 2 2 2 12" xfId="5837" xr:uid="{00000000-0005-0000-0000-000086250000}"/>
    <cellStyle name="Bad 2 2 2 2 12 2" xfId="18936" xr:uid="{00000000-0005-0000-0000-000087250000}"/>
    <cellStyle name="Bad 2 2 2 2 13" xfId="5838" xr:uid="{00000000-0005-0000-0000-000088250000}"/>
    <cellStyle name="Bad 2 2 2 2 13 2" xfId="18937" xr:uid="{00000000-0005-0000-0000-000089250000}"/>
    <cellStyle name="Bad 2 2 2 2 14" xfId="5839" xr:uid="{00000000-0005-0000-0000-00008A250000}"/>
    <cellStyle name="Bad 2 2 2 2 14 2" xfId="18938" xr:uid="{00000000-0005-0000-0000-00008B250000}"/>
    <cellStyle name="Bad 2 2 2 2 15" xfId="5840" xr:uid="{00000000-0005-0000-0000-00008C250000}"/>
    <cellStyle name="Bad 2 2 2 2 15 2" xfId="18939" xr:uid="{00000000-0005-0000-0000-00008D250000}"/>
    <cellStyle name="Bad 2 2 2 2 16" xfId="5841" xr:uid="{00000000-0005-0000-0000-00008E250000}"/>
    <cellStyle name="Bad 2 2 2 2 16 2" xfId="18940" xr:uid="{00000000-0005-0000-0000-00008F250000}"/>
    <cellStyle name="Bad 2 2 2 2 17" xfId="5842" xr:uid="{00000000-0005-0000-0000-000090250000}"/>
    <cellStyle name="Bad 2 2 2 2 17 2" xfId="18941" xr:uid="{00000000-0005-0000-0000-000091250000}"/>
    <cellStyle name="Bad 2 2 2 2 18" xfId="5843" xr:uid="{00000000-0005-0000-0000-000092250000}"/>
    <cellStyle name="Bad 2 2 2 2 18 2" xfId="18942" xr:uid="{00000000-0005-0000-0000-000093250000}"/>
    <cellStyle name="Bad 2 2 2 2 19" xfId="5844" xr:uid="{00000000-0005-0000-0000-000094250000}"/>
    <cellStyle name="Bad 2 2 2 2 19 2" xfId="18943" xr:uid="{00000000-0005-0000-0000-000095250000}"/>
    <cellStyle name="Bad 2 2 2 2 2" xfId="5845" xr:uid="{00000000-0005-0000-0000-000096250000}"/>
    <cellStyle name="Bad 2 2 2 2 2 10" xfId="5846" xr:uid="{00000000-0005-0000-0000-000097250000}"/>
    <cellStyle name="Bad 2 2 2 2 2 10 2" xfId="18945" xr:uid="{00000000-0005-0000-0000-000098250000}"/>
    <cellStyle name="Bad 2 2 2 2 2 11" xfId="5847" xr:uid="{00000000-0005-0000-0000-000099250000}"/>
    <cellStyle name="Bad 2 2 2 2 2 11 2" xfId="5848" xr:uid="{00000000-0005-0000-0000-00009A250000}"/>
    <cellStyle name="Bad 2 2 2 2 2 11 2 2" xfId="18947" xr:uid="{00000000-0005-0000-0000-00009B250000}"/>
    <cellStyle name="Bad 2 2 2 2 2 11 3" xfId="18946" xr:uid="{00000000-0005-0000-0000-00009C250000}"/>
    <cellStyle name="Bad 2 2 2 2 2 12" xfId="18944" xr:uid="{00000000-0005-0000-0000-00009D250000}"/>
    <cellStyle name="Bad 2 2 2 2 2 2" xfId="5849" xr:uid="{00000000-0005-0000-0000-00009E250000}"/>
    <cellStyle name="Bad 2 2 2 2 2 2 10" xfId="5850" xr:uid="{00000000-0005-0000-0000-00009F250000}"/>
    <cellStyle name="Bad 2 2 2 2 2 2 10 2" xfId="18949" xr:uid="{00000000-0005-0000-0000-0000A0250000}"/>
    <cellStyle name="Bad 2 2 2 2 2 2 11" xfId="5851" xr:uid="{00000000-0005-0000-0000-0000A1250000}"/>
    <cellStyle name="Bad 2 2 2 2 2 2 11 2" xfId="5852" xr:uid="{00000000-0005-0000-0000-0000A2250000}"/>
    <cellStyle name="Bad 2 2 2 2 2 2 11 2 2" xfId="18951" xr:uid="{00000000-0005-0000-0000-0000A3250000}"/>
    <cellStyle name="Bad 2 2 2 2 2 2 11 3" xfId="18950" xr:uid="{00000000-0005-0000-0000-0000A4250000}"/>
    <cellStyle name="Bad 2 2 2 2 2 2 12" xfId="18948" xr:uid="{00000000-0005-0000-0000-0000A5250000}"/>
    <cellStyle name="Bad 2 2 2 2 2 2 2" xfId="5853" xr:uid="{00000000-0005-0000-0000-0000A6250000}"/>
    <cellStyle name="Bad 2 2 2 2 2 2 2 2" xfId="5854" xr:uid="{00000000-0005-0000-0000-0000A7250000}"/>
    <cellStyle name="Bad 2 2 2 2 2 2 2 2 2" xfId="5855" xr:uid="{00000000-0005-0000-0000-0000A8250000}"/>
    <cellStyle name="Bad 2 2 2 2 2 2 2 2 2 2" xfId="5856" xr:uid="{00000000-0005-0000-0000-0000A9250000}"/>
    <cellStyle name="Bad 2 2 2 2 2 2 2 2 2 2 2" xfId="18955" xr:uid="{00000000-0005-0000-0000-0000AA250000}"/>
    <cellStyle name="Bad 2 2 2 2 2 2 2 2 2 3" xfId="18954" xr:uid="{00000000-0005-0000-0000-0000AB250000}"/>
    <cellStyle name="Bad 2 2 2 2 2 2 2 2 3" xfId="5857" xr:uid="{00000000-0005-0000-0000-0000AC250000}"/>
    <cellStyle name="Bad 2 2 2 2 2 2 2 2 3 2" xfId="18956" xr:uid="{00000000-0005-0000-0000-0000AD250000}"/>
    <cellStyle name="Bad 2 2 2 2 2 2 2 2 4" xfId="18953" xr:uid="{00000000-0005-0000-0000-0000AE250000}"/>
    <cellStyle name="Bad 2 2 2 2 2 2 2 3" xfId="5858" xr:uid="{00000000-0005-0000-0000-0000AF250000}"/>
    <cellStyle name="Bad 2 2 2 2 2 2 2 3 2" xfId="5859" xr:uid="{00000000-0005-0000-0000-0000B0250000}"/>
    <cellStyle name="Bad 2 2 2 2 2 2 2 3 2 2" xfId="18958" xr:uid="{00000000-0005-0000-0000-0000B1250000}"/>
    <cellStyle name="Bad 2 2 2 2 2 2 2 3 3" xfId="18957" xr:uid="{00000000-0005-0000-0000-0000B2250000}"/>
    <cellStyle name="Bad 2 2 2 2 2 2 2 4" xfId="18952" xr:uid="{00000000-0005-0000-0000-0000B3250000}"/>
    <cellStyle name="Bad 2 2 2 2 2 2 3" xfId="5860" xr:uid="{00000000-0005-0000-0000-0000B4250000}"/>
    <cellStyle name="Bad 2 2 2 2 2 2 3 2" xfId="18959" xr:uid="{00000000-0005-0000-0000-0000B5250000}"/>
    <cellStyle name="Bad 2 2 2 2 2 2 4" xfId="5861" xr:uid="{00000000-0005-0000-0000-0000B6250000}"/>
    <cellStyle name="Bad 2 2 2 2 2 2 4 2" xfId="18960" xr:uid="{00000000-0005-0000-0000-0000B7250000}"/>
    <cellStyle name="Bad 2 2 2 2 2 2 5" xfId="5862" xr:uid="{00000000-0005-0000-0000-0000B8250000}"/>
    <cellStyle name="Bad 2 2 2 2 2 2 5 2" xfId="18961" xr:uid="{00000000-0005-0000-0000-0000B9250000}"/>
    <cellStyle name="Bad 2 2 2 2 2 2 6" xfId="5863" xr:uid="{00000000-0005-0000-0000-0000BA250000}"/>
    <cellStyle name="Bad 2 2 2 2 2 2 6 2" xfId="18962" xr:uid="{00000000-0005-0000-0000-0000BB250000}"/>
    <cellStyle name="Bad 2 2 2 2 2 2 7" xfId="5864" xr:uid="{00000000-0005-0000-0000-0000BC250000}"/>
    <cellStyle name="Bad 2 2 2 2 2 2 7 2" xfId="18963" xr:uid="{00000000-0005-0000-0000-0000BD250000}"/>
    <cellStyle name="Bad 2 2 2 2 2 2 8" xfId="5865" xr:uid="{00000000-0005-0000-0000-0000BE250000}"/>
    <cellStyle name="Bad 2 2 2 2 2 2 8 2" xfId="18964" xr:uid="{00000000-0005-0000-0000-0000BF250000}"/>
    <cellStyle name="Bad 2 2 2 2 2 2 9" xfId="5866" xr:uid="{00000000-0005-0000-0000-0000C0250000}"/>
    <cellStyle name="Bad 2 2 2 2 2 2 9 2" xfId="18965" xr:uid="{00000000-0005-0000-0000-0000C1250000}"/>
    <cellStyle name="Bad 2 2 2 2 2 3" xfId="5867" xr:uid="{00000000-0005-0000-0000-0000C2250000}"/>
    <cellStyle name="Bad 2 2 2 2 2 3 2" xfId="5868" xr:uid="{00000000-0005-0000-0000-0000C3250000}"/>
    <cellStyle name="Bad 2 2 2 2 2 3 2 2" xfId="18967" xr:uid="{00000000-0005-0000-0000-0000C4250000}"/>
    <cellStyle name="Bad 2 2 2 2 2 3 3" xfId="18966" xr:uid="{00000000-0005-0000-0000-0000C5250000}"/>
    <cellStyle name="Bad 2 2 2 2 2 4" xfId="5869" xr:uid="{00000000-0005-0000-0000-0000C6250000}"/>
    <cellStyle name="Bad 2 2 2 2 2 4 2" xfId="18968" xr:uid="{00000000-0005-0000-0000-0000C7250000}"/>
    <cellStyle name="Bad 2 2 2 2 2 5" xfId="5870" xr:uid="{00000000-0005-0000-0000-0000C8250000}"/>
    <cellStyle name="Bad 2 2 2 2 2 5 2" xfId="18969" xr:uid="{00000000-0005-0000-0000-0000C9250000}"/>
    <cellStyle name="Bad 2 2 2 2 2 6" xfId="5871" xr:uid="{00000000-0005-0000-0000-0000CA250000}"/>
    <cellStyle name="Bad 2 2 2 2 2 6 2" xfId="18970" xr:uid="{00000000-0005-0000-0000-0000CB250000}"/>
    <cellStyle name="Bad 2 2 2 2 2 7" xfId="5872" xr:uid="{00000000-0005-0000-0000-0000CC250000}"/>
    <cellStyle name="Bad 2 2 2 2 2 7 2" xfId="18971" xr:uid="{00000000-0005-0000-0000-0000CD250000}"/>
    <cellStyle name="Bad 2 2 2 2 2 8" xfId="5873" xr:uid="{00000000-0005-0000-0000-0000CE250000}"/>
    <cellStyle name="Bad 2 2 2 2 2 8 2" xfId="18972" xr:uid="{00000000-0005-0000-0000-0000CF250000}"/>
    <cellStyle name="Bad 2 2 2 2 2 9" xfId="5874" xr:uid="{00000000-0005-0000-0000-0000D0250000}"/>
    <cellStyle name="Bad 2 2 2 2 2 9 2" xfId="18973" xr:uid="{00000000-0005-0000-0000-0000D1250000}"/>
    <cellStyle name="Bad 2 2 2 2 20" xfId="5875" xr:uid="{00000000-0005-0000-0000-0000D2250000}"/>
    <cellStyle name="Bad 2 2 2 2 20 2" xfId="5876" xr:uid="{00000000-0005-0000-0000-0000D3250000}"/>
    <cellStyle name="Bad 2 2 2 2 20 2 2" xfId="18975" xr:uid="{00000000-0005-0000-0000-0000D4250000}"/>
    <cellStyle name="Bad 2 2 2 2 20 3" xfId="18974" xr:uid="{00000000-0005-0000-0000-0000D5250000}"/>
    <cellStyle name="Bad 2 2 2 2 21" xfId="5877" xr:uid="{00000000-0005-0000-0000-0000D6250000}"/>
    <cellStyle name="Bad 2 2 2 2 21 2" xfId="18976" xr:uid="{00000000-0005-0000-0000-0000D7250000}"/>
    <cellStyle name="Bad 2 2 2 2 22" xfId="5878" xr:uid="{00000000-0005-0000-0000-0000D8250000}"/>
    <cellStyle name="Bad 2 2 2 2 22 2" xfId="18977" xr:uid="{00000000-0005-0000-0000-0000D9250000}"/>
    <cellStyle name="Bad 2 2 2 2 23" xfId="5879" xr:uid="{00000000-0005-0000-0000-0000DA250000}"/>
    <cellStyle name="Bad 2 2 2 2 23 2" xfId="18978" xr:uid="{00000000-0005-0000-0000-0000DB250000}"/>
    <cellStyle name="Bad 2 2 2 2 24" xfId="5880" xr:uid="{00000000-0005-0000-0000-0000DC250000}"/>
    <cellStyle name="Bad 2 2 2 2 24 2" xfId="18979" xr:uid="{00000000-0005-0000-0000-0000DD250000}"/>
    <cellStyle name="Bad 2 2 2 2 25" xfId="5881" xr:uid="{00000000-0005-0000-0000-0000DE250000}"/>
    <cellStyle name="Bad 2 2 2 2 25 2" xfId="18980" xr:uid="{00000000-0005-0000-0000-0000DF250000}"/>
    <cellStyle name="Bad 2 2 2 2 26" xfId="5882" xr:uid="{00000000-0005-0000-0000-0000E0250000}"/>
    <cellStyle name="Bad 2 2 2 2 26 2" xfId="18981" xr:uid="{00000000-0005-0000-0000-0000E1250000}"/>
    <cellStyle name="Bad 2 2 2 2 27" xfId="5883" xr:uid="{00000000-0005-0000-0000-0000E2250000}"/>
    <cellStyle name="Bad 2 2 2 2 27 2" xfId="18982" xr:uid="{00000000-0005-0000-0000-0000E3250000}"/>
    <cellStyle name="Bad 2 2 2 2 28" xfId="5884" xr:uid="{00000000-0005-0000-0000-0000E4250000}"/>
    <cellStyle name="Bad 2 2 2 2 28 2" xfId="5885" xr:uid="{00000000-0005-0000-0000-0000E5250000}"/>
    <cellStyle name="Bad 2 2 2 2 28 2 2" xfId="18984" xr:uid="{00000000-0005-0000-0000-0000E6250000}"/>
    <cellStyle name="Bad 2 2 2 2 28 3" xfId="18983" xr:uid="{00000000-0005-0000-0000-0000E7250000}"/>
    <cellStyle name="Bad 2 2 2 2 29" xfId="18933" xr:uid="{00000000-0005-0000-0000-0000E8250000}"/>
    <cellStyle name="Bad 2 2 2 2 3" xfId="5886" xr:uid="{00000000-0005-0000-0000-0000E9250000}"/>
    <cellStyle name="Bad 2 2 2 2 3 2" xfId="18985" xr:uid="{00000000-0005-0000-0000-0000EA250000}"/>
    <cellStyle name="Bad 2 2 2 2 4" xfId="5887" xr:uid="{00000000-0005-0000-0000-0000EB250000}"/>
    <cellStyle name="Bad 2 2 2 2 4 2" xfId="18986" xr:uid="{00000000-0005-0000-0000-0000EC250000}"/>
    <cellStyle name="Bad 2 2 2 2 5" xfId="5888" xr:uid="{00000000-0005-0000-0000-0000ED250000}"/>
    <cellStyle name="Bad 2 2 2 2 5 2" xfId="18987" xr:uid="{00000000-0005-0000-0000-0000EE250000}"/>
    <cellStyle name="Bad 2 2 2 2 6" xfId="5889" xr:uid="{00000000-0005-0000-0000-0000EF250000}"/>
    <cellStyle name="Bad 2 2 2 2 6 2" xfId="18988" xr:uid="{00000000-0005-0000-0000-0000F0250000}"/>
    <cellStyle name="Bad 2 2 2 2 7" xfId="5890" xr:uid="{00000000-0005-0000-0000-0000F1250000}"/>
    <cellStyle name="Bad 2 2 2 2 7 2" xfId="18989" xr:uid="{00000000-0005-0000-0000-0000F2250000}"/>
    <cellStyle name="Bad 2 2 2 2 8" xfId="5891" xr:uid="{00000000-0005-0000-0000-0000F3250000}"/>
    <cellStyle name="Bad 2 2 2 2 8 2" xfId="18990" xr:uid="{00000000-0005-0000-0000-0000F4250000}"/>
    <cellStyle name="Bad 2 2 2 2 9" xfId="5892" xr:uid="{00000000-0005-0000-0000-0000F5250000}"/>
    <cellStyle name="Bad 2 2 2 2 9 2" xfId="18991" xr:uid="{00000000-0005-0000-0000-0000F6250000}"/>
    <cellStyle name="Bad 2 2 2 20" xfId="5893" xr:uid="{00000000-0005-0000-0000-0000F7250000}"/>
    <cellStyle name="Bad 2 2 2 20 2" xfId="5894" xr:uid="{00000000-0005-0000-0000-0000F8250000}"/>
    <cellStyle name="Bad 2 2 2 20 2 2" xfId="18993" xr:uid="{00000000-0005-0000-0000-0000F9250000}"/>
    <cellStyle name="Bad 2 2 2 20 3" xfId="18992" xr:uid="{00000000-0005-0000-0000-0000FA250000}"/>
    <cellStyle name="Bad 2 2 2 21" xfId="5895" xr:uid="{00000000-0005-0000-0000-0000FB250000}"/>
    <cellStyle name="Bad 2 2 2 21 2" xfId="18994" xr:uid="{00000000-0005-0000-0000-0000FC250000}"/>
    <cellStyle name="Bad 2 2 2 22" xfId="5896" xr:uid="{00000000-0005-0000-0000-0000FD250000}"/>
    <cellStyle name="Bad 2 2 2 22 2" xfId="18995" xr:uid="{00000000-0005-0000-0000-0000FE250000}"/>
    <cellStyle name="Bad 2 2 2 23" xfId="5897" xr:uid="{00000000-0005-0000-0000-0000FF250000}"/>
    <cellStyle name="Bad 2 2 2 23 2" xfId="18996" xr:uid="{00000000-0005-0000-0000-000000260000}"/>
    <cellStyle name="Bad 2 2 2 24" xfId="5898" xr:uid="{00000000-0005-0000-0000-000001260000}"/>
    <cellStyle name="Bad 2 2 2 24 2" xfId="18997" xr:uid="{00000000-0005-0000-0000-000002260000}"/>
    <cellStyle name="Bad 2 2 2 25" xfId="5899" xr:uid="{00000000-0005-0000-0000-000003260000}"/>
    <cellStyle name="Bad 2 2 2 25 2" xfId="18998" xr:uid="{00000000-0005-0000-0000-000004260000}"/>
    <cellStyle name="Bad 2 2 2 26" xfId="5900" xr:uid="{00000000-0005-0000-0000-000005260000}"/>
    <cellStyle name="Bad 2 2 2 26 2" xfId="18999" xr:uid="{00000000-0005-0000-0000-000006260000}"/>
    <cellStyle name="Bad 2 2 2 27" xfId="5901" xr:uid="{00000000-0005-0000-0000-000007260000}"/>
    <cellStyle name="Bad 2 2 2 27 2" xfId="19000" xr:uid="{00000000-0005-0000-0000-000008260000}"/>
    <cellStyle name="Bad 2 2 2 28" xfId="5902" xr:uid="{00000000-0005-0000-0000-000009260000}"/>
    <cellStyle name="Bad 2 2 2 28 2" xfId="5903" xr:uid="{00000000-0005-0000-0000-00000A260000}"/>
    <cellStyle name="Bad 2 2 2 28 2 2" xfId="19002" xr:uid="{00000000-0005-0000-0000-00000B260000}"/>
    <cellStyle name="Bad 2 2 2 28 3" xfId="19001" xr:uid="{00000000-0005-0000-0000-00000C260000}"/>
    <cellStyle name="Bad 2 2 2 29" xfId="18922" xr:uid="{00000000-0005-0000-0000-00000D260000}"/>
    <cellStyle name="Bad 2 2 2 3" xfId="5904" xr:uid="{00000000-0005-0000-0000-00000E260000}"/>
    <cellStyle name="Bad 2 2 2 3 2" xfId="5905" xr:uid="{00000000-0005-0000-0000-00000F260000}"/>
    <cellStyle name="Bad 2 2 2 3 2 2" xfId="19004" xr:uid="{00000000-0005-0000-0000-000010260000}"/>
    <cellStyle name="Bad 2 2 2 3 3" xfId="19003" xr:uid="{00000000-0005-0000-0000-000011260000}"/>
    <cellStyle name="Bad 2 2 2 30" xfId="30591" xr:uid="{00000000-0005-0000-0000-000012260000}"/>
    <cellStyle name="Bad 2 2 2 4" xfId="5906" xr:uid="{00000000-0005-0000-0000-000013260000}"/>
    <cellStyle name="Bad 2 2 2 4 2" xfId="19005" xr:uid="{00000000-0005-0000-0000-000014260000}"/>
    <cellStyle name="Bad 2 2 2 5" xfId="5907" xr:uid="{00000000-0005-0000-0000-000015260000}"/>
    <cellStyle name="Bad 2 2 2 5 2" xfId="19006" xr:uid="{00000000-0005-0000-0000-000016260000}"/>
    <cellStyle name="Bad 2 2 2 6" xfId="5908" xr:uid="{00000000-0005-0000-0000-000017260000}"/>
    <cellStyle name="Bad 2 2 2 6 2" xfId="19007" xr:uid="{00000000-0005-0000-0000-000018260000}"/>
    <cellStyle name="Bad 2 2 2 7" xfId="5909" xr:uid="{00000000-0005-0000-0000-000019260000}"/>
    <cellStyle name="Bad 2 2 2 7 2" xfId="19008" xr:uid="{00000000-0005-0000-0000-00001A260000}"/>
    <cellStyle name="Bad 2 2 2 8" xfId="5910" xr:uid="{00000000-0005-0000-0000-00001B260000}"/>
    <cellStyle name="Bad 2 2 2 8 2" xfId="19009" xr:uid="{00000000-0005-0000-0000-00001C260000}"/>
    <cellStyle name="Bad 2 2 2 9" xfId="5911" xr:uid="{00000000-0005-0000-0000-00001D260000}"/>
    <cellStyle name="Bad 2 2 2 9 2" xfId="19010" xr:uid="{00000000-0005-0000-0000-00001E260000}"/>
    <cellStyle name="Bad 2 2 20" xfId="5912" xr:uid="{00000000-0005-0000-0000-00001F260000}"/>
    <cellStyle name="Bad 2 2 20 2" xfId="19011" xr:uid="{00000000-0005-0000-0000-000020260000}"/>
    <cellStyle name="Bad 2 2 21" xfId="5913" xr:uid="{00000000-0005-0000-0000-000021260000}"/>
    <cellStyle name="Bad 2 2 21 2" xfId="19012" xr:uid="{00000000-0005-0000-0000-000022260000}"/>
    <cellStyle name="Bad 2 2 22" xfId="5914" xr:uid="{00000000-0005-0000-0000-000023260000}"/>
    <cellStyle name="Bad 2 2 22 2" xfId="19013" xr:uid="{00000000-0005-0000-0000-000024260000}"/>
    <cellStyle name="Bad 2 2 23" xfId="5915" xr:uid="{00000000-0005-0000-0000-000025260000}"/>
    <cellStyle name="Bad 2 2 23 2" xfId="19014" xr:uid="{00000000-0005-0000-0000-000026260000}"/>
    <cellStyle name="Bad 2 2 24" xfId="5916" xr:uid="{00000000-0005-0000-0000-000027260000}"/>
    <cellStyle name="Bad 2 2 24 2" xfId="19015" xr:uid="{00000000-0005-0000-0000-000028260000}"/>
    <cellStyle name="Bad 2 2 25" xfId="5917" xr:uid="{00000000-0005-0000-0000-000029260000}"/>
    <cellStyle name="Bad 2 2 25 2" xfId="19016" xr:uid="{00000000-0005-0000-0000-00002A260000}"/>
    <cellStyle name="Bad 2 2 26" xfId="5918" xr:uid="{00000000-0005-0000-0000-00002B260000}"/>
    <cellStyle name="Bad 2 2 26 2" xfId="19017" xr:uid="{00000000-0005-0000-0000-00002C260000}"/>
    <cellStyle name="Bad 2 2 27" xfId="5919" xr:uid="{00000000-0005-0000-0000-00002D260000}"/>
    <cellStyle name="Bad 2 2 27 2" xfId="19018" xr:uid="{00000000-0005-0000-0000-00002E260000}"/>
    <cellStyle name="Bad 2 2 28" xfId="5920" xr:uid="{00000000-0005-0000-0000-00002F260000}"/>
    <cellStyle name="Bad 2 2 28 2" xfId="19019" xr:uid="{00000000-0005-0000-0000-000030260000}"/>
    <cellStyle name="Bad 2 2 29" xfId="5921" xr:uid="{00000000-0005-0000-0000-000031260000}"/>
    <cellStyle name="Bad 2 2 29 2" xfId="19020" xr:uid="{00000000-0005-0000-0000-000032260000}"/>
    <cellStyle name="Bad 2 2 3" xfId="5922" xr:uid="{00000000-0005-0000-0000-000033260000}"/>
    <cellStyle name="Bad 2 2 3 2" xfId="19021" xr:uid="{00000000-0005-0000-0000-000034260000}"/>
    <cellStyle name="Bad 2 2 30" xfId="5923" xr:uid="{00000000-0005-0000-0000-000035260000}"/>
    <cellStyle name="Bad 2 2 30 2" xfId="19022" xr:uid="{00000000-0005-0000-0000-000036260000}"/>
    <cellStyle name="Bad 2 2 31" xfId="5924" xr:uid="{00000000-0005-0000-0000-000037260000}"/>
    <cellStyle name="Bad 2 2 31 2" xfId="5925" xr:uid="{00000000-0005-0000-0000-000038260000}"/>
    <cellStyle name="Bad 2 2 31 2 2" xfId="19024" xr:uid="{00000000-0005-0000-0000-000039260000}"/>
    <cellStyle name="Bad 2 2 31 3" xfId="19023" xr:uid="{00000000-0005-0000-0000-00003A260000}"/>
    <cellStyle name="Bad 2 2 32" xfId="5926" xr:uid="{00000000-0005-0000-0000-00003B260000}"/>
    <cellStyle name="Bad 2 2 32 2" xfId="19025" xr:uid="{00000000-0005-0000-0000-00003C260000}"/>
    <cellStyle name="Bad 2 2 33" xfId="5927" xr:uid="{00000000-0005-0000-0000-00003D260000}"/>
    <cellStyle name="Bad 2 2 33 2" xfId="19026" xr:uid="{00000000-0005-0000-0000-00003E260000}"/>
    <cellStyle name="Bad 2 2 34" xfId="5928" xr:uid="{00000000-0005-0000-0000-00003F260000}"/>
    <cellStyle name="Bad 2 2 34 2" xfId="19027" xr:uid="{00000000-0005-0000-0000-000040260000}"/>
    <cellStyle name="Bad 2 2 35" xfId="5929" xr:uid="{00000000-0005-0000-0000-000041260000}"/>
    <cellStyle name="Bad 2 2 35 2" xfId="19028" xr:uid="{00000000-0005-0000-0000-000042260000}"/>
    <cellStyle name="Bad 2 2 36" xfId="5930" xr:uid="{00000000-0005-0000-0000-000043260000}"/>
    <cellStyle name="Bad 2 2 36 2" xfId="19029" xr:uid="{00000000-0005-0000-0000-000044260000}"/>
    <cellStyle name="Bad 2 2 37" xfId="5931" xr:uid="{00000000-0005-0000-0000-000045260000}"/>
    <cellStyle name="Bad 2 2 37 2" xfId="19030" xr:uid="{00000000-0005-0000-0000-000046260000}"/>
    <cellStyle name="Bad 2 2 38" xfId="5932" xr:uid="{00000000-0005-0000-0000-000047260000}"/>
    <cellStyle name="Bad 2 2 38 2" xfId="19031" xr:uid="{00000000-0005-0000-0000-000048260000}"/>
    <cellStyle name="Bad 2 2 39" xfId="5933" xr:uid="{00000000-0005-0000-0000-000049260000}"/>
    <cellStyle name="Bad 2 2 39 2" xfId="5934" xr:uid="{00000000-0005-0000-0000-00004A260000}"/>
    <cellStyle name="Bad 2 2 39 2 2" xfId="19033" xr:uid="{00000000-0005-0000-0000-00004B260000}"/>
    <cellStyle name="Bad 2 2 39 3" xfId="19032" xr:uid="{00000000-0005-0000-0000-00004C260000}"/>
    <cellStyle name="Bad 2 2 4" xfId="5935" xr:uid="{00000000-0005-0000-0000-00004D260000}"/>
    <cellStyle name="Bad 2 2 4 2" xfId="19034" xr:uid="{00000000-0005-0000-0000-00004E260000}"/>
    <cellStyle name="Bad 2 2 40" xfId="18910" xr:uid="{00000000-0005-0000-0000-00004F260000}"/>
    <cellStyle name="Bad 2 2 41" xfId="30592" xr:uid="{00000000-0005-0000-0000-000050260000}"/>
    <cellStyle name="Bad 2 2 42" xfId="30593" xr:uid="{00000000-0005-0000-0000-000051260000}"/>
    <cellStyle name="Bad 2 2 43" xfId="30594" xr:uid="{00000000-0005-0000-0000-000052260000}"/>
    <cellStyle name="Bad 2 2 44" xfId="30595" xr:uid="{00000000-0005-0000-0000-000053260000}"/>
    <cellStyle name="Bad 2 2 5" xfId="5936" xr:uid="{00000000-0005-0000-0000-000054260000}"/>
    <cellStyle name="Bad 2 2 5 2" xfId="19035" xr:uid="{00000000-0005-0000-0000-000055260000}"/>
    <cellStyle name="Bad 2 2 6" xfId="5937" xr:uid="{00000000-0005-0000-0000-000056260000}"/>
    <cellStyle name="Bad 2 2 6 2" xfId="19036" xr:uid="{00000000-0005-0000-0000-000057260000}"/>
    <cellStyle name="Bad 2 2 7" xfId="5938" xr:uid="{00000000-0005-0000-0000-000058260000}"/>
    <cellStyle name="Bad 2 2 7 2" xfId="19037" xr:uid="{00000000-0005-0000-0000-000059260000}"/>
    <cellStyle name="Bad 2 2 8" xfId="5939" xr:uid="{00000000-0005-0000-0000-00005A260000}"/>
    <cellStyle name="Bad 2 2 8 2" xfId="19038" xr:uid="{00000000-0005-0000-0000-00005B260000}"/>
    <cellStyle name="Bad 2 2 9" xfId="5940" xr:uid="{00000000-0005-0000-0000-00005C260000}"/>
    <cellStyle name="Bad 2 2 9 2" xfId="19039" xr:uid="{00000000-0005-0000-0000-00005D260000}"/>
    <cellStyle name="Bad 2 2_Loan Classification" xfId="11437" xr:uid="{00000000-0005-0000-0000-00005E260000}"/>
    <cellStyle name="Bad 2 20" xfId="5941" xr:uid="{00000000-0005-0000-0000-00005F260000}"/>
    <cellStyle name="Bad 2 20 2" xfId="19040" xr:uid="{00000000-0005-0000-0000-000060260000}"/>
    <cellStyle name="Bad 2 21" xfId="5942" xr:uid="{00000000-0005-0000-0000-000061260000}"/>
    <cellStyle name="Bad 2 21 2" xfId="19041" xr:uid="{00000000-0005-0000-0000-000062260000}"/>
    <cellStyle name="Bad 2 22" xfId="5943" xr:uid="{00000000-0005-0000-0000-000063260000}"/>
    <cellStyle name="Bad 2 22 2" xfId="19042" xr:uid="{00000000-0005-0000-0000-000064260000}"/>
    <cellStyle name="Bad 2 23" xfId="5944" xr:uid="{00000000-0005-0000-0000-000065260000}"/>
    <cellStyle name="Bad 2 23 2" xfId="19043" xr:uid="{00000000-0005-0000-0000-000066260000}"/>
    <cellStyle name="Bad 2 24" xfId="5945" xr:uid="{00000000-0005-0000-0000-000067260000}"/>
    <cellStyle name="Bad 2 24 2" xfId="19044" xr:uid="{00000000-0005-0000-0000-000068260000}"/>
    <cellStyle name="Bad 2 25" xfId="5946" xr:uid="{00000000-0005-0000-0000-000069260000}"/>
    <cellStyle name="Bad 2 25 2" xfId="19045" xr:uid="{00000000-0005-0000-0000-00006A260000}"/>
    <cellStyle name="Bad 2 26" xfId="5947" xr:uid="{00000000-0005-0000-0000-00006B260000}"/>
    <cellStyle name="Bad 2 26 2" xfId="19046" xr:uid="{00000000-0005-0000-0000-00006C260000}"/>
    <cellStyle name="Bad 2 27" xfId="5948" xr:uid="{00000000-0005-0000-0000-00006D260000}"/>
    <cellStyle name="Bad 2 27 2" xfId="19047" xr:uid="{00000000-0005-0000-0000-00006E260000}"/>
    <cellStyle name="Bad 2 28" xfId="5949" xr:uid="{00000000-0005-0000-0000-00006F260000}"/>
    <cellStyle name="Bad 2 28 2" xfId="19048" xr:uid="{00000000-0005-0000-0000-000070260000}"/>
    <cellStyle name="Bad 2 29" xfId="5950" xr:uid="{00000000-0005-0000-0000-000071260000}"/>
    <cellStyle name="Bad 2 29 2" xfId="19049" xr:uid="{00000000-0005-0000-0000-000072260000}"/>
    <cellStyle name="Bad 2 3" xfId="5951" xr:uid="{00000000-0005-0000-0000-000073260000}"/>
    <cellStyle name="Bad 2 3 2" xfId="19050" xr:uid="{00000000-0005-0000-0000-000074260000}"/>
    <cellStyle name="Bad 2 3 2 2" xfId="30596" xr:uid="{00000000-0005-0000-0000-000075260000}"/>
    <cellStyle name="Bad 2 3 3" xfId="30597" xr:uid="{00000000-0005-0000-0000-000076260000}"/>
    <cellStyle name="Bad 2 3 4" xfId="30598" xr:uid="{00000000-0005-0000-0000-000077260000}"/>
    <cellStyle name="Bad 2 3 5" xfId="30599" xr:uid="{00000000-0005-0000-0000-000078260000}"/>
    <cellStyle name="Bad 2 30" xfId="5952" xr:uid="{00000000-0005-0000-0000-000079260000}"/>
    <cellStyle name="Bad 2 30 2" xfId="19051" xr:uid="{00000000-0005-0000-0000-00007A260000}"/>
    <cellStyle name="Bad 2 31" xfId="5953" xr:uid="{00000000-0005-0000-0000-00007B260000}"/>
    <cellStyle name="Bad 2 31 2" xfId="19052" xr:uid="{00000000-0005-0000-0000-00007C260000}"/>
    <cellStyle name="Bad 2 32" xfId="5954" xr:uid="{00000000-0005-0000-0000-00007D260000}"/>
    <cellStyle name="Bad 2 32 2" xfId="19053" xr:uid="{00000000-0005-0000-0000-00007E260000}"/>
    <cellStyle name="Bad 2 33" xfId="5955" xr:uid="{00000000-0005-0000-0000-00007F260000}"/>
    <cellStyle name="Bad 2 33 2" xfId="5956" xr:uid="{00000000-0005-0000-0000-000080260000}"/>
    <cellStyle name="Bad 2 33 2 2" xfId="19055" xr:uid="{00000000-0005-0000-0000-000081260000}"/>
    <cellStyle name="Bad 2 33 3" xfId="19054" xr:uid="{00000000-0005-0000-0000-000082260000}"/>
    <cellStyle name="Bad 2 34" xfId="5957" xr:uid="{00000000-0005-0000-0000-000083260000}"/>
    <cellStyle name="Bad 2 34 2" xfId="19056" xr:uid="{00000000-0005-0000-0000-000084260000}"/>
    <cellStyle name="Bad 2 35" xfId="5958" xr:uid="{00000000-0005-0000-0000-000085260000}"/>
    <cellStyle name="Bad 2 35 2" xfId="19057" xr:uid="{00000000-0005-0000-0000-000086260000}"/>
    <cellStyle name="Bad 2 36" xfId="5959" xr:uid="{00000000-0005-0000-0000-000087260000}"/>
    <cellStyle name="Bad 2 36 2" xfId="19058" xr:uid="{00000000-0005-0000-0000-000088260000}"/>
    <cellStyle name="Bad 2 37" xfId="5960" xr:uid="{00000000-0005-0000-0000-000089260000}"/>
    <cellStyle name="Bad 2 37 2" xfId="19059" xr:uid="{00000000-0005-0000-0000-00008A260000}"/>
    <cellStyle name="Bad 2 38" xfId="5961" xr:uid="{00000000-0005-0000-0000-00008B260000}"/>
    <cellStyle name="Bad 2 38 2" xfId="19060" xr:uid="{00000000-0005-0000-0000-00008C260000}"/>
    <cellStyle name="Bad 2 39" xfId="5962" xr:uid="{00000000-0005-0000-0000-00008D260000}"/>
    <cellStyle name="Bad 2 39 2" xfId="19061" xr:uid="{00000000-0005-0000-0000-00008E260000}"/>
    <cellStyle name="Bad 2 4" xfId="5963" xr:uid="{00000000-0005-0000-0000-00008F260000}"/>
    <cellStyle name="Bad 2 4 2" xfId="19062" xr:uid="{00000000-0005-0000-0000-000090260000}"/>
    <cellStyle name="Bad 2 4 2 2" xfId="30600" xr:uid="{00000000-0005-0000-0000-000091260000}"/>
    <cellStyle name="Bad 2 4 3" xfId="30601" xr:uid="{00000000-0005-0000-0000-000092260000}"/>
    <cellStyle name="Bad 2 4 4" xfId="30602" xr:uid="{00000000-0005-0000-0000-000093260000}"/>
    <cellStyle name="Bad 2 4 5" xfId="30603" xr:uid="{00000000-0005-0000-0000-000094260000}"/>
    <cellStyle name="Bad 2 40" xfId="5964" xr:uid="{00000000-0005-0000-0000-000095260000}"/>
    <cellStyle name="Bad 2 40 2" xfId="19063" xr:uid="{00000000-0005-0000-0000-000096260000}"/>
    <cellStyle name="Bad 2 41" xfId="5965" xr:uid="{00000000-0005-0000-0000-000097260000}"/>
    <cellStyle name="Bad 2 41 2" xfId="5966" xr:uid="{00000000-0005-0000-0000-000098260000}"/>
    <cellStyle name="Bad 2 41 2 2" xfId="19065" xr:uid="{00000000-0005-0000-0000-000099260000}"/>
    <cellStyle name="Bad 2 41 3" xfId="19064" xr:uid="{00000000-0005-0000-0000-00009A260000}"/>
    <cellStyle name="Bad 2 42" xfId="18898" xr:uid="{00000000-0005-0000-0000-00009B260000}"/>
    <cellStyle name="Bad 2 43" xfId="30604" xr:uid="{00000000-0005-0000-0000-00009C260000}"/>
    <cellStyle name="Bad 2 5" xfId="5967" xr:uid="{00000000-0005-0000-0000-00009D260000}"/>
    <cellStyle name="Bad 2 5 2" xfId="5968" xr:uid="{00000000-0005-0000-0000-00009E260000}"/>
    <cellStyle name="Bad 2 5 2 2" xfId="19067" xr:uid="{00000000-0005-0000-0000-00009F260000}"/>
    <cellStyle name="Bad 2 5 3" xfId="19066" xr:uid="{00000000-0005-0000-0000-0000A0260000}"/>
    <cellStyle name="Bad 2 5 4" xfId="30605" xr:uid="{00000000-0005-0000-0000-0000A1260000}"/>
    <cellStyle name="Bad 2 6" xfId="5969" xr:uid="{00000000-0005-0000-0000-0000A2260000}"/>
    <cellStyle name="Bad 2 6 2" xfId="19068" xr:uid="{00000000-0005-0000-0000-0000A3260000}"/>
    <cellStyle name="Bad 2 6 3" xfId="30606" xr:uid="{00000000-0005-0000-0000-0000A4260000}"/>
    <cellStyle name="Bad 2 7" xfId="5970" xr:uid="{00000000-0005-0000-0000-0000A5260000}"/>
    <cellStyle name="Bad 2 7 2" xfId="19069" xr:uid="{00000000-0005-0000-0000-0000A6260000}"/>
    <cellStyle name="Bad 2 8" xfId="5971" xr:uid="{00000000-0005-0000-0000-0000A7260000}"/>
    <cellStyle name="Bad 2 8 2" xfId="19070" xr:uid="{00000000-0005-0000-0000-0000A8260000}"/>
    <cellStyle name="Bad 2 9" xfId="5972" xr:uid="{00000000-0005-0000-0000-0000A9260000}"/>
    <cellStyle name="Bad 2 9 2" xfId="19071" xr:uid="{00000000-0005-0000-0000-0000AA260000}"/>
    <cellStyle name="Bad 2_Loan Classification" xfId="11436" xr:uid="{00000000-0005-0000-0000-0000AB260000}"/>
    <cellStyle name="Bad 20" xfId="5973" xr:uid="{00000000-0005-0000-0000-0000AC260000}"/>
    <cellStyle name="Bad 20 2" xfId="19072" xr:uid="{00000000-0005-0000-0000-0000AD260000}"/>
    <cellStyle name="Bad 21" xfId="5974" xr:uid="{00000000-0005-0000-0000-0000AE260000}"/>
    <cellStyle name="Bad 21 2" xfId="19073" xr:uid="{00000000-0005-0000-0000-0000AF260000}"/>
    <cellStyle name="Bad 22" xfId="5975" xr:uid="{00000000-0005-0000-0000-0000B0260000}"/>
    <cellStyle name="Bad 22 2" xfId="19074" xr:uid="{00000000-0005-0000-0000-0000B1260000}"/>
    <cellStyle name="Bad 23" xfId="5976" xr:uid="{00000000-0005-0000-0000-0000B2260000}"/>
    <cellStyle name="Bad 23 2" xfId="19075" xr:uid="{00000000-0005-0000-0000-0000B3260000}"/>
    <cellStyle name="Bad 24" xfId="5977" xr:uid="{00000000-0005-0000-0000-0000B4260000}"/>
    <cellStyle name="Bad 24 2" xfId="19076" xr:uid="{00000000-0005-0000-0000-0000B5260000}"/>
    <cellStyle name="Bad 25" xfId="5978" xr:uid="{00000000-0005-0000-0000-0000B6260000}"/>
    <cellStyle name="Bad 25 2" xfId="19077" xr:uid="{00000000-0005-0000-0000-0000B7260000}"/>
    <cellStyle name="Bad 26" xfId="5979" xr:uid="{00000000-0005-0000-0000-0000B8260000}"/>
    <cellStyle name="Bad 26 2" xfId="19078" xr:uid="{00000000-0005-0000-0000-0000B9260000}"/>
    <cellStyle name="Bad 27" xfId="5980" xr:uid="{00000000-0005-0000-0000-0000BA260000}"/>
    <cellStyle name="Bad 27 2" xfId="19079" xr:uid="{00000000-0005-0000-0000-0000BB260000}"/>
    <cellStyle name="Bad 28" xfId="5981" xr:uid="{00000000-0005-0000-0000-0000BC260000}"/>
    <cellStyle name="Bad 28 2" xfId="19080" xr:uid="{00000000-0005-0000-0000-0000BD260000}"/>
    <cellStyle name="Bad 29" xfId="5982" xr:uid="{00000000-0005-0000-0000-0000BE260000}"/>
    <cellStyle name="Bad 29 2" xfId="19081" xr:uid="{00000000-0005-0000-0000-0000BF260000}"/>
    <cellStyle name="Bad 3" xfId="5983" xr:uid="{00000000-0005-0000-0000-0000C0260000}"/>
    <cellStyle name="Bad 3 2" xfId="19082" xr:uid="{00000000-0005-0000-0000-0000C1260000}"/>
    <cellStyle name="Bad 3 2 2" xfId="30607" xr:uid="{00000000-0005-0000-0000-0000C2260000}"/>
    <cellStyle name="Bad 3 3" xfId="30608" xr:uid="{00000000-0005-0000-0000-0000C3260000}"/>
    <cellStyle name="Bad 3 4" xfId="30609" xr:uid="{00000000-0005-0000-0000-0000C4260000}"/>
    <cellStyle name="Bad 30" xfId="5984" xr:uid="{00000000-0005-0000-0000-0000C5260000}"/>
    <cellStyle name="Bad 30 2" xfId="19083" xr:uid="{00000000-0005-0000-0000-0000C6260000}"/>
    <cellStyle name="Bad 31" xfId="5985" xr:uid="{00000000-0005-0000-0000-0000C7260000}"/>
    <cellStyle name="Bad 31 2" xfId="19084" xr:uid="{00000000-0005-0000-0000-0000C8260000}"/>
    <cellStyle name="Bad 32" xfId="5986" xr:uid="{00000000-0005-0000-0000-0000C9260000}"/>
    <cellStyle name="Bad 32 2" xfId="19085" xr:uid="{00000000-0005-0000-0000-0000CA260000}"/>
    <cellStyle name="Bad 33" xfId="5987" xr:uid="{00000000-0005-0000-0000-0000CB260000}"/>
    <cellStyle name="Bad 33 2" xfId="19086" xr:uid="{00000000-0005-0000-0000-0000CC260000}"/>
    <cellStyle name="Bad 34" xfId="5988" xr:uid="{00000000-0005-0000-0000-0000CD260000}"/>
    <cellStyle name="Bad 34 2" xfId="19087" xr:uid="{00000000-0005-0000-0000-0000CE260000}"/>
    <cellStyle name="Bad 35" xfId="5989" xr:uid="{00000000-0005-0000-0000-0000CF260000}"/>
    <cellStyle name="Bad 35 2" xfId="19088" xr:uid="{00000000-0005-0000-0000-0000D0260000}"/>
    <cellStyle name="Bad 36" xfId="5990" xr:uid="{00000000-0005-0000-0000-0000D1260000}"/>
    <cellStyle name="Bad 36 2" xfId="19089" xr:uid="{00000000-0005-0000-0000-0000D2260000}"/>
    <cellStyle name="Bad 37" xfId="5991" xr:uid="{00000000-0005-0000-0000-0000D3260000}"/>
    <cellStyle name="Bad 37 2" xfId="19090" xr:uid="{00000000-0005-0000-0000-0000D4260000}"/>
    <cellStyle name="Bad 38" xfId="5992" xr:uid="{00000000-0005-0000-0000-0000D5260000}"/>
    <cellStyle name="Bad 38 2" xfId="19091" xr:uid="{00000000-0005-0000-0000-0000D6260000}"/>
    <cellStyle name="Bad 39" xfId="5993" xr:uid="{00000000-0005-0000-0000-0000D7260000}"/>
    <cellStyle name="Bad 39 2" xfId="19092" xr:uid="{00000000-0005-0000-0000-0000D8260000}"/>
    <cellStyle name="Bad 4" xfId="5994" xr:uid="{00000000-0005-0000-0000-0000D9260000}"/>
    <cellStyle name="Bad 4 2" xfId="19093" xr:uid="{00000000-0005-0000-0000-0000DA260000}"/>
    <cellStyle name="Bad 4 2 2" xfId="30610" xr:uid="{00000000-0005-0000-0000-0000DB260000}"/>
    <cellStyle name="Bad 4 3" xfId="30611" xr:uid="{00000000-0005-0000-0000-0000DC260000}"/>
    <cellStyle name="Bad 4 4" xfId="30612" xr:uid="{00000000-0005-0000-0000-0000DD260000}"/>
    <cellStyle name="Bad 40" xfId="5995" xr:uid="{00000000-0005-0000-0000-0000DE260000}"/>
    <cellStyle name="Bad 40 2" xfId="19094" xr:uid="{00000000-0005-0000-0000-0000DF260000}"/>
    <cellStyle name="Bad 41" xfId="5996" xr:uid="{00000000-0005-0000-0000-0000E0260000}"/>
    <cellStyle name="Bad 41 2" xfId="19095" xr:uid="{00000000-0005-0000-0000-0000E1260000}"/>
    <cellStyle name="Bad 42" xfId="5997" xr:uid="{00000000-0005-0000-0000-0000E2260000}"/>
    <cellStyle name="Bad 42 2" xfId="19096" xr:uid="{00000000-0005-0000-0000-0000E3260000}"/>
    <cellStyle name="Bad 43" xfId="11587" xr:uid="{00000000-0005-0000-0000-0000E4260000}"/>
    <cellStyle name="Bad 43 2" xfId="19097" xr:uid="{00000000-0005-0000-0000-0000E5260000}"/>
    <cellStyle name="Bad 44" xfId="11527" xr:uid="{00000000-0005-0000-0000-0000E6260000}"/>
    <cellStyle name="Bad 44 2" xfId="19098" xr:uid="{00000000-0005-0000-0000-0000E7260000}"/>
    <cellStyle name="Bad 45" xfId="19099" xr:uid="{00000000-0005-0000-0000-0000E8260000}"/>
    <cellStyle name="Bad 46" xfId="30613" xr:uid="{00000000-0005-0000-0000-0000E9260000}"/>
    <cellStyle name="Bad 47" xfId="508" xr:uid="{00000000-0005-0000-0000-0000EA260000}"/>
    <cellStyle name="Bad 5" xfId="5998" xr:uid="{00000000-0005-0000-0000-0000EB260000}"/>
    <cellStyle name="Bad 5 2" xfId="19100" xr:uid="{00000000-0005-0000-0000-0000EC260000}"/>
    <cellStyle name="Bad 5 2 2" xfId="30614" xr:uid="{00000000-0005-0000-0000-0000ED260000}"/>
    <cellStyle name="Bad 5 3" xfId="30615" xr:uid="{00000000-0005-0000-0000-0000EE260000}"/>
    <cellStyle name="Bad 5 4" xfId="30616" xr:uid="{00000000-0005-0000-0000-0000EF260000}"/>
    <cellStyle name="Bad 6" xfId="5999" xr:uid="{00000000-0005-0000-0000-0000F0260000}"/>
    <cellStyle name="Bad 6 2" xfId="19101" xr:uid="{00000000-0005-0000-0000-0000F1260000}"/>
    <cellStyle name="Bad 6 3" xfId="30617" xr:uid="{00000000-0005-0000-0000-0000F2260000}"/>
    <cellStyle name="Bad 7" xfId="6000" xr:uid="{00000000-0005-0000-0000-0000F3260000}"/>
    <cellStyle name="Bad 7 2" xfId="19102" xr:uid="{00000000-0005-0000-0000-0000F4260000}"/>
    <cellStyle name="Bad 7 3" xfId="30618" xr:uid="{00000000-0005-0000-0000-0000F5260000}"/>
    <cellStyle name="Bad 8" xfId="6001" xr:uid="{00000000-0005-0000-0000-0000F6260000}"/>
    <cellStyle name="Bad 8 2" xfId="19103" xr:uid="{00000000-0005-0000-0000-0000F7260000}"/>
    <cellStyle name="Bad 8 3" xfId="30619" xr:uid="{00000000-0005-0000-0000-0000F8260000}"/>
    <cellStyle name="Bad 9" xfId="6002" xr:uid="{00000000-0005-0000-0000-0000F9260000}"/>
    <cellStyle name="Bad 9 2" xfId="19104" xr:uid="{00000000-0005-0000-0000-0000FA260000}"/>
    <cellStyle name="Bad 9 3" xfId="30620" xr:uid="{00000000-0005-0000-0000-0000FB260000}"/>
    <cellStyle name="Balance" xfId="509" xr:uid="{00000000-0005-0000-0000-0000FC260000}"/>
    <cellStyle name="Balance 2" xfId="19105" xr:uid="{00000000-0005-0000-0000-0000FD260000}"/>
    <cellStyle name="BlueBackground" xfId="510" xr:uid="{00000000-0005-0000-0000-0000FE260000}"/>
    <cellStyle name="BlueBackground 2" xfId="19106" xr:uid="{00000000-0005-0000-0000-0000FF260000}"/>
    <cellStyle name="Body" xfId="30621" xr:uid="{00000000-0005-0000-0000-000000270000}"/>
    <cellStyle name="Brand Align Left Text" xfId="511" xr:uid="{00000000-0005-0000-0000-000001270000}"/>
    <cellStyle name="Brand Align Left Text 2" xfId="19107" xr:uid="{00000000-0005-0000-0000-000002270000}"/>
    <cellStyle name="Brand Default" xfId="512" xr:uid="{00000000-0005-0000-0000-000003270000}"/>
    <cellStyle name="Brand Default 2" xfId="19108" xr:uid="{00000000-0005-0000-0000-000004270000}"/>
    <cellStyle name="Brand Percent" xfId="513" xr:uid="{00000000-0005-0000-0000-000005270000}"/>
    <cellStyle name="Brand Percent 2" xfId="19109" xr:uid="{00000000-0005-0000-0000-000006270000}"/>
    <cellStyle name="Brand Source" xfId="514" xr:uid="{00000000-0005-0000-0000-000007270000}"/>
    <cellStyle name="Brand Source 2" xfId="19110" xr:uid="{00000000-0005-0000-0000-000008270000}"/>
    <cellStyle name="Brand Subtitle with Underline" xfId="515" xr:uid="{00000000-0005-0000-0000-000009270000}"/>
    <cellStyle name="Brand Subtitle with Underline 2" xfId="19111" xr:uid="{00000000-0005-0000-0000-00000A270000}"/>
    <cellStyle name="Brand Subtitle without Underline" xfId="516" xr:uid="{00000000-0005-0000-0000-00000B270000}"/>
    <cellStyle name="Brand Subtitle without Underline 2" xfId="19112" xr:uid="{00000000-0005-0000-0000-00000C270000}"/>
    <cellStyle name="Brand Title" xfId="517" xr:uid="{00000000-0005-0000-0000-00000D270000}"/>
    <cellStyle name="Brand Title 2" xfId="19113" xr:uid="{00000000-0005-0000-0000-00000E270000}"/>
    <cellStyle name="Calc Currency (0)" xfId="30622" xr:uid="{00000000-0005-0000-0000-00000F270000}"/>
    <cellStyle name="Calcul" xfId="30623" xr:uid="{00000000-0005-0000-0000-000010270000}"/>
    <cellStyle name="Calculation" xfId="19" builtinId="22" customBuiltin="1"/>
    <cellStyle name="Calculation 10" xfId="6003" xr:uid="{00000000-0005-0000-0000-000012270000}"/>
    <cellStyle name="Calculation 10 2" xfId="19114" xr:uid="{00000000-0005-0000-0000-000013270000}"/>
    <cellStyle name="Calculation 10 3" xfId="30624" xr:uid="{00000000-0005-0000-0000-000014270000}"/>
    <cellStyle name="Calculation 11" xfId="6004" xr:uid="{00000000-0005-0000-0000-000015270000}"/>
    <cellStyle name="Calculation 11 2" xfId="19115" xr:uid="{00000000-0005-0000-0000-000016270000}"/>
    <cellStyle name="Calculation 11 3" xfId="30625" xr:uid="{00000000-0005-0000-0000-000017270000}"/>
    <cellStyle name="Calculation 12" xfId="6005" xr:uid="{00000000-0005-0000-0000-000018270000}"/>
    <cellStyle name="Calculation 12 2" xfId="19116" xr:uid="{00000000-0005-0000-0000-000019270000}"/>
    <cellStyle name="Calculation 12 3" xfId="30626" xr:uid="{00000000-0005-0000-0000-00001A270000}"/>
    <cellStyle name="Calculation 13" xfId="6006" xr:uid="{00000000-0005-0000-0000-00001B270000}"/>
    <cellStyle name="Calculation 13 2" xfId="19117" xr:uid="{00000000-0005-0000-0000-00001C270000}"/>
    <cellStyle name="Calculation 13 3" xfId="30627" xr:uid="{00000000-0005-0000-0000-00001D270000}"/>
    <cellStyle name="Calculation 14" xfId="6007" xr:uid="{00000000-0005-0000-0000-00001E270000}"/>
    <cellStyle name="Calculation 14 2" xfId="19118" xr:uid="{00000000-0005-0000-0000-00001F270000}"/>
    <cellStyle name="Calculation 14 3" xfId="30628" xr:uid="{00000000-0005-0000-0000-000020270000}"/>
    <cellStyle name="Calculation 15" xfId="6008" xr:uid="{00000000-0005-0000-0000-000021270000}"/>
    <cellStyle name="Calculation 15 2" xfId="19119" xr:uid="{00000000-0005-0000-0000-000022270000}"/>
    <cellStyle name="Calculation 15 3" xfId="30629" xr:uid="{00000000-0005-0000-0000-000023270000}"/>
    <cellStyle name="Calculation 16" xfId="6009" xr:uid="{00000000-0005-0000-0000-000024270000}"/>
    <cellStyle name="Calculation 16 2" xfId="19120" xr:uid="{00000000-0005-0000-0000-000025270000}"/>
    <cellStyle name="Calculation 16 3" xfId="30630" xr:uid="{00000000-0005-0000-0000-000026270000}"/>
    <cellStyle name="Calculation 17" xfId="6010" xr:uid="{00000000-0005-0000-0000-000027270000}"/>
    <cellStyle name="Calculation 17 2" xfId="19121" xr:uid="{00000000-0005-0000-0000-000028270000}"/>
    <cellStyle name="Calculation 17 3" xfId="30631" xr:uid="{00000000-0005-0000-0000-000029270000}"/>
    <cellStyle name="Calculation 18" xfId="6011" xr:uid="{00000000-0005-0000-0000-00002A270000}"/>
    <cellStyle name="Calculation 18 2" xfId="19122" xr:uid="{00000000-0005-0000-0000-00002B270000}"/>
    <cellStyle name="Calculation 19" xfId="6012" xr:uid="{00000000-0005-0000-0000-00002C270000}"/>
    <cellStyle name="Calculation 19 2" xfId="19123" xr:uid="{00000000-0005-0000-0000-00002D270000}"/>
    <cellStyle name="Calculation 2" xfId="83" xr:uid="{00000000-0005-0000-0000-00002E270000}"/>
    <cellStyle name="Calculation 2 10" xfId="6014" xr:uid="{00000000-0005-0000-0000-00002F270000}"/>
    <cellStyle name="Calculation 2 10 2" xfId="19125" xr:uid="{00000000-0005-0000-0000-000030270000}"/>
    <cellStyle name="Calculation 2 11" xfId="6015" xr:uid="{00000000-0005-0000-0000-000031270000}"/>
    <cellStyle name="Calculation 2 11 2" xfId="19126" xr:uid="{00000000-0005-0000-0000-000032270000}"/>
    <cellStyle name="Calculation 2 12" xfId="6016" xr:uid="{00000000-0005-0000-0000-000033270000}"/>
    <cellStyle name="Calculation 2 12 2" xfId="19127" xr:uid="{00000000-0005-0000-0000-000034270000}"/>
    <cellStyle name="Calculation 2 13" xfId="6017" xr:uid="{00000000-0005-0000-0000-000035270000}"/>
    <cellStyle name="Calculation 2 13 2" xfId="19128" xr:uid="{00000000-0005-0000-0000-000036270000}"/>
    <cellStyle name="Calculation 2 14" xfId="6018" xr:uid="{00000000-0005-0000-0000-000037270000}"/>
    <cellStyle name="Calculation 2 14 2" xfId="19129" xr:uid="{00000000-0005-0000-0000-000038270000}"/>
    <cellStyle name="Calculation 2 15" xfId="6019" xr:uid="{00000000-0005-0000-0000-000039270000}"/>
    <cellStyle name="Calculation 2 15 2" xfId="19130" xr:uid="{00000000-0005-0000-0000-00003A270000}"/>
    <cellStyle name="Calculation 2 16" xfId="6020" xr:uid="{00000000-0005-0000-0000-00003B270000}"/>
    <cellStyle name="Calculation 2 16 2" xfId="6021" xr:uid="{00000000-0005-0000-0000-00003C270000}"/>
    <cellStyle name="Calculation 2 16 2 2" xfId="19132" xr:uid="{00000000-0005-0000-0000-00003D270000}"/>
    <cellStyle name="Calculation 2 16 3" xfId="19131" xr:uid="{00000000-0005-0000-0000-00003E270000}"/>
    <cellStyle name="Calculation 2 17" xfId="6022" xr:uid="{00000000-0005-0000-0000-00003F270000}"/>
    <cellStyle name="Calculation 2 17 2" xfId="19133" xr:uid="{00000000-0005-0000-0000-000040270000}"/>
    <cellStyle name="Calculation 2 18" xfId="6023" xr:uid="{00000000-0005-0000-0000-000041270000}"/>
    <cellStyle name="Calculation 2 18 2" xfId="19134" xr:uid="{00000000-0005-0000-0000-000042270000}"/>
    <cellStyle name="Calculation 2 19" xfId="6024" xr:uid="{00000000-0005-0000-0000-000043270000}"/>
    <cellStyle name="Calculation 2 19 2" xfId="19135" xr:uid="{00000000-0005-0000-0000-000044270000}"/>
    <cellStyle name="Calculation 2 2" xfId="6025" xr:uid="{00000000-0005-0000-0000-000045270000}"/>
    <cellStyle name="Calculation 2 2 10" xfId="6026" xr:uid="{00000000-0005-0000-0000-000046270000}"/>
    <cellStyle name="Calculation 2 2 10 2" xfId="19137" xr:uid="{00000000-0005-0000-0000-000047270000}"/>
    <cellStyle name="Calculation 2 2 11" xfId="6027" xr:uid="{00000000-0005-0000-0000-000048270000}"/>
    <cellStyle name="Calculation 2 2 11 2" xfId="19138" xr:uid="{00000000-0005-0000-0000-000049270000}"/>
    <cellStyle name="Calculation 2 2 12" xfId="6028" xr:uid="{00000000-0005-0000-0000-00004A270000}"/>
    <cellStyle name="Calculation 2 2 12 2" xfId="19139" xr:uid="{00000000-0005-0000-0000-00004B270000}"/>
    <cellStyle name="Calculation 2 2 13" xfId="6029" xr:uid="{00000000-0005-0000-0000-00004C270000}"/>
    <cellStyle name="Calculation 2 2 13 2" xfId="19140" xr:uid="{00000000-0005-0000-0000-00004D270000}"/>
    <cellStyle name="Calculation 2 2 14" xfId="6030" xr:uid="{00000000-0005-0000-0000-00004E270000}"/>
    <cellStyle name="Calculation 2 2 14 2" xfId="6031" xr:uid="{00000000-0005-0000-0000-00004F270000}"/>
    <cellStyle name="Calculation 2 2 14 2 2" xfId="19142" xr:uid="{00000000-0005-0000-0000-000050270000}"/>
    <cellStyle name="Calculation 2 2 14 3" xfId="19141" xr:uid="{00000000-0005-0000-0000-000051270000}"/>
    <cellStyle name="Calculation 2 2 15" xfId="6032" xr:uid="{00000000-0005-0000-0000-000052270000}"/>
    <cellStyle name="Calculation 2 2 15 2" xfId="19143" xr:uid="{00000000-0005-0000-0000-000053270000}"/>
    <cellStyle name="Calculation 2 2 16" xfId="6033" xr:uid="{00000000-0005-0000-0000-000054270000}"/>
    <cellStyle name="Calculation 2 2 16 2" xfId="19144" xr:uid="{00000000-0005-0000-0000-000055270000}"/>
    <cellStyle name="Calculation 2 2 17" xfId="6034" xr:uid="{00000000-0005-0000-0000-000056270000}"/>
    <cellStyle name="Calculation 2 2 17 2" xfId="19145" xr:uid="{00000000-0005-0000-0000-000057270000}"/>
    <cellStyle name="Calculation 2 2 18" xfId="6035" xr:uid="{00000000-0005-0000-0000-000058270000}"/>
    <cellStyle name="Calculation 2 2 18 2" xfId="19146" xr:uid="{00000000-0005-0000-0000-000059270000}"/>
    <cellStyle name="Calculation 2 2 19" xfId="6036" xr:uid="{00000000-0005-0000-0000-00005A270000}"/>
    <cellStyle name="Calculation 2 2 19 2" xfId="19147" xr:uid="{00000000-0005-0000-0000-00005B270000}"/>
    <cellStyle name="Calculation 2 2 2" xfId="6037" xr:uid="{00000000-0005-0000-0000-00005C270000}"/>
    <cellStyle name="Calculation 2 2 2 10" xfId="6038" xr:uid="{00000000-0005-0000-0000-00005D270000}"/>
    <cellStyle name="Calculation 2 2 2 10 2" xfId="19149" xr:uid="{00000000-0005-0000-0000-00005E270000}"/>
    <cellStyle name="Calculation 2 2 2 11" xfId="6039" xr:uid="{00000000-0005-0000-0000-00005F270000}"/>
    <cellStyle name="Calculation 2 2 2 11 2" xfId="19150" xr:uid="{00000000-0005-0000-0000-000060270000}"/>
    <cellStyle name="Calculation 2 2 2 12" xfId="6040" xr:uid="{00000000-0005-0000-0000-000061270000}"/>
    <cellStyle name="Calculation 2 2 2 12 2" xfId="19151" xr:uid="{00000000-0005-0000-0000-000062270000}"/>
    <cellStyle name="Calculation 2 2 2 13" xfId="6041" xr:uid="{00000000-0005-0000-0000-000063270000}"/>
    <cellStyle name="Calculation 2 2 2 13 2" xfId="19152" xr:uid="{00000000-0005-0000-0000-000064270000}"/>
    <cellStyle name="Calculation 2 2 2 14" xfId="6042" xr:uid="{00000000-0005-0000-0000-000065270000}"/>
    <cellStyle name="Calculation 2 2 2 14 2" xfId="19153" xr:uid="{00000000-0005-0000-0000-000066270000}"/>
    <cellStyle name="Calculation 2 2 2 15" xfId="6043" xr:uid="{00000000-0005-0000-0000-000067270000}"/>
    <cellStyle name="Calculation 2 2 2 15 2" xfId="19154" xr:uid="{00000000-0005-0000-0000-000068270000}"/>
    <cellStyle name="Calculation 2 2 2 16" xfId="6044" xr:uid="{00000000-0005-0000-0000-000069270000}"/>
    <cellStyle name="Calculation 2 2 2 16 2" xfId="19155" xr:uid="{00000000-0005-0000-0000-00006A270000}"/>
    <cellStyle name="Calculation 2 2 2 17" xfId="6045" xr:uid="{00000000-0005-0000-0000-00006B270000}"/>
    <cellStyle name="Calculation 2 2 2 17 2" xfId="19156" xr:uid="{00000000-0005-0000-0000-00006C270000}"/>
    <cellStyle name="Calculation 2 2 2 18" xfId="6046" xr:uid="{00000000-0005-0000-0000-00006D270000}"/>
    <cellStyle name="Calculation 2 2 2 18 2" xfId="19157" xr:uid="{00000000-0005-0000-0000-00006E270000}"/>
    <cellStyle name="Calculation 2 2 2 19" xfId="6047" xr:uid="{00000000-0005-0000-0000-00006F270000}"/>
    <cellStyle name="Calculation 2 2 2 19 2" xfId="19158" xr:uid="{00000000-0005-0000-0000-000070270000}"/>
    <cellStyle name="Calculation 2 2 2 2" xfId="6048" xr:uid="{00000000-0005-0000-0000-000071270000}"/>
    <cellStyle name="Calculation 2 2 2 2 10" xfId="6049" xr:uid="{00000000-0005-0000-0000-000072270000}"/>
    <cellStyle name="Calculation 2 2 2 2 10 2" xfId="19160" xr:uid="{00000000-0005-0000-0000-000073270000}"/>
    <cellStyle name="Calculation 2 2 2 2 11" xfId="6050" xr:uid="{00000000-0005-0000-0000-000074270000}"/>
    <cellStyle name="Calculation 2 2 2 2 11 2" xfId="19161" xr:uid="{00000000-0005-0000-0000-000075270000}"/>
    <cellStyle name="Calculation 2 2 2 2 12" xfId="6051" xr:uid="{00000000-0005-0000-0000-000076270000}"/>
    <cellStyle name="Calculation 2 2 2 2 12 2" xfId="19162" xr:uid="{00000000-0005-0000-0000-000077270000}"/>
    <cellStyle name="Calculation 2 2 2 2 13" xfId="6052" xr:uid="{00000000-0005-0000-0000-000078270000}"/>
    <cellStyle name="Calculation 2 2 2 2 13 2" xfId="19163" xr:uid="{00000000-0005-0000-0000-000079270000}"/>
    <cellStyle name="Calculation 2 2 2 2 14" xfId="6053" xr:uid="{00000000-0005-0000-0000-00007A270000}"/>
    <cellStyle name="Calculation 2 2 2 2 14 2" xfId="19164" xr:uid="{00000000-0005-0000-0000-00007B270000}"/>
    <cellStyle name="Calculation 2 2 2 2 15" xfId="6054" xr:uid="{00000000-0005-0000-0000-00007C270000}"/>
    <cellStyle name="Calculation 2 2 2 2 15 2" xfId="19165" xr:uid="{00000000-0005-0000-0000-00007D270000}"/>
    <cellStyle name="Calculation 2 2 2 2 16" xfId="6055" xr:uid="{00000000-0005-0000-0000-00007E270000}"/>
    <cellStyle name="Calculation 2 2 2 2 16 2" xfId="19166" xr:uid="{00000000-0005-0000-0000-00007F270000}"/>
    <cellStyle name="Calculation 2 2 2 2 17" xfId="6056" xr:uid="{00000000-0005-0000-0000-000080270000}"/>
    <cellStyle name="Calculation 2 2 2 2 17 2" xfId="19167" xr:uid="{00000000-0005-0000-0000-000081270000}"/>
    <cellStyle name="Calculation 2 2 2 2 18" xfId="6057" xr:uid="{00000000-0005-0000-0000-000082270000}"/>
    <cellStyle name="Calculation 2 2 2 2 18 2" xfId="19168" xr:uid="{00000000-0005-0000-0000-000083270000}"/>
    <cellStyle name="Calculation 2 2 2 2 19" xfId="6058" xr:uid="{00000000-0005-0000-0000-000084270000}"/>
    <cellStyle name="Calculation 2 2 2 2 19 2" xfId="19169" xr:uid="{00000000-0005-0000-0000-000085270000}"/>
    <cellStyle name="Calculation 2 2 2 2 2" xfId="6059" xr:uid="{00000000-0005-0000-0000-000086270000}"/>
    <cellStyle name="Calculation 2 2 2 2 2 10" xfId="6060" xr:uid="{00000000-0005-0000-0000-000087270000}"/>
    <cellStyle name="Calculation 2 2 2 2 2 10 2" xfId="19171" xr:uid="{00000000-0005-0000-0000-000088270000}"/>
    <cellStyle name="Calculation 2 2 2 2 2 11" xfId="6061" xr:uid="{00000000-0005-0000-0000-000089270000}"/>
    <cellStyle name="Calculation 2 2 2 2 2 11 2" xfId="6062" xr:uid="{00000000-0005-0000-0000-00008A270000}"/>
    <cellStyle name="Calculation 2 2 2 2 2 11 2 2" xfId="19173" xr:uid="{00000000-0005-0000-0000-00008B270000}"/>
    <cellStyle name="Calculation 2 2 2 2 2 11 3" xfId="19172" xr:uid="{00000000-0005-0000-0000-00008C270000}"/>
    <cellStyle name="Calculation 2 2 2 2 2 12" xfId="19170" xr:uid="{00000000-0005-0000-0000-00008D270000}"/>
    <cellStyle name="Calculation 2 2 2 2 2 2" xfId="6063" xr:uid="{00000000-0005-0000-0000-00008E270000}"/>
    <cellStyle name="Calculation 2 2 2 2 2 2 10" xfId="6064" xr:uid="{00000000-0005-0000-0000-00008F270000}"/>
    <cellStyle name="Calculation 2 2 2 2 2 2 10 2" xfId="19175" xr:uid="{00000000-0005-0000-0000-000090270000}"/>
    <cellStyle name="Calculation 2 2 2 2 2 2 11" xfId="6065" xr:uid="{00000000-0005-0000-0000-000091270000}"/>
    <cellStyle name="Calculation 2 2 2 2 2 2 11 2" xfId="6066" xr:uid="{00000000-0005-0000-0000-000092270000}"/>
    <cellStyle name="Calculation 2 2 2 2 2 2 11 2 2" xfId="19177" xr:uid="{00000000-0005-0000-0000-000093270000}"/>
    <cellStyle name="Calculation 2 2 2 2 2 2 11 3" xfId="19176" xr:uid="{00000000-0005-0000-0000-000094270000}"/>
    <cellStyle name="Calculation 2 2 2 2 2 2 12" xfId="19174" xr:uid="{00000000-0005-0000-0000-000095270000}"/>
    <cellStyle name="Calculation 2 2 2 2 2 2 2" xfId="6067" xr:uid="{00000000-0005-0000-0000-000096270000}"/>
    <cellStyle name="Calculation 2 2 2 2 2 2 2 2" xfId="6068" xr:uid="{00000000-0005-0000-0000-000097270000}"/>
    <cellStyle name="Calculation 2 2 2 2 2 2 2 2 2" xfId="6069" xr:uid="{00000000-0005-0000-0000-000098270000}"/>
    <cellStyle name="Calculation 2 2 2 2 2 2 2 2 2 2" xfId="6070" xr:uid="{00000000-0005-0000-0000-000099270000}"/>
    <cellStyle name="Calculation 2 2 2 2 2 2 2 2 2 2 2" xfId="19181" xr:uid="{00000000-0005-0000-0000-00009A270000}"/>
    <cellStyle name="Calculation 2 2 2 2 2 2 2 2 2 3" xfId="19180" xr:uid="{00000000-0005-0000-0000-00009B270000}"/>
    <cellStyle name="Calculation 2 2 2 2 2 2 2 2 3" xfId="6071" xr:uid="{00000000-0005-0000-0000-00009C270000}"/>
    <cellStyle name="Calculation 2 2 2 2 2 2 2 2 3 2" xfId="19182" xr:uid="{00000000-0005-0000-0000-00009D270000}"/>
    <cellStyle name="Calculation 2 2 2 2 2 2 2 2 4" xfId="19179" xr:uid="{00000000-0005-0000-0000-00009E270000}"/>
    <cellStyle name="Calculation 2 2 2 2 2 2 2 3" xfId="6072" xr:uid="{00000000-0005-0000-0000-00009F270000}"/>
    <cellStyle name="Calculation 2 2 2 2 2 2 2 3 2" xfId="6073" xr:uid="{00000000-0005-0000-0000-0000A0270000}"/>
    <cellStyle name="Calculation 2 2 2 2 2 2 2 3 2 2" xfId="19184" xr:uid="{00000000-0005-0000-0000-0000A1270000}"/>
    <cellStyle name="Calculation 2 2 2 2 2 2 2 3 3" xfId="19183" xr:uid="{00000000-0005-0000-0000-0000A2270000}"/>
    <cellStyle name="Calculation 2 2 2 2 2 2 2 4" xfId="19178" xr:uid="{00000000-0005-0000-0000-0000A3270000}"/>
    <cellStyle name="Calculation 2 2 2 2 2 2 3" xfId="6074" xr:uid="{00000000-0005-0000-0000-0000A4270000}"/>
    <cellStyle name="Calculation 2 2 2 2 2 2 3 2" xfId="19185" xr:uid="{00000000-0005-0000-0000-0000A5270000}"/>
    <cellStyle name="Calculation 2 2 2 2 2 2 4" xfId="6075" xr:uid="{00000000-0005-0000-0000-0000A6270000}"/>
    <cellStyle name="Calculation 2 2 2 2 2 2 4 2" xfId="19186" xr:uid="{00000000-0005-0000-0000-0000A7270000}"/>
    <cellStyle name="Calculation 2 2 2 2 2 2 5" xfId="6076" xr:uid="{00000000-0005-0000-0000-0000A8270000}"/>
    <cellStyle name="Calculation 2 2 2 2 2 2 5 2" xfId="19187" xr:uid="{00000000-0005-0000-0000-0000A9270000}"/>
    <cellStyle name="Calculation 2 2 2 2 2 2 6" xfId="6077" xr:uid="{00000000-0005-0000-0000-0000AA270000}"/>
    <cellStyle name="Calculation 2 2 2 2 2 2 6 2" xfId="19188" xr:uid="{00000000-0005-0000-0000-0000AB270000}"/>
    <cellStyle name="Calculation 2 2 2 2 2 2 7" xfId="6078" xr:uid="{00000000-0005-0000-0000-0000AC270000}"/>
    <cellStyle name="Calculation 2 2 2 2 2 2 7 2" xfId="19189" xr:uid="{00000000-0005-0000-0000-0000AD270000}"/>
    <cellStyle name="Calculation 2 2 2 2 2 2 8" xfId="6079" xr:uid="{00000000-0005-0000-0000-0000AE270000}"/>
    <cellStyle name="Calculation 2 2 2 2 2 2 8 2" xfId="19190" xr:uid="{00000000-0005-0000-0000-0000AF270000}"/>
    <cellStyle name="Calculation 2 2 2 2 2 2 9" xfId="6080" xr:uid="{00000000-0005-0000-0000-0000B0270000}"/>
    <cellStyle name="Calculation 2 2 2 2 2 2 9 2" xfId="19191" xr:uid="{00000000-0005-0000-0000-0000B1270000}"/>
    <cellStyle name="Calculation 2 2 2 2 2 3" xfId="6081" xr:uid="{00000000-0005-0000-0000-0000B2270000}"/>
    <cellStyle name="Calculation 2 2 2 2 2 3 2" xfId="6082" xr:uid="{00000000-0005-0000-0000-0000B3270000}"/>
    <cellStyle name="Calculation 2 2 2 2 2 3 2 2" xfId="19193" xr:uid="{00000000-0005-0000-0000-0000B4270000}"/>
    <cellStyle name="Calculation 2 2 2 2 2 3 3" xfId="19192" xr:uid="{00000000-0005-0000-0000-0000B5270000}"/>
    <cellStyle name="Calculation 2 2 2 2 2 4" xfId="6083" xr:uid="{00000000-0005-0000-0000-0000B6270000}"/>
    <cellStyle name="Calculation 2 2 2 2 2 4 2" xfId="19194" xr:uid="{00000000-0005-0000-0000-0000B7270000}"/>
    <cellStyle name="Calculation 2 2 2 2 2 5" xfId="6084" xr:uid="{00000000-0005-0000-0000-0000B8270000}"/>
    <cellStyle name="Calculation 2 2 2 2 2 5 2" xfId="19195" xr:uid="{00000000-0005-0000-0000-0000B9270000}"/>
    <cellStyle name="Calculation 2 2 2 2 2 6" xfId="6085" xr:uid="{00000000-0005-0000-0000-0000BA270000}"/>
    <cellStyle name="Calculation 2 2 2 2 2 6 2" xfId="19196" xr:uid="{00000000-0005-0000-0000-0000BB270000}"/>
    <cellStyle name="Calculation 2 2 2 2 2 7" xfId="6086" xr:uid="{00000000-0005-0000-0000-0000BC270000}"/>
    <cellStyle name="Calculation 2 2 2 2 2 7 2" xfId="19197" xr:uid="{00000000-0005-0000-0000-0000BD270000}"/>
    <cellStyle name="Calculation 2 2 2 2 2 8" xfId="6087" xr:uid="{00000000-0005-0000-0000-0000BE270000}"/>
    <cellStyle name="Calculation 2 2 2 2 2 8 2" xfId="19198" xr:uid="{00000000-0005-0000-0000-0000BF270000}"/>
    <cellStyle name="Calculation 2 2 2 2 2 9" xfId="6088" xr:uid="{00000000-0005-0000-0000-0000C0270000}"/>
    <cellStyle name="Calculation 2 2 2 2 2 9 2" xfId="19199" xr:uid="{00000000-0005-0000-0000-0000C1270000}"/>
    <cellStyle name="Calculation 2 2 2 2 20" xfId="6089" xr:uid="{00000000-0005-0000-0000-0000C2270000}"/>
    <cellStyle name="Calculation 2 2 2 2 20 2" xfId="6090" xr:uid="{00000000-0005-0000-0000-0000C3270000}"/>
    <cellStyle name="Calculation 2 2 2 2 20 2 2" xfId="19201" xr:uid="{00000000-0005-0000-0000-0000C4270000}"/>
    <cellStyle name="Calculation 2 2 2 2 20 3" xfId="19200" xr:uid="{00000000-0005-0000-0000-0000C5270000}"/>
    <cellStyle name="Calculation 2 2 2 2 21" xfId="6091" xr:uid="{00000000-0005-0000-0000-0000C6270000}"/>
    <cellStyle name="Calculation 2 2 2 2 21 2" xfId="19202" xr:uid="{00000000-0005-0000-0000-0000C7270000}"/>
    <cellStyle name="Calculation 2 2 2 2 22" xfId="6092" xr:uid="{00000000-0005-0000-0000-0000C8270000}"/>
    <cellStyle name="Calculation 2 2 2 2 22 2" xfId="19203" xr:uid="{00000000-0005-0000-0000-0000C9270000}"/>
    <cellStyle name="Calculation 2 2 2 2 23" xfId="6093" xr:uid="{00000000-0005-0000-0000-0000CA270000}"/>
    <cellStyle name="Calculation 2 2 2 2 23 2" xfId="19204" xr:uid="{00000000-0005-0000-0000-0000CB270000}"/>
    <cellStyle name="Calculation 2 2 2 2 24" xfId="6094" xr:uid="{00000000-0005-0000-0000-0000CC270000}"/>
    <cellStyle name="Calculation 2 2 2 2 24 2" xfId="19205" xr:uid="{00000000-0005-0000-0000-0000CD270000}"/>
    <cellStyle name="Calculation 2 2 2 2 25" xfId="6095" xr:uid="{00000000-0005-0000-0000-0000CE270000}"/>
    <cellStyle name="Calculation 2 2 2 2 25 2" xfId="19206" xr:uid="{00000000-0005-0000-0000-0000CF270000}"/>
    <cellStyle name="Calculation 2 2 2 2 26" xfId="6096" xr:uid="{00000000-0005-0000-0000-0000D0270000}"/>
    <cellStyle name="Calculation 2 2 2 2 26 2" xfId="19207" xr:uid="{00000000-0005-0000-0000-0000D1270000}"/>
    <cellStyle name="Calculation 2 2 2 2 27" xfId="6097" xr:uid="{00000000-0005-0000-0000-0000D2270000}"/>
    <cellStyle name="Calculation 2 2 2 2 27 2" xfId="19208" xr:uid="{00000000-0005-0000-0000-0000D3270000}"/>
    <cellStyle name="Calculation 2 2 2 2 28" xfId="6098" xr:uid="{00000000-0005-0000-0000-0000D4270000}"/>
    <cellStyle name="Calculation 2 2 2 2 28 2" xfId="6099" xr:uid="{00000000-0005-0000-0000-0000D5270000}"/>
    <cellStyle name="Calculation 2 2 2 2 28 2 2" xfId="19210" xr:uid="{00000000-0005-0000-0000-0000D6270000}"/>
    <cellStyle name="Calculation 2 2 2 2 28 3" xfId="19209" xr:uid="{00000000-0005-0000-0000-0000D7270000}"/>
    <cellStyle name="Calculation 2 2 2 2 29" xfId="19159" xr:uid="{00000000-0005-0000-0000-0000D8270000}"/>
    <cellStyle name="Calculation 2 2 2 2 3" xfId="6100" xr:uid="{00000000-0005-0000-0000-0000D9270000}"/>
    <cellStyle name="Calculation 2 2 2 2 3 2" xfId="19211" xr:uid="{00000000-0005-0000-0000-0000DA270000}"/>
    <cellStyle name="Calculation 2 2 2 2 4" xfId="6101" xr:uid="{00000000-0005-0000-0000-0000DB270000}"/>
    <cellStyle name="Calculation 2 2 2 2 4 2" xfId="19212" xr:uid="{00000000-0005-0000-0000-0000DC270000}"/>
    <cellStyle name="Calculation 2 2 2 2 5" xfId="6102" xr:uid="{00000000-0005-0000-0000-0000DD270000}"/>
    <cellStyle name="Calculation 2 2 2 2 5 2" xfId="19213" xr:uid="{00000000-0005-0000-0000-0000DE270000}"/>
    <cellStyle name="Calculation 2 2 2 2 6" xfId="6103" xr:uid="{00000000-0005-0000-0000-0000DF270000}"/>
    <cellStyle name="Calculation 2 2 2 2 6 2" xfId="19214" xr:uid="{00000000-0005-0000-0000-0000E0270000}"/>
    <cellStyle name="Calculation 2 2 2 2 7" xfId="6104" xr:uid="{00000000-0005-0000-0000-0000E1270000}"/>
    <cellStyle name="Calculation 2 2 2 2 7 2" xfId="19215" xr:uid="{00000000-0005-0000-0000-0000E2270000}"/>
    <cellStyle name="Calculation 2 2 2 2 8" xfId="6105" xr:uid="{00000000-0005-0000-0000-0000E3270000}"/>
    <cellStyle name="Calculation 2 2 2 2 8 2" xfId="19216" xr:uid="{00000000-0005-0000-0000-0000E4270000}"/>
    <cellStyle name="Calculation 2 2 2 2 9" xfId="6106" xr:uid="{00000000-0005-0000-0000-0000E5270000}"/>
    <cellStyle name="Calculation 2 2 2 2 9 2" xfId="19217" xr:uid="{00000000-0005-0000-0000-0000E6270000}"/>
    <cellStyle name="Calculation 2 2 2 20" xfId="6107" xr:uid="{00000000-0005-0000-0000-0000E7270000}"/>
    <cellStyle name="Calculation 2 2 2 20 2" xfId="6108" xr:uid="{00000000-0005-0000-0000-0000E8270000}"/>
    <cellStyle name="Calculation 2 2 2 20 2 2" xfId="19219" xr:uid="{00000000-0005-0000-0000-0000E9270000}"/>
    <cellStyle name="Calculation 2 2 2 20 3" xfId="19218" xr:uid="{00000000-0005-0000-0000-0000EA270000}"/>
    <cellStyle name="Calculation 2 2 2 21" xfId="6109" xr:uid="{00000000-0005-0000-0000-0000EB270000}"/>
    <cellStyle name="Calculation 2 2 2 21 2" xfId="19220" xr:uid="{00000000-0005-0000-0000-0000EC270000}"/>
    <cellStyle name="Calculation 2 2 2 22" xfId="6110" xr:uid="{00000000-0005-0000-0000-0000ED270000}"/>
    <cellStyle name="Calculation 2 2 2 22 2" xfId="19221" xr:uid="{00000000-0005-0000-0000-0000EE270000}"/>
    <cellStyle name="Calculation 2 2 2 23" xfId="6111" xr:uid="{00000000-0005-0000-0000-0000EF270000}"/>
    <cellStyle name="Calculation 2 2 2 23 2" xfId="19222" xr:uid="{00000000-0005-0000-0000-0000F0270000}"/>
    <cellStyle name="Calculation 2 2 2 24" xfId="6112" xr:uid="{00000000-0005-0000-0000-0000F1270000}"/>
    <cellStyle name="Calculation 2 2 2 24 2" xfId="19223" xr:uid="{00000000-0005-0000-0000-0000F2270000}"/>
    <cellStyle name="Calculation 2 2 2 25" xfId="6113" xr:uid="{00000000-0005-0000-0000-0000F3270000}"/>
    <cellStyle name="Calculation 2 2 2 25 2" xfId="19224" xr:uid="{00000000-0005-0000-0000-0000F4270000}"/>
    <cellStyle name="Calculation 2 2 2 26" xfId="6114" xr:uid="{00000000-0005-0000-0000-0000F5270000}"/>
    <cellStyle name="Calculation 2 2 2 26 2" xfId="19225" xr:uid="{00000000-0005-0000-0000-0000F6270000}"/>
    <cellStyle name="Calculation 2 2 2 27" xfId="6115" xr:uid="{00000000-0005-0000-0000-0000F7270000}"/>
    <cellStyle name="Calculation 2 2 2 27 2" xfId="19226" xr:uid="{00000000-0005-0000-0000-0000F8270000}"/>
    <cellStyle name="Calculation 2 2 2 28" xfId="6116" xr:uid="{00000000-0005-0000-0000-0000F9270000}"/>
    <cellStyle name="Calculation 2 2 2 28 2" xfId="6117" xr:uid="{00000000-0005-0000-0000-0000FA270000}"/>
    <cellStyle name="Calculation 2 2 2 28 2 2" xfId="19228" xr:uid="{00000000-0005-0000-0000-0000FB270000}"/>
    <cellStyle name="Calculation 2 2 2 28 3" xfId="19227" xr:uid="{00000000-0005-0000-0000-0000FC270000}"/>
    <cellStyle name="Calculation 2 2 2 29" xfId="19148" xr:uid="{00000000-0005-0000-0000-0000FD270000}"/>
    <cellStyle name="Calculation 2 2 2 3" xfId="6118" xr:uid="{00000000-0005-0000-0000-0000FE270000}"/>
    <cellStyle name="Calculation 2 2 2 3 2" xfId="6119" xr:uid="{00000000-0005-0000-0000-0000FF270000}"/>
    <cellStyle name="Calculation 2 2 2 3 2 2" xfId="19230" xr:uid="{00000000-0005-0000-0000-000000280000}"/>
    <cellStyle name="Calculation 2 2 2 3 3" xfId="19229" xr:uid="{00000000-0005-0000-0000-000001280000}"/>
    <cellStyle name="Calculation 2 2 2 30" xfId="30632" xr:uid="{00000000-0005-0000-0000-000002280000}"/>
    <cellStyle name="Calculation 2 2 2 4" xfId="6120" xr:uid="{00000000-0005-0000-0000-000003280000}"/>
    <cellStyle name="Calculation 2 2 2 4 2" xfId="19231" xr:uid="{00000000-0005-0000-0000-000004280000}"/>
    <cellStyle name="Calculation 2 2 2 5" xfId="6121" xr:uid="{00000000-0005-0000-0000-000005280000}"/>
    <cellStyle name="Calculation 2 2 2 5 2" xfId="19232" xr:uid="{00000000-0005-0000-0000-000006280000}"/>
    <cellStyle name="Calculation 2 2 2 6" xfId="6122" xr:uid="{00000000-0005-0000-0000-000007280000}"/>
    <cellStyle name="Calculation 2 2 2 6 2" xfId="19233" xr:uid="{00000000-0005-0000-0000-000008280000}"/>
    <cellStyle name="Calculation 2 2 2 7" xfId="6123" xr:uid="{00000000-0005-0000-0000-000009280000}"/>
    <cellStyle name="Calculation 2 2 2 7 2" xfId="19234" xr:uid="{00000000-0005-0000-0000-00000A280000}"/>
    <cellStyle name="Calculation 2 2 2 8" xfId="6124" xr:uid="{00000000-0005-0000-0000-00000B280000}"/>
    <cellStyle name="Calculation 2 2 2 8 2" xfId="19235" xr:uid="{00000000-0005-0000-0000-00000C280000}"/>
    <cellStyle name="Calculation 2 2 2 9" xfId="6125" xr:uid="{00000000-0005-0000-0000-00000D280000}"/>
    <cellStyle name="Calculation 2 2 2 9 2" xfId="19236" xr:uid="{00000000-0005-0000-0000-00000E280000}"/>
    <cellStyle name="Calculation 2 2 20" xfId="6126" xr:uid="{00000000-0005-0000-0000-00000F280000}"/>
    <cellStyle name="Calculation 2 2 20 2" xfId="19237" xr:uid="{00000000-0005-0000-0000-000010280000}"/>
    <cellStyle name="Calculation 2 2 21" xfId="6127" xr:uid="{00000000-0005-0000-0000-000011280000}"/>
    <cellStyle name="Calculation 2 2 21 2" xfId="19238" xr:uid="{00000000-0005-0000-0000-000012280000}"/>
    <cellStyle name="Calculation 2 2 22" xfId="6128" xr:uid="{00000000-0005-0000-0000-000013280000}"/>
    <cellStyle name="Calculation 2 2 22 2" xfId="19239" xr:uid="{00000000-0005-0000-0000-000014280000}"/>
    <cellStyle name="Calculation 2 2 23" xfId="6129" xr:uid="{00000000-0005-0000-0000-000015280000}"/>
    <cellStyle name="Calculation 2 2 23 2" xfId="19240" xr:uid="{00000000-0005-0000-0000-000016280000}"/>
    <cellStyle name="Calculation 2 2 24" xfId="6130" xr:uid="{00000000-0005-0000-0000-000017280000}"/>
    <cellStyle name="Calculation 2 2 24 2" xfId="19241" xr:uid="{00000000-0005-0000-0000-000018280000}"/>
    <cellStyle name="Calculation 2 2 25" xfId="6131" xr:uid="{00000000-0005-0000-0000-000019280000}"/>
    <cellStyle name="Calculation 2 2 25 2" xfId="19242" xr:uid="{00000000-0005-0000-0000-00001A280000}"/>
    <cellStyle name="Calculation 2 2 26" xfId="6132" xr:uid="{00000000-0005-0000-0000-00001B280000}"/>
    <cellStyle name="Calculation 2 2 26 2" xfId="19243" xr:uid="{00000000-0005-0000-0000-00001C280000}"/>
    <cellStyle name="Calculation 2 2 27" xfId="6133" xr:uid="{00000000-0005-0000-0000-00001D280000}"/>
    <cellStyle name="Calculation 2 2 27 2" xfId="19244" xr:uid="{00000000-0005-0000-0000-00001E280000}"/>
    <cellStyle name="Calculation 2 2 28" xfId="6134" xr:uid="{00000000-0005-0000-0000-00001F280000}"/>
    <cellStyle name="Calculation 2 2 28 2" xfId="19245" xr:uid="{00000000-0005-0000-0000-000020280000}"/>
    <cellStyle name="Calculation 2 2 29" xfId="6135" xr:uid="{00000000-0005-0000-0000-000021280000}"/>
    <cellStyle name="Calculation 2 2 29 2" xfId="19246" xr:uid="{00000000-0005-0000-0000-000022280000}"/>
    <cellStyle name="Calculation 2 2 3" xfId="6136" xr:uid="{00000000-0005-0000-0000-000023280000}"/>
    <cellStyle name="Calculation 2 2 3 2" xfId="19247" xr:uid="{00000000-0005-0000-0000-000024280000}"/>
    <cellStyle name="Calculation 2 2 30" xfId="6137" xr:uid="{00000000-0005-0000-0000-000025280000}"/>
    <cellStyle name="Calculation 2 2 30 2" xfId="19248" xr:uid="{00000000-0005-0000-0000-000026280000}"/>
    <cellStyle name="Calculation 2 2 31" xfId="6138" xr:uid="{00000000-0005-0000-0000-000027280000}"/>
    <cellStyle name="Calculation 2 2 31 2" xfId="6139" xr:uid="{00000000-0005-0000-0000-000028280000}"/>
    <cellStyle name="Calculation 2 2 31 2 2" xfId="19250" xr:uid="{00000000-0005-0000-0000-000029280000}"/>
    <cellStyle name="Calculation 2 2 31 3" xfId="19249" xr:uid="{00000000-0005-0000-0000-00002A280000}"/>
    <cellStyle name="Calculation 2 2 32" xfId="6140" xr:uid="{00000000-0005-0000-0000-00002B280000}"/>
    <cellStyle name="Calculation 2 2 32 2" xfId="19251" xr:uid="{00000000-0005-0000-0000-00002C280000}"/>
    <cellStyle name="Calculation 2 2 33" xfId="6141" xr:uid="{00000000-0005-0000-0000-00002D280000}"/>
    <cellStyle name="Calculation 2 2 33 2" xfId="19252" xr:uid="{00000000-0005-0000-0000-00002E280000}"/>
    <cellStyle name="Calculation 2 2 34" xfId="6142" xr:uid="{00000000-0005-0000-0000-00002F280000}"/>
    <cellStyle name="Calculation 2 2 34 2" xfId="19253" xr:uid="{00000000-0005-0000-0000-000030280000}"/>
    <cellStyle name="Calculation 2 2 35" xfId="6143" xr:uid="{00000000-0005-0000-0000-000031280000}"/>
    <cellStyle name="Calculation 2 2 35 2" xfId="19254" xr:uid="{00000000-0005-0000-0000-000032280000}"/>
    <cellStyle name="Calculation 2 2 36" xfId="6144" xr:uid="{00000000-0005-0000-0000-000033280000}"/>
    <cellStyle name="Calculation 2 2 36 2" xfId="19255" xr:uid="{00000000-0005-0000-0000-000034280000}"/>
    <cellStyle name="Calculation 2 2 37" xfId="6145" xr:uid="{00000000-0005-0000-0000-000035280000}"/>
    <cellStyle name="Calculation 2 2 37 2" xfId="19256" xr:uid="{00000000-0005-0000-0000-000036280000}"/>
    <cellStyle name="Calculation 2 2 38" xfId="6146" xr:uid="{00000000-0005-0000-0000-000037280000}"/>
    <cellStyle name="Calculation 2 2 38 2" xfId="19257" xr:uid="{00000000-0005-0000-0000-000038280000}"/>
    <cellStyle name="Calculation 2 2 39" xfId="6147" xr:uid="{00000000-0005-0000-0000-000039280000}"/>
    <cellStyle name="Calculation 2 2 39 2" xfId="6148" xr:uid="{00000000-0005-0000-0000-00003A280000}"/>
    <cellStyle name="Calculation 2 2 39 2 2" xfId="19259" xr:uid="{00000000-0005-0000-0000-00003B280000}"/>
    <cellStyle name="Calculation 2 2 39 3" xfId="19258" xr:uid="{00000000-0005-0000-0000-00003C280000}"/>
    <cellStyle name="Calculation 2 2 4" xfId="6149" xr:uid="{00000000-0005-0000-0000-00003D280000}"/>
    <cellStyle name="Calculation 2 2 4 2" xfId="19260" xr:uid="{00000000-0005-0000-0000-00003E280000}"/>
    <cellStyle name="Calculation 2 2 40" xfId="19136" xr:uid="{00000000-0005-0000-0000-00003F280000}"/>
    <cellStyle name="Calculation 2 2 41" xfId="30633" xr:uid="{00000000-0005-0000-0000-000040280000}"/>
    <cellStyle name="Calculation 2 2 42" xfId="30634" xr:uid="{00000000-0005-0000-0000-000041280000}"/>
    <cellStyle name="Calculation 2 2 43" xfId="30635" xr:uid="{00000000-0005-0000-0000-000042280000}"/>
    <cellStyle name="Calculation 2 2 44" xfId="30636" xr:uid="{00000000-0005-0000-0000-000043280000}"/>
    <cellStyle name="Calculation 2 2 5" xfId="6150" xr:uid="{00000000-0005-0000-0000-000044280000}"/>
    <cellStyle name="Calculation 2 2 5 2" xfId="19261" xr:uid="{00000000-0005-0000-0000-000045280000}"/>
    <cellStyle name="Calculation 2 2 6" xfId="6151" xr:uid="{00000000-0005-0000-0000-000046280000}"/>
    <cellStyle name="Calculation 2 2 6 2" xfId="19262" xr:uid="{00000000-0005-0000-0000-000047280000}"/>
    <cellStyle name="Calculation 2 2 7" xfId="6152" xr:uid="{00000000-0005-0000-0000-000048280000}"/>
    <cellStyle name="Calculation 2 2 7 2" xfId="19263" xr:uid="{00000000-0005-0000-0000-000049280000}"/>
    <cellStyle name="Calculation 2 2 8" xfId="6153" xr:uid="{00000000-0005-0000-0000-00004A280000}"/>
    <cellStyle name="Calculation 2 2 8 2" xfId="19264" xr:uid="{00000000-0005-0000-0000-00004B280000}"/>
    <cellStyle name="Calculation 2 2 9" xfId="6154" xr:uid="{00000000-0005-0000-0000-00004C280000}"/>
    <cellStyle name="Calculation 2 2 9 2" xfId="19265" xr:uid="{00000000-0005-0000-0000-00004D280000}"/>
    <cellStyle name="Calculation 2 2_Loan Classification" xfId="11439" xr:uid="{00000000-0005-0000-0000-00004E280000}"/>
    <cellStyle name="Calculation 2 20" xfId="6155" xr:uid="{00000000-0005-0000-0000-00004F280000}"/>
    <cellStyle name="Calculation 2 20 2" xfId="19266" xr:uid="{00000000-0005-0000-0000-000050280000}"/>
    <cellStyle name="Calculation 2 21" xfId="6156" xr:uid="{00000000-0005-0000-0000-000051280000}"/>
    <cellStyle name="Calculation 2 21 2" xfId="19267" xr:uid="{00000000-0005-0000-0000-000052280000}"/>
    <cellStyle name="Calculation 2 22" xfId="6157" xr:uid="{00000000-0005-0000-0000-000053280000}"/>
    <cellStyle name="Calculation 2 22 2" xfId="19268" xr:uid="{00000000-0005-0000-0000-000054280000}"/>
    <cellStyle name="Calculation 2 23" xfId="6158" xr:uid="{00000000-0005-0000-0000-000055280000}"/>
    <cellStyle name="Calculation 2 23 2" xfId="19269" xr:uid="{00000000-0005-0000-0000-000056280000}"/>
    <cellStyle name="Calculation 2 24" xfId="6159" xr:uid="{00000000-0005-0000-0000-000057280000}"/>
    <cellStyle name="Calculation 2 24 2" xfId="19270" xr:uid="{00000000-0005-0000-0000-000058280000}"/>
    <cellStyle name="Calculation 2 25" xfId="6160" xr:uid="{00000000-0005-0000-0000-000059280000}"/>
    <cellStyle name="Calculation 2 25 2" xfId="19271" xr:uid="{00000000-0005-0000-0000-00005A280000}"/>
    <cellStyle name="Calculation 2 26" xfId="6161" xr:uid="{00000000-0005-0000-0000-00005B280000}"/>
    <cellStyle name="Calculation 2 26 2" xfId="19272" xr:uid="{00000000-0005-0000-0000-00005C280000}"/>
    <cellStyle name="Calculation 2 27" xfId="6162" xr:uid="{00000000-0005-0000-0000-00005D280000}"/>
    <cellStyle name="Calculation 2 27 2" xfId="19273" xr:uid="{00000000-0005-0000-0000-00005E280000}"/>
    <cellStyle name="Calculation 2 28" xfId="6163" xr:uid="{00000000-0005-0000-0000-00005F280000}"/>
    <cellStyle name="Calculation 2 28 2" xfId="19274" xr:uid="{00000000-0005-0000-0000-000060280000}"/>
    <cellStyle name="Calculation 2 29" xfId="6164" xr:uid="{00000000-0005-0000-0000-000061280000}"/>
    <cellStyle name="Calculation 2 29 2" xfId="19275" xr:uid="{00000000-0005-0000-0000-000062280000}"/>
    <cellStyle name="Calculation 2 3" xfId="6165" xr:uid="{00000000-0005-0000-0000-000063280000}"/>
    <cellStyle name="Calculation 2 3 2" xfId="19276" xr:uid="{00000000-0005-0000-0000-000064280000}"/>
    <cellStyle name="Calculation 2 3 2 2" xfId="30637" xr:uid="{00000000-0005-0000-0000-000065280000}"/>
    <cellStyle name="Calculation 2 3 3" xfId="30638" xr:uid="{00000000-0005-0000-0000-000066280000}"/>
    <cellStyle name="Calculation 2 3 4" xfId="30639" xr:uid="{00000000-0005-0000-0000-000067280000}"/>
    <cellStyle name="Calculation 2 3 5" xfId="30640" xr:uid="{00000000-0005-0000-0000-000068280000}"/>
    <cellStyle name="Calculation 2 30" xfId="6166" xr:uid="{00000000-0005-0000-0000-000069280000}"/>
    <cellStyle name="Calculation 2 30 2" xfId="19277" xr:uid="{00000000-0005-0000-0000-00006A280000}"/>
    <cellStyle name="Calculation 2 31" xfId="6167" xr:uid="{00000000-0005-0000-0000-00006B280000}"/>
    <cellStyle name="Calculation 2 31 2" xfId="19278" xr:uid="{00000000-0005-0000-0000-00006C280000}"/>
    <cellStyle name="Calculation 2 32" xfId="6168" xr:uid="{00000000-0005-0000-0000-00006D280000}"/>
    <cellStyle name="Calculation 2 32 2" xfId="19279" xr:uid="{00000000-0005-0000-0000-00006E280000}"/>
    <cellStyle name="Calculation 2 33" xfId="6169" xr:uid="{00000000-0005-0000-0000-00006F280000}"/>
    <cellStyle name="Calculation 2 33 2" xfId="6170" xr:uid="{00000000-0005-0000-0000-000070280000}"/>
    <cellStyle name="Calculation 2 33 2 2" xfId="19281" xr:uid="{00000000-0005-0000-0000-000071280000}"/>
    <cellStyle name="Calculation 2 33 3" xfId="19280" xr:uid="{00000000-0005-0000-0000-000072280000}"/>
    <cellStyle name="Calculation 2 34" xfId="6171" xr:uid="{00000000-0005-0000-0000-000073280000}"/>
    <cellStyle name="Calculation 2 34 2" xfId="19282" xr:uid="{00000000-0005-0000-0000-000074280000}"/>
    <cellStyle name="Calculation 2 35" xfId="6172" xr:uid="{00000000-0005-0000-0000-000075280000}"/>
    <cellStyle name="Calculation 2 35 2" xfId="19283" xr:uid="{00000000-0005-0000-0000-000076280000}"/>
    <cellStyle name="Calculation 2 36" xfId="6173" xr:uid="{00000000-0005-0000-0000-000077280000}"/>
    <cellStyle name="Calculation 2 36 2" xfId="19284" xr:uid="{00000000-0005-0000-0000-000078280000}"/>
    <cellStyle name="Calculation 2 37" xfId="6174" xr:uid="{00000000-0005-0000-0000-000079280000}"/>
    <cellStyle name="Calculation 2 37 2" xfId="19285" xr:uid="{00000000-0005-0000-0000-00007A280000}"/>
    <cellStyle name="Calculation 2 38" xfId="6175" xr:uid="{00000000-0005-0000-0000-00007B280000}"/>
    <cellStyle name="Calculation 2 38 2" xfId="19286" xr:uid="{00000000-0005-0000-0000-00007C280000}"/>
    <cellStyle name="Calculation 2 39" xfId="6176" xr:uid="{00000000-0005-0000-0000-00007D280000}"/>
    <cellStyle name="Calculation 2 39 2" xfId="19287" xr:uid="{00000000-0005-0000-0000-00007E280000}"/>
    <cellStyle name="Calculation 2 4" xfId="6177" xr:uid="{00000000-0005-0000-0000-00007F280000}"/>
    <cellStyle name="Calculation 2 4 2" xfId="19288" xr:uid="{00000000-0005-0000-0000-000080280000}"/>
    <cellStyle name="Calculation 2 4 2 2" xfId="30641" xr:uid="{00000000-0005-0000-0000-000081280000}"/>
    <cellStyle name="Calculation 2 4 3" xfId="30642" xr:uid="{00000000-0005-0000-0000-000082280000}"/>
    <cellStyle name="Calculation 2 4 4" xfId="30643" xr:uid="{00000000-0005-0000-0000-000083280000}"/>
    <cellStyle name="Calculation 2 4 5" xfId="30644" xr:uid="{00000000-0005-0000-0000-000084280000}"/>
    <cellStyle name="Calculation 2 40" xfId="6178" xr:uid="{00000000-0005-0000-0000-000085280000}"/>
    <cellStyle name="Calculation 2 40 2" xfId="19289" xr:uid="{00000000-0005-0000-0000-000086280000}"/>
    <cellStyle name="Calculation 2 41" xfId="6179" xr:uid="{00000000-0005-0000-0000-000087280000}"/>
    <cellStyle name="Calculation 2 41 2" xfId="6180" xr:uid="{00000000-0005-0000-0000-000088280000}"/>
    <cellStyle name="Calculation 2 41 2 2" xfId="19291" xr:uid="{00000000-0005-0000-0000-000089280000}"/>
    <cellStyle name="Calculation 2 41 3" xfId="19290" xr:uid="{00000000-0005-0000-0000-00008A280000}"/>
    <cellStyle name="Calculation 2 42" xfId="19124" xr:uid="{00000000-0005-0000-0000-00008B280000}"/>
    <cellStyle name="Calculation 2 43" xfId="30645" xr:uid="{00000000-0005-0000-0000-00008C280000}"/>
    <cellStyle name="Calculation 2 44" xfId="30646" xr:uid="{00000000-0005-0000-0000-00008D280000}"/>
    <cellStyle name="Calculation 2 45" xfId="30647" xr:uid="{00000000-0005-0000-0000-00008E280000}"/>
    <cellStyle name="Calculation 2 46" xfId="30648" xr:uid="{00000000-0005-0000-0000-00008F280000}"/>
    <cellStyle name="Calculation 2 47" xfId="33163" xr:uid="{00000000-0005-0000-0000-000090280000}"/>
    <cellStyle name="Calculation 2 48" xfId="33526" xr:uid="{00000000-0005-0000-0000-000091280000}"/>
    <cellStyle name="Calculation 2 49" xfId="6013" xr:uid="{00000000-0005-0000-0000-000092280000}"/>
    <cellStyle name="Calculation 2 5" xfId="6181" xr:uid="{00000000-0005-0000-0000-000093280000}"/>
    <cellStyle name="Calculation 2 5 2" xfId="6182" xr:uid="{00000000-0005-0000-0000-000094280000}"/>
    <cellStyle name="Calculation 2 5 2 2" xfId="19293" xr:uid="{00000000-0005-0000-0000-000095280000}"/>
    <cellStyle name="Calculation 2 5 3" xfId="19292" xr:uid="{00000000-0005-0000-0000-000096280000}"/>
    <cellStyle name="Calculation 2 5 4" xfId="30649" xr:uid="{00000000-0005-0000-0000-000097280000}"/>
    <cellStyle name="Calculation 2 6" xfId="6183" xr:uid="{00000000-0005-0000-0000-000098280000}"/>
    <cellStyle name="Calculation 2 6 2" xfId="19294" xr:uid="{00000000-0005-0000-0000-000099280000}"/>
    <cellStyle name="Calculation 2 6 3" xfId="30650" xr:uid="{00000000-0005-0000-0000-00009A280000}"/>
    <cellStyle name="Calculation 2 7" xfId="6184" xr:uid="{00000000-0005-0000-0000-00009B280000}"/>
    <cellStyle name="Calculation 2 7 2" xfId="19295" xr:uid="{00000000-0005-0000-0000-00009C280000}"/>
    <cellStyle name="Calculation 2 8" xfId="6185" xr:uid="{00000000-0005-0000-0000-00009D280000}"/>
    <cellStyle name="Calculation 2 8 2" xfId="19296" xr:uid="{00000000-0005-0000-0000-00009E280000}"/>
    <cellStyle name="Calculation 2 9" xfId="6186" xr:uid="{00000000-0005-0000-0000-00009F280000}"/>
    <cellStyle name="Calculation 2 9 2" xfId="19297" xr:uid="{00000000-0005-0000-0000-0000A0280000}"/>
    <cellStyle name="Calculation 2_Loan Classification" xfId="11438" xr:uid="{00000000-0005-0000-0000-0000A1280000}"/>
    <cellStyle name="Calculation 20" xfId="6187" xr:uid="{00000000-0005-0000-0000-0000A2280000}"/>
    <cellStyle name="Calculation 20 2" xfId="19298" xr:uid="{00000000-0005-0000-0000-0000A3280000}"/>
    <cellStyle name="Calculation 21" xfId="6188" xr:uid="{00000000-0005-0000-0000-0000A4280000}"/>
    <cellStyle name="Calculation 21 2" xfId="19299" xr:uid="{00000000-0005-0000-0000-0000A5280000}"/>
    <cellStyle name="Calculation 22" xfId="6189" xr:uid="{00000000-0005-0000-0000-0000A6280000}"/>
    <cellStyle name="Calculation 22 2" xfId="19300" xr:uid="{00000000-0005-0000-0000-0000A7280000}"/>
    <cellStyle name="Calculation 23" xfId="6190" xr:uid="{00000000-0005-0000-0000-0000A8280000}"/>
    <cellStyle name="Calculation 23 2" xfId="19301" xr:uid="{00000000-0005-0000-0000-0000A9280000}"/>
    <cellStyle name="Calculation 24" xfId="6191" xr:uid="{00000000-0005-0000-0000-0000AA280000}"/>
    <cellStyle name="Calculation 24 2" xfId="19302" xr:uid="{00000000-0005-0000-0000-0000AB280000}"/>
    <cellStyle name="Calculation 25" xfId="6192" xr:uid="{00000000-0005-0000-0000-0000AC280000}"/>
    <cellStyle name="Calculation 25 2" xfId="19303" xr:uid="{00000000-0005-0000-0000-0000AD280000}"/>
    <cellStyle name="Calculation 26" xfId="6193" xr:uid="{00000000-0005-0000-0000-0000AE280000}"/>
    <cellStyle name="Calculation 26 2" xfId="19304" xr:uid="{00000000-0005-0000-0000-0000AF280000}"/>
    <cellStyle name="Calculation 27" xfId="6194" xr:uid="{00000000-0005-0000-0000-0000B0280000}"/>
    <cellStyle name="Calculation 27 2" xfId="19305" xr:uid="{00000000-0005-0000-0000-0000B1280000}"/>
    <cellStyle name="Calculation 28" xfId="6195" xr:uid="{00000000-0005-0000-0000-0000B2280000}"/>
    <cellStyle name="Calculation 28 2" xfId="19306" xr:uid="{00000000-0005-0000-0000-0000B3280000}"/>
    <cellStyle name="Calculation 29" xfId="6196" xr:uid="{00000000-0005-0000-0000-0000B4280000}"/>
    <cellStyle name="Calculation 29 2" xfId="19307" xr:uid="{00000000-0005-0000-0000-0000B5280000}"/>
    <cellStyle name="Calculation 3" xfId="84" xr:uid="{00000000-0005-0000-0000-0000B6280000}"/>
    <cellStyle name="Calculation 3 2" xfId="19308" xr:uid="{00000000-0005-0000-0000-0000B7280000}"/>
    <cellStyle name="Calculation 3 2 2" xfId="30651" xr:uid="{00000000-0005-0000-0000-0000B8280000}"/>
    <cellStyle name="Calculation 3 3" xfId="30652" xr:uid="{00000000-0005-0000-0000-0000B9280000}"/>
    <cellStyle name="Calculation 3 4" xfId="30653" xr:uid="{00000000-0005-0000-0000-0000BA280000}"/>
    <cellStyle name="Calculation 3 5" xfId="6197" xr:uid="{00000000-0005-0000-0000-0000BB280000}"/>
    <cellStyle name="Calculation 30" xfId="6198" xr:uid="{00000000-0005-0000-0000-0000BC280000}"/>
    <cellStyle name="Calculation 30 2" xfId="19309" xr:uid="{00000000-0005-0000-0000-0000BD280000}"/>
    <cellStyle name="Calculation 31" xfId="6199" xr:uid="{00000000-0005-0000-0000-0000BE280000}"/>
    <cellStyle name="Calculation 31 2" xfId="19310" xr:uid="{00000000-0005-0000-0000-0000BF280000}"/>
    <cellStyle name="Calculation 32" xfId="6200" xr:uid="{00000000-0005-0000-0000-0000C0280000}"/>
    <cellStyle name="Calculation 32 2" xfId="19311" xr:uid="{00000000-0005-0000-0000-0000C1280000}"/>
    <cellStyle name="Calculation 33" xfId="6201" xr:uid="{00000000-0005-0000-0000-0000C2280000}"/>
    <cellStyle name="Calculation 33 2" xfId="19312" xr:uid="{00000000-0005-0000-0000-0000C3280000}"/>
    <cellStyle name="Calculation 34" xfId="6202" xr:uid="{00000000-0005-0000-0000-0000C4280000}"/>
    <cellStyle name="Calculation 34 2" xfId="19313" xr:uid="{00000000-0005-0000-0000-0000C5280000}"/>
    <cellStyle name="Calculation 35" xfId="6203" xr:uid="{00000000-0005-0000-0000-0000C6280000}"/>
    <cellStyle name="Calculation 35 2" xfId="19314" xr:uid="{00000000-0005-0000-0000-0000C7280000}"/>
    <cellStyle name="Calculation 36" xfId="6204" xr:uid="{00000000-0005-0000-0000-0000C8280000}"/>
    <cellStyle name="Calculation 36 2" xfId="19315" xr:uid="{00000000-0005-0000-0000-0000C9280000}"/>
    <cellStyle name="Calculation 37" xfId="6205" xr:uid="{00000000-0005-0000-0000-0000CA280000}"/>
    <cellStyle name="Calculation 37 2" xfId="19316" xr:uid="{00000000-0005-0000-0000-0000CB280000}"/>
    <cellStyle name="Calculation 38" xfId="6206" xr:uid="{00000000-0005-0000-0000-0000CC280000}"/>
    <cellStyle name="Calculation 38 2" xfId="19317" xr:uid="{00000000-0005-0000-0000-0000CD280000}"/>
    <cellStyle name="Calculation 39" xfId="6207" xr:uid="{00000000-0005-0000-0000-0000CE280000}"/>
    <cellStyle name="Calculation 39 2" xfId="19318" xr:uid="{00000000-0005-0000-0000-0000CF280000}"/>
    <cellStyle name="Calculation 4" xfId="6208" xr:uid="{00000000-0005-0000-0000-0000D0280000}"/>
    <cellStyle name="Calculation 4 2" xfId="19319" xr:uid="{00000000-0005-0000-0000-0000D1280000}"/>
    <cellStyle name="Calculation 4 2 2" xfId="30654" xr:uid="{00000000-0005-0000-0000-0000D2280000}"/>
    <cellStyle name="Calculation 4 3" xfId="30655" xr:uid="{00000000-0005-0000-0000-0000D3280000}"/>
    <cellStyle name="Calculation 4 4" xfId="30656" xr:uid="{00000000-0005-0000-0000-0000D4280000}"/>
    <cellStyle name="Calculation 40" xfId="6209" xr:uid="{00000000-0005-0000-0000-0000D5280000}"/>
    <cellStyle name="Calculation 40 2" xfId="19320" xr:uid="{00000000-0005-0000-0000-0000D6280000}"/>
    <cellStyle name="Calculation 41" xfId="6210" xr:uid="{00000000-0005-0000-0000-0000D7280000}"/>
    <cellStyle name="Calculation 41 2" xfId="19321" xr:uid="{00000000-0005-0000-0000-0000D8280000}"/>
    <cellStyle name="Calculation 42" xfId="6211" xr:uid="{00000000-0005-0000-0000-0000D9280000}"/>
    <cellStyle name="Calculation 42 2" xfId="19322" xr:uid="{00000000-0005-0000-0000-0000DA280000}"/>
    <cellStyle name="Calculation 43" xfId="11588" xr:uid="{00000000-0005-0000-0000-0000DB280000}"/>
    <cellStyle name="Calculation 43 2" xfId="19323" xr:uid="{00000000-0005-0000-0000-0000DC280000}"/>
    <cellStyle name="Calculation 44" xfId="11531" xr:uid="{00000000-0005-0000-0000-0000DD280000}"/>
    <cellStyle name="Calculation 44 2" xfId="19324" xr:uid="{00000000-0005-0000-0000-0000DE280000}"/>
    <cellStyle name="Calculation 45" xfId="19325" xr:uid="{00000000-0005-0000-0000-0000DF280000}"/>
    <cellStyle name="Calculation 46" xfId="30657" xr:uid="{00000000-0005-0000-0000-0000E0280000}"/>
    <cellStyle name="Calculation 47" xfId="518" xr:uid="{00000000-0005-0000-0000-0000E1280000}"/>
    <cellStyle name="Calculation 5" xfId="6212" xr:uid="{00000000-0005-0000-0000-0000E2280000}"/>
    <cellStyle name="Calculation 5 2" xfId="19326" xr:uid="{00000000-0005-0000-0000-0000E3280000}"/>
    <cellStyle name="Calculation 5 2 2" xfId="30658" xr:uid="{00000000-0005-0000-0000-0000E4280000}"/>
    <cellStyle name="Calculation 5 3" xfId="30659" xr:uid="{00000000-0005-0000-0000-0000E5280000}"/>
    <cellStyle name="Calculation 5 4" xfId="30660" xr:uid="{00000000-0005-0000-0000-0000E6280000}"/>
    <cellStyle name="Calculation 6" xfId="6213" xr:uid="{00000000-0005-0000-0000-0000E7280000}"/>
    <cellStyle name="Calculation 6 2" xfId="19327" xr:uid="{00000000-0005-0000-0000-0000E8280000}"/>
    <cellStyle name="Calculation 6 3" xfId="30661" xr:uid="{00000000-0005-0000-0000-0000E9280000}"/>
    <cellStyle name="Calculation 7" xfId="6214" xr:uid="{00000000-0005-0000-0000-0000EA280000}"/>
    <cellStyle name="Calculation 7 2" xfId="19328" xr:uid="{00000000-0005-0000-0000-0000EB280000}"/>
    <cellStyle name="Calculation 7 3" xfId="30662" xr:uid="{00000000-0005-0000-0000-0000EC280000}"/>
    <cellStyle name="Calculation 8" xfId="6215" xr:uid="{00000000-0005-0000-0000-0000ED280000}"/>
    <cellStyle name="Calculation 8 2" xfId="19329" xr:uid="{00000000-0005-0000-0000-0000EE280000}"/>
    <cellStyle name="Calculation 8 3" xfId="30663" xr:uid="{00000000-0005-0000-0000-0000EF280000}"/>
    <cellStyle name="Calculation 9" xfId="6216" xr:uid="{00000000-0005-0000-0000-0000F0280000}"/>
    <cellStyle name="Calculation 9 2" xfId="19330" xr:uid="{00000000-0005-0000-0000-0000F1280000}"/>
    <cellStyle name="Calculation 9 3" xfId="30664" xr:uid="{00000000-0005-0000-0000-0000F2280000}"/>
    <cellStyle name="Cellule liée" xfId="30665" xr:uid="{00000000-0005-0000-0000-0000F3280000}"/>
    <cellStyle name="Check Cell" xfId="21" builtinId="23" customBuiltin="1"/>
    <cellStyle name="Check Cell 10" xfId="6217" xr:uid="{00000000-0005-0000-0000-0000F5280000}"/>
    <cellStyle name="Check Cell 10 2" xfId="19331" xr:uid="{00000000-0005-0000-0000-0000F6280000}"/>
    <cellStyle name="Check Cell 10 3" xfId="30666" xr:uid="{00000000-0005-0000-0000-0000F7280000}"/>
    <cellStyle name="Check Cell 11" xfId="6218" xr:uid="{00000000-0005-0000-0000-0000F8280000}"/>
    <cellStyle name="Check Cell 11 2" xfId="19332" xr:uid="{00000000-0005-0000-0000-0000F9280000}"/>
    <cellStyle name="Check Cell 11 3" xfId="30667" xr:uid="{00000000-0005-0000-0000-0000FA280000}"/>
    <cellStyle name="Check Cell 12" xfId="6219" xr:uid="{00000000-0005-0000-0000-0000FB280000}"/>
    <cellStyle name="Check Cell 12 2" xfId="19333" xr:uid="{00000000-0005-0000-0000-0000FC280000}"/>
    <cellStyle name="Check Cell 12 3" xfId="30668" xr:uid="{00000000-0005-0000-0000-0000FD280000}"/>
    <cellStyle name="Check Cell 13" xfId="6220" xr:uid="{00000000-0005-0000-0000-0000FE280000}"/>
    <cellStyle name="Check Cell 13 2" xfId="19334" xr:uid="{00000000-0005-0000-0000-0000FF280000}"/>
    <cellStyle name="Check Cell 13 3" xfId="30669" xr:uid="{00000000-0005-0000-0000-000000290000}"/>
    <cellStyle name="Check Cell 14" xfId="6221" xr:uid="{00000000-0005-0000-0000-000001290000}"/>
    <cellStyle name="Check Cell 14 2" xfId="19335" xr:uid="{00000000-0005-0000-0000-000002290000}"/>
    <cellStyle name="Check Cell 14 3" xfId="30670" xr:uid="{00000000-0005-0000-0000-000003290000}"/>
    <cellStyle name="Check Cell 15" xfId="6222" xr:uid="{00000000-0005-0000-0000-000004290000}"/>
    <cellStyle name="Check Cell 15 2" xfId="19336" xr:uid="{00000000-0005-0000-0000-000005290000}"/>
    <cellStyle name="Check Cell 15 3" xfId="30671" xr:uid="{00000000-0005-0000-0000-000006290000}"/>
    <cellStyle name="Check Cell 16" xfId="6223" xr:uid="{00000000-0005-0000-0000-000007290000}"/>
    <cellStyle name="Check Cell 16 2" xfId="19337" xr:uid="{00000000-0005-0000-0000-000008290000}"/>
    <cellStyle name="Check Cell 16 3" xfId="30672" xr:uid="{00000000-0005-0000-0000-000009290000}"/>
    <cellStyle name="Check Cell 17" xfId="6224" xr:uid="{00000000-0005-0000-0000-00000A290000}"/>
    <cellStyle name="Check Cell 17 2" xfId="19338" xr:uid="{00000000-0005-0000-0000-00000B290000}"/>
    <cellStyle name="Check Cell 17 3" xfId="30673" xr:uid="{00000000-0005-0000-0000-00000C290000}"/>
    <cellStyle name="Check Cell 18" xfId="6225" xr:uid="{00000000-0005-0000-0000-00000D290000}"/>
    <cellStyle name="Check Cell 18 2" xfId="19339" xr:uid="{00000000-0005-0000-0000-00000E290000}"/>
    <cellStyle name="Check Cell 19" xfId="6226" xr:uid="{00000000-0005-0000-0000-00000F290000}"/>
    <cellStyle name="Check Cell 19 2" xfId="19340" xr:uid="{00000000-0005-0000-0000-000010290000}"/>
    <cellStyle name="Check Cell 2" xfId="6227" xr:uid="{00000000-0005-0000-0000-000011290000}"/>
    <cellStyle name="Check Cell 2 10" xfId="6228" xr:uid="{00000000-0005-0000-0000-000012290000}"/>
    <cellStyle name="Check Cell 2 10 2" xfId="19342" xr:uid="{00000000-0005-0000-0000-000013290000}"/>
    <cellStyle name="Check Cell 2 11" xfId="6229" xr:uid="{00000000-0005-0000-0000-000014290000}"/>
    <cellStyle name="Check Cell 2 11 2" xfId="19343" xr:uid="{00000000-0005-0000-0000-000015290000}"/>
    <cellStyle name="Check Cell 2 12" xfId="6230" xr:uid="{00000000-0005-0000-0000-000016290000}"/>
    <cellStyle name="Check Cell 2 12 2" xfId="19344" xr:uid="{00000000-0005-0000-0000-000017290000}"/>
    <cellStyle name="Check Cell 2 13" xfId="6231" xr:uid="{00000000-0005-0000-0000-000018290000}"/>
    <cellStyle name="Check Cell 2 13 2" xfId="19345" xr:uid="{00000000-0005-0000-0000-000019290000}"/>
    <cellStyle name="Check Cell 2 14" xfId="6232" xr:uid="{00000000-0005-0000-0000-00001A290000}"/>
    <cellStyle name="Check Cell 2 14 2" xfId="19346" xr:uid="{00000000-0005-0000-0000-00001B290000}"/>
    <cellStyle name="Check Cell 2 15" xfId="6233" xr:uid="{00000000-0005-0000-0000-00001C290000}"/>
    <cellStyle name="Check Cell 2 15 2" xfId="19347" xr:uid="{00000000-0005-0000-0000-00001D290000}"/>
    <cellStyle name="Check Cell 2 16" xfId="6234" xr:uid="{00000000-0005-0000-0000-00001E290000}"/>
    <cellStyle name="Check Cell 2 16 2" xfId="6235" xr:uid="{00000000-0005-0000-0000-00001F290000}"/>
    <cellStyle name="Check Cell 2 16 2 2" xfId="19349" xr:uid="{00000000-0005-0000-0000-000020290000}"/>
    <cellStyle name="Check Cell 2 16 3" xfId="19348" xr:uid="{00000000-0005-0000-0000-000021290000}"/>
    <cellStyle name="Check Cell 2 17" xfId="6236" xr:uid="{00000000-0005-0000-0000-000022290000}"/>
    <cellStyle name="Check Cell 2 17 2" xfId="19350" xr:uid="{00000000-0005-0000-0000-000023290000}"/>
    <cellStyle name="Check Cell 2 18" xfId="6237" xr:uid="{00000000-0005-0000-0000-000024290000}"/>
    <cellStyle name="Check Cell 2 18 2" xfId="19351" xr:uid="{00000000-0005-0000-0000-000025290000}"/>
    <cellStyle name="Check Cell 2 19" xfId="6238" xr:uid="{00000000-0005-0000-0000-000026290000}"/>
    <cellStyle name="Check Cell 2 19 2" xfId="19352" xr:uid="{00000000-0005-0000-0000-000027290000}"/>
    <cellStyle name="Check Cell 2 2" xfId="6239" xr:uid="{00000000-0005-0000-0000-000028290000}"/>
    <cellStyle name="Check Cell 2 2 10" xfId="6240" xr:uid="{00000000-0005-0000-0000-000029290000}"/>
    <cellStyle name="Check Cell 2 2 10 2" xfId="19354" xr:uid="{00000000-0005-0000-0000-00002A290000}"/>
    <cellStyle name="Check Cell 2 2 11" xfId="6241" xr:uid="{00000000-0005-0000-0000-00002B290000}"/>
    <cellStyle name="Check Cell 2 2 11 2" xfId="19355" xr:uid="{00000000-0005-0000-0000-00002C290000}"/>
    <cellStyle name="Check Cell 2 2 12" xfId="6242" xr:uid="{00000000-0005-0000-0000-00002D290000}"/>
    <cellStyle name="Check Cell 2 2 12 2" xfId="19356" xr:uid="{00000000-0005-0000-0000-00002E290000}"/>
    <cellStyle name="Check Cell 2 2 13" xfId="6243" xr:uid="{00000000-0005-0000-0000-00002F290000}"/>
    <cellStyle name="Check Cell 2 2 13 2" xfId="19357" xr:uid="{00000000-0005-0000-0000-000030290000}"/>
    <cellStyle name="Check Cell 2 2 14" xfId="6244" xr:uid="{00000000-0005-0000-0000-000031290000}"/>
    <cellStyle name="Check Cell 2 2 14 2" xfId="6245" xr:uid="{00000000-0005-0000-0000-000032290000}"/>
    <cellStyle name="Check Cell 2 2 14 2 2" xfId="19359" xr:uid="{00000000-0005-0000-0000-000033290000}"/>
    <cellStyle name="Check Cell 2 2 14 3" xfId="19358" xr:uid="{00000000-0005-0000-0000-000034290000}"/>
    <cellStyle name="Check Cell 2 2 15" xfId="6246" xr:uid="{00000000-0005-0000-0000-000035290000}"/>
    <cellStyle name="Check Cell 2 2 15 2" xfId="19360" xr:uid="{00000000-0005-0000-0000-000036290000}"/>
    <cellStyle name="Check Cell 2 2 16" xfId="6247" xr:uid="{00000000-0005-0000-0000-000037290000}"/>
    <cellStyle name="Check Cell 2 2 16 2" xfId="19361" xr:uid="{00000000-0005-0000-0000-000038290000}"/>
    <cellStyle name="Check Cell 2 2 17" xfId="6248" xr:uid="{00000000-0005-0000-0000-000039290000}"/>
    <cellStyle name="Check Cell 2 2 17 2" xfId="19362" xr:uid="{00000000-0005-0000-0000-00003A290000}"/>
    <cellStyle name="Check Cell 2 2 18" xfId="6249" xr:uid="{00000000-0005-0000-0000-00003B290000}"/>
    <cellStyle name="Check Cell 2 2 18 2" xfId="19363" xr:uid="{00000000-0005-0000-0000-00003C290000}"/>
    <cellStyle name="Check Cell 2 2 19" xfId="6250" xr:uid="{00000000-0005-0000-0000-00003D290000}"/>
    <cellStyle name="Check Cell 2 2 19 2" xfId="19364" xr:uid="{00000000-0005-0000-0000-00003E290000}"/>
    <cellStyle name="Check Cell 2 2 2" xfId="6251" xr:uid="{00000000-0005-0000-0000-00003F290000}"/>
    <cellStyle name="Check Cell 2 2 2 10" xfId="6252" xr:uid="{00000000-0005-0000-0000-000040290000}"/>
    <cellStyle name="Check Cell 2 2 2 10 2" xfId="19366" xr:uid="{00000000-0005-0000-0000-000041290000}"/>
    <cellStyle name="Check Cell 2 2 2 11" xfId="6253" xr:uid="{00000000-0005-0000-0000-000042290000}"/>
    <cellStyle name="Check Cell 2 2 2 11 2" xfId="19367" xr:uid="{00000000-0005-0000-0000-000043290000}"/>
    <cellStyle name="Check Cell 2 2 2 12" xfId="6254" xr:uid="{00000000-0005-0000-0000-000044290000}"/>
    <cellStyle name="Check Cell 2 2 2 12 2" xfId="19368" xr:uid="{00000000-0005-0000-0000-000045290000}"/>
    <cellStyle name="Check Cell 2 2 2 13" xfId="6255" xr:uid="{00000000-0005-0000-0000-000046290000}"/>
    <cellStyle name="Check Cell 2 2 2 13 2" xfId="19369" xr:uid="{00000000-0005-0000-0000-000047290000}"/>
    <cellStyle name="Check Cell 2 2 2 14" xfId="6256" xr:uid="{00000000-0005-0000-0000-000048290000}"/>
    <cellStyle name="Check Cell 2 2 2 14 2" xfId="19370" xr:uid="{00000000-0005-0000-0000-000049290000}"/>
    <cellStyle name="Check Cell 2 2 2 15" xfId="6257" xr:uid="{00000000-0005-0000-0000-00004A290000}"/>
    <cellStyle name="Check Cell 2 2 2 15 2" xfId="19371" xr:uid="{00000000-0005-0000-0000-00004B290000}"/>
    <cellStyle name="Check Cell 2 2 2 16" xfId="6258" xr:uid="{00000000-0005-0000-0000-00004C290000}"/>
    <cellStyle name="Check Cell 2 2 2 16 2" xfId="19372" xr:uid="{00000000-0005-0000-0000-00004D290000}"/>
    <cellStyle name="Check Cell 2 2 2 17" xfId="6259" xr:uid="{00000000-0005-0000-0000-00004E290000}"/>
    <cellStyle name="Check Cell 2 2 2 17 2" xfId="19373" xr:uid="{00000000-0005-0000-0000-00004F290000}"/>
    <cellStyle name="Check Cell 2 2 2 18" xfId="6260" xr:uid="{00000000-0005-0000-0000-000050290000}"/>
    <cellStyle name="Check Cell 2 2 2 18 2" xfId="19374" xr:uid="{00000000-0005-0000-0000-000051290000}"/>
    <cellStyle name="Check Cell 2 2 2 19" xfId="6261" xr:uid="{00000000-0005-0000-0000-000052290000}"/>
    <cellStyle name="Check Cell 2 2 2 19 2" xfId="19375" xr:uid="{00000000-0005-0000-0000-000053290000}"/>
    <cellStyle name="Check Cell 2 2 2 2" xfId="6262" xr:uid="{00000000-0005-0000-0000-000054290000}"/>
    <cellStyle name="Check Cell 2 2 2 2 10" xfId="6263" xr:uid="{00000000-0005-0000-0000-000055290000}"/>
    <cellStyle name="Check Cell 2 2 2 2 10 2" xfId="19377" xr:uid="{00000000-0005-0000-0000-000056290000}"/>
    <cellStyle name="Check Cell 2 2 2 2 11" xfId="6264" xr:uid="{00000000-0005-0000-0000-000057290000}"/>
    <cellStyle name="Check Cell 2 2 2 2 11 2" xfId="19378" xr:uid="{00000000-0005-0000-0000-000058290000}"/>
    <cellStyle name="Check Cell 2 2 2 2 12" xfId="6265" xr:uid="{00000000-0005-0000-0000-000059290000}"/>
    <cellStyle name="Check Cell 2 2 2 2 12 2" xfId="19379" xr:uid="{00000000-0005-0000-0000-00005A290000}"/>
    <cellStyle name="Check Cell 2 2 2 2 13" xfId="6266" xr:uid="{00000000-0005-0000-0000-00005B290000}"/>
    <cellStyle name="Check Cell 2 2 2 2 13 2" xfId="19380" xr:uid="{00000000-0005-0000-0000-00005C290000}"/>
    <cellStyle name="Check Cell 2 2 2 2 14" xfId="6267" xr:uid="{00000000-0005-0000-0000-00005D290000}"/>
    <cellStyle name="Check Cell 2 2 2 2 14 2" xfId="19381" xr:uid="{00000000-0005-0000-0000-00005E290000}"/>
    <cellStyle name="Check Cell 2 2 2 2 15" xfId="6268" xr:uid="{00000000-0005-0000-0000-00005F290000}"/>
    <cellStyle name="Check Cell 2 2 2 2 15 2" xfId="19382" xr:uid="{00000000-0005-0000-0000-000060290000}"/>
    <cellStyle name="Check Cell 2 2 2 2 16" xfId="6269" xr:uid="{00000000-0005-0000-0000-000061290000}"/>
    <cellStyle name="Check Cell 2 2 2 2 16 2" xfId="19383" xr:uid="{00000000-0005-0000-0000-000062290000}"/>
    <cellStyle name="Check Cell 2 2 2 2 17" xfId="6270" xr:uid="{00000000-0005-0000-0000-000063290000}"/>
    <cellStyle name="Check Cell 2 2 2 2 17 2" xfId="19384" xr:uid="{00000000-0005-0000-0000-000064290000}"/>
    <cellStyle name="Check Cell 2 2 2 2 18" xfId="6271" xr:uid="{00000000-0005-0000-0000-000065290000}"/>
    <cellStyle name="Check Cell 2 2 2 2 18 2" xfId="19385" xr:uid="{00000000-0005-0000-0000-000066290000}"/>
    <cellStyle name="Check Cell 2 2 2 2 19" xfId="6272" xr:uid="{00000000-0005-0000-0000-000067290000}"/>
    <cellStyle name="Check Cell 2 2 2 2 19 2" xfId="19386" xr:uid="{00000000-0005-0000-0000-000068290000}"/>
    <cellStyle name="Check Cell 2 2 2 2 2" xfId="6273" xr:uid="{00000000-0005-0000-0000-000069290000}"/>
    <cellStyle name="Check Cell 2 2 2 2 2 10" xfId="6274" xr:uid="{00000000-0005-0000-0000-00006A290000}"/>
    <cellStyle name="Check Cell 2 2 2 2 2 10 2" xfId="19388" xr:uid="{00000000-0005-0000-0000-00006B290000}"/>
    <cellStyle name="Check Cell 2 2 2 2 2 11" xfId="6275" xr:uid="{00000000-0005-0000-0000-00006C290000}"/>
    <cellStyle name="Check Cell 2 2 2 2 2 11 2" xfId="6276" xr:uid="{00000000-0005-0000-0000-00006D290000}"/>
    <cellStyle name="Check Cell 2 2 2 2 2 11 2 2" xfId="19390" xr:uid="{00000000-0005-0000-0000-00006E290000}"/>
    <cellStyle name="Check Cell 2 2 2 2 2 11 3" xfId="19389" xr:uid="{00000000-0005-0000-0000-00006F290000}"/>
    <cellStyle name="Check Cell 2 2 2 2 2 12" xfId="19387" xr:uid="{00000000-0005-0000-0000-000070290000}"/>
    <cellStyle name="Check Cell 2 2 2 2 2 2" xfId="6277" xr:uid="{00000000-0005-0000-0000-000071290000}"/>
    <cellStyle name="Check Cell 2 2 2 2 2 2 10" xfId="6278" xr:uid="{00000000-0005-0000-0000-000072290000}"/>
    <cellStyle name="Check Cell 2 2 2 2 2 2 10 2" xfId="19392" xr:uid="{00000000-0005-0000-0000-000073290000}"/>
    <cellStyle name="Check Cell 2 2 2 2 2 2 11" xfId="6279" xr:uid="{00000000-0005-0000-0000-000074290000}"/>
    <cellStyle name="Check Cell 2 2 2 2 2 2 11 2" xfId="6280" xr:uid="{00000000-0005-0000-0000-000075290000}"/>
    <cellStyle name="Check Cell 2 2 2 2 2 2 11 2 2" xfId="19394" xr:uid="{00000000-0005-0000-0000-000076290000}"/>
    <cellStyle name="Check Cell 2 2 2 2 2 2 11 3" xfId="19393" xr:uid="{00000000-0005-0000-0000-000077290000}"/>
    <cellStyle name="Check Cell 2 2 2 2 2 2 12" xfId="19391" xr:uid="{00000000-0005-0000-0000-000078290000}"/>
    <cellStyle name="Check Cell 2 2 2 2 2 2 2" xfId="6281" xr:uid="{00000000-0005-0000-0000-000079290000}"/>
    <cellStyle name="Check Cell 2 2 2 2 2 2 2 2" xfId="6282" xr:uid="{00000000-0005-0000-0000-00007A290000}"/>
    <cellStyle name="Check Cell 2 2 2 2 2 2 2 2 2" xfId="6283" xr:uid="{00000000-0005-0000-0000-00007B290000}"/>
    <cellStyle name="Check Cell 2 2 2 2 2 2 2 2 2 2" xfId="6284" xr:uid="{00000000-0005-0000-0000-00007C290000}"/>
    <cellStyle name="Check Cell 2 2 2 2 2 2 2 2 2 2 2" xfId="19398" xr:uid="{00000000-0005-0000-0000-00007D290000}"/>
    <cellStyle name="Check Cell 2 2 2 2 2 2 2 2 2 3" xfId="19397" xr:uid="{00000000-0005-0000-0000-00007E290000}"/>
    <cellStyle name="Check Cell 2 2 2 2 2 2 2 2 3" xfId="6285" xr:uid="{00000000-0005-0000-0000-00007F290000}"/>
    <cellStyle name="Check Cell 2 2 2 2 2 2 2 2 3 2" xfId="19399" xr:uid="{00000000-0005-0000-0000-000080290000}"/>
    <cellStyle name="Check Cell 2 2 2 2 2 2 2 2 4" xfId="19396" xr:uid="{00000000-0005-0000-0000-000081290000}"/>
    <cellStyle name="Check Cell 2 2 2 2 2 2 2 3" xfId="6286" xr:uid="{00000000-0005-0000-0000-000082290000}"/>
    <cellStyle name="Check Cell 2 2 2 2 2 2 2 3 2" xfId="6287" xr:uid="{00000000-0005-0000-0000-000083290000}"/>
    <cellStyle name="Check Cell 2 2 2 2 2 2 2 3 2 2" xfId="19401" xr:uid="{00000000-0005-0000-0000-000084290000}"/>
    <cellStyle name="Check Cell 2 2 2 2 2 2 2 3 3" xfId="19400" xr:uid="{00000000-0005-0000-0000-000085290000}"/>
    <cellStyle name="Check Cell 2 2 2 2 2 2 2 4" xfId="19395" xr:uid="{00000000-0005-0000-0000-000086290000}"/>
    <cellStyle name="Check Cell 2 2 2 2 2 2 3" xfId="6288" xr:uid="{00000000-0005-0000-0000-000087290000}"/>
    <cellStyle name="Check Cell 2 2 2 2 2 2 3 2" xfId="19402" xr:uid="{00000000-0005-0000-0000-000088290000}"/>
    <cellStyle name="Check Cell 2 2 2 2 2 2 4" xfId="6289" xr:uid="{00000000-0005-0000-0000-000089290000}"/>
    <cellStyle name="Check Cell 2 2 2 2 2 2 4 2" xfId="19403" xr:uid="{00000000-0005-0000-0000-00008A290000}"/>
    <cellStyle name="Check Cell 2 2 2 2 2 2 5" xfId="6290" xr:uid="{00000000-0005-0000-0000-00008B290000}"/>
    <cellStyle name="Check Cell 2 2 2 2 2 2 5 2" xfId="19404" xr:uid="{00000000-0005-0000-0000-00008C290000}"/>
    <cellStyle name="Check Cell 2 2 2 2 2 2 6" xfId="6291" xr:uid="{00000000-0005-0000-0000-00008D290000}"/>
    <cellStyle name="Check Cell 2 2 2 2 2 2 6 2" xfId="19405" xr:uid="{00000000-0005-0000-0000-00008E290000}"/>
    <cellStyle name="Check Cell 2 2 2 2 2 2 7" xfId="6292" xr:uid="{00000000-0005-0000-0000-00008F290000}"/>
    <cellStyle name="Check Cell 2 2 2 2 2 2 7 2" xfId="19406" xr:uid="{00000000-0005-0000-0000-000090290000}"/>
    <cellStyle name="Check Cell 2 2 2 2 2 2 8" xfId="6293" xr:uid="{00000000-0005-0000-0000-000091290000}"/>
    <cellStyle name="Check Cell 2 2 2 2 2 2 8 2" xfId="19407" xr:uid="{00000000-0005-0000-0000-000092290000}"/>
    <cellStyle name="Check Cell 2 2 2 2 2 2 9" xfId="6294" xr:uid="{00000000-0005-0000-0000-000093290000}"/>
    <cellStyle name="Check Cell 2 2 2 2 2 2 9 2" xfId="19408" xr:uid="{00000000-0005-0000-0000-000094290000}"/>
    <cellStyle name="Check Cell 2 2 2 2 2 3" xfId="6295" xr:uid="{00000000-0005-0000-0000-000095290000}"/>
    <cellStyle name="Check Cell 2 2 2 2 2 3 2" xfId="6296" xr:uid="{00000000-0005-0000-0000-000096290000}"/>
    <cellStyle name="Check Cell 2 2 2 2 2 3 2 2" xfId="19410" xr:uid="{00000000-0005-0000-0000-000097290000}"/>
    <cellStyle name="Check Cell 2 2 2 2 2 3 3" xfId="19409" xr:uid="{00000000-0005-0000-0000-000098290000}"/>
    <cellStyle name="Check Cell 2 2 2 2 2 4" xfId="6297" xr:uid="{00000000-0005-0000-0000-000099290000}"/>
    <cellStyle name="Check Cell 2 2 2 2 2 4 2" xfId="19411" xr:uid="{00000000-0005-0000-0000-00009A290000}"/>
    <cellStyle name="Check Cell 2 2 2 2 2 5" xfId="6298" xr:uid="{00000000-0005-0000-0000-00009B290000}"/>
    <cellStyle name="Check Cell 2 2 2 2 2 5 2" xfId="19412" xr:uid="{00000000-0005-0000-0000-00009C290000}"/>
    <cellStyle name="Check Cell 2 2 2 2 2 6" xfId="6299" xr:uid="{00000000-0005-0000-0000-00009D290000}"/>
    <cellStyle name="Check Cell 2 2 2 2 2 6 2" xfId="19413" xr:uid="{00000000-0005-0000-0000-00009E290000}"/>
    <cellStyle name="Check Cell 2 2 2 2 2 7" xfId="6300" xr:uid="{00000000-0005-0000-0000-00009F290000}"/>
    <cellStyle name="Check Cell 2 2 2 2 2 7 2" xfId="19414" xr:uid="{00000000-0005-0000-0000-0000A0290000}"/>
    <cellStyle name="Check Cell 2 2 2 2 2 8" xfId="6301" xr:uid="{00000000-0005-0000-0000-0000A1290000}"/>
    <cellStyle name="Check Cell 2 2 2 2 2 8 2" xfId="19415" xr:uid="{00000000-0005-0000-0000-0000A2290000}"/>
    <cellStyle name="Check Cell 2 2 2 2 2 9" xfId="6302" xr:uid="{00000000-0005-0000-0000-0000A3290000}"/>
    <cellStyle name="Check Cell 2 2 2 2 2 9 2" xfId="19416" xr:uid="{00000000-0005-0000-0000-0000A4290000}"/>
    <cellStyle name="Check Cell 2 2 2 2 20" xfId="6303" xr:uid="{00000000-0005-0000-0000-0000A5290000}"/>
    <cellStyle name="Check Cell 2 2 2 2 20 2" xfId="6304" xr:uid="{00000000-0005-0000-0000-0000A6290000}"/>
    <cellStyle name="Check Cell 2 2 2 2 20 2 2" xfId="19418" xr:uid="{00000000-0005-0000-0000-0000A7290000}"/>
    <cellStyle name="Check Cell 2 2 2 2 20 3" xfId="19417" xr:uid="{00000000-0005-0000-0000-0000A8290000}"/>
    <cellStyle name="Check Cell 2 2 2 2 21" xfId="6305" xr:uid="{00000000-0005-0000-0000-0000A9290000}"/>
    <cellStyle name="Check Cell 2 2 2 2 21 2" xfId="19419" xr:uid="{00000000-0005-0000-0000-0000AA290000}"/>
    <cellStyle name="Check Cell 2 2 2 2 22" xfId="6306" xr:uid="{00000000-0005-0000-0000-0000AB290000}"/>
    <cellStyle name="Check Cell 2 2 2 2 22 2" xfId="19420" xr:uid="{00000000-0005-0000-0000-0000AC290000}"/>
    <cellStyle name="Check Cell 2 2 2 2 23" xfId="6307" xr:uid="{00000000-0005-0000-0000-0000AD290000}"/>
    <cellStyle name="Check Cell 2 2 2 2 23 2" xfId="19421" xr:uid="{00000000-0005-0000-0000-0000AE290000}"/>
    <cellStyle name="Check Cell 2 2 2 2 24" xfId="6308" xr:uid="{00000000-0005-0000-0000-0000AF290000}"/>
    <cellStyle name="Check Cell 2 2 2 2 24 2" xfId="19422" xr:uid="{00000000-0005-0000-0000-0000B0290000}"/>
    <cellStyle name="Check Cell 2 2 2 2 25" xfId="6309" xr:uid="{00000000-0005-0000-0000-0000B1290000}"/>
    <cellStyle name="Check Cell 2 2 2 2 25 2" xfId="19423" xr:uid="{00000000-0005-0000-0000-0000B2290000}"/>
    <cellStyle name="Check Cell 2 2 2 2 26" xfId="6310" xr:uid="{00000000-0005-0000-0000-0000B3290000}"/>
    <cellStyle name="Check Cell 2 2 2 2 26 2" xfId="19424" xr:uid="{00000000-0005-0000-0000-0000B4290000}"/>
    <cellStyle name="Check Cell 2 2 2 2 27" xfId="6311" xr:uid="{00000000-0005-0000-0000-0000B5290000}"/>
    <cellStyle name="Check Cell 2 2 2 2 27 2" xfId="19425" xr:uid="{00000000-0005-0000-0000-0000B6290000}"/>
    <cellStyle name="Check Cell 2 2 2 2 28" xfId="6312" xr:uid="{00000000-0005-0000-0000-0000B7290000}"/>
    <cellStyle name="Check Cell 2 2 2 2 28 2" xfId="6313" xr:uid="{00000000-0005-0000-0000-0000B8290000}"/>
    <cellStyle name="Check Cell 2 2 2 2 28 2 2" xfId="19427" xr:uid="{00000000-0005-0000-0000-0000B9290000}"/>
    <cellStyle name="Check Cell 2 2 2 2 28 3" xfId="19426" xr:uid="{00000000-0005-0000-0000-0000BA290000}"/>
    <cellStyle name="Check Cell 2 2 2 2 29" xfId="19376" xr:uid="{00000000-0005-0000-0000-0000BB290000}"/>
    <cellStyle name="Check Cell 2 2 2 2 3" xfId="6314" xr:uid="{00000000-0005-0000-0000-0000BC290000}"/>
    <cellStyle name="Check Cell 2 2 2 2 3 2" xfId="19428" xr:uid="{00000000-0005-0000-0000-0000BD290000}"/>
    <cellStyle name="Check Cell 2 2 2 2 4" xfId="6315" xr:uid="{00000000-0005-0000-0000-0000BE290000}"/>
    <cellStyle name="Check Cell 2 2 2 2 4 2" xfId="19429" xr:uid="{00000000-0005-0000-0000-0000BF290000}"/>
    <cellStyle name="Check Cell 2 2 2 2 5" xfId="6316" xr:uid="{00000000-0005-0000-0000-0000C0290000}"/>
    <cellStyle name="Check Cell 2 2 2 2 5 2" xfId="19430" xr:uid="{00000000-0005-0000-0000-0000C1290000}"/>
    <cellStyle name="Check Cell 2 2 2 2 6" xfId="6317" xr:uid="{00000000-0005-0000-0000-0000C2290000}"/>
    <cellStyle name="Check Cell 2 2 2 2 6 2" xfId="19431" xr:uid="{00000000-0005-0000-0000-0000C3290000}"/>
    <cellStyle name="Check Cell 2 2 2 2 7" xfId="6318" xr:uid="{00000000-0005-0000-0000-0000C4290000}"/>
    <cellStyle name="Check Cell 2 2 2 2 7 2" xfId="19432" xr:uid="{00000000-0005-0000-0000-0000C5290000}"/>
    <cellStyle name="Check Cell 2 2 2 2 8" xfId="6319" xr:uid="{00000000-0005-0000-0000-0000C6290000}"/>
    <cellStyle name="Check Cell 2 2 2 2 8 2" xfId="19433" xr:uid="{00000000-0005-0000-0000-0000C7290000}"/>
    <cellStyle name="Check Cell 2 2 2 2 9" xfId="6320" xr:uid="{00000000-0005-0000-0000-0000C8290000}"/>
    <cellStyle name="Check Cell 2 2 2 2 9 2" xfId="19434" xr:uid="{00000000-0005-0000-0000-0000C9290000}"/>
    <cellStyle name="Check Cell 2 2 2 20" xfId="6321" xr:uid="{00000000-0005-0000-0000-0000CA290000}"/>
    <cellStyle name="Check Cell 2 2 2 20 2" xfId="6322" xr:uid="{00000000-0005-0000-0000-0000CB290000}"/>
    <cellStyle name="Check Cell 2 2 2 20 2 2" xfId="19436" xr:uid="{00000000-0005-0000-0000-0000CC290000}"/>
    <cellStyle name="Check Cell 2 2 2 20 3" xfId="19435" xr:uid="{00000000-0005-0000-0000-0000CD290000}"/>
    <cellStyle name="Check Cell 2 2 2 21" xfId="6323" xr:uid="{00000000-0005-0000-0000-0000CE290000}"/>
    <cellStyle name="Check Cell 2 2 2 21 2" xfId="19437" xr:uid="{00000000-0005-0000-0000-0000CF290000}"/>
    <cellStyle name="Check Cell 2 2 2 22" xfId="6324" xr:uid="{00000000-0005-0000-0000-0000D0290000}"/>
    <cellStyle name="Check Cell 2 2 2 22 2" xfId="19438" xr:uid="{00000000-0005-0000-0000-0000D1290000}"/>
    <cellStyle name="Check Cell 2 2 2 23" xfId="6325" xr:uid="{00000000-0005-0000-0000-0000D2290000}"/>
    <cellStyle name="Check Cell 2 2 2 23 2" xfId="19439" xr:uid="{00000000-0005-0000-0000-0000D3290000}"/>
    <cellStyle name="Check Cell 2 2 2 24" xfId="6326" xr:uid="{00000000-0005-0000-0000-0000D4290000}"/>
    <cellStyle name="Check Cell 2 2 2 24 2" xfId="19440" xr:uid="{00000000-0005-0000-0000-0000D5290000}"/>
    <cellStyle name="Check Cell 2 2 2 25" xfId="6327" xr:uid="{00000000-0005-0000-0000-0000D6290000}"/>
    <cellStyle name="Check Cell 2 2 2 25 2" xfId="19441" xr:uid="{00000000-0005-0000-0000-0000D7290000}"/>
    <cellStyle name="Check Cell 2 2 2 26" xfId="6328" xr:uid="{00000000-0005-0000-0000-0000D8290000}"/>
    <cellStyle name="Check Cell 2 2 2 26 2" xfId="19442" xr:uid="{00000000-0005-0000-0000-0000D9290000}"/>
    <cellStyle name="Check Cell 2 2 2 27" xfId="6329" xr:uid="{00000000-0005-0000-0000-0000DA290000}"/>
    <cellStyle name="Check Cell 2 2 2 27 2" xfId="19443" xr:uid="{00000000-0005-0000-0000-0000DB290000}"/>
    <cellStyle name="Check Cell 2 2 2 28" xfId="6330" xr:uid="{00000000-0005-0000-0000-0000DC290000}"/>
    <cellStyle name="Check Cell 2 2 2 28 2" xfId="6331" xr:uid="{00000000-0005-0000-0000-0000DD290000}"/>
    <cellStyle name="Check Cell 2 2 2 28 2 2" xfId="19445" xr:uid="{00000000-0005-0000-0000-0000DE290000}"/>
    <cellStyle name="Check Cell 2 2 2 28 3" xfId="19444" xr:uid="{00000000-0005-0000-0000-0000DF290000}"/>
    <cellStyle name="Check Cell 2 2 2 29" xfId="19365" xr:uid="{00000000-0005-0000-0000-0000E0290000}"/>
    <cellStyle name="Check Cell 2 2 2 3" xfId="6332" xr:uid="{00000000-0005-0000-0000-0000E1290000}"/>
    <cellStyle name="Check Cell 2 2 2 3 2" xfId="6333" xr:uid="{00000000-0005-0000-0000-0000E2290000}"/>
    <cellStyle name="Check Cell 2 2 2 3 2 2" xfId="19447" xr:uid="{00000000-0005-0000-0000-0000E3290000}"/>
    <cellStyle name="Check Cell 2 2 2 3 3" xfId="19446" xr:uid="{00000000-0005-0000-0000-0000E4290000}"/>
    <cellStyle name="Check Cell 2 2 2 30" xfId="30674" xr:uid="{00000000-0005-0000-0000-0000E5290000}"/>
    <cellStyle name="Check Cell 2 2 2 4" xfId="6334" xr:uid="{00000000-0005-0000-0000-0000E6290000}"/>
    <cellStyle name="Check Cell 2 2 2 4 2" xfId="19448" xr:uid="{00000000-0005-0000-0000-0000E7290000}"/>
    <cellStyle name="Check Cell 2 2 2 5" xfId="6335" xr:uid="{00000000-0005-0000-0000-0000E8290000}"/>
    <cellStyle name="Check Cell 2 2 2 5 2" xfId="19449" xr:uid="{00000000-0005-0000-0000-0000E9290000}"/>
    <cellStyle name="Check Cell 2 2 2 6" xfId="6336" xr:uid="{00000000-0005-0000-0000-0000EA290000}"/>
    <cellStyle name="Check Cell 2 2 2 6 2" xfId="19450" xr:uid="{00000000-0005-0000-0000-0000EB290000}"/>
    <cellStyle name="Check Cell 2 2 2 7" xfId="6337" xr:uid="{00000000-0005-0000-0000-0000EC290000}"/>
    <cellStyle name="Check Cell 2 2 2 7 2" xfId="19451" xr:uid="{00000000-0005-0000-0000-0000ED290000}"/>
    <cellStyle name="Check Cell 2 2 2 8" xfId="6338" xr:uid="{00000000-0005-0000-0000-0000EE290000}"/>
    <cellStyle name="Check Cell 2 2 2 8 2" xfId="19452" xr:uid="{00000000-0005-0000-0000-0000EF290000}"/>
    <cellStyle name="Check Cell 2 2 2 9" xfId="6339" xr:uid="{00000000-0005-0000-0000-0000F0290000}"/>
    <cellStyle name="Check Cell 2 2 2 9 2" xfId="19453" xr:uid="{00000000-0005-0000-0000-0000F1290000}"/>
    <cellStyle name="Check Cell 2 2 20" xfId="6340" xr:uid="{00000000-0005-0000-0000-0000F2290000}"/>
    <cellStyle name="Check Cell 2 2 20 2" xfId="19454" xr:uid="{00000000-0005-0000-0000-0000F3290000}"/>
    <cellStyle name="Check Cell 2 2 21" xfId="6341" xr:uid="{00000000-0005-0000-0000-0000F4290000}"/>
    <cellStyle name="Check Cell 2 2 21 2" xfId="19455" xr:uid="{00000000-0005-0000-0000-0000F5290000}"/>
    <cellStyle name="Check Cell 2 2 22" xfId="6342" xr:uid="{00000000-0005-0000-0000-0000F6290000}"/>
    <cellStyle name="Check Cell 2 2 22 2" xfId="19456" xr:uid="{00000000-0005-0000-0000-0000F7290000}"/>
    <cellStyle name="Check Cell 2 2 23" xfId="6343" xr:uid="{00000000-0005-0000-0000-0000F8290000}"/>
    <cellStyle name="Check Cell 2 2 23 2" xfId="19457" xr:uid="{00000000-0005-0000-0000-0000F9290000}"/>
    <cellStyle name="Check Cell 2 2 24" xfId="6344" xr:uid="{00000000-0005-0000-0000-0000FA290000}"/>
    <cellStyle name="Check Cell 2 2 24 2" xfId="19458" xr:uid="{00000000-0005-0000-0000-0000FB290000}"/>
    <cellStyle name="Check Cell 2 2 25" xfId="6345" xr:uid="{00000000-0005-0000-0000-0000FC290000}"/>
    <cellStyle name="Check Cell 2 2 25 2" xfId="19459" xr:uid="{00000000-0005-0000-0000-0000FD290000}"/>
    <cellStyle name="Check Cell 2 2 26" xfId="6346" xr:uid="{00000000-0005-0000-0000-0000FE290000}"/>
    <cellStyle name="Check Cell 2 2 26 2" xfId="19460" xr:uid="{00000000-0005-0000-0000-0000FF290000}"/>
    <cellStyle name="Check Cell 2 2 27" xfId="6347" xr:uid="{00000000-0005-0000-0000-0000002A0000}"/>
    <cellStyle name="Check Cell 2 2 27 2" xfId="19461" xr:uid="{00000000-0005-0000-0000-0000012A0000}"/>
    <cellStyle name="Check Cell 2 2 28" xfId="6348" xr:uid="{00000000-0005-0000-0000-0000022A0000}"/>
    <cellStyle name="Check Cell 2 2 28 2" xfId="19462" xr:uid="{00000000-0005-0000-0000-0000032A0000}"/>
    <cellStyle name="Check Cell 2 2 29" xfId="6349" xr:uid="{00000000-0005-0000-0000-0000042A0000}"/>
    <cellStyle name="Check Cell 2 2 29 2" xfId="19463" xr:uid="{00000000-0005-0000-0000-0000052A0000}"/>
    <cellStyle name="Check Cell 2 2 3" xfId="6350" xr:uid="{00000000-0005-0000-0000-0000062A0000}"/>
    <cellStyle name="Check Cell 2 2 3 2" xfId="19464" xr:uid="{00000000-0005-0000-0000-0000072A0000}"/>
    <cellStyle name="Check Cell 2 2 30" xfId="6351" xr:uid="{00000000-0005-0000-0000-0000082A0000}"/>
    <cellStyle name="Check Cell 2 2 30 2" xfId="19465" xr:uid="{00000000-0005-0000-0000-0000092A0000}"/>
    <cellStyle name="Check Cell 2 2 31" xfId="6352" xr:uid="{00000000-0005-0000-0000-00000A2A0000}"/>
    <cellStyle name="Check Cell 2 2 31 2" xfId="6353" xr:uid="{00000000-0005-0000-0000-00000B2A0000}"/>
    <cellStyle name="Check Cell 2 2 31 2 2" xfId="19467" xr:uid="{00000000-0005-0000-0000-00000C2A0000}"/>
    <cellStyle name="Check Cell 2 2 31 3" xfId="19466" xr:uid="{00000000-0005-0000-0000-00000D2A0000}"/>
    <cellStyle name="Check Cell 2 2 32" xfId="6354" xr:uid="{00000000-0005-0000-0000-00000E2A0000}"/>
    <cellStyle name="Check Cell 2 2 32 2" xfId="19468" xr:uid="{00000000-0005-0000-0000-00000F2A0000}"/>
    <cellStyle name="Check Cell 2 2 33" xfId="6355" xr:uid="{00000000-0005-0000-0000-0000102A0000}"/>
    <cellStyle name="Check Cell 2 2 33 2" xfId="19469" xr:uid="{00000000-0005-0000-0000-0000112A0000}"/>
    <cellStyle name="Check Cell 2 2 34" xfId="6356" xr:uid="{00000000-0005-0000-0000-0000122A0000}"/>
    <cellStyle name="Check Cell 2 2 34 2" xfId="19470" xr:uid="{00000000-0005-0000-0000-0000132A0000}"/>
    <cellStyle name="Check Cell 2 2 35" xfId="6357" xr:uid="{00000000-0005-0000-0000-0000142A0000}"/>
    <cellStyle name="Check Cell 2 2 35 2" xfId="19471" xr:uid="{00000000-0005-0000-0000-0000152A0000}"/>
    <cellStyle name="Check Cell 2 2 36" xfId="6358" xr:uid="{00000000-0005-0000-0000-0000162A0000}"/>
    <cellStyle name="Check Cell 2 2 36 2" xfId="19472" xr:uid="{00000000-0005-0000-0000-0000172A0000}"/>
    <cellStyle name="Check Cell 2 2 37" xfId="6359" xr:uid="{00000000-0005-0000-0000-0000182A0000}"/>
    <cellStyle name="Check Cell 2 2 37 2" xfId="19473" xr:uid="{00000000-0005-0000-0000-0000192A0000}"/>
    <cellStyle name="Check Cell 2 2 38" xfId="6360" xr:uid="{00000000-0005-0000-0000-00001A2A0000}"/>
    <cellStyle name="Check Cell 2 2 38 2" xfId="19474" xr:uid="{00000000-0005-0000-0000-00001B2A0000}"/>
    <cellStyle name="Check Cell 2 2 39" xfId="6361" xr:uid="{00000000-0005-0000-0000-00001C2A0000}"/>
    <cellStyle name="Check Cell 2 2 39 2" xfId="6362" xr:uid="{00000000-0005-0000-0000-00001D2A0000}"/>
    <cellStyle name="Check Cell 2 2 39 2 2" xfId="19476" xr:uid="{00000000-0005-0000-0000-00001E2A0000}"/>
    <cellStyle name="Check Cell 2 2 39 3" xfId="19475" xr:uid="{00000000-0005-0000-0000-00001F2A0000}"/>
    <cellStyle name="Check Cell 2 2 4" xfId="6363" xr:uid="{00000000-0005-0000-0000-0000202A0000}"/>
    <cellStyle name="Check Cell 2 2 4 2" xfId="19477" xr:uid="{00000000-0005-0000-0000-0000212A0000}"/>
    <cellStyle name="Check Cell 2 2 40" xfId="19353" xr:uid="{00000000-0005-0000-0000-0000222A0000}"/>
    <cellStyle name="Check Cell 2 2 41" xfId="30675" xr:uid="{00000000-0005-0000-0000-0000232A0000}"/>
    <cellStyle name="Check Cell 2 2 42" xfId="30676" xr:uid="{00000000-0005-0000-0000-0000242A0000}"/>
    <cellStyle name="Check Cell 2 2 43" xfId="30677" xr:uid="{00000000-0005-0000-0000-0000252A0000}"/>
    <cellStyle name="Check Cell 2 2 44" xfId="30678" xr:uid="{00000000-0005-0000-0000-0000262A0000}"/>
    <cellStyle name="Check Cell 2 2 5" xfId="6364" xr:uid="{00000000-0005-0000-0000-0000272A0000}"/>
    <cellStyle name="Check Cell 2 2 5 2" xfId="19478" xr:uid="{00000000-0005-0000-0000-0000282A0000}"/>
    <cellStyle name="Check Cell 2 2 6" xfId="6365" xr:uid="{00000000-0005-0000-0000-0000292A0000}"/>
    <cellStyle name="Check Cell 2 2 6 2" xfId="19479" xr:uid="{00000000-0005-0000-0000-00002A2A0000}"/>
    <cellStyle name="Check Cell 2 2 7" xfId="6366" xr:uid="{00000000-0005-0000-0000-00002B2A0000}"/>
    <cellStyle name="Check Cell 2 2 7 2" xfId="19480" xr:uid="{00000000-0005-0000-0000-00002C2A0000}"/>
    <cellStyle name="Check Cell 2 2 8" xfId="6367" xr:uid="{00000000-0005-0000-0000-00002D2A0000}"/>
    <cellStyle name="Check Cell 2 2 8 2" xfId="19481" xr:uid="{00000000-0005-0000-0000-00002E2A0000}"/>
    <cellStyle name="Check Cell 2 2 9" xfId="6368" xr:uid="{00000000-0005-0000-0000-00002F2A0000}"/>
    <cellStyle name="Check Cell 2 2 9 2" xfId="19482" xr:uid="{00000000-0005-0000-0000-0000302A0000}"/>
    <cellStyle name="Check Cell 2 2_Loan Classification" xfId="11441" xr:uid="{00000000-0005-0000-0000-0000312A0000}"/>
    <cellStyle name="Check Cell 2 20" xfId="6369" xr:uid="{00000000-0005-0000-0000-0000322A0000}"/>
    <cellStyle name="Check Cell 2 20 2" xfId="19483" xr:uid="{00000000-0005-0000-0000-0000332A0000}"/>
    <cellStyle name="Check Cell 2 21" xfId="6370" xr:uid="{00000000-0005-0000-0000-0000342A0000}"/>
    <cellStyle name="Check Cell 2 21 2" xfId="19484" xr:uid="{00000000-0005-0000-0000-0000352A0000}"/>
    <cellStyle name="Check Cell 2 22" xfId="6371" xr:uid="{00000000-0005-0000-0000-0000362A0000}"/>
    <cellStyle name="Check Cell 2 22 2" xfId="19485" xr:uid="{00000000-0005-0000-0000-0000372A0000}"/>
    <cellStyle name="Check Cell 2 23" xfId="6372" xr:uid="{00000000-0005-0000-0000-0000382A0000}"/>
    <cellStyle name="Check Cell 2 23 2" xfId="19486" xr:uid="{00000000-0005-0000-0000-0000392A0000}"/>
    <cellStyle name="Check Cell 2 24" xfId="6373" xr:uid="{00000000-0005-0000-0000-00003A2A0000}"/>
    <cellStyle name="Check Cell 2 24 2" xfId="19487" xr:uid="{00000000-0005-0000-0000-00003B2A0000}"/>
    <cellStyle name="Check Cell 2 25" xfId="6374" xr:uid="{00000000-0005-0000-0000-00003C2A0000}"/>
    <cellStyle name="Check Cell 2 25 2" xfId="19488" xr:uid="{00000000-0005-0000-0000-00003D2A0000}"/>
    <cellStyle name="Check Cell 2 26" xfId="6375" xr:uid="{00000000-0005-0000-0000-00003E2A0000}"/>
    <cellStyle name="Check Cell 2 26 2" xfId="19489" xr:uid="{00000000-0005-0000-0000-00003F2A0000}"/>
    <cellStyle name="Check Cell 2 27" xfId="6376" xr:uid="{00000000-0005-0000-0000-0000402A0000}"/>
    <cellStyle name="Check Cell 2 27 2" xfId="19490" xr:uid="{00000000-0005-0000-0000-0000412A0000}"/>
    <cellStyle name="Check Cell 2 28" xfId="6377" xr:uid="{00000000-0005-0000-0000-0000422A0000}"/>
    <cellStyle name="Check Cell 2 28 2" xfId="19491" xr:uid="{00000000-0005-0000-0000-0000432A0000}"/>
    <cellStyle name="Check Cell 2 29" xfId="6378" xr:uid="{00000000-0005-0000-0000-0000442A0000}"/>
    <cellStyle name="Check Cell 2 29 2" xfId="19492" xr:uid="{00000000-0005-0000-0000-0000452A0000}"/>
    <cellStyle name="Check Cell 2 3" xfId="6379" xr:uid="{00000000-0005-0000-0000-0000462A0000}"/>
    <cellStyle name="Check Cell 2 3 2" xfId="19493" xr:uid="{00000000-0005-0000-0000-0000472A0000}"/>
    <cellStyle name="Check Cell 2 3 2 2" xfId="30679" xr:uid="{00000000-0005-0000-0000-0000482A0000}"/>
    <cellStyle name="Check Cell 2 3 3" xfId="30680" xr:uid="{00000000-0005-0000-0000-0000492A0000}"/>
    <cellStyle name="Check Cell 2 3 4" xfId="30681" xr:uid="{00000000-0005-0000-0000-00004A2A0000}"/>
    <cellStyle name="Check Cell 2 3 5" xfId="30682" xr:uid="{00000000-0005-0000-0000-00004B2A0000}"/>
    <cellStyle name="Check Cell 2 30" xfId="6380" xr:uid="{00000000-0005-0000-0000-00004C2A0000}"/>
    <cellStyle name="Check Cell 2 30 2" xfId="19494" xr:uid="{00000000-0005-0000-0000-00004D2A0000}"/>
    <cellStyle name="Check Cell 2 31" xfId="6381" xr:uid="{00000000-0005-0000-0000-00004E2A0000}"/>
    <cellStyle name="Check Cell 2 31 2" xfId="19495" xr:uid="{00000000-0005-0000-0000-00004F2A0000}"/>
    <cellStyle name="Check Cell 2 32" xfId="6382" xr:uid="{00000000-0005-0000-0000-0000502A0000}"/>
    <cellStyle name="Check Cell 2 32 2" xfId="19496" xr:uid="{00000000-0005-0000-0000-0000512A0000}"/>
    <cellStyle name="Check Cell 2 33" xfId="6383" xr:uid="{00000000-0005-0000-0000-0000522A0000}"/>
    <cellStyle name="Check Cell 2 33 2" xfId="6384" xr:uid="{00000000-0005-0000-0000-0000532A0000}"/>
    <cellStyle name="Check Cell 2 33 2 2" xfId="19498" xr:uid="{00000000-0005-0000-0000-0000542A0000}"/>
    <cellStyle name="Check Cell 2 33 3" xfId="19497" xr:uid="{00000000-0005-0000-0000-0000552A0000}"/>
    <cellStyle name="Check Cell 2 34" xfId="6385" xr:uid="{00000000-0005-0000-0000-0000562A0000}"/>
    <cellStyle name="Check Cell 2 34 2" xfId="19499" xr:uid="{00000000-0005-0000-0000-0000572A0000}"/>
    <cellStyle name="Check Cell 2 35" xfId="6386" xr:uid="{00000000-0005-0000-0000-0000582A0000}"/>
    <cellStyle name="Check Cell 2 35 2" xfId="19500" xr:uid="{00000000-0005-0000-0000-0000592A0000}"/>
    <cellStyle name="Check Cell 2 36" xfId="6387" xr:uid="{00000000-0005-0000-0000-00005A2A0000}"/>
    <cellStyle name="Check Cell 2 36 2" xfId="19501" xr:uid="{00000000-0005-0000-0000-00005B2A0000}"/>
    <cellStyle name="Check Cell 2 37" xfId="6388" xr:uid="{00000000-0005-0000-0000-00005C2A0000}"/>
    <cellStyle name="Check Cell 2 37 2" xfId="19502" xr:uid="{00000000-0005-0000-0000-00005D2A0000}"/>
    <cellStyle name="Check Cell 2 38" xfId="6389" xr:uid="{00000000-0005-0000-0000-00005E2A0000}"/>
    <cellStyle name="Check Cell 2 38 2" xfId="19503" xr:uid="{00000000-0005-0000-0000-00005F2A0000}"/>
    <cellStyle name="Check Cell 2 39" xfId="6390" xr:uid="{00000000-0005-0000-0000-0000602A0000}"/>
    <cellStyle name="Check Cell 2 39 2" xfId="19504" xr:uid="{00000000-0005-0000-0000-0000612A0000}"/>
    <cellStyle name="Check Cell 2 4" xfId="6391" xr:uid="{00000000-0005-0000-0000-0000622A0000}"/>
    <cellStyle name="Check Cell 2 4 2" xfId="19505" xr:uid="{00000000-0005-0000-0000-0000632A0000}"/>
    <cellStyle name="Check Cell 2 4 2 2" xfId="30683" xr:uid="{00000000-0005-0000-0000-0000642A0000}"/>
    <cellStyle name="Check Cell 2 4 3" xfId="30684" xr:uid="{00000000-0005-0000-0000-0000652A0000}"/>
    <cellStyle name="Check Cell 2 4 4" xfId="30685" xr:uid="{00000000-0005-0000-0000-0000662A0000}"/>
    <cellStyle name="Check Cell 2 4 5" xfId="30686" xr:uid="{00000000-0005-0000-0000-0000672A0000}"/>
    <cellStyle name="Check Cell 2 40" xfId="6392" xr:uid="{00000000-0005-0000-0000-0000682A0000}"/>
    <cellStyle name="Check Cell 2 40 2" xfId="19506" xr:uid="{00000000-0005-0000-0000-0000692A0000}"/>
    <cellStyle name="Check Cell 2 41" xfId="6393" xr:uid="{00000000-0005-0000-0000-00006A2A0000}"/>
    <cellStyle name="Check Cell 2 41 2" xfId="6394" xr:uid="{00000000-0005-0000-0000-00006B2A0000}"/>
    <cellStyle name="Check Cell 2 41 2 2" xfId="19508" xr:uid="{00000000-0005-0000-0000-00006C2A0000}"/>
    <cellStyle name="Check Cell 2 41 3" xfId="19507" xr:uid="{00000000-0005-0000-0000-00006D2A0000}"/>
    <cellStyle name="Check Cell 2 42" xfId="19341" xr:uid="{00000000-0005-0000-0000-00006E2A0000}"/>
    <cellStyle name="Check Cell 2 43" xfId="30687" xr:uid="{00000000-0005-0000-0000-00006F2A0000}"/>
    <cellStyle name="Check Cell 2 5" xfId="6395" xr:uid="{00000000-0005-0000-0000-0000702A0000}"/>
    <cellStyle name="Check Cell 2 5 2" xfId="6396" xr:uid="{00000000-0005-0000-0000-0000712A0000}"/>
    <cellStyle name="Check Cell 2 5 2 2" xfId="19510" xr:uid="{00000000-0005-0000-0000-0000722A0000}"/>
    <cellStyle name="Check Cell 2 5 3" xfId="19509" xr:uid="{00000000-0005-0000-0000-0000732A0000}"/>
    <cellStyle name="Check Cell 2 5 4" xfId="30688" xr:uid="{00000000-0005-0000-0000-0000742A0000}"/>
    <cellStyle name="Check Cell 2 6" xfId="6397" xr:uid="{00000000-0005-0000-0000-0000752A0000}"/>
    <cellStyle name="Check Cell 2 6 2" xfId="19511" xr:uid="{00000000-0005-0000-0000-0000762A0000}"/>
    <cellStyle name="Check Cell 2 6 3" xfId="30689" xr:uid="{00000000-0005-0000-0000-0000772A0000}"/>
    <cellStyle name="Check Cell 2 7" xfId="6398" xr:uid="{00000000-0005-0000-0000-0000782A0000}"/>
    <cellStyle name="Check Cell 2 7 2" xfId="19512" xr:uid="{00000000-0005-0000-0000-0000792A0000}"/>
    <cellStyle name="Check Cell 2 8" xfId="6399" xr:uid="{00000000-0005-0000-0000-00007A2A0000}"/>
    <cellStyle name="Check Cell 2 8 2" xfId="19513" xr:uid="{00000000-0005-0000-0000-00007B2A0000}"/>
    <cellStyle name="Check Cell 2 9" xfId="6400" xr:uid="{00000000-0005-0000-0000-00007C2A0000}"/>
    <cellStyle name="Check Cell 2 9 2" xfId="19514" xr:uid="{00000000-0005-0000-0000-00007D2A0000}"/>
    <cellStyle name="Check Cell 2_Loan Classification" xfId="11440" xr:uid="{00000000-0005-0000-0000-00007E2A0000}"/>
    <cellStyle name="Check Cell 20" xfId="6401" xr:uid="{00000000-0005-0000-0000-00007F2A0000}"/>
    <cellStyle name="Check Cell 20 2" xfId="19515" xr:uid="{00000000-0005-0000-0000-0000802A0000}"/>
    <cellStyle name="Check Cell 21" xfId="6402" xr:uid="{00000000-0005-0000-0000-0000812A0000}"/>
    <cellStyle name="Check Cell 21 2" xfId="19516" xr:uid="{00000000-0005-0000-0000-0000822A0000}"/>
    <cellStyle name="Check Cell 22" xfId="6403" xr:uid="{00000000-0005-0000-0000-0000832A0000}"/>
    <cellStyle name="Check Cell 22 2" xfId="19517" xr:uid="{00000000-0005-0000-0000-0000842A0000}"/>
    <cellStyle name="Check Cell 23" xfId="6404" xr:uid="{00000000-0005-0000-0000-0000852A0000}"/>
    <cellStyle name="Check Cell 23 2" xfId="19518" xr:uid="{00000000-0005-0000-0000-0000862A0000}"/>
    <cellStyle name="Check Cell 24" xfId="6405" xr:uid="{00000000-0005-0000-0000-0000872A0000}"/>
    <cellStyle name="Check Cell 24 2" xfId="19519" xr:uid="{00000000-0005-0000-0000-0000882A0000}"/>
    <cellStyle name="Check Cell 25" xfId="6406" xr:uid="{00000000-0005-0000-0000-0000892A0000}"/>
    <cellStyle name="Check Cell 25 2" xfId="19520" xr:uid="{00000000-0005-0000-0000-00008A2A0000}"/>
    <cellStyle name="Check Cell 26" xfId="6407" xr:uid="{00000000-0005-0000-0000-00008B2A0000}"/>
    <cellStyle name="Check Cell 26 2" xfId="19521" xr:uid="{00000000-0005-0000-0000-00008C2A0000}"/>
    <cellStyle name="Check Cell 27" xfId="6408" xr:uid="{00000000-0005-0000-0000-00008D2A0000}"/>
    <cellStyle name="Check Cell 27 2" xfId="19522" xr:uid="{00000000-0005-0000-0000-00008E2A0000}"/>
    <cellStyle name="Check Cell 28" xfId="6409" xr:uid="{00000000-0005-0000-0000-00008F2A0000}"/>
    <cellStyle name="Check Cell 28 2" xfId="19523" xr:uid="{00000000-0005-0000-0000-0000902A0000}"/>
    <cellStyle name="Check Cell 29" xfId="6410" xr:uid="{00000000-0005-0000-0000-0000912A0000}"/>
    <cellStyle name="Check Cell 29 2" xfId="19524" xr:uid="{00000000-0005-0000-0000-0000922A0000}"/>
    <cellStyle name="Check Cell 3" xfId="6411" xr:uid="{00000000-0005-0000-0000-0000932A0000}"/>
    <cellStyle name="Check Cell 3 2" xfId="19525" xr:uid="{00000000-0005-0000-0000-0000942A0000}"/>
    <cellStyle name="Check Cell 3 2 2" xfId="30690" xr:uid="{00000000-0005-0000-0000-0000952A0000}"/>
    <cellStyle name="Check Cell 3 3" xfId="30691" xr:uid="{00000000-0005-0000-0000-0000962A0000}"/>
    <cellStyle name="Check Cell 3 4" xfId="30692" xr:uid="{00000000-0005-0000-0000-0000972A0000}"/>
    <cellStyle name="Check Cell 30" xfId="6412" xr:uid="{00000000-0005-0000-0000-0000982A0000}"/>
    <cellStyle name="Check Cell 30 2" xfId="19526" xr:uid="{00000000-0005-0000-0000-0000992A0000}"/>
    <cellStyle name="Check Cell 31" xfId="6413" xr:uid="{00000000-0005-0000-0000-00009A2A0000}"/>
    <cellStyle name="Check Cell 31 2" xfId="19527" xr:uid="{00000000-0005-0000-0000-00009B2A0000}"/>
    <cellStyle name="Check Cell 32" xfId="6414" xr:uid="{00000000-0005-0000-0000-00009C2A0000}"/>
    <cellStyle name="Check Cell 32 2" xfId="19528" xr:uid="{00000000-0005-0000-0000-00009D2A0000}"/>
    <cellStyle name="Check Cell 33" xfId="6415" xr:uid="{00000000-0005-0000-0000-00009E2A0000}"/>
    <cellStyle name="Check Cell 33 2" xfId="19529" xr:uid="{00000000-0005-0000-0000-00009F2A0000}"/>
    <cellStyle name="Check Cell 34" xfId="6416" xr:uid="{00000000-0005-0000-0000-0000A02A0000}"/>
    <cellStyle name="Check Cell 34 2" xfId="19530" xr:uid="{00000000-0005-0000-0000-0000A12A0000}"/>
    <cellStyle name="Check Cell 35" xfId="6417" xr:uid="{00000000-0005-0000-0000-0000A22A0000}"/>
    <cellStyle name="Check Cell 35 2" xfId="19531" xr:uid="{00000000-0005-0000-0000-0000A32A0000}"/>
    <cellStyle name="Check Cell 36" xfId="6418" xr:uid="{00000000-0005-0000-0000-0000A42A0000}"/>
    <cellStyle name="Check Cell 36 2" xfId="19532" xr:uid="{00000000-0005-0000-0000-0000A52A0000}"/>
    <cellStyle name="Check Cell 37" xfId="6419" xr:uid="{00000000-0005-0000-0000-0000A62A0000}"/>
    <cellStyle name="Check Cell 37 2" xfId="19533" xr:uid="{00000000-0005-0000-0000-0000A72A0000}"/>
    <cellStyle name="Check Cell 38" xfId="6420" xr:uid="{00000000-0005-0000-0000-0000A82A0000}"/>
    <cellStyle name="Check Cell 38 2" xfId="19534" xr:uid="{00000000-0005-0000-0000-0000A92A0000}"/>
    <cellStyle name="Check Cell 39" xfId="6421" xr:uid="{00000000-0005-0000-0000-0000AA2A0000}"/>
    <cellStyle name="Check Cell 39 2" xfId="19535" xr:uid="{00000000-0005-0000-0000-0000AB2A0000}"/>
    <cellStyle name="Check Cell 4" xfId="6422" xr:uid="{00000000-0005-0000-0000-0000AC2A0000}"/>
    <cellStyle name="Check Cell 4 2" xfId="19536" xr:uid="{00000000-0005-0000-0000-0000AD2A0000}"/>
    <cellStyle name="Check Cell 4 2 2" xfId="30693" xr:uid="{00000000-0005-0000-0000-0000AE2A0000}"/>
    <cellStyle name="Check Cell 4 3" xfId="30694" xr:uid="{00000000-0005-0000-0000-0000AF2A0000}"/>
    <cellStyle name="Check Cell 4 4" xfId="30695" xr:uid="{00000000-0005-0000-0000-0000B02A0000}"/>
    <cellStyle name="Check Cell 40" xfId="6423" xr:uid="{00000000-0005-0000-0000-0000B12A0000}"/>
    <cellStyle name="Check Cell 40 2" xfId="19537" xr:uid="{00000000-0005-0000-0000-0000B22A0000}"/>
    <cellStyle name="Check Cell 41" xfId="6424" xr:uid="{00000000-0005-0000-0000-0000B32A0000}"/>
    <cellStyle name="Check Cell 41 2" xfId="19538" xr:uid="{00000000-0005-0000-0000-0000B42A0000}"/>
    <cellStyle name="Check Cell 42" xfId="6425" xr:uid="{00000000-0005-0000-0000-0000B52A0000}"/>
    <cellStyle name="Check Cell 42 2" xfId="19539" xr:uid="{00000000-0005-0000-0000-0000B62A0000}"/>
    <cellStyle name="Check Cell 43" xfId="11589" xr:uid="{00000000-0005-0000-0000-0000B72A0000}"/>
    <cellStyle name="Check Cell 43 2" xfId="19540" xr:uid="{00000000-0005-0000-0000-0000B82A0000}"/>
    <cellStyle name="Check Cell 44" xfId="11533" xr:uid="{00000000-0005-0000-0000-0000B92A0000}"/>
    <cellStyle name="Check Cell 44 2" xfId="19541" xr:uid="{00000000-0005-0000-0000-0000BA2A0000}"/>
    <cellStyle name="Check Cell 45" xfId="19542" xr:uid="{00000000-0005-0000-0000-0000BB2A0000}"/>
    <cellStyle name="Check Cell 46" xfId="30696" xr:uid="{00000000-0005-0000-0000-0000BC2A0000}"/>
    <cellStyle name="Check Cell 47" xfId="519" xr:uid="{00000000-0005-0000-0000-0000BD2A0000}"/>
    <cellStyle name="Check Cell 5" xfId="6426" xr:uid="{00000000-0005-0000-0000-0000BE2A0000}"/>
    <cellStyle name="Check Cell 5 2" xfId="19543" xr:uid="{00000000-0005-0000-0000-0000BF2A0000}"/>
    <cellStyle name="Check Cell 5 2 2" xfId="30697" xr:uid="{00000000-0005-0000-0000-0000C02A0000}"/>
    <cellStyle name="Check Cell 5 3" xfId="30698" xr:uid="{00000000-0005-0000-0000-0000C12A0000}"/>
    <cellStyle name="Check Cell 5 4" xfId="30699" xr:uid="{00000000-0005-0000-0000-0000C22A0000}"/>
    <cellStyle name="Check Cell 6" xfId="6427" xr:uid="{00000000-0005-0000-0000-0000C32A0000}"/>
    <cellStyle name="Check Cell 6 2" xfId="19544" xr:uid="{00000000-0005-0000-0000-0000C42A0000}"/>
    <cellStyle name="Check Cell 6 3" xfId="30700" xr:uid="{00000000-0005-0000-0000-0000C52A0000}"/>
    <cellStyle name="Check Cell 7" xfId="6428" xr:uid="{00000000-0005-0000-0000-0000C62A0000}"/>
    <cellStyle name="Check Cell 7 2" xfId="19545" xr:uid="{00000000-0005-0000-0000-0000C72A0000}"/>
    <cellStyle name="Check Cell 7 3" xfId="30701" xr:uid="{00000000-0005-0000-0000-0000C82A0000}"/>
    <cellStyle name="Check Cell 8" xfId="6429" xr:uid="{00000000-0005-0000-0000-0000C92A0000}"/>
    <cellStyle name="Check Cell 8 2" xfId="19546" xr:uid="{00000000-0005-0000-0000-0000CA2A0000}"/>
    <cellStyle name="Check Cell 8 3" xfId="30702" xr:uid="{00000000-0005-0000-0000-0000CB2A0000}"/>
    <cellStyle name="Check Cell 9" xfId="6430" xr:uid="{00000000-0005-0000-0000-0000CC2A0000}"/>
    <cellStyle name="Check Cell 9 2" xfId="19547" xr:uid="{00000000-0005-0000-0000-0000CD2A0000}"/>
    <cellStyle name="Check Cell 9 3" xfId="30703" xr:uid="{00000000-0005-0000-0000-0000CE2A0000}"/>
    <cellStyle name="Comma" xfId="1" builtinId="3"/>
    <cellStyle name="Comma [0] 2" xfId="30704" xr:uid="{00000000-0005-0000-0000-0000D02A0000}"/>
    <cellStyle name="Comma [0] 3" xfId="30705" xr:uid="{00000000-0005-0000-0000-0000D12A0000}"/>
    <cellStyle name="Comma [0] 4" xfId="30706" xr:uid="{00000000-0005-0000-0000-0000D22A0000}"/>
    <cellStyle name="Comma [0] 5" xfId="30707" xr:uid="{00000000-0005-0000-0000-0000D32A0000}"/>
    <cellStyle name="Comma [0] 6" xfId="30708" xr:uid="{00000000-0005-0000-0000-0000D42A0000}"/>
    <cellStyle name="Comma [0] 7" xfId="30709" xr:uid="{00000000-0005-0000-0000-0000D52A0000}"/>
    <cellStyle name="Comma [00]" xfId="520" xr:uid="{00000000-0005-0000-0000-0000D62A0000}"/>
    <cellStyle name="Comma [00] 2" xfId="19548" xr:uid="{00000000-0005-0000-0000-0000D72A0000}"/>
    <cellStyle name="Comma [000]" xfId="521" xr:uid="{00000000-0005-0000-0000-0000D82A0000}"/>
    <cellStyle name="Comma [000] 2" xfId="19549" xr:uid="{00000000-0005-0000-0000-0000D92A0000}"/>
    <cellStyle name="Comma 10" xfId="3" xr:uid="{00000000-0005-0000-0000-0000DA2A0000}"/>
    <cellStyle name="Comma 10 2" xfId="9" xr:uid="{00000000-0005-0000-0000-0000DB2A0000}"/>
    <cellStyle name="Comma 10 2 2" xfId="415" xr:uid="{00000000-0005-0000-0000-0000DC2A0000}"/>
    <cellStyle name="Comma 10 2 2 2" xfId="19551" xr:uid="{00000000-0005-0000-0000-0000DD2A0000}"/>
    <cellStyle name="Comma 10 2 3" xfId="86" xr:uid="{00000000-0005-0000-0000-0000DE2A0000}"/>
    <cellStyle name="Comma 10 2 4" xfId="11442" xr:uid="{00000000-0005-0000-0000-0000DF2A0000}"/>
    <cellStyle name="Comma 10 3" xfId="87" xr:uid="{00000000-0005-0000-0000-0000E02A0000}"/>
    <cellStyle name="Comma 10 3 2" xfId="88" xr:uid="{00000000-0005-0000-0000-0000E12A0000}"/>
    <cellStyle name="Comma 10 3 2 2" xfId="89" xr:uid="{00000000-0005-0000-0000-0000E22A0000}"/>
    <cellStyle name="Comma 10 3 2 3" xfId="90" xr:uid="{00000000-0005-0000-0000-0000E32A0000}"/>
    <cellStyle name="Comma 10 3 2 4" xfId="414" xr:uid="{00000000-0005-0000-0000-0000E42A0000}"/>
    <cellStyle name="Comma 10 3 2 5" xfId="19552" xr:uid="{00000000-0005-0000-0000-0000E52A0000}"/>
    <cellStyle name="Comma 10 3 3" xfId="91" xr:uid="{00000000-0005-0000-0000-0000E62A0000}"/>
    <cellStyle name="Comma 10 3 3 2" xfId="413" xr:uid="{00000000-0005-0000-0000-0000E72A0000}"/>
    <cellStyle name="Comma 10 3 4" xfId="11443" xr:uid="{00000000-0005-0000-0000-0000E82A0000}"/>
    <cellStyle name="Comma 10 4" xfId="19550" xr:uid="{00000000-0005-0000-0000-0000E92A0000}"/>
    <cellStyle name="Comma 10 4 2" xfId="30710" xr:uid="{00000000-0005-0000-0000-0000EA2A0000}"/>
    <cellStyle name="Comma 10 5" xfId="6" xr:uid="{00000000-0005-0000-0000-0000EB2A0000}"/>
    <cellStyle name="Comma 10 5 2" xfId="30712" xr:uid="{00000000-0005-0000-0000-0000EC2A0000}"/>
    <cellStyle name="Comma 10 5 3" xfId="30711" xr:uid="{00000000-0005-0000-0000-0000ED2A0000}"/>
    <cellStyle name="Comma 10 6" xfId="30713" xr:uid="{00000000-0005-0000-0000-0000EE2A0000}"/>
    <cellStyle name="Comma 10 7" xfId="30714" xr:uid="{00000000-0005-0000-0000-0000EF2A0000}"/>
    <cellStyle name="Comma 10 8" xfId="30715" xr:uid="{00000000-0005-0000-0000-0000F02A0000}"/>
    <cellStyle name="Comma 10 9" xfId="30716" xr:uid="{00000000-0005-0000-0000-0000F12A0000}"/>
    <cellStyle name="Comma 100" xfId="15808" xr:uid="{00000000-0005-0000-0000-0000F22A0000}"/>
    <cellStyle name="Comma 100 2" xfId="19553" xr:uid="{00000000-0005-0000-0000-0000F32A0000}"/>
    <cellStyle name="Comma 101" xfId="15821" xr:uid="{00000000-0005-0000-0000-0000F42A0000}"/>
    <cellStyle name="Comma 101 2" xfId="19554" xr:uid="{00000000-0005-0000-0000-0000F52A0000}"/>
    <cellStyle name="Comma 102" xfId="15819" xr:uid="{00000000-0005-0000-0000-0000F62A0000}"/>
    <cellStyle name="Comma 102 2" xfId="19555" xr:uid="{00000000-0005-0000-0000-0000F72A0000}"/>
    <cellStyle name="Comma 103" xfId="15797" xr:uid="{00000000-0005-0000-0000-0000F82A0000}"/>
    <cellStyle name="Comma 103 2" xfId="19556" xr:uid="{00000000-0005-0000-0000-0000F92A0000}"/>
    <cellStyle name="Comma 104" xfId="15813" xr:uid="{00000000-0005-0000-0000-0000FA2A0000}"/>
    <cellStyle name="Comma 104 2" xfId="19557" xr:uid="{00000000-0005-0000-0000-0000FB2A0000}"/>
    <cellStyle name="Comma 105" xfId="15801" xr:uid="{00000000-0005-0000-0000-0000FC2A0000}"/>
    <cellStyle name="Comma 105 2" xfId="19558" xr:uid="{00000000-0005-0000-0000-0000FD2A0000}"/>
    <cellStyle name="Comma 106" xfId="15807" xr:uid="{00000000-0005-0000-0000-0000FE2A0000}"/>
    <cellStyle name="Comma 106 2" xfId="19559" xr:uid="{00000000-0005-0000-0000-0000FF2A0000}"/>
    <cellStyle name="Comma 107" xfId="15812" xr:uid="{00000000-0005-0000-0000-0000002B0000}"/>
    <cellStyle name="Comma 107 2" xfId="19560" xr:uid="{00000000-0005-0000-0000-0000012B0000}"/>
    <cellStyle name="Comma 108" xfId="15800" xr:uid="{00000000-0005-0000-0000-0000022B0000}"/>
    <cellStyle name="Comma 108 2" xfId="19561" xr:uid="{00000000-0005-0000-0000-0000032B0000}"/>
    <cellStyle name="Comma 109" xfId="15806" xr:uid="{00000000-0005-0000-0000-0000042B0000}"/>
    <cellStyle name="Comma 109 2" xfId="19562" xr:uid="{00000000-0005-0000-0000-0000052B0000}"/>
    <cellStyle name="Comma 11" xfId="238" xr:uid="{00000000-0005-0000-0000-0000062B0000}"/>
    <cellStyle name="Comma 11 10" xfId="522" xr:uid="{00000000-0005-0000-0000-0000072B0000}"/>
    <cellStyle name="Comma 11 2" xfId="6431" xr:uid="{00000000-0005-0000-0000-0000082B0000}"/>
    <cellStyle name="Comma 11 2 10" xfId="19564" xr:uid="{00000000-0005-0000-0000-0000092B0000}"/>
    <cellStyle name="Comma 11 2 11" xfId="30717" xr:uid="{00000000-0005-0000-0000-00000A2B0000}"/>
    <cellStyle name="Comma 11 2 12" xfId="30718" xr:uid="{00000000-0005-0000-0000-00000B2B0000}"/>
    <cellStyle name="Comma 11 2 13" xfId="30719" xr:uid="{00000000-0005-0000-0000-00000C2B0000}"/>
    <cellStyle name="Comma 11 2 14" xfId="30720" xr:uid="{00000000-0005-0000-0000-00000D2B0000}"/>
    <cellStyle name="Comma 11 2 2" xfId="6432" xr:uid="{00000000-0005-0000-0000-00000E2B0000}"/>
    <cellStyle name="Comma 11 2 2 2" xfId="6433" xr:uid="{00000000-0005-0000-0000-00000F2B0000}"/>
    <cellStyle name="Comma 11 2 2 2 2" xfId="19566" xr:uid="{00000000-0005-0000-0000-0000102B0000}"/>
    <cellStyle name="Comma 11 2 2 3" xfId="6434" xr:uid="{00000000-0005-0000-0000-0000112B0000}"/>
    <cellStyle name="Comma 11 2 2 3 2" xfId="19567" xr:uid="{00000000-0005-0000-0000-0000122B0000}"/>
    <cellStyle name="Comma 11 2 2 4" xfId="6435" xr:uid="{00000000-0005-0000-0000-0000132B0000}"/>
    <cellStyle name="Comma 11 2 2 4 2" xfId="19568" xr:uid="{00000000-0005-0000-0000-0000142B0000}"/>
    <cellStyle name="Comma 11 2 2 5" xfId="6436" xr:uid="{00000000-0005-0000-0000-0000152B0000}"/>
    <cellStyle name="Comma 11 2 2 5 2" xfId="19569" xr:uid="{00000000-0005-0000-0000-0000162B0000}"/>
    <cellStyle name="Comma 11 2 2 6" xfId="19565" xr:uid="{00000000-0005-0000-0000-0000172B0000}"/>
    <cellStyle name="Comma 11 2 3" xfId="6437" xr:uid="{00000000-0005-0000-0000-0000182B0000}"/>
    <cellStyle name="Comma 11 2 3 2" xfId="6438" xr:uid="{00000000-0005-0000-0000-0000192B0000}"/>
    <cellStyle name="Comma 11 2 3 2 2" xfId="19571" xr:uid="{00000000-0005-0000-0000-00001A2B0000}"/>
    <cellStyle name="Comma 11 2 3 3" xfId="6439" xr:uid="{00000000-0005-0000-0000-00001B2B0000}"/>
    <cellStyle name="Comma 11 2 3 3 2" xfId="19572" xr:uid="{00000000-0005-0000-0000-00001C2B0000}"/>
    <cellStyle name="Comma 11 2 3 4" xfId="6440" xr:uid="{00000000-0005-0000-0000-00001D2B0000}"/>
    <cellStyle name="Comma 11 2 3 4 2" xfId="19573" xr:uid="{00000000-0005-0000-0000-00001E2B0000}"/>
    <cellStyle name="Comma 11 2 3 5" xfId="6441" xr:uid="{00000000-0005-0000-0000-00001F2B0000}"/>
    <cellStyle name="Comma 11 2 3 5 2" xfId="19574" xr:uid="{00000000-0005-0000-0000-0000202B0000}"/>
    <cellStyle name="Comma 11 2 3 6" xfId="19570" xr:uid="{00000000-0005-0000-0000-0000212B0000}"/>
    <cellStyle name="Comma 11 2 4" xfId="6442" xr:uid="{00000000-0005-0000-0000-0000222B0000}"/>
    <cellStyle name="Comma 11 2 4 2" xfId="6443" xr:uid="{00000000-0005-0000-0000-0000232B0000}"/>
    <cellStyle name="Comma 11 2 4 2 2" xfId="19576" xr:uid="{00000000-0005-0000-0000-0000242B0000}"/>
    <cellStyle name="Comma 11 2 4 3" xfId="6444" xr:uid="{00000000-0005-0000-0000-0000252B0000}"/>
    <cellStyle name="Comma 11 2 4 3 2" xfId="19577" xr:uid="{00000000-0005-0000-0000-0000262B0000}"/>
    <cellStyle name="Comma 11 2 4 4" xfId="6445" xr:uid="{00000000-0005-0000-0000-0000272B0000}"/>
    <cellStyle name="Comma 11 2 4 4 2" xfId="19578" xr:uid="{00000000-0005-0000-0000-0000282B0000}"/>
    <cellStyle name="Comma 11 2 4 5" xfId="6446" xr:uid="{00000000-0005-0000-0000-0000292B0000}"/>
    <cellStyle name="Comma 11 2 4 5 2" xfId="19579" xr:uid="{00000000-0005-0000-0000-00002A2B0000}"/>
    <cellStyle name="Comma 11 2 4 6" xfId="19575" xr:uid="{00000000-0005-0000-0000-00002B2B0000}"/>
    <cellStyle name="Comma 11 2 5" xfId="6447" xr:uid="{00000000-0005-0000-0000-00002C2B0000}"/>
    <cellStyle name="Comma 11 2 5 2" xfId="6448" xr:uid="{00000000-0005-0000-0000-00002D2B0000}"/>
    <cellStyle name="Comma 11 2 5 2 2" xfId="19581" xr:uid="{00000000-0005-0000-0000-00002E2B0000}"/>
    <cellStyle name="Comma 11 2 5 3" xfId="6449" xr:uid="{00000000-0005-0000-0000-00002F2B0000}"/>
    <cellStyle name="Comma 11 2 5 3 2" xfId="19582" xr:uid="{00000000-0005-0000-0000-0000302B0000}"/>
    <cellStyle name="Comma 11 2 5 4" xfId="6450" xr:uid="{00000000-0005-0000-0000-0000312B0000}"/>
    <cellStyle name="Comma 11 2 5 4 2" xfId="19583" xr:uid="{00000000-0005-0000-0000-0000322B0000}"/>
    <cellStyle name="Comma 11 2 5 5" xfId="6451" xr:uid="{00000000-0005-0000-0000-0000332B0000}"/>
    <cellStyle name="Comma 11 2 5 5 2" xfId="19584" xr:uid="{00000000-0005-0000-0000-0000342B0000}"/>
    <cellStyle name="Comma 11 2 5 6" xfId="19580" xr:uid="{00000000-0005-0000-0000-0000352B0000}"/>
    <cellStyle name="Comma 11 2 6" xfId="6452" xr:uid="{00000000-0005-0000-0000-0000362B0000}"/>
    <cellStyle name="Comma 11 2 6 2" xfId="19585" xr:uid="{00000000-0005-0000-0000-0000372B0000}"/>
    <cellStyle name="Comma 11 2 7" xfId="6453" xr:uid="{00000000-0005-0000-0000-0000382B0000}"/>
    <cellStyle name="Comma 11 2 7 2" xfId="19586" xr:uid="{00000000-0005-0000-0000-0000392B0000}"/>
    <cellStyle name="Comma 11 2 8" xfId="6454" xr:uid="{00000000-0005-0000-0000-00003A2B0000}"/>
    <cellStyle name="Comma 11 2 8 2" xfId="19587" xr:uid="{00000000-0005-0000-0000-00003B2B0000}"/>
    <cellStyle name="Comma 11 2 9" xfId="6455" xr:uid="{00000000-0005-0000-0000-00003C2B0000}"/>
    <cellStyle name="Comma 11 2 9 2" xfId="19588" xr:uid="{00000000-0005-0000-0000-00003D2B0000}"/>
    <cellStyle name="Comma 11 3" xfId="6456" xr:uid="{00000000-0005-0000-0000-00003E2B0000}"/>
    <cellStyle name="Comma 11 3 2" xfId="19589" xr:uid="{00000000-0005-0000-0000-00003F2B0000}"/>
    <cellStyle name="Comma 11 4" xfId="6457" xr:uid="{00000000-0005-0000-0000-0000402B0000}"/>
    <cellStyle name="Comma 11 4 2" xfId="19590" xr:uid="{00000000-0005-0000-0000-0000412B0000}"/>
    <cellStyle name="Comma 11 5" xfId="6458" xr:uid="{00000000-0005-0000-0000-0000422B0000}"/>
    <cellStyle name="Comma 11 5 2" xfId="19591" xr:uid="{00000000-0005-0000-0000-0000432B0000}"/>
    <cellStyle name="Comma 11 6" xfId="6459" xr:uid="{00000000-0005-0000-0000-0000442B0000}"/>
    <cellStyle name="Comma 11 6 2" xfId="19592" xr:uid="{00000000-0005-0000-0000-0000452B0000}"/>
    <cellStyle name="Comma 11 7" xfId="19563" xr:uid="{00000000-0005-0000-0000-0000462B0000}"/>
    <cellStyle name="Comma 11 8" xfId="30721" xr:uid="{00000000-0005-0000-0000-0000472B0000}"/>
    <cellStyle name="Comma 11 9" xfId="30722" xr:uid="{00000000-0005-0000-0000-0000482B0000}"/>
    <cellStyle name="Comma 110" xfId="15811" xr:uid="{00000000-0005-0000-0000-0000492B0000}"/>
    <cellStyle name="Comma 110 2" xfId="19593" xr:uid="{00000000-0005-0000-0000-00004A2B0000}"/>
    <cellStyle name="Comma 111" xfId="15818" xr:uid="{00000000-0005-0000-0000-00004B2B0000}"/>
    <cellStyle name="Comma 111 2" xfId="19594" xr:uid="{00000000-0005-0000-0000-00004C2B0000}"/>
    <cellStyle name="Comma 112" xfId="15805" xr:uid="{00000000-0005-0000-0000-00004D2B0000}"/>
    <cellStyle name="Comma 112 2" xfId="19595" xr:uid="{00000000-0005-0000-0000-00004E2B0000}"/>
    <cellStyle name="Comma 113" xfId="15810" xr:uid="{00000000-0005-0000-0000-00004F2B0000}"/>
    <cellStyle name="Comma 113 2" xfId="19596" xr:uid="{00000000-0005-0000-0000-0000502B0000}"/>
    <cellStyle name="Comma 114" xfId="15799" xr:uid="{00000000-0005-0000-0000-0000512B0000}"/>
    <cellStyle name="Comma 114 2" xfId="19597" xr:uid="{00000000-0005-0000-0000-0000522B0000}"/>
    <cellStyle name="Comma 115" xfId="19598" xr:uid="{00000000-0005-0000-0000-0000532B0000}"/>
    <cellStyle name="Comma 116" xfId="29114" xr:uid="{00000000-0005-0000-0000-0000542B0000}"/>
    <cellStyle name="Comma 117" xfId="30723" xr:uid="{00000000-0005-0000-0000-0000552B0000}"/>
    <cellStyle name="Comma 118" xfId="30724" xr:uid="{00000000-0005-0000-0000-0000562B0000}"/>
    <cellStyle name="Comma 119" xfId="30725" xr:uid="{00000000-0005-0000-0000-0000572B0000}"/>
    <cellStyle name="Comma 12" xfId="234" xr:uid="{00000000-0005-0000-0000-0000582B0000}"/>
    <cellStyle name="Comma 12 2" xfId="6461" xr:uid="{00000000-0005-0000-0000-0000592B0000}"/>
    <cellStyle name="Comma 12 2 10" xfId="19600" xr:uid="{00000000-0005-0000-0000-00005A2B0000}"/>
    <cellStyle name="Comma 12 2 11" xfId="30726" xr:uid="{00000000-0005-0000-0000-00005B2B0000}"/>
    <cellStyle name="Comma 12 2 12" xfId="30727" xr:uid="{00000000-0005-0000-0000-00005C2B0000}"/>
    <cellStyle name="Comma 12 2 2" xfId="6462" xr:uid="{00000000-0005-0000-0000-00005D2B0000}"/>
    <cellStyle name="Comma 12 2 2 2" xfId="6463" xr:uid="{00000000-0005-0000-0000-00005E2B0000}"/>
    <cellStyle name="Comma 12 2 2 2 2" xfId="19602" xr:uid="{00000000-0005-0000-0000-00005F2B0000}"/>
    <cellStyle name="Comma 12 2 2 3" xfId="6464" xr:uid="{00000000-0005-0000-0000-0000602B0000}"/>
    <cellStyle name="Comma 12 2 2 3 2" xfId="19603" xr:uid="{00000000-0005-0000-0000-0000612B0000}"/>
    <cellStyle name="Comma 12 2 2 4" xfId="6465" xr:uid="{00000000-0005-0000-0000-0000622B0000}"/>
    <cellStyle name="Comma 12 2 2 4 2" xfId="19604" xr:uid="{00000000-0005-0000-0000-0000632B0000}"/>
    <cellStyle name="Comma 12 2 2 5" xfId="6466" xr:uid="{00000000-0005-0000-0000-0000642B0000}"/>
    <cellStyle name="Comma 12 2 2 5 2" xfId="19605" xr:uid="{00000000-0005-0000-0000-0000652B0000}"/>
    <cellStyle name="Comma 12 2 2 6" xfId="19601" xr:uid="{00000000-0005-0000-0000-0000662B0000}"/>
    <cellStyle name="Comma 12 2 3" xfId="6467" xr:uid="{00000000-0005-0000-0000-0000672B0000}"/>
    <cellStyle name="Comma 12 2 3 2" xfId="6468" xr:uid="{00000000-0005-0000-0000-0000682B0000}"/>
    <cellStyle name="Comma 12 2 3 2 2" xfId="19607" xr:uid="{00000000-0005-0000-0000-0000692B0000}"/>
    <cellStyle name="Comma 12 2 3 3" xfId="6469" xr:uid="{00000000-0005-0000-0000-00006A2B0000}"/>
    <cellStyle name="Comma 12 2 3 3 2" xfId="19608" xr:uid="{00000000-0005-0000-0000-00006B2B0000}"/>
    <cellStyle name="Comma 12 2 3 4" xfId="6470" xr:uid="{00000000-0005-0000-0000-00006C2B0000}"/>
    <cellStyle name="Comma 12 2 3 4 2" xfId="19609" xr:uid="{00000000-0005-0000-0000-00006D2B0000}"/>
    <cellStyle name="Comma 12 2 3 5" xfId="6471" xr:uid="{00000000-0005-0000-0000-00006E2B0000}"/>
    <cellStyle name="Comma 12 2 3 5 2" xfId="19610" xr:uid="{00000000-0005-0000-0000-00006F2B0000}"/>
    <cellStyle name="Comma 12 2 3 6" xfId="19606" xr:uid="{00000000-0005-0000-0000-0000702B0000}"/>
    <cellStyle name="Comma 12 2 4" xfId="6472" xr:uid="{00000000-0005-0000-0000-0000712B0000}"/>
    <cellStyle name="Comma 12 2 4 2" xfId="6473" xr:uid="{00000000-0005-0000-0000-0000722B0000}"/>
    <cellStyle name="Comma 12 2 4 2 2" xfId="19612" xr:uid="{00000000-0005-0000-0000-0000732B0000}"/>
    <cellStyle name="Comma 12 2 4 3" xfId="6474" xr:uid="{00000000-0005-0000-0000-0000742B0000}"/>
    <cellStyle name="Comma 12 2 4 3 2" xfId="19613" xr:uid="{00000000-0005-0000-0000-0000752B0000}"/>
    <cellStyle name="Comma 12 2 4 4" xfId="6475" xr:uid="{00000000-0005-0000-0000-0000762B0000}"/>
    <cellStyle name="Comma 12 2 4 4 2" xfId="19614" xr:uid="{00000000-0005-0000-0000-0000772B0000}"/>
    <cellStyle name="Comma 12 2 4 5" xfId="6476" xr:uid="{00000000-0005-0000-0000-0000782B0000}"/>
    <cellStyle name="Comma 12 2 4 5 2" xfId="19615" xr:uid="{00000000-0005-0000-0000-0000792B0000}"/>
    <cellStyle name="Comma 12 2 4 6" xfId="19611" xr:uid="{00000000-0005-0000-0000-00007A2B0000}"/>
    <cellStyle name="Comma 12 2 5" xfId="6477" xr:uid="{00000000-0005-0000-0000-00007B2B0000}"/>
    <cellStyle name="Comma 12 2 5 2" xfId="6478" xr:uid="{00000000-0005-0000-0000-00007C2B0000}"/>
    <cellStyle name="Comma 12 2 5 2 2" xfId="19617" xr:uid="{00000000-0005-0000-0000-00007D2B0000}"/>
    <cellStyle name="Comma 12 2 5 3" xfId="6479" xr:uid="{00000000-0005-0000-0000-00007E2B0000}"/>
    <cellStyle name="Comma 12 2 5 3 2" xfId="19618" xr:uid="{00000000-0005-0000-0000-00007F2B0000}"/>
    <cellStyle name="Comma 12 2 5 4" xfId="6480" xr:uid="{00000000-0005-0000-0000-0000802B0000}"/>
    <cellStyle name="Comma 12 2 5 4 2" xfId="19619" xr:uid="{00000000-0005-0000-0000-0000812B0000}"/>
    <cellStyle name="Comma 12 2 5 5" xfId="6481" xr:uid="{00000000-0005-0000-0000-0000822B0000}"/>
    <cellStyle name="Comma 12 2 5 5 2" xfId="19620" xr:uid="{00000000-0005-0000-0000-0000832B0000}"/>
    <cellStyle name="Comma 12 2 5 6" xfId="19616" xr:uid="{00000000-0005-0000-0000-0000842B0000}"/>
    <cellStyle name="Comma 12 2 6" xfId="6482" xr:uid="{00000000-0005-0000-0000-0000852B0000}"/>
    <cellStyle name="Comma 12 2 6 2" xfId="19621" xr:uid="{00000000-0005-0000-0000-0000862B0000}"/>
    <cellStyle name="Comma 12 2 7" xfId="6483" xr:uid="{00000000-0005-0000-0000-0000872B0000}"/>
    <cellStyle name="Comma 12 2 7 2" xfId="19622" xr:uid="{00000000-0005-0000-0000-0000882B0000}"/>
    <cellStyle name="Comma 12 2 8" xfId="6484" xr:uid="{00000000-0005-0000-0000-0000892B0000}"/>
    <cellStyle name="Comma 12 2 8 2" xfId="19623" xr:uid="{00000000-0005-0000-0000-00008A2B0000}"/>
    <cellStyle name="Comma 12 2 9" xfId="6485" xr:uid="{00000000-0005-0000-0000-00008B2B0000}"/>
    <cellStyle name="Comma 12 2 9 2" xfId="19624" xr:uid="{00000000-0005-0000-0000-00008C2B0000}"/>
    <cellStyle name="Comma 12 3" xfId="19599" xr:uid="{00000000-0005-0000-0000-00008D2B0000}"/>
    <cellStyle name="Comma 12 3 2" xfId="30728" xr:uid="{00000000-0005-0000-0000-00008E2B0000}"/>
    <cellStyle name="Comma 12 3 3" xfId="30729" xr:uid="{00000000-0005-0000-0000-00008F2B0000}"/>
    <cellStyle name="Comma 12 3 4" xfId="30730" xr:uid="{00000000-0005-0000-0000-0000902B0000}"/>
    <cellStyle name="Comma 12 4" xfId="30731" xr:uid="{00000000-0005-0000-0000-0000912B0000}"/>
    <cellStyle name="Comma 12 5" xfId="30732" xr:uid="{00000000-0005-0000-0000-0000922B0000}"/>
    <cellStyle name="Comma 12 6" xfId="30733" xr:uid="{00000000-0005-0000-0000-0000932B0000}"/>
    <cellStyle name="Comma 12 7" xfId="30734" xr:uid="{00000000-0005-0000-0000-0000942B0000}"/>
    <cellStyle name="Comma 12 8" xfId="30735" xr:uid="{00000000-0005-0000-0000-0000952B0000}"/>
    <cellStyle name="Comma 12 9" xfId="6460" xr:uid="{00000000-0005-0000-0000-0000962B0000}"/>
    <cellStyle name="Comma 12_Loan Classification" xfId="11444" xr:uid="{00000000-0005-0000-0000-0000972B0000}"/>
    <cellStyle name="Comma 120" xfId="30736" xr:uid="{00000000-0005-0000-0000-0000982B0000}"/>
    <cellStyle name="Comma 121" xfId="30737" xr:uid="{00000000-0005-0000-0000-0000992B0000}"/>
    <cellStyle name="Comma 122" xfId="30738" xr:uid="{00000000-0005-0000-0000-00009A2B0000}"/>
    <cellStyle name="Comma 123" xfId="30739" xr:uid="{00000000-0005-0000-0000-00009B2B0000}"/>
    <cellStyle name="Comma 124" xfId="30740" xr:uid="{00000000-0005-0000-0000-00009C2B0000}"/>
    <cellStyle name="Comma 125" xfId="30741" xr:uid="{00000000-0005-0000-0000-00009D2B0000}"/>
    <cellStyle name="Comma 125 2" xfId="30742" xr:uid="{00000000-0005-0000-0000-00009E2B0000}"/>
    <cellStyle name="Comma 126" xfId="30743" xr:uid="{00000000-0005-0000-0000-00009F2B0000}"/>
    <cellStyle name="Comma 126 2" xfId="30744" xr:uid="{00000000-0005-0000-0000-0000A02B0000}"/>
    <cellStyle name="Comma 127" xfId="30745" xr:uid="{00000000-0005-0000-0000-0000A12B0000}"/>
    <cellStyle name="Comma 127 2" xfId="30746" xr:uid="{00000000-0005-0000-0000-0000A22B0000}"/>
    <cellStyle name="Comma 128" xfId="30747" xr:uid="{00000000-0005-0000-0000-0000A32B0000}"/>
    <cellStyle name="Comma 129" xfId="30748" xr:uid="{00000000-0005-0000-0000-0000A42B0000}"/>
    <cellStyle name="Comma 13" xfId="228" xr:uid="{00000000-0005-0000-0000-0000A52B0000}"/>
    <cellStyle name="Comma 13 2" xfId="6487" xr:uid="{00000000-0005-0000-0000-0000A62B0000}"/>
    <cellStyle name="Comma 13 2 10" xfId="19626" xr:uid="{00000000-0005-0000-0000-0000A72B0000}"/>
    <cellStyle name="Comma 13 2 11" xfId="30749" xr:uid="{00000000-0005-0000-0000-0000A82B0000}"/>
    <cellStyle name="Comma 13 2 12" xfId="30750" xr:uid="{00000000-0005-0000-0000-0000A92B0000}"/>
    <cellStyle name="Comma 13 2 13" xfId="33743" xr:uid="{00000000-0005-0000-0000-0000AA2B0000}"/>
    <cellStyle name="Comma 13 2 2" xfId="6488" xr:uid="{00000000-0005-0000-0000-0000AB2B0000}"/>
    <cellStyle name="Comma 13 2 2 2" xfId="6489" xr:uid="{00000000-0005-0000-0000-0000AC2B0000}"/>
    <cellStyle name="Comma 13 2 2 2 2" xfId="19628" xr:uid="{00000000-0005-0000-0000-0000AD2B0000}"/>
    <cellStyle name="Comma 13 2 2 3" xfId="6490" xr:uid="{00000000-0005-0000-0000-0000AE2B0000}"/>
    <cellStyle name="Comma 13 2 2 3 2" xfId="19629" xr:uid="{00000000-0005-0000-0000-0000AF2B0000}"/>
    <cellStyle name="Comma 13 2 2 4" xfId="6491" xr:uid="{00000000-0005-0000-0000-0000B02B0000}"/>
    <cellStyle name="Comma 13 2 2 4 2" xfId="19630" xr:uid="{00000000-0005-0000-0000-0000B12B0000}"/>
    <cellStyle name="Comma 13 2 2 5" xfId="6492" xr:uid="{00000000-0005-0000-0000-0000B22B0000}"/>
    <cellStyle name="Comma 13 2 2 5 2" xfId="19631" xr:uid="{00000000-0005-0000-0000-0000B32B0000}"/>
    <cellStyle name="Comma 13 2 2 6" xfId="19627" xr:uid="{00000000-0005-0000-0000-0000B42B0000}"/>
    <cellStyle name="Comma 13 2 3" xfId="6493" xr:uid="{00000000-0005-0000-0000-0000B52B0000}"/>
    <cellStyle name="Comma 13 2 3 2" xfId="6494" xr:uid="{00000000-0005-0000-0000-0000B62B0000}"/>
    <cellStyle name="Comma 13 2 3 2 2" xfId="19633" xr:uid="{00000000-0005-0000-0000-0000B72B0000}"/>
    <cellStyle name="Comma 13 2 3 3" xfId="6495" xr:uid="{00000000-0005-0000-0000-0000B82B0000}"/>
    <cellStyle name="Comma 13 2 3 3 2" xfId="19634" xr:uid="{00000000-0005-0000-0000-0000B92B0000}"/>
    <cellStyle name="Comma 13 2 3 4" xfId="6496" xr:uid="{00000000-0005-0000-0000-0000BA2B0000}"/>
    <cellStyle name="Comma 13 2 3 4 2" xfId="19635" xr:uid="{00000000-0005-0000-0000-0000BB2B0000}"/>
    <cellStyle name="Comma 13 2 3 5" xfId="6497" xr:uid="{00000000-0005-0000-0000-0000BC2B0000}"/>
    <cellStyle name="Comma 13 2 3 5 2" xfId="19636" xr:uid="{00000000-0005-0000-0000-0000BD2B0000}"/>
    <cellStyle name="Comma 13 2 3 6" xfId="19632" xr:uid="{00000000-0005-0000-0000-0000BE2B0000}"/>
    <cellStyle name="Comma 13 2 4" xfId="6498" xr:uid="{00000000-0005-0000-0000-0000BF2B0000}"/>
    <cellStyle name="Comma 13 2 4 2" xfId="6499" xr:uid="{00000000-0005-0000-0000-0000C02B0000}"/>
    <cellStyle name="Comma 13 2 4 2 2" xfId="19638" xr:uid="{00000000-0005-0000-0000-0000C12B0000}"/>
    <cellStyle name="Comma 13 2 4 3" xfId="6500" xr:uid="{00000000-0005-0000-0000-0000C22B0000}"/>
    <cellStyle name="Comma 13 2 4 3 2" xfId="19639" xr:uid="{00000000-0005-0000-0000-0000C32B0000}"/>
    <cellStyle name="Comma 13 2 4 4" xfId="6501" xr:uid="{00000000-0005-0000-0000-0000C42B0000}"/>
    <cellStyle name="Comma 13 2 4 4 2" xfId="19640" xr:uid="{00000000-0005-0000-0000-0000C52B0000}"/>
    <cellStyle name="Comma 13 2 4 5" xfId="6502" xr:uid="{00000000-0005-0000-0000-0000C62B0000}"/>
    <cellStyle name="Comma 13 2 4 5 2" xfId="19641" xr:uid="{00000000-0005-0000-0000-0000C72B0000}"/>
    <cellStyle name="Comma 13 2 4 6" xfId="19637" xr:uid="{00000000-0005-0000-0000-0000C82B0000}"/>
    <cellStyle name="Comma 13 2 5" xfId="6503" xr:uid="{00000000-0005-0000-0000-0000C92B0000}"/>
    <cellStyle name="Comma 13 2 5 2" xfId="6504" xr:uid="{00000000-0005-0000-0000-0000CA2B0000}"/>
    <cellStyle name="Comma 13 2 5 2 2" xfId="19643" xr:uid="{00000000-0005-0000-0000-0000CB2B0000}"/>
    <cellStyle name="Comma 13 2 5 3" xfId="6505" xr:uid="{00000000-0005-0000-0000-0000CC2B0000}"/>
    <cellStyle name="Comma 13 2 5 3 2" xfId="19644" xr:uid="{00000000-0005-0000-0000-0000CD2B0000}"/>
    <cellStyle name="Comma 13 2 5 4" xfId="6506" xr:uid="{00000000-0005-0000-0000-0000CE2B0000}"/>
    <cellStyle name="Comma 13 2 5 4 2" xfId="19645" xr:uid="{00000000-0005-0000-0000-0000CF2B0000}"/>
    <cellStyle name="Comma 13 2 5 5" xfId="6507" xr:uid="{00000000-0005-0000-0000-0000D02B0000}"/>
    <cellStyle name="Comma 13 2 5 5 2" xfId="19646" xr:uid="{00000000-0005-0000-0000-0000D12B0000}"/>
    <cellStyle name="Comma 13 2 5 6" xfId="19642" xr:uid="{00000000-0005-0000-0000-0000D22B0000}"/>
    <cellStyle name="Comma 13 2 6" xfId="6508" xr:uid="{00000000-0005-0000-0000-0000D32B0000}"/>
    <cellStyle name="Comma 13 2 6 2" xfId="19647" xr:uid="{00000000-0005-0000-0000-0000D42B0000}"/>
    <cellStyle name="Comma 13 2 7" xfId="6509" xr:uid="{00000000-0005-0000-0000-0000D52B0000}"/>
    <cellStyle name="Comma 13 2 7 2" xfId="19648" xr:uid="{00000000-0005-0000-0000-0000D62B0000}"/>
    <cellStyle name="Comma 13 2 8" xfId="6510" xr:uid="{00000000-0005-0000-0000-0000D72B0000}"/>
    <cellStyle name="Comma 13 2 8 2" xfId="19649" xr:uid="{00000000-0005-0000-0000-0000D82B0000}"/>
    <cellStyle name="Comma 13 2 9" xfId="6511" xr:uid="{00000000-0005-0000-0000-0000D92B0000}"/>
    <cellStyle name="Comma 13 2 9 2" xfId="19650" xr:uid="{00000000-0005-0000-0000-0000DA2B0000}"/>
    <cellStyle name="Comma 13 3" xfId="19625" xr:uid="{00000000-0005-0000-0000-0000DB2B0000}"/>
    <cellStyle name="Comma 13 3 2" xfId="33972" xr:uid="{00000000-0005-0000-0000-0000DC2B0000}"/>
    <cellStyle name="Comma 13 4" xfId="30751" xr:uid="{00000000-0005-0000-0000-0000DD2B0000}"/>
    <cellStyle name="Comma 13 4 2" xfId="34186" xr:uid="{00000000-0005-0000-0000-0000DE2B0000}"/>
    <cellStyle name="Comma 13 5" xfId="30752" xr:uid="{00000000-0005-0000-0000-0000DF2B0000}"/>
    <cellStyle name="Comma 13 6" xfId="30753" xr:uid="{00000000-0005-0000-0000-0000E02B0000}"/>
    <cellStyle name="Comma 13 7" xfId="33359" xr:uid="{00000000-0005-0000-0000-0000E12B0000}"/>
    <cellStyle name="Comma 13 8" xfId="6486" xr:uid="{00000000-0005-0000-0000-0000E22B0000}"/>
    <cellStyle name="Comma 130" xfId="30754" xr:uid="{00000000-0005-0000-0000-0000E32B0000}"/>
    <cellStyle name="Comma 131" xfId="30755" xr:uid="{00000000-0005-0000-0000-0000E42B0000}"/>
    <cellStyle name="Comma 132" xfId="30756" xr:uid="{00000000-0005-0000-0000-0000E52B0000}"/>
    <cellStyle name="Comma 133" xfId="34272" xr:uid="{00000000-0005-0000-0000-0000E62B0000}"/>
    <cellStyle name="Comma 134" xfId="34324" xr:uid="{00000000-0005-0000-0000-0000E72B0000}"/>
    <cellStyle name="Comma 135" xfId="34329" xr:uid="{00000000-0005-0000-0000-0000E82B0000}"/>
    <cellStyle name="Comma 136" xfId="34338" xr:uid="{00000000-0005-0000-0000-0000E92B0000}"/>
    <cellStyle name="Comma 14" xfId="225" xr:uid="{00000000-0005-0000-0000-0000EA2B0000}"/>
    <cellStyle name="Comma 14 2" xfId="19651" xr:uid="{00000000-0005-0000-0000-0000EB2B0000}"/>
    <cellStyle name="Comma 14 3" xfId="30757" xr:uid="{00000000-0005-0000-0000-0000EC2B0000}"/>
    <cellStyle name="Comma 14 4" xfId="30758" xr:uid="{00000000-0005-0000-0000-0000ED2B0000}"/>
    <cellStyle name="Comma 14 5" xfId="6512" xr:uid="{00000000-0005-0000-0000-0000EE2B0000}"/>
    <cellStyle name="Comma 149" xfId="34339" xr:uid="{00000000-0005-0000-0000-0000EF2B0000}"/>
    <cellStyle name="Comma 15" xfId="221" xr:uid="{00000000-0005-0000-0000-0000F02B0000}"/>
    <cellStyle name="Comma 15 2" xfId="19652" xr:uid="{00000000-0005-0000-0000-0000F12B0000}"/>
    <cellStyle name="Comma 15 3" xfId="30759" xr:uid="{00000000-0005-0000-0000-0000F22B0000}"/>
    <cellStyle name="Comma 15 4" xfId="30760" xr:uid="{00000000-0005-0000-0000-0000F32B0000}"/>
    <cellStyle name="Comma 15 5" xfId="6513" xr:uid="{00000000-0005-0000-0000-0000F42B0000}"/>
    <cellStyle name="Comma 16" xfId="218" xr:uid="{00000000-0005-0000-0000-0000F52B0000}"/>
    <cellStyle name="Comma 16 2" xfId="6515" xr:uid="{00000000-0005-0000-0000-0000F62B0000}"/>
    <cellStyle name="Comma 16 2 10" xfId="19654" xr:uid="{00000000-0005-0000-0000-0000F72B0000}"/>
    <cellStyle name="Comma 16 2 2" xfId="6516" xr:uid="{00000000-0005-0000-0000-0000F82B0000}"/>
    <cellStyle name="Comma 16 2 2 2" xfId="6517" xr:uid="{00000000-0005-0000-0000-0000F92B0000}"/>
    <cellStyle name="Comma 16 2 2 2 2" xfId="19656" xr:uid="{00000000-0005-0000-0000-0000FA2B0000}"/>
    <cellStyle name="Comma 16 2 2 3" xfId="6518" xr:uid="{00000000-0005-0000-0000-0000FB2B0000}"/>
    <cellStyle name="Comma 16 2 2 3 2" xfId="19657" xr:uid="{00000000-0005-0000-0000-0000FC2B0000}"/>
    <cellStyle name="Comma 16 2 2 4" xfId="6519" xr:uid="{00000000-0005-0000-0000-0000FD2B0000}"/>
    <cellStyle name="Comma 16 2 2 4 2" xfId="19658" xr:uid="{00000000-0005-0000-0000-0000FE2B0000}"/>
    <cellStyle name="Comma 16 2 2 5" xfId="6520" xr:uid="{00000000-0005-0000-0000-0000FF2B0000}"/>
    <cellStyle name="Comma 16 2 2 5 2" xfId="19659" xr:uid="{00000000-0005-0000-0000-0000002C0000}"/>
    <cellStyle name="Comma 16 2 2 6" xfId="19655" xr:uid="{00000000-0005-0000-0000-0000012C0000}"/>
    <cellStyle name="Comma 16 2 3" xfId="6521" xr:uid="{00000000-0005-0000-0000-0000022C0000}"/>
    <cellStyle name="Comma 16 2 3 2" xfId="6522" xr:uid="{00000000-0005-0000-0000-0000032C0000}"/>
    <cellStyle name="Comma 16 2 3 2 2" xfId="19661" xr:uid="{00000000-0005-0000-0000-0000042C0000}"/>
    <cellStyle name="Comma 16 2 3 3" xfId="6523" xr:uid="{00000000-0005-0000-0000-0000052C0000}"/>
    <cellStyle name="Comma 16 2 3 3 2" xfId="19662" xr:uid="{00000000-0005-0000-0000-0000062C0000}"/>
    <cellStyle name="Comma 16 2 3 4" xfId="6524" xr:uid="{00000000-0005-0000-0000-0000072C0000}"/>
    <cellStyle name="Comma 16 2 3 4 2" xfId="19663" xr:uid="{00000000-0005-0000-0000-0000082C0000}"/>
    <cellStyle name="Comma 16 2 3 5" xfId="6525" xr:uid="{00000000-0005-0000-0000-0000092C0000}"/>
    <cellStyle name="Comma 16 2 3 5 2" xfId="19664" xr:uid="{00000000-0005-0000-0000-00000A2C0000}"/>
    <cellStyle name="Comma 16 2 3 6" xfId="19660" xr:uid="{00000000-0005-0000-0000-00000B2C0000}"/>
    <cellStyle name="Comma 16 2 4" xfId="6526" xr:uid="{00000000-0005-0000-0000-00000C2C0000}"/>
    <cellStyle name="Comma 16 2 4 2" xfId="6527" xr:uid="{00000000-0005-0000-0000-00000D2C0000}"/>
    <cellStyle name="Comma 16 2 4 2 2" xfId="19666" xr:uid="{00000000-0005-0000-0000-00000E2C0000}"/>
    <cellStyle name="Comma 16 2 4 3" xfId="6528" xr:uid="{00000000-0005-0000-0000-00000F2C0000}"/>
    <cellStyle name="Comma 16 2 4 3 2" xfId="19667" xr:uid="{00000000-0005-0000-0000-0000102C0000}"/>
    <cellStyle name="Comma 16 2 4 4" xfId="6529" xr:uid="{00000000-0005-0000-0000-0000112C0000}"/>
    <cellStyle name="Comma 16 2 4 4 2" xfId="19668" xr:uid="{00000000-0005-0000-0000-0000122C0000}"/>
    <cellStyle name="Comma 16 2 4 5" xfId="6530" xr:uid="{00000000-0005-0000-0000-0000132C0000}"/>
    <cellStyle name="Comma 16 2 4 5 2" xfId="19669" xr:uid="{00000000-0005-0000-0000-0000142C0000}"/>
    <cellStyle name="Comma 16 2 4 6" xfId="19665" xr:uid="{00000000-0005-0000-0000-0000152C0000}"/>
    <cellStyle name="Comma 16 2 5" xfId="6531" xr:uid="{00000000-0005-0000-0000-0000162C0000}"/>
    <cellStyle name="Comma 16 2 5 2" xfId="6532" xr:uid="{00000000-0005-0000-0000-0000172C0000}"/>
    <cellStyle name="Comma 16 2 5 2 2" xfId="19671" xr:uid="{00000000-0005-0000-0000-0000182C0000}"/>
    <cellStyle name="Comma 16 2 5 3" xfId="6533" xr:uid="{00000000-0005-0000-0000-0000192C0000}"/>
    <cellStyle name="Comma 16 2 5 3 2" xfId="19672" xr:uid="{00000000-0005-0000-0000-00001A2C0000}"/>
    <cellStyle name="Comma 16 2 5 4" xfId="6534" xr:uid="{00000000-0005-0000-0000-00001B2C0000}"/>
    <cellStyle name="Comma 16 2 5 4 2" xfId="19673" xr:uid="{00000000-0005-0000-0000-00001C2C0000}"/>
    <cellStyle name="Comma 16 2 5 5" xfId="6535" xr:uid="{00000000-0005-0000-0000-00001D2C0000}"/>
    <cellStyle name="Comma 16 2 5 5 2" xfId="19674" xr:uid="{00000000-0005-0000-0000-00001E2C0000}"/>
    <cellStyle name="Comma 16 2 5 6" xfId="19670" xr:uid="{00000000-0005-0000-0000-00001F2C0000}"/>
    <cellStyle name="Comma 16 2 6" xfId="6536" xr:uid="{00000000-0005-0000-0000-0000202C0000}"/>
    <cellStyle name="Comma 16 2 6 2" xfId="19675" xr:uid="{00000000-0005-0000-0000-0000212C0000}"/>
    <cellStyle name="Comma 16 2 7" xfId="6537" xr:uid="{00000000-0005-0000-0000-0000222C0000}"/>
    <cellStyle name="Comma 16 2 7 2" xfId="19676" xr:uid="{00000000-0005-0000-0000-0000232C0000}"/>
    <cellStyle name="Comma 16 2 8" xfId="6538" xr:uid="{00000000-0005-0000-0000-0000242C0000}"/>
    <cellStyle name="Comma 16 2 8 2" xfId="19677" xr:uid="{00000000-0005-0000-0000-0000252C0000}"/>
    <cellStyle name="Comma 16 2 9" xfId="6539" xr:uid="{00000000-0005-0000-0000-0000262C0000}"/>
    <cellStyle name="Comma 16 2 9 2" xfId="19678" xr:uid="{00000000-0005-0000-0000-0000272C0000}"/>
    <cellStyle name="Comma 16 3" xfId="19653" xr:uid="{00000000-0005-0000-0000-0000282C0000}"/>
    <cellStyle name="Comma 16 4" xfId="30761" xr:uid="{00000000-0005-0000-0000-0000292C0000}"/>
    <cellStyle name="Comma 16 5" xfId="30762" xr:uid="{00000000-0005-0000-0000-00002A2C0000}"/>
    <cellStyle name="Comma 16 6" xfId="6514" xr:uid="{00000000-0005-0000-0000-00002B2C0000}"/>
    <cellStyle name="Comma 17" xfId="280" xr:uid="{00000000-0005-0000-0000-00002C2C0000}"/>
    <cellStyle name="Comma 17 2" xfId="6541" xr:uid="{00000000-0005-0000-0000-00002D2C0000}"/>
    <cellStyle name="Comma 17 2 10" xfId="19680" xr:uid="{00000000-0005-0000-0000-00002E2C0000}"/>
    <cellStyle name="Comma 17 2 2" xfId="6542" xr:uid="{00000000-0005-0000-0000-00002F2C0000}"/>
    <cellStyle name="Comma 17 2 2 2" xfId="6543" xr:uid="{00000000-0005-0000-0000-0000302C0000}"/>
    <cellStyle name="Comma 17 2 2 2 2" xfId="19682" xr:uid="{00000000-0005-0000-0000-0000312C0000}"/>
    <cellStyle name="Comma 17 2 2 3" xfId="6544" xr:uid="{00000000-0005-0000-0000-0000322C0000}"/>
    <cellStyle name="Comma 17 2 2 3 2" xfId="19683" xr:uid="{00000000-0005-0000-0000-0000332C0000}"/>
    <cellStyle name="Comma 17 2 2 4" xfId="6545" xr:uid="{00000000-0005-0000-0000-0000342C0000}"/>
    <cellStyle name="Comma 17 2 2 4 2" xfId="19684" xr:uid="{00000000-0005-0000-0000-0000352C0000}"/>
    <cellStyle name="Comma 17 2 2 5" xfId="6546" xr:uid="{00000000-0005-0000-0000-0000362C0000}"/>
    <cellStyle name="Comma 17 2 2 5 2" xfId="19685" xr:uid="{00000000-0005-0000-0000-0000372C0000}"/>
    <cellStyle name="Comma 17 2 2 6" xfId="19681" xr:uid="{00000000-0005-0000-0000-0000382C0000}"/>
    <cellStyle name="Comma 17 2 3" xfId="6547" xr:uid="{00000000-0005-0000-0000-0000392C0000}"/>
    <cellStyle name="Comma 17 2 3 2" xfId="6548" xr:uid="{00000000-0005-0000-0000-00003A2C0000}"/>
    <cellStyle name="Comma 17 2 3 2 2" xfId="19687" xr:uid="{00000000-0005-0000-0000-00003B2C0000}"/>
    <cellStyle name="Comma 17 2 3 3" xfId="6549" xr:uid="{00000000-0005-0000-0000-00003C2C0000}"/>
    <cellStyle name="Comma 17 2 3 3 2" xfId="19688" xr:uid="{00000000-0005-0000-0000-00003D2C0000}"/>
    <cellStyle name="Comma 17 2 3 4" xfId="6550" xr:uid="{00000000-0005-0000-0000-00003E2C0000}"/>
    <cellStyle name="Comma 17 2 3 4 2" xfId="19689" xr:uid="{00000000-0005-0000-0000-00003F2C0000}"/>
    <cellStyle name="Comma 17 2 3 5" xfId="6551" xr:uid="{00000000-0005-0000-0000-0000402C0000}"/>
    <cellStyle name="Comma 17 2 3 5 2" xfId="19690" xr:uid="{00000000-0005-0000-0000-0000412C0000}"/>
    <cellStyle name="Comma 17 2 3 6" xfId="19686" xr:uid="{00000000-0005-0000-0000-0000422C0000}"/>
    <cellStyle name="Comma 17 2 4" xfId="6552" xr:uid="{00000000-0005-0000-0000-0000432C0000}"/>
    <cellStyle name="Comma 17 2 4 2" xfId="6553" xr:uid="{00000000-0005-0000-0000-0000442C0000}"/>
    <cellStyle name="Comma 17 2 4 2 2" xfId="19692" xr:uid="{00000000-0005-0000-0000-0000452C0000}"/>
    <cellStyle name="Comma 17 2 4 3" xfId="6554" xr:uid="{00000000-0005-0000-0000-0000462C0000}"/>
    <cellStyle name="Comma 17 2 4 3 2" xfId="19693" xr:uid="{00000000-0005-0000-0000-0000472C0000}"/>
    <cellStyle name="Comma 17 2 4 4" xfId="6555" xr:uid="{00000000-0005-0000-0000-0000482C0000}"/>
    <cellStyle name="Comma 17 2 4 4 2" xfId="19694" xr:uid="{00000000-0005-0000-0000-0000492C0000}"/>
    <cellStyle name="Comma 17 2 4 5" xfId="6556" xr:uid="{00000000-0005-0000-0000-00004A2C0000}"/>
    <cellStyle name="Comma 17 2 4 5 2" xfId="19695" xr:uid="{00000000-0005-0000-0000-00004B2C0000}"/>
    <cellStyle name="Comma 17 2 4 6" xfId="19691" xr:uid="{00000000-0005-0000-0000-00004C2C0000}"/>
    <cellStyle name="Comma 17 2 5" xfId="6557" xr:uid="{00000000-0005-0000-0000-00004D2C0000}"/>
    <cellStyle name="Comma 17 2 5 2" xfId="6558" xr:uid="{00000000-0005-0000-0000-00004E2C0000}"/>
    <cellStyle name="Comma 17 2 5 2 2" xfId="19697" xr:uid="{00000000-0005-0000-0000-00004F2C0000}"/>
    <cellStyle name="Comma 17 2 5 3" xfId="6559" xr:uid="{00000000-0005-0000-0000-0000502C0000}"/>
    <cellStyle name="Comma 17 2 5 3 2" xfId="19698" xr:uid="{00000000-0005-0000-0000-0000512C0000}"/>
    <cellStyle name="Comma 17 2 5 4" xfId="6560" xr:uid="{00000000-0005-0000-0000-0000522C0000}"/>
    <cellStyle name="Comma 17 2 5 4 2" xfId="19699" xr:uid="{00000000-0005-0000-0000-0000532C0000}"/>
    <cellStyle name="Comma 17 2 5 5" xfId="6561" xr:uid="{00000000-0005-0000-0000-0000542C0000}"/>
    <cellStyle name="Comma 17 2 5 5 2" xfId="19700" xr:uid="{00000000-0005-0000-0000-0000552C0000}"/>
    <cellStyle name="Comma 17 2 5 6" xfId="19696" xr:uid="{00000000-0005-0000-0000-0000562C0000}"/>
    <cellStyle name="Comma 17 2 6" xfId="6562" xr:uid="{00000000-0005-0000-0000-0000572C0000}"/>
    <cellStyle name="Comma 17 2 6 2" xfId="19701" xr:uid="{00000000-0005-0000-0000-0000582C0000}"/>
    <cellStyle name="Comma 17 2 7" xfId="6563" xr:uid="{00000000-0005-0000-0000-0000592C0000}"/>
    <cellStyle name="Comma 17 2 7 2" xfId="19702" xr:uid="{00000000-0005-0000-0000-00005A2C0000}"/>
    <cellStyle name="Comma 17 2 8" xfId="6564" xr:uid="{00000000-0005-0000-0000-00005B2C0000}"/>
    <cellStyle name="Comma 17 2 8 2" xfId="19703" xr:uid="{00000000-0005-0000-0000-00005C2C0000}"/>
    <cellStyle name="Comma 17 2 9" xfId="6565" xr:uid="{00000000-0005-0000-0000-00005D2C0000}"/>
    <cellStyle name="Comma 17 2 9 2" xfId="19704" xr:uid="{00000000-0005-0000-0000-00005E2C0000}"/>
    <cellStyle name="Comma 17 3" xfId="19679" xr:uid="{00000000-0005-0000-0000-00005F2C0000}"/>
    <cellStyle name="Comma 17 4" xfId="30763" xr:uid="{00000000-0005-0000-0000-0000602C0000}"/>
    <cellStyle name="Comma 17 5" xfId="30764" xr:uid="{00000000-0005-0000-0000-0000612C0000}"/>
    <cellStyle name="Comma 17 6" xfId="6540" xr:uid="{00000000-0005-0000-0000-0000622C0000}"/>
    <cellStyle name="Comma 18" xfId="213" xr:uid="{00000000-0005-0000-0000-0000632C0000}"/>
    <cellStyle name="Comma 18 2" xfId="10854" xr:uid="{00000000-0005-0000-0000-0000642C0000}"/>
    <cellStyle name="Comma 18 2 2" xfId="12273" xr:uid="{00000000-0005-0000-0000-0000652C0000}"/>
    <cellStyle name="Comma 18 2 2 2" xfId="19707" xr:uid="{00000000-0005-0000-0000-0000662C0000}"/>
    <cellStyle name="Comma 18 2 3" xfId="19706" xr:uid="{00000000-0005-0000-0000-0000672C0000}"/>
    <cellStyle name="Comma 18 3" xfId="11620" xr:uid="{00000000-0005-0000-0000-0000682C0000}"/>
    <cellStyle name="Comma 18 3 2" xfId="19708" xr:uid="{00000000-0005-0000-0000-0000692C0000}"/>
    <cellStyle name="Comma 18 4" xfId="19705" xr:uid="{00000000-0005-0000-0000-00006A2C0000}"/>
    <cellStyle name="Comma 18 5" xfId="30765" xr:uid="{00000000-0005-0000-0000-00006B2C0000}"/>
    <cellStyle name="Comma 18 6" xfId="30766" xr:uid="{00000000-0005-0000-0000-00006C2C0000}"/>
    <cellStyle name="Comma 18 7" xfId="6566" xr:uid="{00000000-0005-0000-0000-00006D2C0000}"/>
    <cellStyle name="Comma 19" xfId="210" xr:uid="{00000000-0005-0000-0000-00006E2C0000}"/>
    <cellStyle name="Comma 19 2" xfId="6567" xr:uid="{00000000-0005-0000-0000-00006F2C0000}"/>
    <cellStyle name="Comma 19 2 10" xfId="19710" xr:uid="{00000000-0005-0000-0000-0000702C0000}"/>
    <cellStyle name="Comma 19 2 2" xfId="6568" xr:uid="{00000000-0005-0000-0000-0000712C0000}"/>
    <cellStyle name="Comma 19 2 2 2" xfId="6569" xr:uid="{00000000-0005-0000-0000-0000722C0000}"/>
    <cellStyle name="Comma 19 2 2 2 2" xfId="19712" xr:uid="{00000000-0005-0000-0000-0000732C0000}"/>
    <cellStyle name="Comma 19 2 2 3" xfId="6570" xr:uid="{00000000-0005-0000-0000-0000742C0000}"/>
    <cellStyle name="Comma 19 2 2 3 2" xfId="19713" xr:uid="{00000000-0005-0000-0000-0000752C0000}"/>
    <cellStyle name="Comma 19 2 2 4" xfId="6571" xr:uid="{00000000-0005-0000-0000-0000762C0000}"/>
    <cellStyle name="Comma 19 2 2 4 2" xfId="19714" xr:uid="{00000000-0005-0000-0000-0000772C0000}"/>
    <cellStyle name="Comma 19 2 2 5" xfId="6572" xr:uid="{00000000-0005-0000-0000-0000782C0000}"/>
    <cellStyle name="Comma 19 2 2 5 2" xfId="19715" xr:uid="{00000000-0005-0000-0000-0000792C0000}"/>
    <cellStyle name="Comma 19 2 2 6" xfId="19711" xr:uid="{00000000-0005-0000-0000-00007A2C0000}"/>
    <cellStyle name="Comma 19 2 3" xfId="6573" xr:uid="{00000000-0005-0000-0000-00007B2C0000}"/>
    <cellStyle name="Comma 19 2 3 2" xfId="6574" xr:uid="{00000000-0005-0000-0000-00007C2C0000}"/>
    <cellStyle name="Comma 19 2 3 2 2" xfId="19717" xr:uid="{00000000-0005-0000-0000-00007D2C0000}"/>
    <cellStyle name="Comma 19 2 3 3" xfId="6575" xr:uid="{00000000-0005-0000-0000-00007E2C0000}"/>
    <cellStyle name="Comma 19 2 3 3 2" xfId="19718" xr:uid="{00000000-0005-0000-0000-00007F2C0000}"/>
    <cellStyle name="Comma 19 2 3 4" xfId="6576" xr:uid="{00000000-0005-0000-0000-0000802C0000}"/>
    <cellStyle name="Comma 19 2 3 4 2" xfId="19719" xr:uid="{00000000-0005-0000-0000-0000812C0000}"/>
    <cellStyle name="Comma 19 2 3 5" xfId="6577" xr:uid="{00000000-0005-0000-0000-0000822C0000}"/>
    <cellStyle name="Comma 19 2 3 5 2" xfId="19720" xr:uid="{00000000-0005-0000-0000-0000832C0000}"/>
    <cellStyle name="Comma 19 2 3 6" xfId="19716" xr:uid="{00000000-0005-0000-0000-0000842C0000}"/>
    <cellStyle name="Comma 19 2 4" xfId="6578" xr:uid="{00000000-0005-0000-0000-0000852C0000}"/>
    <cellStyle name="Comma 19 2 4 2" xfId="6579" xr:uid="{00000000-0005-0000-0000-0000862C0000}"/>
    <cellStyle name="Comma 19 2 4 2 2" xfId="19722" xr:uid="{00000000-0005-0000-0000-0000872C0000}"/>
    <cellStyle name="Comma 19 2 4 3" xfId="6580" xr:uid="{00000000-0005-0000-0000-0000882C0000}"/>
    <cellStyle name="Comma 19 2 4 3 2" xfId="19723" xr:uid="{00000000-0005-0000-0000-0000892C0000}"/>
    <cellStyle name="Comma 19 2 4 4" xfId="6581" xr:uid="{00000000-0005-0000-0000-00008A2C0000}"/>
    <cellStyle name="Comma 19 2 4 4 2" xfId="19724" xr:uid="{00000000-0005-0000-0000-00008B2C0000}"/>
    <cellStyle name="Comma 19 2 4 5" xfId="6582" xr:uid="{00000000-0005-0000-0000-00008C2C0000}"/>
    <cellStyle name="Comma 19 2 4 5 2" xfId="19725" xr:uid="{00000000-0005-0000-0000-00008D2C0000}"/>
    <cellStyle name="Comma 19 2 4 6" xfId="19721" xr:uid="{00000000-0005-0000-0000-00008E2C0000}"/>
    <cellStyle name="Comma 19 2 5" xfId="6583" xr:uid="{00000000-0005-0000-0000-00008F2C0000}"/>
    <cellStyle name="Comma 19 2 5 2" xfId="6584" xr:uid="{00000000-0005-0000-0000-0000902C0000}"/>
    <cellStyle name="Comma 19 2 5 2 2" xfId="19727" xr:uid="{00000000-0005-0000-0000-0000912C0000}"/>
    <cellStyle name="Comma 19 2 5 3" xfId="6585" xr:uid="{00000000-0005-0000-0000-0000922C0000}"/>
    <cellStyle name="Comma 19 2 5 3 2" xfId="19728" xr:uid="{00000000-0005-0000-0000-0000932C0000}"/>
    <cellStyle name="Comma 19 2 5 4" xfId="6586" xr:uid="{00000000-0005-0000-0000-0000942C0000}"/>
    <cellStyle name="Comma 19 2 5 4 2" xfId="19729" xr:uid="{00000000-0005-0000-0000-0000952C0000}"/>
    <cellStyle name="Comma 19 2 5 5" xfId="6587" xr:uid="{00000000-0005-0000-0000-0000962C0000}"/>
    <cellStyle name="Comma 19 2 5 5 2" xfId="19730" xr:uid="{00000000-0005-0000-0000-0000972C0000}"/>
    <cellStyle name="Comma 19 2 5 6" xfId="19726" xr:uid="{00000000-0005-0000-0000-0000982C0000}"/>
    <cellStyle name="Comma 19 2 6" xfId="6588" xr:uid="{00000000-0005-0000-0000-0000992C0000}"/>
    <cellStyle name="Comma 19 2 6 2" xfId="19731" xr:uid="{00000000-0005-0000-0000-00009A2C0000}"/>
    <cellStyle name="Comma 19 2 7" xfId="6589" xr:uid="{00000000-0005-0000-0000-00009B2C0000}"/>
    <cellStyle name="Comma 19 2 7 2" xfId="19732" xr:uid="{00000000-0005-0000-0000-00009C2C0000}"/>
    <cellStyle name="Comma 19 2 8" xfId="6590" xr:uid="{00000000-0005-0000-0000-00009D2C0000}"/>
    <cellStyle name="Comma 19 2 8 2" xfId="19733" xr:uid="{00000000-0005-0000-0000-00009E2C0000}"/>
    <cellStyle name="Comma 19 2 9" xfId="6591" xr:uid="{00000000-0005-0000-0000-00009F2C0000}"/>
    <cellStyle name="Comma 19 2 9 2" xfId="19734" xr:uid="{00000000-0005-0000-0000-0000A02C0000}"/>
    <cellStyle name="Comma 19 3" xfId="11324" xr:uid="{00000000-0005-0000-0000-0000A12C0000}"/>
    <cellStyle name="Comma 19 3 2" xfId="12745" xr:uid="{00000000-0005-0000-0000-0000A22C0000}"/>
    <cellStyle name="Comma 19 3 2 2" xfId="19736" xr:uid="{00000000-0005-0000-0000-0000A32C0000}"/>
    <cellStyle name="Comma 19 3 3" xfId="19735" xr:uid="{00000000-0005-0000-0000-0000A42C0000}"/>
    <cellStyle name="Comma 19 4" xfId="12256" xr:uid="{00000000-0005-0000-0000-0000A52C0000}"/>
    <cellStyle name="Comma 19 4 2" xfId="19737" xr:uid="{00000000-0005-0000-0000-0000A62C0000}"/>
    <cellStyle name="Comma 19 5" xfId="19709" xr:uid="{00000000-0005-0000-0000-0000A72C0000}"/>
    <cellStyle name="Comma 19 6" xfId="30767" xr:uid="{00000000-0005-0000-0000-0000A82C0000}"/>
    <cellStyle name="Comma 19 7" xfId="30768" xr:uid="{00000000-0005-0000-0000-0000A92C0000}"/>
    <cellStyle name="Comma 19 8" xfId="10834" xr:uid="{00000000-0005-0000-0000-0000AA2C0000}"/>
    <cellStyle name="Comma 2" xfId="8" xr:uid="{00000000-0005-0000-0000-0000AB2C0000}"/>
    <cellStyle name="Comma 2 10" xfId="92" xr:uid="{00000000-0005-0000-0000-0000AC2C0000}"/>
    <cellStyle name="Comma 2 10 2" xfId="412" xr:uid="{00000000-0005-0000-0000-0000AD2C0000}"/>
    <cellStyle name="Comma 2 10 2 2" xfId="19739" xr:uid="{00000000-0005-0000-0000-0000AE2C0000}"/>
    <cellStyle name="Comma 2 10 3" xfId="30769" xr:uid="{00000000-0005-0000-0000-0000AF2C0000}"/>
    <cellStyle name="Comma 2 10 4" xfId="30770" xr:uid="{00000000-0005-0000-0000-0000B02C0000}"/>
    <cellStyle name="Comma 2 10 5" xfId="6592" xr:uid="{00000000-0005-0000-0000-0000B12C0000}"/>
    <cellStyle name="Comma 2 11" xfId="444" xr:uid="{00000000-0005-0000-0000-0000B22C0000}"/>
    <cellStyle name="Comma 2 11 2" xfId="327" xr:uid="{00000000-0005-0000-0000-0000B32C0000}"/>
    <cellStyle name="Comma 2 11 2 2" xfId="19740" xr:uid="{00000000-0005-0000-0000-0000B42C0000}"/>
    <cellStyle name="Comma 2 11 3" xfId="30771" xr:uid="{00000000-0005-0000-0000-0000B52C0000}"/>
    <cellStyle name="Comma 2 11 4" xfId="30772" xr:uid="{00000000-0005-0000-0000-0000B62C0000}"/>
    <cellStyle name="Comma 2 11 5" xfId="6593" xr:uid="{00000000-0005-0000-0000-0000B72C0000}"/>
    <cellStyle name="Comma 2 12" xfId="293" xr:uid="{00000000-0005-0000-0000-0000B82C0000}"/>
    <cellStyle name="Comma 2 12 2" xfId="19741" xr:uid="{00000000-0005-0000-0000-0000B92C0000}"/>
    <cellStyle name="Comma 2 12 3" xfId="30773" xr:uid="{00000000-0005-0000-0000-0000BA2C0000}"/>
    <cellStyle name="Comma 2 12 4" xfId="30774" xr:uid="{00000000-0005-0000-0000-0000BB2C0000}"/>
    <cellStyle name="Comma 2 12 5" xfId="6594" xr:uid="{00000000-0005-0000-0000-0000BC2C0000}"/>
    <cellStyle name="Comma 2 13" xfId="434" xr:uid="{00000000-0005-0000-0000-0000BD2C0000}"/>
    <cellStyle name="Comma 2 13 2" xfId="19742" xr:uid="{00000000-0005-0000-0000-0000BE2C0000}"/>
    <cellStyle name="Comma 2 13 3" xfId="30775" xr:uid="{00000000-0005-0000-0000-0000BF2C0000}"/>
    <cellStyle name="Comma 2 13 4" xfId="30776" xr:uid="{00000000-0005-0000-0000-0000C02C0000}"/>
    <cellStyle name="Comma 2 13 5" xfId="30777" xr:uid="{00000000-0005-0000-0000-0000C12C0000}"/>
    <cellStyle name="Comma 2 13 6" xfId="6595" xr:uid="{00000000-0005-0000-0000-0000C22C0000}"/>
    <cellStyle name="Comma 2 14" xfId="440" xr:uid="{00000000-0005-0000-0000-0000C32C0000}"/>
    <cellStyle name="Comma 2 14 2" xfId="19743" xr:uid="{00000000-0005-0000-0000-0000C42C0000}"/>
    <cellStyle name="Comma 2 14 3" xfId="6596" xr:uid="{00000000-0005-0000-0000-0000C52C0000}"/>
    <cellStyle name="Comma 2 15" xfId="443" xr:uid="{00000000-0005-0000-0000-0000C62C0000}"/>
    <cellStyle name="Comma 2 15 2" xfId="19744" xr:uid="{00000000-0005-0000-0000-0000C72C0000}"/>
    <cellStyle name="Comma 2 15 3" xfId="6597" xr:uid="{00000000-0005-0000-0000-0000C82C0000}"/>
    <cellStyle name="Comma 2 16" xfId="269" xr:uid="{00000000-0005-0000-0000-0000C92C0000}"/>
    <cellStyle name="Comma 2 16 2" xfId="19745" xr:uid="{00000000-0005-0000-0000-0000CA2C0000}"/>
    <cellStyle name="Comma 2 16 3" xfId="6598" xr:uid="{00000000-0005-0000-0000-0000CB2C0000}"/>
    <cellStyle name="Comma 2 17" xfId="265" xr:uid="{00000000-0005-0000-0000-0000CC2C0000}"/>
    <cellStyle name="Comma 2 17 2" xfId="19746" xr:uid="{00000000-0005-0000-0000-0000CD2C0000}"/>
    <cellStyle name="Comma 2 17 3" xfId="6599" xr:uid="{00000000-0005-0000-0000-0000CE2C0000}"/>
    <cellStyle name="Comma 2 18" xfId="259" xr:uid="{00000000-0005-0000-0000-0000CF2C0000}"/>
    <cellStyle name="Comma 2 18 2" xfId="19747" xr:uid="{00000000-0005-0000-0000-0000D02C0000}"/>
    <cellStyle name="Comma 2 18 3" xfId="6600" xr:uid="{00000000-0005-0000-0000-0000D12C0000}"/>
    <cellStyle name="Comma 2 19" xfId="253" xr:uid="{00000000-0005-0000-0000-0000D22C0000}"/>
    <cellStyle name="Comma 2 19 2" xfId="19748" xr:uid="{00000000-0005-0000-0000-0000D32C0000}"/>
    <cellStyle name="Comma 2 19 3" xfId="6601" xr:uid="{00000000-0005-0000-0000-0000D42C0000}"/>
    <cellStyle name="Comma 2 2" xfId="93" xr:uid="{00000000-0005-0000-0000-0000D52C0000}"/>
    <cellStyle name="Comma 2 2 10" xfId="94" xr:uid="{00000000-0005-0000-0000-0000D62C0000}"/>
    <cellStyle name="Comma 2 2 10 2" xfId="410" xr:uid="{00000000-0005-0000-0000-0000D72C0000}"/>
    <cellStyle name="Comma 2 2 10 3" xfId="30778" xr:uid="{00000000-0005-0000-0000-0000D82C0000}"/>
    <cellStyle name="Comma 2 2 11" xfId="416" xr:uid="{00000000-0005-0000-0000-0000D92C0000}"/>
    <cellStyle name="Comma 2 2 11 2" xfId="319" xr:uid="{00000000-0005-0000-0000-0000DA2C0000}"/>
    <cellStyle name="Comma 2 2 11 3" xfId="33164" xr:uid="{00000000-0005-0000-0000-0000DB2C0000}"/>
    <cellStyle name="Comma 2 2 12" xfId="301" xr:uid="{00000000-0005-0000-0000-0000DC2C0000}"/>
    <cellStyle name="Comma 2 2 13" xfId="323" xr:uid="{00000000-0005-0000-0000-0000DD2C0000}"/>
    <cellStyle name="Comma 2 2 14" xfId="297" xr:uid="{00000000-0005-0000-0000-0000DE2C0000}"/>
    <cellStyle name="Comma 2 2 15" xfId="441" xr:uid="{00000000-0005-0000-0000-0000DF2C0000}"/>
    <cellStyle name="Comma 2 2 16" xfId="442" xr:uid="{00000000-0005-0000-0000-0000E02C0000}"/>
    <cellStyle name="Comma 2 2 17" xfId="268" xr:uid="{00000000-0005-0000-0000-0000E12C0000}"/>
    <cellStyle name="Comma 2 2 18" xfId="264" xr:uid="{00000000-0005-0000-0000-0000E22C0000}"/>
    <cellStyle name="Comma 2 2 19" xfId="258" xr:uid="{00000000-0005-0000-0000-0000E32C0000}"/>
    <cellStyle name="Comma 2 2 2" xfId="95" xr:uid="{00000000-0005-0000-0000-0000E42C0000}"/>
    <cellStyle name="Comma 2 2 2 10" xfId="328" xr:uid="{00000000-0005-0000-0000-0000E52C0000}"/>
    <cellStyle name="Comma 2 2 2 11" xfId="292" xr:uid="{00000000-0005-0000-0000-0000E62C0000}"/>
    <cellStyle name="Comma 2 2 2 12" xfId="349" xr:uid="{00000000-0005-0000-0000-0000E72C0000}"/>
    <cellStyle name="Comma 2 2 2 13" xfId="437" xr:uid="{00000000-0005-0000-0000-0000E82C0000}"/>
    <cellStyle name="Comma 2 2 2 14" xfId="272" xr:uid="{00000000-0005-0000-0000-0000E92C0000}"/>
    <cellStyle name="Comma 2 2 2 15" xfId="267" xr:uid="{00000000-0005-0000-0000-0000EA2C0000}"/>
    <cellStyle name="Comma 2 2 2 16" xfId="262" xr:uid="{00000000-0005-0000-0000-0000EB2C0000}"/>
    <cellStyle name="Comma 2 2 2 17" xfId="312" xr:uid="{00000000-0005-0000-0000-0000EC2C0000}"/>
    <cellStyle name="Comma 2 2 2 18" xfId="351" xr:uid="{00000000-0005-0000-0000-0000ED2C0000}"/>
    <cellStyle name="Comma 2 2 2 19" xfId="308" xr:uid="{00000000-0005-0000-0000-0000EE2C0000}"/>
    <cellStyle name="Comma 2 2 2 2" xfId="96" xr:uid="{00000000-0005-0000-0000-0000EF2C0000}"/>
    <cellStyle name="Comma 2 2 2 2 10" xfId="439" xr:uid="{00000000-0005-0000-0000-0000F02C0000}"/>
    <cellStyle name="Comma 2 2 2 2 11" xfId="274" xr:uid="{00000000-0005-0000-0000-0000F12C0000}"/>
    <cellStyle name="Comma 2 2 2 2 12" xfId="346" xr:uid="{00000000-0005-0000-0000-0000F22C0000}"/>
    <cellStyle name="Comma 2 2 2 2 13" xfId="435" xr:uid="{00000000-0005-0000-0000-0000F32C0000}"/>
    <cellStyle name="Comma 2 2 2 2 14" xfId="273" xr:uid="{00000000-0005-0000-0000-0000F42C0000}"/>
    <cellStyle name="Comma 2 2 2 2 15" xfId="347" xr:uid="{00000000-0005-0000-0000-0000F52C0000}"/>
    <cellStyle name="Comma 2 2 2 2 16" xfId="436" xr:uid="{00000000-0005-0000-0000-0000F62C0000}"/>
    <cellStyle name="Comma 2 2 2 2 17" xfId="313" xr:uid="{00000000-0005-0000-0000-0000F72C0000}"/>
    <cellStyle name="Comma 2 2 2 2 18" xfId="230" xr:uid="{00000000-0005-0000-0000-0000F82C0000}"/>
    <cellStyle name="Comma 2 2 2 2 19" xfId="309" xr:uid="{00000000-0005-0000-0000-0000F92C0000}"/>
    <cellStyle name="Comma 2 2 2 2 2" xfId="97" xr:uid="{00000000-0005-0000-0000-0000FA2C0000}"/>
    <cellStyle name="Comma 2 2 2 2 2 10" xfId="294" xr:uid="{00000000-0005-0000-0000-0000FB2C0000}"/>
    <cellStyle name="Comma 2 2 2 2 2 11" xfId="329" xr:uid="{00000000-0005-0000-0000-0000FC2C0000}"/>
    <cellStyle name="Comma 2 2 2 2 2 12" xfId="291" xr:uid="{00000000-0005-0000-0000-0000FD2C0000}"/>
    <cellStyle name="Comma 2 2 2 2 2 13" xfId="353" xr:uid="{00000000-0005-0000-0000-0000FE2C0000}"/>
    <cellStyle name="Comma 2 2 2 2 2 14" xfId="276" xr:uid="{00000000-0005-0000-0000-0000FF2C0000}"/>
    <cellStyle name="Comma 2 2 2 2 2 15" xfId="352" xr:uid="{00000000-0005-0000-0000-0000002D0000}"/>
    <cellStyle name="Comma 2 2 2 2 2 16" xfId="314" xr:uid="{00000000-0005-0000-0000-0000012D0000}"/>
    <cellStyle name="Comma 2 2 2 2 2 17" xfId="245" xr:uid="{00000000-0005-0000-0000-0000022D0000}"/>
    <cellStyle name="Comma 2 2 2 2 2 18" xfId="311" xr:uid="{00000000-0005-0000-0000-0000032D0000}"/>
    <cellStyle name="Comma 2 2 2 2 2 19" xfId="224" xr:uid="{00000000-0005-0000-0000-0000042D0000}"/>
    <cellStyle name="Comma 2 2 2 2 2 2" xfId="408" xr:uid="{00000000-0005-0000-0000-0000052D0000}"/>
    <cellStyle name="Comma 2 2 2 2 2 2 2" xfId="407" xr:uid="{00000000-0005-0000-0000-0000062D0000}"/>
    <cellStyle name="Comma 2 2 2 2 2 2 2 2" xfId="19754" xr:uid="{00000000-0005-0000-0000-0000072D0000}"/>
    <cellStyle name="Comma 2 2 2 2 2 2 3" xfId="19753" xr:uid="{00000000-0005-0000-0000-0000082D0000}"/>
    <cellStyle name="Comma 2 2 2 2 2 20" xfId="307" xr:uid="{00000000-0005-0000-0000-0000092D0000}"/>
    <cellStyle name="Comma 2 2 2 2 2 21" xfId="331" xr:uid="{00000000-0005-0000-0000-00000A2D0000}"/>
    <cellStyle name="Comma 2 2 2 2 2 22" xfId="256" xr:uid="{00000000-0005-0000-0000-00000B2D0000}"/>
    <cellStyle name="Comma 2 2 2 2 2 23" xfId="246" xr:uid="{00000000-0005-0000-0000-00000C2D0000}"/>
    <cellStyle name="Comma 2 2 2 2 2 24" xfId="261" xr:uid="{00000000-0005-0000-0000-00000D2D0000}"/>
    <cellStyle name="Comma 2 2 2 2 2 25" xfId="263" xr:uid="{00000000-0005-0000-0000-00000E2D0000}"/>
    <cellStyle name="Comma 2 2 2 2 2 26" xfId="229" xr:uid="{00000000-0005-0000-0000-00000F2D0000}"/>
    <cellStyle name="Comma 2 2 2 2 2 27" xfId="255" xr:uid="{00000000-0005-0000-0000-0000102D0000}"/>
    <cellStyle name="Comma 2 2 2 2 2 3" xfId="315" xr:uid="{00000000-0005-0000-0000-0000112D0000}"/>
    <cellStyle name="Comma 2 2 2 2 2 3 2" xfId="19752" xr:uid="{00000000-0005-0000-0000-0000122D0000}"/>
    <cellStyle name="Comma 2 2 2 2 2 4" xfId="305" xr:uid="{00000000-0005-0000-0000-0000132D0000}"/>
    <cellStyle name="Comma 2 2 2 2 2 5" xfId="318" xr:uid="{00000000-0005-0000-0000-0000142D0000}"/>
    <cellStyle name="Comma 2 2 2 2 2 6" xfId="302" xr:uid="{00000000-0005-0000-0000-0000152D0000}"/>
    <cellStyle name="Comma 2 2 2 2 2 7" xfId="322" xr:uid="{00000000-0005-0000-0000-0000162D0000}"/>
    <cellStyle name="Comma 2 2 2 2 2 8" xfId="298" xr:uid="{00000000-0005-0000-0000-0000172D0000}"/>
    <cellStyle name="Comma 2 2 2 2 2 9" xfId="326" xr:uid="{00000000-0005-0000-0000-0000182D0000}"/>
    <cellStyle name="Comma 2 2 2 2 20" xfId="343" xr:uid="{00000000-0005-0000-0000-0000192D0000}"/>
    <cellStyle name="Comma 2 2 2 2 21" xfId="277" xr:uid="{00000000-0005-0000-0000-00001A2D0000}"/>
    <cellStyle name="Comma 2 2 2 2 22" xfId="235" xr:uid="{00000000-0005-0000-0000-00001B2D0000}"/>
    <cellStyle name="Comma 2 2 2 2 23" xfId="354" xr:uid="{00000000-0005-0000-0000-00001C2D0000}"/>
    <cellStyle name="Comma 2 2 2 2 24" xfId="216" xr:uid="{00000000-0005-0000-0000-00001D2D0000}"/>
    <cellStyle name="Comma 2 2 2 2 25" xfId="241" xr:uid="{00000000-0005-0000-0000-00001E2D0000}"/>
    <cellStyle name="Comma 2 2 2 2 26" xfId="284" xr:uid="{00000000-0005-0000-0000-00001F2D0000}"/>
    <cellStyle name="Comma 2 2 2 2 27" xfId="215" xr:uid="{00000000-0005-0000-0000-0000202D0000}"/>
    <cellStyle name="Comma 2 2 2 2 28" xfId="240" xr:uid="{00000000-0005-0000-0000-0000212D0000}"/>
    <cellStyle name="Comma 2 2 2 2 3" xfId="98" xr:uid="{00000000-0005-0000-0000-0000222D0000}"/>
    <cellStyle name="Comma 2 2 2 2 3 2" xfId="19755" xr:uid="{00000000-0005-0000-0000-0000232D0000}"/>
    <cellStyle name="Comma 2 2 2 2 4" xfId="409" xr:uid="{00000000-0005-0000-0000-0000242D0000}"/>
    <cellStyle name="Comma 2 2 2 2 4 2" xfId="316" xr:uid="{00000000-0005-0000-0000-0000252D0000}"/>
    <cellStyle name="Comma 2 2 2 2 4 3" xfId="19751" xr:uid="{00000000-0005-0000-0000-0000262D0000}"/>
    <cellStyle name="Comma 2 2 2 2 5" xfId="304" xr:uid="{00000000-0005-0000-0000-0000272D0000}"/>
    <cellStyle name="Comma 2 2 2 2 6" xfId="320" xr:uid="{00000000-0005-0000-0000-0000282D0000}"/>
    <cellStyle name="Comma 2 2 2 2 7" xfId="300" xr:uid="{00000000-0005-0000-0000-0000292D0000}"/>
    <cellStyle name="Comma 2 2 2 2 8" xfId="324" xr:uid="{00000000-0005-0000-0000-00002A2D0000}"/>
    <cellStyle name="Comma 2 2 2 2 9" xfId="296" xr:uid="{00000000-0005-0000-0000-00002B2D0000}"/>
    <cellStyle name="Comma 2 2 2 2_Additional Disclosures" xfId="15824" xr:uid="{00000000-0005-0000-0000-00002C2D0000}"/>
    <cellStyle name="Comma 2 2 2 20" xfId="330" xr:uid="{00000000-0005-0000-0000-00002D2D0000}"/>
    <cellStyle name="Comma 2 2 2 21" xfId="271" xr:uid="{00000000-0005-0000-0000-00002E2D0000}"/>
    <cellStyle name="Comma 2 2 2 22" xfId="334" xr:uid="{00000000-0005-0000-0000-00002F2D0000}"/>
    <cellStyle name="Comma 2 2 2 23" xfId="231" xr:uid="{00000000-0005-0000-0000-0000302D0000}"/>
    <cellStyle name="Comma 2 2 2 24" xfId="257" xr:uid="{00000000-0005-0000-0000-0000312D0000}"/>
    <cellStyle name="Comma 2 2 2 25" xfId="341" xr:uid="{00000000-0005-0000-0000-0000322D0000}"/>
    <cellStyle name="Comma 2 2 2 26" xfId="348" xr:uid="{00000000-0005-0000-0000-0000332D0000}"/>
    <cellStyle name="Comma 2 2 2 27" xfId="214" xr:uid="{00000000-0005-0000-0000-0000342D0000}"/>
    <cellStyle name="Comma 2 2 2 28" xfId="345" xr:uid="{00000000-0005-0000-0000-0000352D0000}"/>
    <cellStyle name="Comma 2 2 2 3" xfId="99" xr:uid="{00000000-0005-0000-0000-0000362D0000}"/>
    <cellStyle name="Comma 2 2 2 3 2" xfId="19756" xr:uid="{00000000-0005-0000-0000-0000372D0000}"/>
    <cellStyle name="Comma 2 2 2 4" xfId="411" xr:uid="{00000000-0005-0000-0000-0000382D0000}"/>
    <cellStyle name="Comma 2 2 2 4 2" xfId="317" xr:uid="{00000000-0005-0000-0000-0000392D0000}"/>
    <cellStyle name="Comma 2 2 2 4 2 2" xfId="19757" xr:uid="{00000000-0005-0000-0000-00003A2D0000}"/>
    <cellStyle name="Comma 2 2 2 5" xfId="303" xr:uid="{00000000-0005-0000-0000-00003B2D0000}"/>
    <cellStyle name="Comma 2 2 2 5 2" xfId="19750" xr:uid="{00000000-0005-0000-0000-00003C2D0000}"/>
    <cellStyle name="Comma 2 2 2 6" xfId="321" xr:uid="{00000000-0005-0000-0000-00003D2D0000}"/>
    <cellStyle name="Comma 2 2 2 6 2" xfId="30779" xr:uid="{00000000-0005-0000-0000-00003E2D0000}"/>
    <cellStyle name="Comma 2 2 2 7" xfId="299" xr:uid="{00000000-0005-0000-0000-00003F2D0000}"/>
    <cellStyle name="Comma 2 2 2 7 2" xfId="30780" xr:uid="{00000000-0005-0000-0000-0000402D0000}"/>
    <cellStyle name="Comma 2 2 2 8" xfId="325" xr:uid="{00000000-0005-0000-0000-0000412D0000}"/>
    <cellStyle name="Comma 2 2 2 9" xfId="295" xr:uid="{00000000-0005-0000-0000-0000422D0000}"/>
    <cellStyle name="Comma 2 2 2_Additional Disclosures" xfId="15823" xr:uid="{00000000-0005-0000-0000-0000432D0000}"/>
    <cellStyle name="Comma 2 2 20" xfId="252" xr:uid="{00000000-0005-0000-0000-0000442D0000}"/>
    <cellStyle name="Comma 2 2 21" xfId="247" xr:uid="{00000000-0005-0000-0000-0000452D0000}"/>
    <cellStyle name="Comma 2 2 22" xfId="242" xr:uid="{00000000-0005-0000-0000-0000462D0000}"/>
    <cellStyle name="Comma 2 2 23" xfId="236" xr:uid="{00000000-0005-0000-0000-0000472D0000}"/>
    <cellStyle name="Comma 2 2 24" xfId="310" xr:uid="{00000000-0005-0000-0000-0000482D0000}"/>
    <cellStyle name="Comma 2 2 25" xfId="222" xr:uid="{00000000-0005-0000-0000-0000492D0000}"/>
    <cellStyle name="Comma 2 2 26" xfId="306" xr:uid="{00000000-0005-0000-0000-00004A2D0000}"/>
    <cellStyle name="Comma 2 2 27" xfId="332" xr:uid="{00000000-0005-0000-0000-00004B2D0000}"/>
    <cellStyle name="Comma 2 2 28" xfId="239" xr:uid="{00000000-0005-0000-0000-00004C2D0000}"/>
    <cellStyle name="Comma 2 2 29" xfId="217" xr:uid="{00000000-0005-0000-0000-00004D2D0000}"/>
    <cellStyle name="Comma 2 2 3" xfId="100" xr:uid="{00000000-0005-0000-0000-00004E2D0000}"/>
    <cellStyle name="Comma 2 2 3 2" xfId="12253" xr:uid="{00000000-0005-0000-0000-00004F2D0000}"/>
    <cellStyle name="Comma 2 2 3 2 2" xfId="19759" xr:uid="{00000000-0005-0000-0000-0000502D0000}"/>
    <cellStyle name="Comma 2 2 3 3" xfId="12254" xr:uid="{00000000-0005-0000-0000-0000512D0000}"/>
    <cellStyle name="Comma 2 2 3 3 2" xfId="19760" xr:uid="{00000000-0005-0000-0000-0000522D0000}"/>
    <cellStyle name="Comma 2 2 3 4" xfId="19758" xr:uid="{00000000-0005-0000-0000-0000532D0000}"/>
    <cellStyle name="Comma 2 2 3 5" xfId="30781" xr:uid="{00000000-0005-0000-0000-0000542D0000}"/>
    <cellStyle name="Comma 2 2 3 6" xfId="30782" xr:uid="{00000000-0005-0000-0000-0000552D0000}"/>
    <cellStyle name="Comma 2 2 3 7" xfId="6602" xr:uid="{00000000-0005-0000-0000-0000562D0000}"/>
    <cellStyle name="Comma 2 2 30" xfId="211" xr:uid="{00000000-0005-0000-0000-0000572D0000}"/>
    <cellStyle name="Comma 2 2 31" xfId="208" xr:uid="{00000000-0005-0000-0000-0000582D0000}"/>
    <cellStyle name="Comma 2 2 32" xfId="205" xr:uid="{00000000-0005-0000-0000-0000592D0000}"/>
    <cellStyle name="Comma 2 2 33" xfId="202" xr:uid="{00000000-0005-0000-0000-00005A2D0000}"/>
    <cellStyle name="Comma 2 2 34" xfId="199" xr:uid="{00000000-0005-0000-0000-00005B2D0000}"/>
    <cellStyle name="Comma 2 2 35" xfId="233" xr:uid="{00000000-0005-0000-0000-00005C2D0000}"/>
    <cellStyle name="Comma 2 2 4" xfId="101" xr:uid="{00000000-0005-0000-0000-00005D2D0000}"/>
    <cellStyle name="Comma 2 2 4 2" xfId="12252" xr:uid="{00000000-0005-0000-0000-00005E2D0000}"/>
    <cellStyle name="Comma 2 2 4 2 2" xfId="19762" xr:uid="{00000000-0005-0000-0000-00005F2D0000}"/>
    <cellStyle name="Comma 2 2 4 3" xfId="19761" xr:uid="{00000000-0005-0000-0000-0000602D0000}"/>
    <cellStyle name="Comma 2 2 4 4" xfId="6603" xr:uid="{00000000-0005-0000-0000-0000612D0000}"/>
    <cellStyle name="Comma 2 2 5" xfId="102" xr:uid="{00000000-0005-0000-0000-0000622D0000}"/>
    <cellStyle name="Comma 2 2 5 2" xfId="19763" xr:uid="{00000000-0005-0000-0000-0000632D0000}"/>
    <cellStyle name="Comma 2 2 5 3" xfId="6604" xr:uid="{00000000-0005-0000-0000-0000642D0000}"/>
    <cellStyle name="Comma 2 2 6" xfId="103" xr:uid="{00000000-0005-0000-0000-0000652D0000}"/>
    <cellStyle name="Comma 2 2 6 2" xfId="19764" xr:uid="{00000000-0005-0000-0000-0000662D0000}"/>
    <cellStyle name="Comma 2 2 7" xfId="104" xr:uid="{00000000-0005-0000-0000-0000672D0000}"/>
    <cellStyle name="Comma 2 2 7 2" xfId="19749" xr:uid="{00000000-0005-0000-0000-0000682D0000}"/>
    <cellStyle name="Comma 2 2 8" xfId="105" xr:uid="{00000000-0005-0000-0000-0000692D0000}"/>
    <cellStyle name="Comma 2 2 8 2" xfId="30783" xr:uid="{00000000-0005-0000-0000-00006A2D0000}"/>
    <cellStyle name="Comma 2 2 9" xfId="106" xr:uid="{00000000-0005-0000-0000-00006B2D0000}"/>
    <cellStyle name="Comma 2 2 9 2" xfId="406" xr:uid="{00000000-0005-0000-0000-00006C2D0000}"/>
    <cellStyle name="Comma 2 2 9 3" xfId="30784" xr:uid="{00000000-0005-0000-0000-00006D2D0000}"/>
    <cellStyle name="Comma 2 2_YEAR TO YEAR P&amp;L COMPARISON" xfId="14357" xr:uid="{00000000-0005-0000-0000-00006E2D0000}"/>
    <cellStyle name="Comma 2 20" xfId="248" xr:uid="{00000000-0005-0000-0000-00006F2D0000}"/>
    <cellStyle name="Comma 2 20 2" xfId="19765" xr:uid="{00000000-0005-0000-0000-0000702D0000}"/>
    <cellStyle name="Comma 2 20 3" xfId="6605" xr:uid="{00000000-0005-0000-0000-0000712D0000}"/>
    <cellStyle name="Comma 2 21" xfId="243" xr:uid="{00000000-0005-0000-0000-0000722D0000}"/>
    <cellStyle name="Comma 2 21 2" xfId="19766" xr:uid="{00000000-0005-0000-0000-0000732D0000}"/>
    <cellStyle name="Comma 2 21 3" xfId="6606" xr:uid="{00000000-0005-0000-0000-0000742D0000}"/>
    <cellStyle name="Comma 2 22" xfId="237" xr:uid="{00000000-0005-0000-0000-0000752D0000}"/>
    <cellStyle name="Comma 2 22 2" xfId="19767" xr:uid="{00000000-0005-0000-0000-0000762D0000}"/>
    <cellStyle name="Comma 2 22 3" xfId="6607" xr:uid="{00000000-0005-0000-0000-0000772D0000}"/>
    <cellStyle name="Comma 2 23" xfId="232" xr:uid="{00000000-0005-0000-0000-0000782D0000}"/>
    <cellStyle name="Comma 2 23 2" xfId="19768" xr:uid="{00000000-0005-0000-0000-0000792D0000}"/>
    <cellStyle name="Comma 2 23 3" xfId="6608" xr:uid="{00000000-0005-0000-0000-00007A2D0000}"/>
    <cellStyle name="Comma 2 24" xfId="279" xr:uid="{00000000-0005-0000-0000-00007B2D0000}"/>
    <cellStyle name="Comma 2 24 2" xfId="19769" xr:uid="{00000000-0005-0000-0000-00007C2D0000}"/>
    <cellStyle name="Comma 2 24 3" xfId="6609" xr:uid="{00000000-0005-0000-0000-00007D2D0000}"/>
    <cellStyle name="Comma 2 25" xfId="336" xr:uid="{00000000-0005-0000-0000-00007E2D0000}"/>
    <cellStyle name="Comma 2 25 2" xfId="19770" xr:uid="{00000000-0005-0000-0000-00007F2D0000}"/>
    <cellStyle name="Comma 2 25 3" xfId="6610" xr:uid="{00000000-0005-0000-0000-0000802D0000}"/>
    <cellStyle name="Comma 2 26" xfId="289" xr:uid="{00000000-0005-0000-0000-0000812D0000}"/>
    <cellStyle name="Comma 2 26 2" xfId="19771" xr:uid="{00000000-0005-0000-0000-0000822D0000}"/>
    <cellStyle name="Comma 2 26 3" xfId="6611" xr:uid="{00000000-0005-0000-0000-0000832D0000}"/>
    <cellStyle name="Comma 2 27" xfId="226" xr:uid="{00000000-0005-0000-0000-0000842D0000}"/>
    <cellStyle name="Comma 2 27 2" xfId="19772" xr:uid="{00000000-0005-0000-0000-0000852D0000}"/>
    <cellStyle name="Comma 2 27 3" xfId="6612" xr:uid="{00000000-0005-0000-0000-0000862D0000}"/>
    <cellStyle name="Comma 2 28" xfId="220" xr:uid="{00000000-0005-0000-0000-0000872D0000}"/>
    <cellStyle name="Comma 2 28 2" xfId="19773" xr:uid="{00000000-0005-0000-0000-0000882D0000}"/>
    <cellStyle name="Comma 2 28 3" xfId="6613" xr:uid="{00000000-0005-0000-0000-0000892D0000}"/>
    <cellStyle name="Comma 2 29" xfId="212" xr:uid="{00000000-0005-0000-0000-00008A2D0000}"/>
    <cellStyle name="Comma 2 29 2" xfId="19774" xr:uid="{00000000-0005-0000-0000-00008B2D0000}"/>
    <cellStyle name="Comma 2 29 3" xfId="6614" xr:uid="{00000000-0005-0000-0000-00008C2D0000}"/>
    <cellStyle name="Comma 2 3" xfId="107" xr:uid="{00000000-0005-0000-0000-00008D2D0000}"/>
    <cellStyle name="Comma 2 3 10" xfId="19775" xr:uid="{00000000-0005-0000-0000-00008E2D0000}"/>
    <cellStyle name="Comma 2 3 11" xfId="30785" xr:uid="{00000000-0005-0000-0000-00008F2D0000}"/>
    <cellStyle name="Comma 2 3 12" xfId="30786" xr:uid="{00000000-0005-0000-0000-0000902D0000}"/>
    <cellStyle name="Comma 2 3 13" xfId="30787" xr:uid="{00000000-0005-0000-0000-0000912D0000}"/>
    <cellStyle name="Comma 2 3 14" xfId="6615" xr:uid="{00000000-0005-0000-0000-0000922D0000}"/>
    <cellStyle name="Comma 2 3 2" xfId="108" xr:uid="{00000000-0005-0000-0000-0000932D0000}"/>
    <cellStyle name="Comma 2 3 2 10" xfId="6616" xr:uid="{00000000-0005-0000-0000-0000942D0000}"/>
    <cellStyle name="Comma 2 3 2 2" xfId="109" xr:uid="{00000000-0005-0000-0000-0000952D0000}"/>
    <cellStyle name="Comma 2 3 2 2 2" xfId="19777" xr:uid="{00000000-0005-0000-0000-0000962D0000}"/>
    <cellStyle name="Comma 2 3 2 2 3" xfId="6617" xr:uid="{00000000-0005-0000-0000-0000972D0000}"/>
    <cellStyle name="Comma 2 3 2 3" xfId="110" xr:uid="{00000000-0005-0000-0000-0000982D0000}"/>
    <cellStyle name="Comma 2 3 2 3 2" xfId="19778" xr:uid="{00000000-0005-0000-0000-0000992D0000}"/>
    <cellStyle name="Comma 2 3 2 3 3" xfId="6618" xr:uid="{00000000-0005-0000-0000-00009A2D0000}"/>
    <cellStyle name="Comma 2 3 2 4" xfId="405" xr:uid="{00000000-0005-0000-0000-00009B2D0000}"/>
    <cellStyle name="Comma 2 3 2 4 2" xfId="19779" xr:uid="{00000000-0005-0000-0000-00009C2D0000}"/>
    <cellStyle name="Comma 2 3 2 4 3" xfId="6619" xr:uid="{00000000-0005-0000-0000-00009D2D0000}"/>
    <cellStyle name="Comma 2 3 2 5" xfId="6620" xr:uid="{00000000-0005-0000-0000-00009E2D0000}"/>
    <cellStyle name="Comma 2 3 2 5 2" xfId="19780" xr:uid="{00000000-0005-0000-0000-00009F2D0000}"/>
    <cellStyle name="Comma 2 3 2 6" xfId="19776" xr:uid="{00000000-0005-0000-0000-0000A02D0000}"/>
    <cellStyle name="Comma 2 3 2 7" xfId="30788" xr:uid="{00000000-0005-0000-0000-0000A12D0000}"/>
    <cellStyle name="Comma 2 3 2 8" xfId="30789" xr:uid="{00000000-0005-0000-0000-0000A22D0000}"/>
    <cellStyle name="Comma 2 3 2 9" xfId="30790" xr:uid="{00000000-0005-0000-0000-0000A32D0000}"/>
    <cellStyle name="Comma 2 3 3" xfId="111" xr:uid="{00000000-0005-0000-0000-0000A42D0000}"/>
    <cellStyle name="Comma 2 3 3 10" xfId="6621" xr:uid="{00000000-0005-0000-0000-0000A52D0000}"/>
    <cellStyle name="Comma 2 3 3 2" xfId="404" xr:uid="{00000000-0005-0000-0000-0000A62D0000}"/>
    <cellStyle name="Comma 2 3 3 2 2" xfId="19782" xr:uid="{00000000-0005-0000-0000-0000A72D0000}"/>
    <cellStyle name="Comma 2 3 3 2 3" xfId="6622" xr:uid="{00000000-0005-0000-0000-0000A82D0000}"/>
    <cellStyle name="Comma 2 3 3 3" xfId="6623" xr:uid="{00000000-0005-0000-0000-0000A92D0000}"/>
    <cellStyle name="Comma 2 3 3 3 2" xfId="19783" xr:uid="{00000000-0005-0000-0000-0000AA2D0000}"/>
    <cellStyle name="Comma 2 3 3 4" xfId="6624" xr:uid="{00000000-0005-0000-0000-0000AB2D0000}"/>
    <cellStyle name="Comma 2 3 3 4 2" xfId="19784" xr:uid="{00000000-0005-0000-0000-0000AC2D0000}"/>
    <cellStyle name="Comma 2 3 3 5" xfId="6625" xr:uid="{00000000-0005-0000-0000-0000AD2D0000}"/>
    <cellStyle name="Comma 2 3 3 5 2" xfId="19785" xr:uid="{00000000-0005-0000-0000-0000AE2D0000}"/>
    <cellStyle name="Comma 2 3 3 6" xfId="19781" xr:uid="{00000000-0005-0000-0000-0000AF2D0000}"/>
    <cellStyle name="Comma 2 3 3 7" xfId="30791" xr:uid="{00000000-0005-0000-0000-0000B02D0000}"/>
    <cellStyle name="Comma 2 3 3 8" xfId="30792" xr:uid="{00000000-0005-0000-0000-0000B12D0000}"/>
    <cellStyle name="Comma 2 3 3 9" xfId="33503" xr:uid="{00000000-0005-0000-0000-0000B22D0000}"/>
    <cellStyle name="Comma 2 3 4" xfId="6626" xr:uid="{00000000-0005-0000-0000-0000B32D0000}"/>
    <cellStyle name="Comma 2 3 4 2" xfId="6627" xr:uid="{00000000-0005-0000-0000-0000B42D0000}"/>
    <cellStyle name="Comma 2 3 4 2 2" xfId="19787" xr:uid="{00000000-0005-0000-0000-0000B52D0000}"/>
    <cellStyle name="Comma 2 3 4 3" xfId="6628" xr:uid="{00000000-0005-0000-0000-0000B62D0000}"/>
    <cellStyle name="Comma 2 3 4 3 2" xfId="19788" xr:uid="{00000000-0005-0000-0000-0000B72D0000}"/>
    <cellStyle name="Comma 2 3 4 4" xfId="6629" xr:uid="{00000000-0005-0000-0000-0000B82D0000}"/>
    <cellStyle name="Comma 2 3 4 4 2" xfId="19789" xr:uid="{00000000-0005-0000-0000-0000B92D0000}"/>
    <cellStyle name="Comma 2 3 4 5" xfId="6630" xr:uid="{00000000-0005-0000-0000-0000BA2D0000}"/>
    <cellStyle name="Comma 2 3 4 5 2" xfId="19790" xr:uid="{00000000-0005-0000-0000-0000BB2D0000}"/>
    <cellStyle name="Comma 2 3 4 6" xfId="19786" xr:uid="{00000000-0005-0000-0000-0000BC2D0000}"/>
    <cellStyle name="Comma 2 3 4 7" xfId="30793" xr:uid="{00000000-0005-0000-0000-0000BD2D0000}"/>
    <cellStyle name="Comma 2 3 4 8" xfId="33525" xr:uid="{00000000-0005-0000-0000-0000BE2D0000}"/>
    <cellStyle name="Comma 2 3 5" xfId="6631" xr:uid="{00000000-0005-0000-0000-0000BF2D0000}"/>
    <cellStyle name="Comma 2 3 5 2" xfId="6632" xr:uid="{00000000-0005-0000-0000-0000C02D0000}"/>
    <cellStyle name="Comma 2 3 5 2 2" xfId="19792" xr:uid="{00000000-0005-0000-0000-0000C12D0000}"/>
    <cellStyle name="Comma 2 3 5 3" xfId="6633" xr:uid="{00000000-0005-0000-0000-0000C22D0000}"/>
    <cellStyle name="Comma 2 3 5 3 2" xfId="19793" xr:uid="{00000000-0005-0000-0000-0000C32D0000}"/>
    <cellStyle name="Comma 2 3 5 4" xfId="6634" xr:uid="{00000000-0005-0000-0000-0000C42D0000}"/>
    <cellStyle name="Comma 2 3 5 4 2" xfId="19794" xr:uid="{00000000-0005-0000-0000-0000C52D0000}"/>
    <cellStyle name="Comma 2 3 5 5" xfId="6635" xr:uid="{00000000-0005-0000-0000-0000C62D0000}"/>
    <cellStyle name="Comma 2 3 5 5 2" xfId="19795" xr:uid="{00000000-0005-0000-0000-0000C72D0000}"/>
    <cellStyle name="Comma 2 3 5 6" xfId="19791" xr:uid="{00000000-0005-0000-0000-0000C82D0000}"/>
    <cellStyle name="Comma 2 3 5 7" xfId="33642" xr:uid="{00000000-0005-0000-0000-0000C92D0000}"/>
    <cellStyle name="Comma 2 3 6" xfId="6636" xr:uid="{00000000-0005-0000-0000-0000CA2D0000}"/>
    <cellStyle name="Comma 2 3 6 2" xfId="19796" xr:uid="{00000000-0005-0000-0000-0000CB2D0000}"/>
    <cellStyle name="Comma 2 3 7" xfId="6637" xr:uid="{00000000-0005-0000-0000-0000CC2D0000}"/>
    <cellStyle name="Comma 2 3 7 2" xfId="19797" xr:uid="{00000000-0005-0000-0000-0000CD2D0000}"/>
    <cellStyle name="Comma 2 3 8" xfId="6638" xr:uid="{00000000-0005-0000-0000-0000CE2D0000}"/>
    <cellStyle name="Comma 2 3 8 2" xfId="19798" xr:uid="{00000000-0005-0000-0000-0000CF2D0000}"/>
    <cellStyle name="Comma 2 3 9" xfId="6639" xr:uid="{00000000-0005-0000-0000-0000D02D0000}"/>
    <cellStyle name="Comma 2 3 9 2" xfId="19799" xr:uid="{00000000-0005-0000-0000-0000D12D0000}"/>
    <cellStyle name="Comma 2 30" xfId="209" xr:uid="{00000000-0005-0000-0000-0000D22D0000}"/>
    <cellStyle name="Comma 2 30 2" xfId="19800" xr:uid="{00000000-0005-0000-0000-0000D32D0000}"/>
    <cellStyle name="Comma 2 30 3" xfId="6640" xr:uid="{00000000-0005-0000-0000-0000D42D0000}"/>
    <cellStyle name="Comma 2 31" xfId="206" xr:uid="{00000000-0005-0000-0000-0000D52D0000}"/>
    <cellStyle name="Comma 2 31 2" xfId="19801" xr:uid="{00000000-0005-0000-0000-0000D62D0000}"/>
    <cellStyle name="Comma 2 31 3" xfId="6641" xr:uid="{00000000-0005-0000-0000-0000D72D0000}"/>
    <cellStyle name="Comma 2 32" xfId="203" xr:uid="{00000000-0005-0000-0000-0000D82D0000}"/>
    <cellStyle name="Comma 2 32 2" xfId="19802" xr:uid="{00000000-0005-0000-0000-0000D92D0000}"/>
    <cellStyle name="Comma 2 32 3" xfId="6642" xr:uid="{00000000-0005-0000-0000-0000DA2D0000}"/>
    <cellStyle name="Comma 2 33" xfId="200" xr:uid="{00000000-0005-0000-0000-0000DB2D0000}"/>
    <cellStyle name="Comma 2 33 2" xfId="19803" xr:uid="{00000000-0005-0000-0000-0000DC2D0000}"/>
    <cellStyle name="Comma 2 33 3" xfId="6643" xr:uid="{00000000-0005-0000-0000-0000DD2D0000}"/>
    <cellStyle name="Comma 2 34" xfId="197" xr:uid="{00000000-0005-0000-0000-0000DE2D0000}"/>
    <cellStyle name="Comma 2 34 2" xfId="19804" xr:uid="{00000000-0005-0000-0000-0000DF2D0000}"/>
    <cellStyle name="Comma 2 34 3" xfId="6644" xr:uid="{00000000-0005-0000-0000-0000E02D0000}"/>
    <cellStyle name="Comma 2 35" xfId="194" xr:uid="{00000000-0005-0000-0000-0000E12D0000}"/>
    <cellStyle name="Comma 2 35 2" xfId="19805" xr:uid="{00000000-0005-0000-0000-0000E22D0000}"/>
    <cellStyle name="Comma 2 35 3" xfId="6645" xr:uid="{00000000-0005-0000-0000-0000E32D0000}"/>
    <cellStyle name="Comma 2 36" xfId="85" xr:uid="{00000000-0005-0000-0000-0000E42D0000}"/>
    <cellStyle name="Comma 2 36 2" xfId="463" xr:uid="{00000000-0005-0000-0000-0000E52D0000}"/>
    <cellStyle name="Comma 2 36 2 2" xfId="19806" xr:uid="{00000000-0005-0000-0000-0000E62D0000}"/>
    <cellStyle name="Comma 2 36 3" xfId="6646" xr:uid="{00000000-0005-0000-0000-0000E72D0000}"/>
    <cellStyle name="Comma 2 37" xfId="472" xr:uid="{00000000-0005-0000-0000-0000E82D0000}"/>
    <cellStyle name="Comma 2 37 2" xfId="19807" xr:uid="{00000000-0005-0000-0000-0000E92D0000}"/>
    <cellStyle name="Comma 2 37 3" xfId="6647" xr:uid="{00000000-0005-0000-0000-0000EA2D0000}"/>
    <cellStyle name="Comma 2 38" xfId="478" xr:uid="{00000000-0005-0000-0000-0000EB2D0000}"/>
    <cellStyle name="Comma 2 38 2" xfId="19808" xr:uid="{00000000-0005-0000-0000-0000EC2D0000}"/>
    <cellStyle name="Comma 2 38 3" xfId="6648" xr:uid="{00000000-0005-0000-0000-0000ED2D0000}"/>
    <cellStyle name="Comma 2 39" xfId="6649" xr:uid="{00000000-0005-0000-0000-0000EE2D0000}"/>
    <cellStyle name="Comma 2 39 2" xfId="19809" xr:uid="{00000000-0005-0000-0000-0000EF2D0000}"/>
    <cellStyle name="Comma 2 4" xfId="112" xr:uid="{00000000-0005-0000-0000-0000F02D0000}"/>
    <cellStyle name="Comma 2 4 10" xfId="30794" xr:uid="{00000000-0005-0000-0000-0000F12D0000}"/>
    <cellStyle name="Comma 2 4 11" xfId="30795" xr:uid="{00000000-0005-0000-0000-0000F22D0000}"/>
    <cellStyle name="Comma 2 4 12" xfId="6650" xr:uid="{00000000-0005-0000-0000-0000F32D0000}"/>
    <cellStyle name="Comma 2 4 2" xfId="113" xr:uid="{00000000-0005-0000-0000-0000F42D0000}"/>
    <cellStyle name="Comma 2 4 2 2" xfId="114" xr:uid="{00000000-0005-0000-0000-0000F52D0000}"/>
    <cellStyle name="Comma 2 4 2 2 2" xfId="19812" xr:uid="{00000000-0005-0000-0000-0000F62D0000}"/>
    <cellStyle name="Comma 2 4 2 2 3" xfId="6652" xr:uid="{00000000-0005-0000-0000-0000F72D0000}"/>
    <cellStyle name="Comma 2 4 2 3" xfId="115" xr:uid="{00000000-0005-0000-0000-0000F82D0000}"/>
    <cellStyle name="Comma 2 4 2 3 2" xfId="19813" xr:uid="{00000000-0005-0000-0000-0000F92D0000}"/>
    <cellStyle name="Comma 2 4 2 3 3" xfId="6653" xr:uid="{00000000-0005-0000-0000-0000FA2D0000}"/>
    <cellStyle name="Comma 2 4 2 4" xfId="403" xr:uid="{00000000-0005-0000-0000-0000FB2D0000}"/>
    <cellStyle name="Comma 2 4 2 4 2" xfId="19814" xr:uid="{00000000-0005-0000-0000-0000FC2D0000}"/>
    <cellStyle name="Comma 2 4 2 4 3" xfId="6654" xr:uid="{00000000-0005-0000-0000-0000FD2D0000}"/>
    <cellStyle name="Comma 2 4 2 5" xfId="6655" xr:uid="{00000000-0005-0000-0000-0000FE2D0000}"/>
    <cellStyle name="Comma 2 4 2 5 2" xfId="19815" xr:uid="{00000000-0005-0000-0000-0000FF2D0000}"/>
    <cellStyle name="Comma 2 4 2 6" xfId="19811" xr:uid="{00000000-0005-0000-0000-0000002E0000}"/>
    <cellStyle name="Comma 2 4 2 7" xfId="30796" xr:uid="{00000000-0005-0000-0000-0000012E0000}"/>
    <cellStyle name="Comma 2 4 2 8" xfId="30797" xr:uid="{00000000-0005-0000-0000-0000022E0000}"/>
    <cellStyle name="Comma 2 4 2 9" xfId="6651" xr:uid="{00000000-0005-0000-0000-0000032E0000}"/>
    <cellStyle name="Comma 2 4 3" xfId="116" xr:uid="{00000000-0005-0000-0000-0000042E0000}"/>
    <cellStyle name="Comma 2 4 3 2" xfId="402" xr:uid="{00000000-0005-0000-0000-0000052E0000}"/>
    <cellStyle name="Comma 2 4 3 2 2" xfId="19817" xr:uid="{00000000-0005-0000-0000-0000062E0000}"/>
    <cellStyle name="Comma 2 4 3 2 3" xfId="6657" xr:uid="{00000000-0005-0000-0000-0000072E0000}"/>
    <cellStyle name="Comma 2 4 3 3" xfId="6658" xr:uid="{00000000-0005-0000-0000-0000082E0000}"/>
    <cellStyle name="Comma 2 4 3 3 2" xfId="19818" xr:uid="{00000000-0005-0000-0000-0000092E0000}"/>
    <cellStyle name="Comma 2 4 3 4" xfId="6659" xr:uid="{00000000-0005-0000-0000-00000A2E0000}"/>
    <cellStyle name="Comma 2 4 3 4 2" xfId="19819" xr:uid="{00000000-0005-0000-0000-00000B2E0000}"/>
    <cellStyle name="Comma 2 4 3 5" xfId="6660" xr:uid="{00000000-0005-0000-0000-00000C2E0000}"/>
    <cellStyle name="Comma 2 4 3 5 2" xfId="19820" xr:uid="{00000000-0005-0000-0000-00000D2E0000}"/>
    <cellStyle name="Comma 2 4 3 6" xfId="19816" xr:uid="{00000000-0005-0000-0000-00000E2E0000}"/>
    <cellStyle name="Comma 2 4 3 7" xfId="30798" xr:uid="{00000000-0005-0000-0000-00000F2E0000}"/>
    <cellStyle name="Comma 2 4 3 8" xfId="6656" xr:uid="{00000000-0005-0000-0000-0000102E0000}"/>
    <cellStyle name="Comma 2 4 4" xfId="6661" xr:uid="{00000000-0005-0000-0000-0000112E0000}"/>
    <cellStyle name="Comma 2 4 4 2" xfId="19821" xr:uid="{00000000-0005-0000-0000-0000122E0000}"/>
    <cellStyle name="Comma 2 4 5" xfId="6662" xr:uid="{00000000-0005-0000-0000-0000132E0000}"/>
    <cellStyle name="Comma 2 4 5 2" xfId="19822" xr:uid="{00000000-0005-0000-0000-0000142E0000}"/>
    <cellStyle name="Comma 2 4 6" xfId="6663" xr:uid="{00000000-0005-0000-0000-0000152E0000}"/>
    <cellStyle name="Comma 2 4 6 2" xfId="19823" xr:uid="{00000000-0005-0000-0000-0000162E0000}"/>
    <cellStyle name="Comma 2 4 7" xfId="6664" xr:uid="{00000000-0005-0000-0000-0000172E0000}"/>
    <cellStyle name="Comma 2 4 7 2" xfId="19824" xr:uid="{00000000-0005-0000-0000-0000182E0000}"/>
    <cellStyle name="Comma 2 4 8" xfId="19810" xr:uid="{00000000-0005-0000-0000-0000192E0000}"/>
    <cellStyle name="Comma 2 4 9" xfId="30799" xr:uid="{00000000-0005-0000-0000-00001A2E0000}"/>
    <cellStyle name="Comma 2 40" xfId="6665" xr:uid="{00000000-0005-0000-0000-00001B2E0000}"/>
    <cellStyle name="Comma 2 40 2" xfId="19825" xr:uid="{00000000-0005-0000-0000-00001C2E0000}"/>
    <cellStyle name="Comma 2 41" xfId="6666" xr:uid="{00000000-0005-0000-0000-00001D2E0000}"/>
    <cellStyle name="Comma 2 41 2" xfId="19826" xr:uid="{00000000-0005-0000-0000-00001E2E0000}"/>
    <cellStyle name="Comma 2 42" xfId="6667" xr:uid="{00000000-0005-0000-0000-00001F2E0000}"/>
    <cellStyle name="Comma 2 42 2" xfId="19827" xr:uid="{00000000-0005-0000-0000-0000202E0000}"/>
    <cellStyle name="Comma 2 43" xfId="6668" xr:uid="{00000000-0005-0000-0000-0000212E0000}"/>
    <cellStyle name="Comma 2 43 2" xfId="19828" xr:uid="{00000000-0005-0000-0000-0000222E0000}"/>
    <cellStyle name="Comma 2 44" xfId="6669" xr:uid="{00000000-0005-0000-0000-0000232E0000}"/>
    <cellStyle name="Comma 2 44 2" xfId="19829" xr:uid="{00000000-0005-0000-0000-0000242E0000}"/>
    <cellStyle name="Comma 2 45" xfId="11612" xr:uid="{00000000-0005-0000-0000-0000252E0000}"/>
    <cellStyle name="Comma 2 45 2" xfId="19830" xr:uid="{00000000-0005-0000-0000-0000262E0000}"/>
    <cellStyle name="Comma 2 46" xfId="19738" xr:uid="{00000000-0005-0000-0000-0000272E0000}"/>
    <cellStyle name="Comma 2 47" xfId="29115" xr:uid="{00000000-0005-0000-0000-0000282E0000}"/>
    <cellStyle name="Comma 2 48" xfId="30800" xr:uid="{00000000-0005-0000-0000-0000292E0000}"/>
    <cellStyle name="Comma 2 49" xfId="30801" xr:uid="{00000000-0005-0000-0000-00002A2E0000}"/>
    <cellStyle name="Comma 2 5" xfId="117" xr:uid="{00000000-0005-0000-0000-00002B2E0000}"/>
    <cellStyle name="Comma 2 5 10" xfId="30802" xr:uid="{00000000-0005-0000-0000-00002C2E0000}"/>
    <cellStyle name="Comma 2 5 11" xfId="30803" xr:uid="{00000000-0005-0000-0000-00002D2E0000}"/>
    <cellStyle name="Comma 2 5 12" xfId="6670" xr:uid="{00000000-0005-0000-0000-00002E2E0000}"/>
    <cellStyle name="Comma 2 5 2" xfId="118" xr:uid="{00000000-0005-0000-0000-00002F2E0000}"/>
    <cellStyle name="Comma 2 5 2 2" xfId="119" xr:uid="{00000000-0005-0000-0000-0000302E0000}"/>
    <cellStyle name="Comma 2 5 2 2 2" xfId="19832" xr:uid="{00000000-0005-0000-0000-0000312E0000}"/>
    <cellStyle name="Comma 2 5 2 3" xfId="120" xr:uid="{00000000-0005-0000-0000-0000322E0000}"/>
    <cellStyle name="Comma 2 5 2 3 2" xfId="30804" xr:uid="{00000000-0005-0000-0000-0000332E0000}"/>
    <cellStyle name="Comma 2 5 2 4" xfId="401" xr:uid="{00000000-0005-0000-0000-0000342E0000}"/>
    <cellStyle name="Comma 2 5 2 5" xfId="6671" xr:uid="{00000000-0005-0000-0000-0000352E0000}"/>
    <cellStyle name="Comma 2 5 3" xfId="121" xr:uid="{00000000-0005-0000-0000-0000362E0000}"/>
    <cellStyle name="Comma 2 5 3 2" xfId="400" xr:uid="{00000000-0005-0000-0000-0000372E0000}"/>
    <cellStyle name="Comma 2 5 3 2 2" xfId="19833" xr:uid="{00000000-0005-0000-0000-0000382E0000}"/>
    <cellStyle name="Comma 2 5 3 3" xfId="30805" xr:uid="{00000000-0005-0000-0000-0000392E0000}"/>
    <cellStyle name="Comma 2 5 3 4" xfId="6672" xr:uid="{00000000-0005-0000-0000-00003A2E0000}"/>
    <cellStyle name="Comma 2 5 4" xfId="6673" xr:uid="{00000000-0005-0000-0000-00003B2E0000}"/>
    <cellStyle name="Comma 2 5 4 2" xfId="19834" xr:uid="{00000000-0005-0000-0000-00003C2E0000}"/>
    <cellStyle name="Comma 2 5 5" xfId="6674" xr:uid="{00000000-0005-0000-0000-00003D2E0000}"/>
    <cellStyle name="Comma 2 5 5 2" xfId="19835" xr:uid="{00000000-0005-0000-0000-00003E2E0000}"/>
    <cellStyle name="Comma 2 5 6" xfId="19831" xr:uid="{00000000-0005-0000-0000-00003F2E0000}"/>
    <cellStyle name="Comma 2 5 7" xfId="30806" xr:uid="{00000000-0005-0000-0000-0000402E0000}"/>
    <cellStyle name="Comma 2 5 8" xfId="30807" xr:uid="{00000000-0005-0000-0000-0000412E0000}"/>
    <cellStyle name="Comma 2 5 9" xfId="30808" xr:uid="{00000000-0005-0000-0000-0000422E0000}"/>
    <cellStyle name="Comma 2 50" xfId="30809" xr:uid="{00000000-0005-0000-0000-0000432E0000}"/>
    <cellStyle name="Comma 2 51" xfId="30810" xr:uid="{00000000-0005-0000-0000-0000442E0000}"/>
    <cellStyle name="Comma 2 52" xfId="30811" xr:uid="{00000000-0005-0000-0000-0000452E0000}"/>
    <cellStyle name="Comma 2 53" xfId="30812" xr:uid="{00000000-0005-0000-0000-0000462E0000}"/>
    <cellStyle name="Comma 2 54" xfId="30813" xr:uid="{00000000-0005-0000-0000-0000472E0000}"/>
    <cellStyle name="Comma 2 55" xfId="30814" xr:uid="{00000000-0005-0000-0000-0000482E0000}"/>
    <cellStyle name="Comma 2 56" xfId="30815" xr:uid="{00000000-0005-0000-0000-0000492E0000}"/>
    <cellStyle name="Comma 2 57" xfId="30816" xr:uid="{00000000-0005-0000-0000-00004A2E0000}"/>
    <cellStyle name="Comma 2 58" xfId="30817" xr:uid="{00000000-0005-0000-0000-00004B2E0000}"/>
    <cellStyle name="Comma 2 59" xfId="30818" xr:uid="{00000000-0005-0000-0000-00004C2E0000}"/>
    <cellStyle name="Comma 2 6" xfId="122" xr:uid="{00000000-0005-0000-0000-00004D2E0000}"/>
    <cellStyle name="Comma 2 6 10" xfId="30819" xr:uid="{00000000-0005-0000-0000-00004E2E0000}"/>
    <cellStyle name="Comma 2 6 11" xfId="30820" xr:uid="{00000000-0005-0000-0000-00004F2E0000}"/>
    <cellStyle name="Comma 2 6 12" xfId="6675" xr:uid="{00000000-0005-0000-0000-0000502E0000}"/>
    <cellStyle name="Comma 2 6 2" xfId="123" xr:uid="{00000000-0005-0000-0000-0000512E0000}"/>
    <cellStyle name="Comma 2 6 2 2" xfId="124" xr:uid="{00000000-0005-0000-0000-0000522E0000}"/>
    <cellStyle name="Comma 2 6 2 2 2" xfId="19837" xr:uid="{00000000-0005-0000-0000-0000532E0000}"/>
    <cellStyle name="Comma 2 6 2 3" xfId="125" xr:uid="{00000000-0005-0000-0000-0000542E0000}"/>
    <cellStyle name="Comma 2 6 2 3 2" xfId="30821" xr:uid="{00000000-0005-0000-0000-0000552E0000}"/>
    <cellStyle name="Comma 2 6 2 4" xfId="399" xr:uid="{00000000-0005-0000-0000-0000562E0000}"/>
    <cellStyle name="Comma 2 6 2 5" xfId="6676" xr:uid="{00000000-0005-0000-0000-0000572E0000}"/>
    <cellStyle name="Comma 2 6 3" xfId="126" xr:uid="{00000000-0005-0000-0000-0000582E0000}"/>
    <cellStyle name="Comma 2 6 3 2" xfId="398" xr:uid="{00000000-0005-0000-0000-0000592E0000}"/>
    <cellStyle name="Comma 2 6 3 2 2" xfId="19838" xr:uid="{00000000-0005-0000-0000-00005A2E0000}"/>
    <cellStyle name="Comma 2 6 3 3" xfId="6677" xr:uid="{00000000-0005-0000-0000-00005B2E0000}"/>
    <cellStyle name="Comma 2 6 4" xfId="6678" xr:uid="{00000000-0005-0000-0000-00005C2E0000}"/>
    <cellStyle name="Comma 2 6 4 2" xfId="19839" xr:uid="{00000000-0005-0000-0000-00005D2E0000}"/>
    <cellStyle name="Comma 2 6 5" xfId="6679" xr:uid="{00000000-0005-0000-0000-00005E2E0000}"/>
    <cellStyle name="Comma 2 6 5 2" xfId="19840" xr:uid="{00000000-0005-0000-0000-00005F2E0000}"/>
    <cellStyle name="Comma 2 6 6" xfId="19836" xr:uid="{00000000-0005-0000-0000-0000602E0000}"/>
    <cellStyle name="Comma 2 6 7" xfId="30822" xr:uid="{00000000-0005-0000-0000-0000612E0000}"/>
    <cellStyle name="Comma 2 6 8" xfId="30823" xr:uid="{00000000-0005-0000-0000-0000622E0000}"/>
    <cellStyle name="Comma 2 6 9" xfId="30824" xr:uid="{00000000-0005-0000-0000-0000632E0000}"/>
    <cellStyle name="Comma 2 60" xfId="30825" xr:uid="{00000000-0005-0000-0000-0000642E0000}"/>
    <cellStyle name="Comma 2 61" xfId="523" xr:uid="{00000000-0005-0000-0000-0000652E0000}"/>
    <cellStyle name="Comma 2 7" xfId="127" xr:uid="{00000000-0005-0000-0000-0000662E0000}"/>
    <cellStyle name="Comma 2 7 2" xfId="19841" xr:uid="{00000000-0005-0000-0000-0000672E0000}"/>
    <cellStyle name="Comma 2 7 2 2" xfId="30826" xr:uid="{00000000-0005-0000-0000-0000682E0000}"/>
    <cellStyle name="Comma 2 7 3" xfId="30827" xr:uid="{00000000-0005-0000-0000-0000692E0000}"/>
    <cellStyle name="Comma 2 7 4" xfId="30828" xr:uid="{00000000-0005-0000-0000-00006A2E0000}"/>
    <cellStyle name="Comma 2 7 5" xfId="30829" xr:uid="{00000000-0005-0000-0000-00006B2E0000}"/>
    <cellStyle name="Comma 2 8" xfId="128" xr:uid="{00000000-0005-0000-0000-00006C2E0000}"/>
    <cellStyle name="Comma 2 8 2" xfId="19842" xr:uid="{00000000-0005-0000-0000-00006D2E0000}"/>
    <cellStyle name="Comma 2 8 2 2" xfId="30830" xr:uid="{00000000-0005-0000-0000-00006E2E0000}"/>
    <cellStyle name="Comma 2 8 2 2 2" xfId="30831" xr:uid="{00000000-0005-0000-0000-00006F2E0000}"/>
    <cellStyle name="Comma 2 8 3" xfId="30832" xr:uid="{00000000-0005-0000-0000-0000702E0000}"/>
    <cellStyle name="Comma 2 8 4" xfId="30833" xr:uid="{00000000-0005-0000-0000-0000712E0000}"/>
    <cellStyle name="Comma 2 8 5" xfId="30834" xr:uid="{00000000-0005-0000-0000-0000722E0000}"/>
    <cellStyle name="Comma 2 9" xfId="129" xr:uid="{00000000-0005-0000-0000-0000732E0000}"/>
    <cellStyle name="Comma 2 9 2" xfId="397" xr:uid="{00000000-0005-0000-0000-0000742E0000}"/>
    <cellStyle name="Comma 2 9 2 2" xfId="19843" xr:uid="{00000000-0005-0000-0000-0000752E0000}"/>
    <cellStyle name="Comma 2 9 3" xfId="30835" xr:uid="{00000000-0005-0000-0000-0000762E0000}"/>
    <cellStyle name="Comma 2 9 4" xfId="30836" xr:uid="{00000000-0005-0000-0000-0000772E0000}"/>
    <cellStyle name="Comma 2 9 5" xfId="30837" xr:uid="{00000000-0005-0000-0000-0000782E0000}"/>
    <cellStyle name="Comma 2 9 6" xfId="6680" xr:uid="{00000000-0005-0000-0000-0000792E0000}"/>
    <cellStyle name="Comma 2_CommerzBank Frankfurt-EURO" xfId="30838" xr:uid="{00000000-0005-0000-0000-00007A2E0000}"/>
    <cellStyle name="Comma 20" xfId="207" xr:uid="{00000000-0005-0000-0000-00007B2E0000}"/>
    <cellStyle name="Comma 20 2" xfId="11326" xr:uid="{00000000-0005-0000-0000-00007C2E0000}"/>
    <cellStyle name="Comma 20 2 2" xfId="12747" xr:uid="{00000000-0005-0000-0000-00007D2E0000}"/>
    <cellStyle name="Comma 20 2 2 2" xfId="19846" xr:uid="{00000000-0005-0000-0000-00007E2E0000}"/>
    <cellStyle name="Comma 20 2 3" xfId="19845" xr:uid="{00000000-0005-0000-0000-00007F2E0000}"/>
    <cellStyle name="Comma 20 3" xfId="12258" xr:uid="{00000000-0005-0000-0000-0000802E0000}"/>
    <cellStyle name="Comma 20 3 2" xfId="19847" xr:uid="{00000000-0005-0000-0000-0000812E0000}"/>
    <cellStyle name="Comma 20 4" xfId="19844" xr:uid="{00000000-0005-0000-0000-0000822E0000}"/>
    <cellStyle name="Comma 20 5" xfId="30839" xr:uid="{00000000-0005-0000-0000-0000832E0000}"/>
    <cellStyle name="Comma 20 6" xfId="30840" xr:uid="{00000000-0005-0000-0000-0000842E0000}"/>
    <cellStyle name="Comma 20 7" xfId="10836" xr:uid="{00000000-0005-0000-0000-0000852E0000}"/>
    <cellStyle name="Comma 21" xfId="204" xr:uid="{00000000-0005-0000-0000-0000862E0000}"/>
    <cellStyle name="Comma 21 10" xfId="19848" xr:uid="{00000000-0005-0000-0000-0000872E0000}"/>
    <cellStyle name="Comma 21 11" xfId="30841" xr:uid="{00000000-0005-0000-0000-0000882E0000}"/>
    <cellStyle name="Comma 21 12" xfId="30842" xr:uid="{00000000-0005-0000-0000-0000892E0000}"/>
    <cellStyle name="Comma 21 13" xfId="30843" xr:uid="{00000000-0005-0000-0000-00008A2E0000}"/>
    <cellStyle name="Comma 21 14" xfId="33257" xr:uid="{00000000-0005-0000-0000-00008B2E0000}"/>
    <cellStyle name="Comma 21 15" xfId="6681" xr:uid="{00000000-0005-0000-0000-00008C2E0000}"/>
    <cellStyle name="Comma 21 2" xfId="6682" xr:uid="{00000000-0005-0000-0000-00008D2E0000}"/>
    <cellStyle name="Comma 21 2 2" xfId="6683" xr:uid="{00000000-0005-0000-0000-00008E2E0000}"/>
    <cellStyle name="Comma 21 2 2 2" xfId="19850" xr:uid="{00000000-0005-0000-0000-00008F2E0000}"/>
    <cellStyle name="Comma 21 2 3" xfId="6684" xr:uid="{00000000-0005-0000-0000-0000902E0000}"/>
    <cellStyle name="Comma 21 2 3 2" xfId="19851" xr:uid="{00000000-0005-0000-0000-0000912E0000}"/>
    <cellStyle name="Comma 21 2 4" xfId="6685" xr:uid="{00000000-0005-0000-0000-0000922E0000}"/>
    <cellStyle name="Comma 21 2 4 2" xfId="19852" xr:uid="{00000000-0005-0000-0000-0000932E0000}"/>
    <cellStyle name="Comma 21 2 5" xfId="6686" xr:uid="{00000000-0005-0000-0000-0000942E0000}"/>
    <cellStyle name="Comma 21 2 5 2" xfId="19853" xr:uid="{00000000-0005-0000-0000-0000952E0000}"/>
    <cellStyle name="Comma 21 2 6" xfId="19849" xr:uid="{00000000-0005-0000-0000-0000962E0000}"/>
    <cellStyle name="Comma 21 3" xfId="6687" xr:uid="{00000000-0005-0000-0000-0000972E0000}"/>
    <cellStyle name="Comma 21 3 2" xfId="6688" xr:uid="{00000000-0005-0000-0000-0000982E0000}"/>
    <cellStyle name="Comma 21 3 2 2" xfId="19855" xr:uid="{00000000-0005-0000-0000-0000992E0000}"/>
    <cellStyle name="Comma 21 3 3" xfId="6689" xr:uid="{00000000-0005-0000-0000-00009A2E0000}"/>
    <cellStyle name="Comma 21 3 3 2" xfId="19856" xr:uid="{00000000-0005-0000-0000-00009B2E0000}"/>
    <cellStyle name="Comma 21 3 4" xfId="6690" xr:uid="{00000000-0005-0000-0000-00009C2E0000}"/>
    <cellStyle name="Comma 21 3 4 2" xfId="19857" xr:uid="{00000000-0005-0000-0000-00009D2E0000}"/>
    <cellStyle name="Comma 21 3 5" xfId="6691" xr:uid="{00000000-0005-0000-0000-00009E2E0000}"/>
    <cellStyle name="Comma 21 3 5 2" xfId="19858" xr:uid="{00000000-0005-0000-0000-00009F2E0000}"/>
    <cellStyle name="Comma 21 3 6" xfId="19854" xr:uid="{00000000-0005-0000-0000-0000A02E0000}"/>
    <cellStyle name="Comma 21 4" xfId="6692" xr:uid="{00000000-0005-0000-0000-0000A12E0000}"/>
    <cellStyle name="Comma 21 4 2" xfId="6693" xr:uid="{00000000-0005-0000-0000-0000A22E0000}"/>
    <cellStyle name="Comma 21 4 2 2" xfId="19860" xr:uid="{00000000-0005-0000-0000-0000A32E0000}"/>
    <cellStyle name="Comma 21 4 3" xfId="6694" xr:uid="{00000000-0005-0000-0000-0000A42E0000}"/>
    <cellStyle name="Comma 21 4 3 2" xfId="19861" xr:uid="{00000000-0005-0000-0000-0000A52E0000}"/>
    <cellStyle name="Comma 21 4 4" xfId="6695" xr:uid="{00000000-0005-0000-0000-0000A62E0000}"/>
    <cellStyle name="Comma 21 4 4 2" xfId="19862" xr:uid="{00000000-0005-0000-0000-0000A72E0000}"/>
    <cellStyle name="Comma 21 4 5" xfId="6696" xr:uid="{00000000-0005-0000-0000-0000A82E0000}"/>
    <cellStyle name="Comma 21 4 5 2" xfId="19863" xr:uid="{00000000-0005-0000-0000-0000A92E0000}"/>
    <cellStyle name="Comma 21 4 6" xfId="19859" xr:uid="{00000000-0005-0000-0000-0000AA2E0000}"/>
    <cellStyle name="Comma 21 5" xfId="6697" xr:uid="{00000000-0005-0000-0000-0000AB2E0000}"/>
    <cellStyle name="Comma 21 5 2" xfId="6698" xr:uid="{00000000-0005-0000-0000-0000AC2E0000}"/>
    <cellStyle name="Comma 21 5 2 2" xfId="19865" xr:uid="{00000000-0005-0000-0000-0000AD2E0000}"/>
    <cellStyle name="Comma 21 5 3" xfId="6699" xr:uid="{00000000-0005-0000-0000-0000AE2E0000}"/>
    <cellStyle name="Comma 21 5 3 2" xfId="19866" xr:uid="{00000000-0005-0000-0000-0000AF2E0000}"/>
    <cellStyle name="Comma 21 5 4" xfId="6700" xr:uid="{00000000-0005-0000-0000-0000B02E0000}"/>
    <cellStyle name="Comma 21 5 4 2" xfId="19867" xr:uid="{00000000-0005-0000-0000-0000B12E0000}"/>
    <cellStyle name="Comma 21 5 5" xfId="6701" xr:uid="{00000000-0005-0000-0000-0000B22E0000}"/>
    <cellStyle name="Comma 21 5 5 2" xfId="19868" xr:uid="{00000000-0005-0000-0000-0000B32E0000}"/>
    <cellStyle name="Comma 21 5 6" xfId="19864" xr:uid="{00000000-0005-0000-0000-0000B42E0000}"/>
    <cellStyle name="Comma 21 6" xfId="6702" xr:uid="{00000000-0005-0000-0000-0000B52E0000}"/>
    <cellStyle name="Comma 21 6 2" xfId="19869" xr:uid="{00000000-0005-0000-0000-0000B62E0000}"/>
    <cellStyle name="Comma 21 7" xfId="6703" xr:uid="{00000000-0005-0000-0000-0000B72E0000}"/>
    <cellStyle name="Comma 21 7 2" xfId="19870" xr:uid="{00000000-0005-0000-0000-0000B82E0000}"/>
    <cellStyle name="Comma 21 8" xfId="6704" xr:uid="{00000000-0005-0000-0000-0000B92E0000}"/>
    <cellStyle name="Comma 21 8 2" xfId="19871" xr:uid="{00000000-0005-0000-0000-0000BA2E0000}"/>
    <cellStyle name="Comma 21 9" xfId="6705" xr:uid="{00000000-0005-0000-0000-0000BB2E0000}"/>
    <cellStyle name="Comma 21 9 2" xfId="19872" xr:uid="{00000000-0005-0000-0000-0000BC2E0000}"/>
    <cellStyle name="Comma 22" xfId="201" xr:uid="{00000000-0005-0000-0000-0000BD2E0000}"/>
    <cellStyle name="Comma 22 2" xfId="19873" xr:uid="{00000000-0005-0000-0000-0000BE2E0000}"/>
    <cellStyle name="Comma 22 3" xfId="30844" xr:uid="{00000000-0005-0000-0000-0000BF2E0000}"/>
    <cellStyle name="Comma 22 4" xfId="30845" xr:uid="{00000000-0005-0000-0000-0000C02E0000}"/>
    <cellStyle name="Comma 22 5" xfId="6706" xr:uid="{00000000-0005-0000-0000-0000C12E0000}"/>
    <cellStyle name="Comma 23" xfId="198" xr:uid="{00000000-0005-0000-0000-0000C22E0000}"/>
    <cellStyle name="Comma 23 10" xfId="19874" xr:uid="{00000000-0005-0000-0000-0000C32E0000}"/>
    <cellStyle name="Comma 23 11" xfId="30846" xr:uid="{00000000-0005-0000-0000-0000C42E0000}"/>
    <cellStyle name="Comma 23 12" xfId="30847" xr:uid="{00000000-0005-0000-0000-0000C52E0000}"/>
    <cellStyle name="Comma 23 13" xfId="30848" xr:uid="{00000000-0005-0000-0000-0000C62E0000}"/>
    <cellStyle name="Comma 23 14" xfId="6707" xr:uid="{00000000-0005-0000-0000-0000C72E0000}"/>
    <cellStyle name="Comma 23 2" xfId="6708" xr:uid="{00000000-0005-0000-0000-0000C82E0000}"/>
    <cellStyle name="Comma 23 2 2" xfId="6709" xr:uid="{00000000-0005-0000-0000-0000C92E0000}"/>
    <cellStyle name="Comma 23 2 2 2" xfId="19876" xr:uid="{00000000-0005-0000-0000-0000CA2E0000}"/>
    <cellStyle name="Comma 23 2 3" xfId="6710" xr:uid="{00000000-0005-0000-0000-0000CB2E0000}"/>
    <cellStyle name="Comma 23 2 3 2" xfId="19877" xr:uid="{00000000-0005-0000-0000-0000CC2E0000}"/>
    <cellStyle name="Comma 23 2 4" xfId="6711" xr:uid="{00000000-0005-0000-0000-0000CD2E0000}"/>
    <cellStyle name="Comma 23 2 4 2" xfId="19878" xr:uid="{00000000-0005-0000-0000-0000CE2E0000}"/>
    <cellStyle name="Comma 23 2 5" xfId="6712" xr:uid="{00000000-0005-0000-0000-0000CF2E0000}"/>
    <cellStyle name="Comma 23 2 5 2" xfId="19879" xr:uid="{00000000-0005-0000-0000-0000D02E0000}"/>
    <cellStyle name="Comma 23 2 6" xfId="19875" xr:uid="{00000000-0005-0000-0000-0000D12E0000}"/>
    <cellStyle name="Comma 23 3" xfId="6713" xr:uid="{00000000-0005-0000-0000-0000D22E0000}"/>
    <cellStyle name="Comma 23 3 2" xfId="6714" xr:uid="{00000000-0005-0000-0000-0000D32E0000}"/>
    <cellStyle name="Comma 23 3 2 2" xfId="19881" xr:uid="{00000000-0005-0000-0000-0000D42E0000}"/>
    <cellStyle name="Comma 23 3 3" xfId="6715" xr:uid="{00000000-0005-0000-0000-0000D52E0000}"/>
    <cellStyle name="Comma 23 3 3 2" xfId="19882" xr:uid="{00000000-0005-0000-0000-0000D62E0000}"/>
    <cellStyle name="Comma 23 3 4" xfId="6716" xr:uid="{00000000-0005-0000-0000-0000D72E0000}"/>
    <cellStyle name="Comma 23 3 4 2" xfId="19883" xr:uid="{00000000-0005-0000-0000-0000D82E0000}"/>
    <cellStyle name="Comma 23 3 5" xfId="6717" xr:uid="{00000000-0005-0000-0000-0000D92E0000}"/>
    <cellStyle name="Comma 23 3 5 2" xfId="19884" xr:uid="{00000000-0005-0000-0000-0000DA2E0000}"/>
    <cellStyle name="Comma 23 3 6" xfId="19880" xr:uid="{00000000-0005-0000-0000-0000DB2E0000}"/>
    <cellStyle name="Comma 23 4" xfId="6718" xr:uid="{00000000-0005-0000-0000-0000DC2E0000}"/>
    <cellStyle name="Comma 23 4 2" xfId="6719" xr:uid="{00000000-0005-0000-0000-0000DD2E0000}"/>
    <cellStyle name="Comma 23 4 2 2" xfId="19886" xr:uid="{00000000-0005-0000-0000-0000DE2E0000}"/>
    <cellStyle name="Comma 23 4 3" xfId="6720" xr:uid="{00000000-0005-0000-0000-0000DF2E0000}"/>
    <cellStyle name="Comma 23 4 3 2" xfId="19887" xr:uid="{00000000-0005-0000-0000-0000E02E0000}"/>
    <cellStyle name="Comma 23 4 4" xfId="6721" xr:uid="{00000000-0005-0000-0000-0000E12E0000}"/>
    <cellStyle name="Comma 23 4 4 2" xfId="19888" xr:uid="{00000000-0005-0000-0000-0000E22E0000}"/>
    <cellStyle name="Comma 23 4 5" xfId="6722" xr:uid="{00000000-0005-0000-0000-0000E32E0000}"/>
    <cellStyle name="Comma 23 4 5 2" xfId="19889" xr:uid="{00000000-0005-0000-0000-0000E42E0000}"/>
    <cellStyle name="Comma 23 4 6" xfId="19885" xr:uid="{00000000-0005-0000-0000-0000E52E0000}"/>
    <cellStyle name="Comma 23 5" xfId="6723" xr:uid="{00000000-0005-0000-0000-0000E62E0000}"/>
    <cellStyle name="Comma 23 5 2" xfId="6724" xr:uid="{00000000-0005-0000-0000-0000E72E0000}"/>
    <cellStyle name="Comma 23 5 2 2" xfId="19891" xr:uid="{00000000-0005-0000-0000-0000E82E0000}"/>
    <cellStyle name="Comma 23 5 3" xfId="6725" xr:uid="{00000000-0005-0000-0000-0000E92E0000}"/>
    <cellStyle name="Comma 23 5 3 2" xfId="19892" xr:uid="{00000000-0005-0000-0000-0000EA2E0000}"/>
    <cellStyle name="Comma 23 5 4" xfId="6726" xr:uid="{00000000-0005-0000-0000-0000EB2E0000}"/>
    <cellStyle name="Comma 23 5 4 2" xfId="19893" xr:uid="{00000000-0005-0000-0000-0000EC2E0000}"/>
    <cellStyle name="Comma 23 5 5" xfId="6727" xr:uid="{00000000-0005-0000-0000-0000ED2E0000}"/>
    <cellStyle name="Comma 23 5 5 2" xfId="19894" xr:uid="{00000000-0005-0000-0000-0000EE2E0000}"/>
    <cellStyle name="Comma 23 5 6" xfId="19890" xr:uid="{00000000-0005-0000-0000-0000EF2E0000}"/>
    <cellStyle name="Comma 23 6" xfId="6728" xr:uid="{00000000-0005-0000-0000-0000F02E0000}"/>
    <cellStyle name="Comma 23 6 2" xfId="19895" xr:uid="{00000000-0005-0000-0000-0000F12E0000}"/>
    <cellStyle name="Comma 23 7" xfId="6729" xr:uid="{00000000-0005-0000-0000-0000F22E0000}"/>
    <cellStyle name="Comma 23 7 2" xfId="19896" xr:uid="{00000000-0005-0000-0000-0000F32E0000}"/>
    <cellStyle name="Comma 23 8" xfId="6730" xr:uid="{00000000-0005-0000-0000-0000F42E0000}"/>
    <cellStyle name="Comma 23 8 2" xfId="19897" xr:uid="{00000000-0005-0000-0000-0000F52E0000}"/>
    <cellStyle name="Comma 23 9" xfId="6731" xr:uid="{00000000-0005-0000-0000-0000F62E0000}"/>
    <cellStyle name="Comma 23 9 2" xfId="19898" xr:uid="{00000000-0005-0000-0000-0000F72E0000}"/>
    <cellStyle name="Comma 24" xfId="196" xr:uid="{00000000-0005-0000-0000-0000F82E0000}"/>
    <cellStyle name="Comma 24 10" xfId="19899" xr:uid="{00000000-0005-0000-0000-0000F92E0000}"/>
    <cellStyle name="Comma 24 11" xfId="30849" xr:uid="{00000000-0005-0000-0000-0000FA2E0000}"/>
    <cellStyle name="Comma 24 12" xfId="30850" xr:uid="{00000000-0005-0000-0000-0000FB2E0000}"/>
    <cellStyle name="Comma 24 13" xfId="30851" xr:uid="{00000000-0005-0000-0000-0000FC2E0000}"/>
    <cellStyle name="Comma 24 14" xfId="6732" xr:uid="{00000000-0005-0000-0000-0000FD2E0000}"/>
    <cellStyle name="Comma 24 2" xfId="6733" xr:uid="{00000000-0005-0000-0000-0000FE2E0000}"/>
    <cellStyle name="Comma 24 2 2" xfId="6734" xr:uid="{00000000-0005-0000-0000-0000FF2E0000}"/>
    <cellStyle name="Comma 24 2 2 2" xfId="19901" xr:uid="{00000000-0005-0000-0000-0000002F0000}"/>
    <cellStyle name="Comma 24 2 3" xfId="6735" xr:uid="{00000000-0005-0000-0000-0000012F0000}"/>
    <cellStyle name="Comma 24 2 3 2" xfId="19902" xr:uid="{00000000-0005-0000-0000-0000022F0000}"/>
    <cellStyle name="Comma 24 2 4" xfId="6736" xr:uid="{00000000-0005-0000-0000-0000032F0000}"/>
    <cellStyle name="Comma 24 2 4 2" xfId="19903" xr:uid="{00000000-0005-0000-0000-0000042F0000}"/>
    <cellStyle name="Comma 24 2 5" xfId="6737" xr:uid="{00000000-0005-0000-0000-0000052F0000}"/>
    <cellStyle name="Comma 24 2 5 2" xfId="19904" xr:uid="{00000000-0005-0000-0000-0000062F0000}"/>
    <cellStyle name="Comma 24 2 6" xfId="19900" xr:uid="{00000000-0005-0000-0000-0000072F0000}"/>
    <cellStyle name="Comma 24 3" xfId="6738" xr:uid="{00000000-0005-0000-0000-0000082F0000}"/>
    <cellStyle name="Comma 24 3 2" xfId="6739" xr:uid="{00000000-0005-0000-0000-0000092F0000}"/>
    <cellStyle name="Comma 24 3 2 2" xfId="19906" xr:uid="{00000000-0005-0000-0000-00000A2F0000}"/>
    <cellStyle name="Comma 24 3 3" xfId="6740" xr:uid="{00000000-0005-0000-0000-00000B2F0000}"/>
    <cellStyle name="Comma 24 3 3 2" xfId="19907" xr:uid="{00000000-0005-0000-0000-00000C2F0000}"/>
    <cellStyle name="Comma 24 3 4" xfId="6741" xr:uid="{00000000-0005-0000-0000-00000D2F0000}"/>
    <cellStyle name="Comma 24 3 4 2" xfId="19908" xr:uid="{00000000-0005-0000-0000-00000E2F0000}"/>
    <cellStyle name="Comma 24 3 5" xfId="6742" xr:uid="{00000000-0005-0000-0000-00000F2F0000}"/>
    <cellStyle name="Comma 24 3 5 2" xfId="19909" xr:uid="{00000000-0005-0000-0000-0000102F0000}"/>
    <cellStyle name="Comma 24 3 6" xfId="19905" xr:uid="{00000000-0005-0000-0000-0000112F0000}"/>
    <cellStyle name="Comma 24 4" xfId="6743" xr:uid="{00000000-0005-0000-0000-0000122F0000}"/>
    <cellStyle name="Comma 24 4 2" xfId="6744" xr:uid="{00000000-0005-0000-0000-0000132F0000}"/>
    <cellStyle name="Comma 24 4 2 2" xfId="19911" xr:uid="{00000000-0005-0000-0000-0000142F0000}"/>
    <cellStyle name="Comma 24 4 3" xfId="6745" xr:uid="{00000000-0005-0000-0000-0000152F0000}"/>
    <cellStyle name="Comma 24 4 3 2" xfId="19912" xr:uid="{00000000-0005-0000-0000-0000162F0000}"/>
    <cellStyle name="Comma 24 4 4" xfId="6746" xr:uid="{00000000-0005-0000-0000-0000172F0000}"/>
    <cellStyle name="Comma 24 4 4 2" xfId="19913" xr:uid="{00000000-0005-0000-0000-0000182F0000}"/>
    <cellStyle name="Comma 24 4 5" xfId="6747" xr:uid="{00000000-0005-0000-0000-0000192F0000}"/>
    <cellStyle name="Comma 24 4 5 2" xfId="19914" xr:uid="{00000000-0005-0000-0000-00001A2F0000}"/>
    <cellStyle name="Comma 24 4 6" xfId="19910" xr:uid="{00000000-0005-0000-0000-00001B2F0000}"/>
    <cellStyle name="Comma 24 5" xfId="6748" xr:uid="{00000000-0005-0000-0000-00001C2F0000}"/>
    <cellStyle name="Comma 24 5 2" xfId="6749" xr:uid="{00000000-0005-0000-0000-00001D2F0000}"/>
    <cellStyle name="Comma 24 5 2 2" xfId="19916" xr:uid="{00000000-0005-0000-0000-00001E2F0000}"/>
    <cellStyle name="Comma 24 5 3" xfId="6750" xr:uid="{00000000-0005-0000-0000-00001F2F0000}"/>
    <cellStyle name="Comma 24 5 3 2" xfId="19917" xr:uid="{00000000-0005-0000-0000-0000202F0000}"/>
    <cellStyle name="Comma 24 5 4" xfId="6751" xr:uid="{00000000-0005-0000-0000-0000212F0000}"/>
    <cellStyle name="Comma 24 5 4 2" xfId="19918" xr:uid="{00000000-0005-0000-0000-0000222F0000}"/>
    <cellStyle name="Comma 24 5 5" xfId="6752" xr:uid="{00000000-0005-0000-0000-0000232F0000}"/>
    <cellStyle name="Comma 24 5 5 2" xfId="19919" xr:uid="{00000000-0005-0000-0000-0000242F0000}"/>
    <cellStyle name="Comma 24 5 6" xfId="19915" xr:uid="{00000000-0005-0000-0000-0000252F0000}"/>
    <cellStyle name="Comma 24 6" xfId="6753" xr:uid="{00000000-0005-0000-0000-0000262F0000}"/>
    <cellStyle name="Comma 24 6 2" xfId="19920" xr:uid="{00000000-0005-0000-0000-0000272F0000}"/>
    <cellStyle name="Comma 24 7" xfId="6754" xr:uid="{00000000-0005-0000-0000-0000282F0000}"/>
    <cellStyle name="Comma 24 7 2" xfId="19921" xr:uid="{00000000-0005-0000-0000-0000292F0000}"/>
    <cellStyle name="Comma 24 8" xfId="6755" xr:uid="{00000000-0005-0000-0000-00002A2F0000}"/>
    <cellStyle name="Comma 24 8 2" xfId="19922" xr:uid="{00000000-0005-0000-0000-00002B2F0000}"/>
    <cellStyle name="Comma 24 9" xfId="6756" xr:uid="{00000000-0005-0000-0000-00002C2F0000}"/>
    <cellStyle name="Comma 24 9 2" xfId="19923" xr:uid="{00000000-0005-0000-0000-00002D2F0000}"/>
    <cellStyle name="Comma 25" xfId="195" xr:uid="{00000000-0005-0000-0000-00002E2F0000}"/>
    <cellStyle name="Comma 25 2" xfId="12260" xr:uid="{00000000-0005-0000-0000-00002F2F0000}"/>
    <cellStyle name="Comma 25 2 2" xfId="19925" xr:uid="{00000000-0005-0000-0000-0000302F0000}"/>
    <cellStyle name="Comma 25 3" xfId="19924" xr:uid="{00000000-0005-0000-0000-0000312F0000}"/>
    <cellStyle name="Comma 25 4" xfId="10838" xr:uid="{00000000-0005-0000-0000-0000322F0000}"/>
    <cellStyle name="Comma 26" xfId="193" xr:uid="{00000000-0005-0000-0000-0000332F0000}"/>
    <cellStyle name="Comma 26 10" xfId="19926" xr:uid="{00000000-0005-0000-0000-0000342F0000}"/>
    <cellStyle name="Comma 26 11" xfId="6757" xr:uid="{00000000-0005-0000-0000-0000352F0000}"/>
    <cellStyle name="Comma 26 2" xfId="6758" xr:uid="{00000000-0005-0000-0000-0000362F0000}"/>
    <cellStyle name="Comma 26 2 2" xfId="6759" xr:uid="{00000000-0005-0000-0000-0000372F0000}"/>
    <cellStyle name="Comma 26 2 2 2" xfId="19928" xr:uid="{00000000-0005-0000-0000-0000382F0000}"/>
    <cellStyle name="Comma 26 2 3" xfId="6760" xr:uid="{00000000-0005-0000-0000-0000392F0000}"/>
    <cellStyle name="Comma 26 2 3 2" xfId="19929" xr:uid="{00000000-0005-0000-0000-00003A2F0000}"/>
    <cellStyle name="Comma 26 2 4" xfId="6761" xr:uid="{00000000-0005-0000-0000-00003B2F0000}"/>
    <cellStyle name="Comma 26 2 4 2" xfId="19930" xr:uid="{00000000-0005-0000-0000-00003C2F0000}"/>
    <cellStyle name="Comma 26 2 5" xfId="6762" xr:uid="{00000000-0005-0000-0000-00003D2F0000}"/>
    <cellStyle name="Comma 26 2 5 2" xfId="19931" xr:uid="{00000000-0005-0000-0000-00003E2F0000}"/>
    <cellStyle name="Comma 26 2 6" xfId="19927" xr:uid="{00000000-0005-0000-0000-00003F2F0000}"/>
    <cellStyle name="Comma 26 3" xfId="6763" xr:uid="{00000000-0005-0000-0000-0000402F0000}"/>
    <cellStyle name="Comma 26 3 2" xfId="6764" xr:uid="{00000000-0005-0000-0000-0000412F0000}"/>
    <cellStyle name="Comma 26 3 2 2" xfId="19933" xr:uid="{00000000-0005-0000-0000-0000422F0000}"/>
    <cellStyle name="Comma 26 3 3" xfId="6765" xr:uid="{00000000-0005-0000-0000-0000432F0000}"/>
    <cellStyle name="Comma 26 3 3 2" xfId="19934" xr:uid="{00000000-0005-0000-0000-0000442F0000}"/>
    <cellStyle name="Comma 26 3 4" xfId="6766" xr:uid="{00000000-0005-0000-0000-0000452F0000}"/>
    <cellStyle name="Comma 26 3 4 2" xfId="19935" xr:uid="{00000000-0005-0000-0000-0000462F0000}"/>
    <cellStyle name="Comma 26 3 5" xfId="6767" xr:uid="{00000000-0005-0000-0000-0000472F0000}"/>
    <cellStyle name="Comma 26 3 5 2" xfId="19936" xr:uid="{00000000-0005-0000-0000-0000482F0000}"/>
    <cellStyle name="Comma 26 3 6" xfId="19932" xr:uid="{00000000-0005-0000-0000-0000492F0000}"/>
    <cellStyle name="Comma 26 4" xfId="6768" xr:uid="{00000000-0005-0000-0000-00004A2F0000}"/>
    <cellStyle name="Comma 26 4 2" xfId="6769" xr:uid="{00000000-0005-0000-0000-00004B2F0000}"/>
    <cellStyle name="Comma 26 4 2 2" xfId="19938" xr:uid="{00000000-0005-0000-0000-00004C2F0000}"/>
    <cellStyle name="Comma 26 4 3" xfId="6770" xr:uid="{00000000-0005-0000-0000-00004D2F0000}"/>
    <cellStyle name="Comma 26 4 3 2" xfId="19939" xr:uid="{00000000-0005-0000-0000-00004E2F0000}"/>
    <cellStyle name="Comma 26 4 4" xfId="6771" xr:uid="{00000000-0005-0000-0000-00004F2F0000}"/>
    <cellStyle name="Comma 26 4 4 2" xfId="19940" xr:uid="{00000000-0005-0000-0000-0000502F0000}"/>
    <cellStyle name="Comma 26 4 5" xfId="6772" xr:uid="{00000000-0005-0000-0000-0000512F0000}"/>
    <cellStyle name="Comma 26 4 5 2" xfId="19941" xr:uid="{00000000-0005-0000-0000-0000522F0000}"/>
    <cellStyle name="Comma 26 4 6" xfId="19937" xr:uid="{00000000-0005-0000-0000-0000532F0000}"/>
    <cellStyle name="Comma 26 5" xfId="6773" xr:uid="{00000000-0005-0000-0000-0000542F0000}"/>
    <cellStyle name="Comma 26 5 2" xfId="6774" xr:uid="{00000000-0005-0000-0000-0000552F0000}"/>
    <cellStyle name="Comma 26 5 2 2" xfId="19943" xr:uid="{00000000-0005-0000-0000-0000562F0000}"/>
    <cellStyle name="Comma 26 5 3" xfId="6775" xr:uid="{00000000-0005-0000-0000-0000572F0000}"/>
    <cellStyle name="Comma 26 5 3 2" xfId="19944" xr:uid="{00000000-0005-0000-0000-0000582F0000}"/>
    <cellStyle name="Comma 26 5 4" xfId="6776" xr:uid="{00000000-0005-0000-0000-0000592F0000}"/>
    <cellStyle name="Comma 26 5 4 2" xfId="19945" xr:uid="{00000000-0005-0000-0000-00005A2F0000}"/>
    <cellStyle name="Comma 26 5 5" xfId="6777" xr:uid="{00000000-0005-0000-0000-00005B2F0000}"/>
    <cellStyle name="Comma 26 5 5 2" xfId="19946" xr:uid="{00000000-0005-0000-0000-00005C2F0000}"/>
    <cellStyle name="Comma 26 5 6" xfId="19942" xr:uid="{00000000-0005-0000-0000-00005D2F0000}"/>
    <cellStyle name="Comma 26 6" xfId="6778" xr:uid="{00000000-0005-0000-0000-00005E2F0000}"/>
    <cellStyle name="Comma 26 6 2" xfId="19947" xr:uid="{00000000-0005-0000-0000-00005F2F0000}"/>
    <cellStyle name="Comma 26 7" xfId="6779" xr:uid="{00000000-0005-0000-0000-0000602F0000}"/>
    <cellStyle name="Comma 26 7 2" xfId="19948" xr:uid="{00000000-0005-0000-0000-0000612F0000}"/>
    <cellStyle name="Comma 26 8" xfId="6780" xr:uid="{00000000-0005-0000-0000-0000622F0000}"/>
    <cellStyle name="Comma 26 8 2" xfId="19949" xr:uid="{00000000-0005-0000-0000-0000632F0000}"/>
    <cellStyle name="Comma 26 9" xfId="6781" xr:uid="{00000000-0005-0000-0000-0000642F0000}"/>
    <cellStyle name="Comma 26 9 2" xfId="19950" xr:uid="{00000000-0005-0000-0000-0000652F0000}"/>
    <cellStyle name="Comma 27" xfId="191" xr:uid="{00000000-0005-0000-0000-0000662F0000}"/>
    <cellStyle name="Comma 27 2" xfId="12262" xr:uid="{00000000-0005-0000-0000-0000672F0000}"/>
    <cellStyle name="Comma 27 2 2" xfId="19952" xr:uid="{00000000-0005-0000-0000-0000682F0000}"/>
    <cellStyle name="Comma 27 3" xfId="19951" xr:uid="{00000000-0005-0000-0000-0000692F0000}"/>
    <cellStyle name="Comma 27 4" xfId="10840" xr:uid="{00000000-0005-0000-0000-00006A2F0000}"/>
    <cellStyle name="Comma 28" xfId="192" xr:uid="{00000000-0005-0000-0000-00006B2F0000}"/>
    <cellStyle name="Comma 28 10" xfId="19953" xr:uid="{00000000-0005-0000-0000-00006C2F0000}"/>
    <cellStyle name="Comma 28 11" xfId="6782" xr:uid="{00000000-0005-0000-0000-00006D2F0000}"/>
    <cellStyle name="Comma 28 2" xfId="6783" xr:uid="{00000000-0005-0000-0000-00006E2F0000}"/>
    <cellStyle name="Comma 28 2 2" xfId="6784" xr:uid="{00000000-0005-0000-0000-00006F2F0000}"/>
    <cellStyle name="Comma 28 2 2 2" xfId="19955" xr:uid="{00000000-0005-0000-0000-0000702F0000}"/>
    <cellStyle name="Comma 28 2 3" xfId="6785" xr:uid="{00000000-0005-0000-0000-0000712F0000}"/>
    <cellStyle name="Comma 28 2 3 2" xfId="19956" xr:uid="{00000000-0005-0000-0000-0000722F0000}"/>
    <cellStyle name="Comma 28 2 4" xfId="6786" xr:uid="{00000000-0005-0000-0000-0000732F0000}"/>
    <cellStyle name="Comma 28 2 4 2" xfId="19957" xr:uid="{00000000-0005-0000-0000-0000742F0000}"/>
    <cellStyle name="Comma 28 2 5" xfId="6787" xr:uid="{00000000-0005-0000-0000-0000752F0000}"/>
    <cellStyle name="Comma 28 2 5 2" xfId="19958" xr:uid="{00000000-0005-0000-0000-0000762F0000}"/>
    <cellStyle name="Comma 28 2 6" xfId="19954" xr:uid="{00000000-0005-0000-0000-0000772F0000}"/>
    <cellStyle name="Comma 28 3" xfId="6788" xr:uid="{00000000-0005-0000-0000-0000782F0000}"/>
    <cellStyle name="Comma 28 3 2" xfId="6789" xr:uid="{00000000-0005-0000-0000-0000792F0000}"/>
    <cellStyle name="Comma 28 3 2 2" xfId="19960" xr:uid="{00000000-0005-0000-0000-00007A2F0000}"/>
    <cellStyle name="Comma 28 3 3" xfId="6790" xr:uid="{00000000-0005-0000-0000-00007B2F0000}"/>
    <cellStyle name="Comma 28 3 3 2" xfId="19961" xr:uid="{00000000-0005-0000-0000-00007C2F0000}"/>
    <cellStyle name="Comma 28 3 4" xfId="6791" xr:uid="{00000000-0005-0000-0000-00007D2F0000}"/>
    <cellStyle name="Comma 28 3 4 2" xfId="19962" xr:uid="{00000000-0005-0000-0000-00007E2F0000}"/>
    <cellStyle name="Comma 28 3 5" xfId="6792" xr:uid="{00000000-0005-0000-0000-00007F2F0000}"/>
    <cellStyle name="Comma 28 3 5 2" xfId="19963" xr:uid="{00000000-0005-0000-0000-0000802F0000}"/>
    <cellStyle name="Comma 28 3 6" xfId="19959" xr:uid="{00000000-0005-0000-0000-0000812F0000}"/>
    <cellStyle name="Comma 28 4" xfId="6793" xr:uid="{00000000-0005-0000-0000-0000822F0000}"/>
    <cellStyle name="Comma 28 4 2" xfId="6794" xr:uid="{00000000-0005-0000-0000-0000832F0000}"/>
    <cellStyle name="Comma 28 4 2 2" xfId="19965" xr:uid="{00000000-0005-0000-0000-0000842F0000}"/>
    <cellStyle name="Comma 28 4 3" xfId="6795" xr:uid="{00000000-0005-0000-0000-0000852F0000}"/>
    <cellStyle name="Comma 28 4 3 2" xfId="19966" xr:uid="{00000000-0005-0000-0000-0000862F0000}"/>
    <cellStyle name="Comma 28 4 4" xfId="6796" xr:uid="{00000000-0005-0000-0000-0000872F0000}"/>
    <cellStyle name="Comma 28 4 4 2" xfId="19967" xr:uid="{00000000-0005-0000-0000-0000882F0000}"/>
    <cellStyle name="Comma 28 4 5" xfId="6797" xr:uid="{00000000-0005-0000-0000-0000892F0000}"/>
    <cellStyle name="Comma 28 4 5 2" xfId="19968" xr:uid="{00000000-0005-0000-0000-00008A2F0000}"/>
    <cellStyle name="Comma 28 4 6" xfId="19964" xr:uid="{00000000-0005-0000-0000-00008B2F0000}"/>
    <cellStyle name="Comma 28 5" xfId="6798" xr:uid="{00000000-0005-0000-0000-00008C2F0000}"/>
    <cellStyle name="Comma 28 5 2" xfId="6799" xr:uid="{00000000-0005-0000-0000-00008D2F0000}"/>
    <cellStyle name="Comma 28 5 2 2" xfId="19970" xr:uid="{00000000-0005-0000-0000-00008E2F0000}"/>
    <cellStyle name="Comma 28 5 3" xfId="6800" xr:uid="{00000000-0005-0000-0000-00008F2F0000}"/>
    <cellStyle name="Comma 28 5 3 2" xfId="19971" xr:uid="{00000000-0005-0000-0000-0000902F0000}"/>
    <cellStyle name="Comma 28 5 4" xfId="6801" xr:uid="{00000000-0005-0000-0000-0000912F0000}"/>
    <cellStyle name="Comma 28 5 4 2" xfId="19972" xr:uid="{00000000-0005-0000-0000-0000922F0000}"/>
    <cellStyle name="Comma 28 5 5" xfId="6802" xr:uid="{00000000-0005-0000-0000-0000932F0000}"/>
    <cellStyle name="Comma 28 5 5 2" xfId="19973" xr:uid="{00000000-0005-0000-0000-0000942F0000}"/>
    <cellStyle name="Comma 28 5 6" xfId="19969" xr:uid="{00000000-0005-0000-0000-0000952F0000}"/>
    <cellStyle name="Comma 28 6" xfId="6803" xr:uid="{00000000-0005-0000-0000-0000962F0000}"/>
    <cellStyle name="Comma 28 6 2" xfId="19974" xr:uid="{00000000-0005-0000-0000-0000972F0000}"/>
    <cellStyle name="Comma 28 7" xfId="6804" xr:uid="{00000000-0005-0000-0000-0000982F0000}"/>
    <cellStyle name="Comma 28 7 2" xfId="19975" xr:uid="{00000000-0005-0000-0000-0000992F0000}"/>
    <cellStyle name="Comma 28 8" xfId="6805" xr:uid="{00000000-0005-0000-0000-00009A2F0000}"/>
    <cellStyle name="Comma 28 8 2" xfId="19976" xr:uid="{00000000-0005-0000-0000-00009B2F0000}"/>
    <cellStyle name="Comma 28 9" xfId="6806" xr:uid="{00000000-0005-0000-0000-00009C2F0000}"/>
    <cellStyle name="Comma 28 9 2" xfId="19977" xr:uid="{00000000-0005-0000-0000-00009D2F0000}"/>
    <cellStyle name="Comma 29" xfId="454" xr:uid="{00000000-0005-0000-0000-00009E2F0000}"/>
    <cellStyle name="Comma 29 2" xfId="12752" xr:uid="{00000000-0005-0000-0000-00009F2F0000}"/>
    <cellStyle name="Comma 29 2 2" xfId="19979" xr:uid="{00000000-0005-0000-0000-0000A02F0000}"/>
    <cellStyle name="Comma 29 3" xfId="19978" xr:uid="{00000000-0005-0000-0000-0000A12F0000}"/>
    <cellStyle name="Comma 3" xfId="450" xr:uid="{00000000-0005-0000-0000-0000A22F0000}"/>
    <cellStyle name="Comma 3 10" xfId="130" xr:uid="{00000000-0005-0000-0000-0000A32F0000}"/>
    <cellStyle name="Comma 3 10 2" xfId="396" xr:uid="{00000000-0005-0000-0000-0000A42F0000}"/>
    <cellStyle name="Comma 3 10 3" xfId="19980" xr:uid="{00000000-0005-0000-0000-0000A52F0000}"/>
    <cellStyle name="Comma 3 11" xfId="131" xr:uid="{00000000-0005-0000-0000-0000A62F0000}"/>
    <cellStyle name="Comma 3 11 2" xfId="395" xr:uid="{00000000-0005-0000-0000-0000A72F0000}"/>
    <cellStyle name="Comma 3 11 3" xfId="30852" xr:uid="{00000000-0005-0000-0000-0000A82F0000}"/>
    <cellStyle name="Comma 3 12" xfId="132" xr:uid="{00000000-0005-0000-0000-0000A92F0000}"/>
    <cellStyle name="Comma 3 12 2" xfId="394" xr:uid="{00000000-0005-0000-0000-0000AA2F0000}"/>
    <cellStyle name="Comma 3 12 3" xfId="30853" xr:uid="{00000000-0005-0000-0000-0000AB2F0000}"/>
    <cellStyle name="Comma 3 13" xfId="133" xr:uid="{00000000-0005-0000-0000-0000AC2F0000}"/>
    <cellStyle name="Comma 3 13 2" xfId="393" xr:uid="{00000000-0005-0000-0000-0000AD2F0000}"/>
    <cellStyle name="Comma 3 13 2 2" xfId="30855" xr:uid="{00000000-0005-0000-0000-0000AE2F0000}"/>
    <cellStyle name="Comma 3 13 3" xfId="30854" xr:uid="{00000000-0005-0000-0000-0000AF2F0000}"/>
    <cellStyle name="Comma 3 14" xfId="134" xr:uid="{00000000-0005-0000-0000-0000B02F0000}"/>
    <cellStyle name="Comma 3 14 2" xfId="392" xr:uid="{00000000-0005-0000-0000-0000B12F0000}"/>
    <cellStyle name="Comma 3 14 3" xfId="30856" xr:uid="{00000000-0005-0000-0000-0000B22F0000}"/>
    <cellStyle name="Comma 3 15" xfId="433" xr:uid="{00000000-0005-0000-0000-0000B32F0000}"/>
    <cellStyle name="Comma 3 16" xfId="524" xr:uid="{00000000-0005-0000-0000-0000B42F0000}"/>
    <cellStyle name="Comma 3 2" xfId="135" xr:uid="{00000000-0005-0000-0000-0000B52F0000}"/>
    <cellStyle name="Comma 3 2 10" xfId="14358" xr:uid="{00000000-0005-0000-0000-0000B62F0000}"/>
    <cellStyle name="Comma 3 2 10 2" xfId="19982" xr:uid="{00000000-0005-0000-0000-0000B72F0000}"/>
    <cellStyle name="Comma 3 2 11" xfId="15501" xr:uid="{00000000-0005-0000-0000-0000B82F0000}"/>
    <cellStyle name="Comma 3 2 11 2" xfId="19983" xr:uid="{00000000-0005-0000-0000-0000B92F0000}"/>
    <cellStyle name="Comma 3 2 12" xfId="19981" xr:uid="{00000000-0005-0000-0000-0000BA2F0000}"/>
    <cellStyle name="Comma 3 2 13" xfId="30857" xr:uid="{00000000-0005-0000-0000-0000BB2F0000}"/>
    <cellStyle name="Comma 3 2 14" xfId="30858" xr:uid="{00000000-0005-0000-0000-0000BC2F0000}"/>
    <cellStyle name="Comma 3 2 15" xfId="30859" xr:uid="{00000000-0005-0000-0000-0000BD2F0000}"/>
    <cellStyle name="Comma 3 2 16" xfId="6807" xr:uid="{00000000-0005-0000-0000-0000BE2F0000}"/>
    <cellStyle name="Comma 3 2 2" xfId="391" xr:uid="{00000000-0005-0000-0000-0000BF2F0000}"/>
    <cellStyle name="Comma 3 2 2 10" xfId="6808" xr:uid="{00000000-0005-0000-0000-0000C02F0000}"/>
    <cellStyle name="Comma 3 2 2 2" xfId="6809" xr:uid="{00000000-0005-0000-0000-0000C12F0000}"/>
    <cellStyle name="Comma 3 2 2 2 2" xfId="19985" xr:uid="{00000000-0005-0000-0000-0000C22F0000}"/>
    <cellStyle name="Comma 3 2 2 3" xfId="6810" xr:uid="{00000000-0005-0000-0000-0000C32F0000}"/>
    <cellStyle name="Comma 3 2 2 3 2" xfId="19986" xr:uid="{00000000-0005-0000-0000-0000C42F0000}"/>
    <cellStyle name="Comma 3 2 2 4" xfId="6811" xr:uid="{00000000-0005-0000-0000-0000C52F0000}"/>
    <cellStyle name="Comma 3 2 2 4 2" xfId="19987" xr:uid="{00000000-0005-0000-0000-0000C62F0000}"/>
    <cellStyle name="Comma 3 2 2 5" xfId="6812" xr:uid="{00000000-0005-0000-0000-0000C72F0000}"/>
    <cellStyle name="Comma 3 2 2 5 2" xfId="19988" xr:uid="{00000000-0005-0000-0000-0000C82F0000}"/>
    <cellStyle name="Comma 3 2 2 6" xfId="19984" xr:uid="{00000000-0005-0000-0000-0000C92F0000}"/>
    <cellStyle name="Comma 3 2 2 7" xfId="30860" xr:uid="{00000000-0005-0000-0000-0000CA2F0000}"/>
    <cellStyle name="Comma 3 2 2 8" xfId="30861" xr:uid="{00000000-0005-0000-0000-0000CB2F0000}"/>
    <cellStyle name="Comma 3 2 2 9" xfId="30862" xr:uid="{00000000-0005-0000-0000-0000CC2F0000}"/>
    <cellStyle name="Comma 3 2 3" xfId="6813" xr:uid="{00000000-0005-0000-0000-0000CD2F0000}"/>
    <cellStyle name="Comma 3 2 3 2" xfId="6814" xr:uid="{00000000-0005-0000-0000-0000CE2F0000}"/>
    <cellStyle name="Comma 3 2 3 2 2" xfId="19990" xr:uid="{00000000-0005-0000-0000-0000CF2F0000}"/>
    <cellStyle name="Comma 3 2 3 3" xfId="6815" xr:uid="{00000000-0005-0000-0000-0000D02F0000}"/>
    <cellStyle name="Comma 3 2 3 3 2" xfId="19991" xr:uid="{00000000-0005-0000-0000-0000D12F0000}"/>
    <cellStyle name="Comma 3 2 3 4" xfId="6816" xr:uid="{00000000-0005-0000-0000-0000D22F0000}"/>
    <cellStyle name="Comma 3 2 3 4 2" xfId="19992" xr:uid="{00000000-0005-0000-0000-0000D32F0000}"/>
    <cellStyle name="Comma 3 2 3 5" xfId="6817" xr:uid="{00000000-0005-0000-0000-0000D42F0000}"/>
    <cellStyle name="Comma 3 2 3 5 2" xfId="19993" xr:uid="{00000000-0005-0000-0000-0000D52F0000}"/>
    <cellStyle name="Comma 3 2 3 6" xfId="19989" xr:uid="{00000000-0005-0000-0000-0000D62F0000}"/>
    <cellStyle name="Comma 3 2 3 7" xfId="30863" xr:uid="{00000000-0005-0000-0000-0000D72F0000}"/>
    <cellStyle name="Comma 3 2 3 8" xfId="33504" xr:uid="{00000000-0005-0000-0000-0000D82F0000}"/>
    <cellStyle name="Comma 3 2 4" xfId="6818" xr:uid="{00000000-0005-0000-0000-0000D92F0000}"/>
    <cellStyle name="Comma 3 2 4 2" xfId="6819" xr:uid="{00000000-0005-0000-0000-0000DA2F0000}"/>
    <cellStyle name="Comma 3 2 4 2 2" xfId="19995" xr:uid="{00000000-0005-0000-0000-0000DB2F0000}"/>
    <cellStyle name="Comma 3 2 4 3" xfId="6820" xr:uid="{00000000-0005-0000-0000-0000DC2F0000}"/>
    <cellStyle name="Comma 3 2 4 3 2" xfId="19996" xr:uid="{00000000-0005-0000-0000-0000DD2F0000}"/>
    <cellStyle name="Comma 3 2 4 4" xfId="6821" xr:uid="{00000000-0005-0000-0000-0000DE2F0000}"/>
    <cellStyle name="Comma 3 2 4 4 2" xfId="19997" xr:uid="{00000000-0005-0000-0000-0000DF2F0000}"/>
    <cellStyle name="Comma 3 2 4 5" xfId="6822" xr:uid="{00000000-0005-0000-0000-0000E02F0000}"/>
    <cellStyle name="Comma 3 2 4 5 2" xfId="19998" xr:uid="{00000000-0005-0000-0000-0000E12F0000}"/>
    <cellStyle name="Comma 3 2 4 6" xfId="19994" xr:uid="{00000000-0005-0000-0000-0000E22F0000}"/>
    <cellStyle name="Comma 3 2 4 7" xfId="33524" xr:uid="{00000000-0005-0000-0000-0000E32F0000}"/>
    <cellStyle name="Comma 3 2 5" xfId="6823" xr:uid="{00000000-0005-0000-0000-0000E42F0000}"/>
    <cellStyle name="Comma 3 2 5 2" xfId="6824" xr:uid="{00000000-0005-0000-0000-0000E52F0000}"/>
    <cellStyle name="Comma 3 2 5 2 2" xfId="20000" xr:uid="{00000000-0005-0000-0000-0000E62F0000}"/>
    <cellStyle name="Comma 3 2 5 3" xfId="6825" xr:uid="{00000000-0005-0000-0000-0000E72F0000}"/>
    <cellStyle name="Comma 3 2 5 3 2" xfId="20001" xr:uid="{00000000-0005-0000-0000-0000E82F0000}"/>
    <cellStyle name="Comma 3 2 5 4" xfId="6826" xr:uid="{00000000-0005-0000-0000-0000E92F0000}"/>
    <cellStyle name="Comma 3 2 5 4 2" xfId="20002" xr:uid="{00000000-0005-0000-0000-0000EA2F0000}"/>
    <cellStyle name="Comma 3 2 5 5" xfId="6827" xr:uid="{00000000-0005-0000-0000-0000EB2F0000}"/>
    <cellStyle name="Comma 3 2 5 5 2" xfId="20003" xr:uid="{00000000-0005-0000-0000-0000EC2F0000}"/>
    <cellStyle name="Comma 3 2 5 6" xfId="19999" xr:uid="{00000000-0005-0000-0000-0000ED2F0000}"/>
    <cellStyle name="Comma 3 2 5 7" xfId="33505" xr:uid="{00000000-0005-0000-0000-0000EE2F0000}"/>
    <cellStyle name="Comma 3 2 6" xfId="6828" xr:uid="{00000000-0005-0000-0000-0000EF2F0000}"/>
    <cellStyle name="Comma 3 2 6 2" xfId="20004" xr:uid="{00000000-0005-0000-0000-0000F02F0000}"/>
    <cellStyle name="Comma 3 2 7" xfId="6829" xr:uid="{00000000-0005-0000-0000-0000F12F0000}"/>
    <cellStyle name="Comma 3 2 7 2" xfId="20005" xr:uid="{00000000-0005-0000-0000-0000F22F0000}"/>
    <cellStyle name="Comma 3 2 8" xfId="6830" xr:uid="{00000000-0005-0000-0000-0000F32F0000}"/>
    <cellStyle name="Comma 3 2 8 2" xfId="20006" xr:uid="{00000000-0005-0000-0000-0000F42F0000}"/>
    <cellStyle name="Comma 3 2 9" xfId="6831" xr:uid="{00000000-0005-0000-0000-0000F52F0000}"/>
    <cellStyle name="Comma 3 2 9 2" xfId="20007" xr:uid="{00000000-0005-0000-0000-0000F62F0000}"/>
    <cellStyle name="Comma 3 3" xfId="136" xr:uid="{00000000-0005-0000-0000-0000F72F0000}"/>
    <cellStyle name="Comma 3 3 2" xfId="390" xr:uid="{00000000-0005-0000-0000-0000F82F0000}"/>
    <cellStyle name="Comma 3 3 2 2" xfId="20009" xr:uid="{00000000-0005-0000-0000-0000F92F0000}"/>
    <cellStyle name="Comma 3 3 2 3" xfId="10841" xr:uid="{00000000-0005-0000-0000-0000FA2F0000}"/>
    <cellStyle name="Comma 3 3 3" xfId="20008" xr:uid="{00000000-0005-0000-0000-0000FB2F0000}"/>
    <cellStyle name="Comma 3 3 4" xfId="30864" xr:uid="{00000000-0005-0000-0000-0000FC2F0000}"/>
    <cellStyle name="Comma 3 3 5" xfId="525" xr:uid="{00000000-0005-0000-0000-0000FD2F0000}"/>
    <cellStyle name="Comma 3 4" xfId="137" xr:uid="{00000000-0005-0000-0000-0000FE2F0000}"/>
    <cellStyle name="Comma 3 4 2" xfId="389" xr:uid="{00000000-0005-0000-0000-0000FF2F0000}"/>
    <cellStyle name="Comma 3 4 2 2" xfId="20010" xr:uid="{00000000-0005-0000-0000-000000300000}"/>
    <cellStyle name="Comma 3 4 3" xfId="30865" xr:uid="{00000000-0005-0000-0000-000001300000}"/>
    <cellStyle name="Comma 3 4 4" xfId="30866" xr:uid="{00000000-0005-0000-0000-000002300000}"/>
    <cellStyle name="Comma 3 4 5" xfId="11445" xr:uid="{00000000-0005-0000-0000-000003300000}"/>
    <cellStyle name="Comma 3 5" xfId="138" xr:uid="{00000000-0005-0000-0000-000004300000}"/>
    <cellStyle name="Comma 3 5 2" xfId="388" xr:uid="{00000000-0005-0000-0000-000005300000}"/>
    <cellStyle name="Comma 3 5 2 2" xfId="20011" xr:uid="{00000000-0005-0000-0000-000006300000}"/>
    <cellStyle name="Comma 3 5 3" xfId="30867" xr:uid="{00000000-0005-0000-0000-000007300000}"/>
    <cellStyle name="Comma 3 5 4" xfId="30868" xr:uid="{00000000-0005-0000-0000-000008300000}"/>
    <cellStyle name="Comma 3 5 5" xfId="12841" xr:uid="{00000000-0005-0000-0000-000009300000}"/>
    <cellStyle name="Comma 3 6" xfId="139" xr:uid="{00000000-0005-0000-0000-00000A300000}"/>
    <cellStyle name="Comma 3 6 2" xfId="387" xr:uid="{00000000-0005-0000-0000-00000B300000}"/>
    <cellStyle name="Comma 3 6 2 2" xfId="20012" xr:uid="{00000000-0005-0000-0000-00000C300000}"/>
    <cellStyle name="Comma 3 6 3" xfId="30869" xr:uid="{00000000-0005-0000-0000-00000D300000}"/>
    <cellStyle name="Comma 3 6 4" xfId="12842" xr:uid="{00000000-0005-0000-0000-00000E300000}"/>
    <cellStyle name="Comma 3 7" xfId="140" xr:uid="{00000000-0005-0000-0000-00000F300000}"/>
    <cellStyle name="Comma 3 7 2" xfId="386" xr:uid="{00000000-0005-0000-0000-000010300000}"/>
    <cellStyle name="Comma 3 7 2 2" xfId="20013" xr:uid="{00000000-0005-0000-0000-000011300000}"/>
    <cellStyle name="Comma 3 7 3" xfId="30870" xr:uid="{00000000-0005-0000-0000-000012300000}"/>
    <cellStyle name="Comma 3 7 4" xfId="12843" xr:uid="{00000000-0005-0000-0000-000013300000}"/>
    <cellStyle name="Comma 3 8" xfId="141" xr:uid="{00000000-0005-0000-0000-000014300000}"/>
    <cellStyle name="Comma 3 8 2" xfId="385" xr:uid="{00000000-0005-0000-0000-000015300000}"/>
    <cellStyle name="Comma 3 8 2 2" xfId="20014" xr:uid="{00000000-0005-0000-0000-000016300000}"/>
    <cellStyle name="Comma 3 9" xfId="142" xr:uid="{00000000-0005-0000-0000-000017300000}"/>
    <cellStyle name="Comma 3 9 2" xfId="384" xr:uid="{00000000-0005-0000-0000-000018300000}"/>
    <cellStyle name="Comma 3 9 2 2" xfId="20015" xr:uid="{00000000-0005-0000-0000-000019300000}"/>
    <cellStyle name="Comma 3_Sheet3" xfId="30871" xr:uid="{00000000-0005-0000-0000-00001A300000}"/>
    <cellStyle name="Comma 30" xfId="462" xr:uid="{00000000-0005-0000-0000-00001B300000}"/>
    <cellStyle name="Comma 30 2" xfId="12754" xr:uid="{00000000-0005-0000-0000-00001C300000}"/>
    <cellStyle name="Comma 30 2 2" xfId="20017" xr:uid="{00000000-0005-0000-0000-00001D300000}"/>
    <cellStyle name="Comma 30 3" xfId="20016" xr:uid="{00000000-0005-0000-0000-00001E300000}"/>
    <cellStyle name="Comma 30 4" xfId="11332" xr:uid="{00000000-0005-0000-0000-00001F300000}"/>
    <cellStyle name="Comma 31" xfId="6832" xr:uid="{00000000-0005-0000-0000-000020300000}"/>
    <cellStyle name="Comma 31 10" xfId="20018" xr:uid="{00000000-0005-0000-0000-000021300000}"/>
    <cellStyle name="Comma 31 2" xfId="6833" xr:uid="{00000000-0005-0000-0000-000022300000}"/>
    <cellStyle name="Comma 31 2 2" xfId="6834" xr:uid="{00000000-0005-0000-0000-000023300000}"/>
    <cellStyle name="Comma 31 2 2 2" xfId="20020" xr:uid="{00000000-0005-0000-0000-000024300000}"/>
    <cellStyle name="Comma 31 2 3" xfId="6835" xr:uid="{00000000-0005-0000-0000-000025300000}"/>
    <cellStyle name="Comma 31 2 3 2" xfId="20021" xr:uid="{00000000-0005-0000-0000-000026300000}"/>
    <cellStyle name="Comma 31 2 4" xfId="6836" xr:uid="{00000000-0005-0000-0000-000027300000}"/>
    <cellStyle name="Comma 31 2 4 2" xfId="20022" xr:uid="{00000000-0005-0000-0000-000028300000}"/>
    <cellStyle name="Comma 31 2 5" xfId="6837" xr:uid="{00000000-0005-0000-0000-000029300000}"/>
    <cellStyle name="Comma 31 2 5 2" xfId="20023" xr:uid="{00000000-0005-0000-0000-00002A300000}"/>
    <cellStyle name="Comma 31 2 6" xfId="20019" xr:uid="{00000000-0005-0000-0000-00002B300000}"/>
    <cellStyle name="Comma 31 3" xfId="6838" xr:uid="{00000000-0005-0000-0000-00002C300000}"/>
    <cellStyle name="Comma 31 3 2" xfId="6839" xr:uid="{00000000-0005-0000-0000-00002D300000}"/>
    <cellStyle name="Comma 31 3 2 2" xfId="20025" xr:uid="{00000000-0005-0000-0000-00002E300000}"/>
    <cellStyle name="Comma 31 3 3" xfId="6840" xr:uid="{00000000-0005-0000-0000-00002F300000}"/>
    <cellStyle name="Comma 31 3 3 2" xfId="20026" xr:uid="{00000000-0005-0000-0000-000030300000}"/>
    <cellStyle name="Comma 31 3 4" xfId="6841" xr:uid="{00000000-0005-0000-0000-000031300000}"/>
    <cellStyle name="Comma 31 3 4 2" xfId="20027" xr:uid="{00000000-0005-0000-0000-000032300000}"/>
    <cellStyle name="Comma 31 3 5" xfId="6842" xr:uid="{00000000-0005-0000-0000-000033300000}"/>
    <cellStyle name="Comma 31 3 5 2" xfId="20028" xr:uid="{00000000-0005-0000-0000-000034300000}"/>
    <cellStyle name="Comma 31 3 6" xfId="20024" xr:uid="{00000000-0005-0000-0000-000035300000}"/>
    <cellStyle name="Comma 31 4" xfId="6843" xr:uid="{00000000-0005-0000-0000-000036300000}"/>
    <cellStyle name="Comma 31 4 2" xfId="6844" xr:uid="{00000000-0005-0000-0000-000037300000}"/>
    <cellStyle name="Comma 31 4 2 2" xfId="20030" xr:uid="{00000000-0005-0000-0000-000038300000}"/>
    <cellStyle name="Comma 31 4 3" xfId="6845" xr:uid="{00000000-0005-0000-0000-000039300000}"/>
    <cellStyle name="Comma 31 4 3 2" xfId="20031" xr:uid="{00000000-0005-0000-0000-00003A300000}"/>
    <cellStyle name="Comma 31 4 4" xfId="6846" xr:uid="{00000000-0005-0000-0000-00003B300000}"/>
    <cellStyle name="Comma 31 4 4 2" xfId="20032" xr:uid="{00000000-0005-0000-0000-00003C300000}"/>
    <cellStyle name="Comma 31 4 5" xfId="6847" xr:uid="{00000000-0005-0000-0000-00003D300000}"/>
    <cellStyle name="Comma 31 4 5 2" xfId="20033" xr:uid="{00000000-0005-0000-0000-00003E300000}"/>
    <cellStyle name="Comma 31 4 6" xfId="20029" xr:uid="{00000000-0005-0000-0000-00003F300000}"/>
    <cellStyle name="Comma 31 5" xfId="6848" xr:uid="{00000000-0005-0000-0000-000040300000}"/>
    <cellStyle name="Comma 31 5 2" xfId="6849" xr:uid="{00000000-0005-0000-0000-000041300000}"/>
    <cellStyle name="Comma 31 5 2 2" xfId="20035" xr:uid="{00000000-0005-0000-0000-000042300000}"/>
    <cellStyle name="Comma 31 5 3" xfId="6850" xr:uid="{00000000-0005-0000-0000-000043300000}"/>
    <cellStyle name="Comma 31 5 3 2" xfId="20036" xr:uid="{00000000-0005-0000-0000-000044300000}"/>
    <cellStyle name="Comma 31 5 4" xfId="6851" xr:uid="{00000000-0005-0000-0000-000045300000}"/>
    <cellStyle name="Comma 31 5 4 2" xfId="20037" xr:uid="{00000000-0005-0000-0000-000046300000}"/>
    <cellStyle name="Comma 31 5 5" xfId="6852" xr:uid="{00000000-0005-0000-0000-000047300000}"/>
    <cellStyle name="Comma 31 5 5 2" xfId="20038" xr:uid="{00000000-0005-0000-0000-000048300000}"/>
    <cellStyle name="Comma 31 5 6" xfId="20034" xr:uid="{00000000-0005-0000-0000-000049300000}"/>
    <cellStyle name="Comma 31 6" xfId="6853" xr:uid="{00000000-0005-0000-0000-00004A300000}"/>
    <cellStyle name="Comma 31 6 2" xfId="20039" xr:uid="{00000000-0005-0000-0000-00004B300000}"/>
    <cellStyle name="Comma 31 7" xfId="6854" xr:uid="{00000000-0005-0000-0000-00004C300000}"/>
    <cellStyle name="Comma 31 7 2" xfId="20040" xr:uid="{00000000-0005-0000-0000-00004D300000}"/>
    <cellStyle name="Comma 31 8" xfId="6855" xr:uid="{00000000-0005-0000-0000-00004E300000}"/>
    <cellStyle name="Comma 31 8 2" xfId="20041" xr:uid="{00000000-0005-0000-0000-00004F300000}"/>
    <cellStyle name="Comma 31 9" xfId="6856" xr:uid="{00000000-0005-0000-0000-000050300000}"/>
    <cellStyle name="Comma 31 9 2" xfId="20042" xr:uid="{00000000-0005-0000-0000-000051300000}"/>
    <cellStyle name="Comma 32" xfId="11334" xr:uid="{00000000-0005-0000-0000-000052300000}"/>
    <cellStyle name="Comma 32 2" xfId="12756" xr:uid="{00000000-0005-0000-0000-000053300000}"/>
    <cellStyle name="Comma 32 2 2" xfId="20044" xr:uid="{00000000-0005-0000-0000-000054300000}"/>
    <cellStyle name="Comma 32 3" xfId="20043" xr:uid="{00000000-0005-0000-0000-000055300000}"/>
    <cellStyle name="Comma 33" xfId="6857" xr:uid="{00000000-0005-0000-0000-000056300000}"/>
    <cellStyle name="Comma 33 10" xfId="20045" xr:uid="{00000000-0005-0000-0000-000057300000}"/>
    <cellStyle name="Comma 33 2" xfId="6858" xr:uid="{00000000-0005-0000-0000-000058300000}"/>
    <cellStyle name="Comma 33 2 2" xfId="6859" xr:uid="{00000000-0005-0000-0000-000059300000}"/>
    <cellStyle name="Comma 33 2 2 2" xfId="20047" xr:uid="{00000000-0005-0000-0000-00005A300000}"/>
    <cellStyle name="Comma 33 2 3" xfId="6860" xr:uid="{00000000-0005-0000-0000-00005B300000}"/>
    <cellStyle name="Comma 33 2 3 2" xfId="20048" xr:uid="{00000000-0005-0000-0000-00005C300000}"/>
    <cellStyle name="Comma 33 2 4" xfId="6861" xr:uid="{00000000-0005-0000-0000-00005D300000}"/>
    <cellStyle name="Comma 33 2 4 2" xfId="20049" xr:uid="{00000000-0005-0000-0000-00005E300000}"/>
    <cellStyle name="Comma 33 2 5" xfId="6862" xr:uid="{00000000-0005-0000-0000-00005F300000}"/>
    <cellStyle name="Comma 33 2 5 2" xfId="20050" xr:uid="{00000000-0005-0000-0000-000060300000}"/>
    <cellStyle name="Comma 33 2 6" xfId="20046" xr:uid="{00000000-0005-0000-0000-000061300000}"/>
    <cellStyle name="Comma 33 3" xfId="6863" xr:uid="{00000000-0005-0000-0000-000062300000}"/>
    <cellStyle name="Comma 33 3 2" xfId="6864" xr:uid="{00000000-0005-0000-0000-000063300000}"/>
    <cellStyle name="Comma 33 3 2 2" xfId="20052" xr:uid="{00000000-0005-0000-0000-000064300000}"/>
    <cellStyle name="Comma 33 3 3" xfId="6865" xr:uid="{00000000-0005-0000-0000-000065300000}"/>
    <cellStyle name="Comma 33 3 3 2" xfId="20053" xr:uid="{00000000-0005-0000-0000-000066300000}"/>
    <cellStyle name="Comma 33 3 4" xfId="6866" xr:uid="{00000000-0005-0000-0000-000067300000}"/>
    <cellStyle name="Comma 33 3 4 2" xfId="20054" xr:uid="{00000000-0005-0000-0000-000068300000}"/>
    <cellStyle name="Comma 33 3 5" xfId="6867" xr:uid="{00000000-0005-0000-0000-000069300000}"/>
    <cellStyle name="Comma 33 3 5 2" xfId="20055" xr:uid="{00000000-0005-0000-0000-00006A300000}"/>
    <cellStyle name="Comma 33 3 6" xfId="20051" xr:uid="{00000000-0005-0000-0000-00006B300000}"/>
    <cellStyle name="Comma 33 4" xfId="6868" xr:uid="{00000000-0005-0000-0000-00006C300000}"/>
    <cellStyle name="Comma 33 4 2" xfId="6869" xr:uid="{00000000-0005-0000-0000-00006D300000}"/>
    <cellStyle name="Comma 33 4 2 2" xfId="20057" xr:uid="{00000000-0005-0000-0000-00006E300000}"/>
    <cellStyle name="Comma 33 4 3" xfId="6870" xr:uid="{00000000-0005-0000-0000-00006F300000}"/>
    <cellStyle name="Comma 33 4 3 2" xfId="20058" xr:uid="{00000000-0005-0000-0000-000070300000}"/>
    <cellStyle name="Comma 33 4 4" xfId="6871" xr:uid="{00000000-0005-0000-0000-000071300000}"/>
    <cellStyle name="Comma 33 4 4 2" xfId="20059" xr:uid="{00000000-0005-0000-0000-000072300000}"/>
    <cellStyle name="Comma 33 4 5" xfId="6872" xr:uid="{00000000-0005-0000-0000-000073300000}"/>
    <cellStyle name="Comma 33 4 5 2" xfId="20060" xr:uid="{00000000-0005-0000-0000-000074300000}"/>
    <cellStyle name="Comma 33 4 6" xfId="20056" xr:uid="{00000000-0005-0000-0000-000075300000}"/>
    <cellStyle name="Comma 33 5" xfId="6873" xr:uid="{00000000-0005-0000-0000-000076300000}"/>
    <cellStyle name="Comma 33 5 2" xfId="6874" xr:uid="{00000000-0005-0000-0000-000077300000}"/>
    <cellStyle name="Comma 33 5 2 2" xfId="20062" xr:uid="{00000000-0005-0000-0000-000078300000}"/>
    <cellStyle name="Comma 33 5 3" xfId="6875" xr:uid="{00000000-0005-0000-0000-000079300000}"/>
    <cellStyle name="Comma 33 5 3 2" xfId="20063" xr:uid="{00000000-0005-0000-0000-00007A300000}"/>
    <cellStyle name="Comma 33 5 4" xfId="6876" xr:uid="{00000000-0005-0000-0000-00007B300000}"/>
    <cellStyle name="Comma 33 5 4 2" xfId="20064" xr:uid="{00000000-0005-0000-0000-00007C300000}"/>
    <cellStyle name="Comma 33 5 5" xfId="6877" xr:uid="{00000000-0005-0000-0000-00007D300000}"/>
    <cellStyle name="Comma 33 5 5 2" xfId="20065" xr:uid="{00000000-0005-0000-0000-00007E300000}"/>
    <cellStyle name="Comma 33 5 6" xfId="20061" xr:uid="{00000000-0005-0000-0000-00007F300000}"/>
    <cellStyle name="Comma 33 6" xfId="6878" xr:uid="{00000000-0005-0000-0000-000080300000}"/>
    <cellStyle name="Comma 33 6 2" xfId="20066" xr:uid="{00000000-0005-0000-0000-000081300000}"/>
    <cellStyle name="Comma 33 7" xfId="6879" xr:uid="{00000000-0005-0000-0000-000082300000}"/>
    <cellStyle name="Comma 33 7 2" xfId="20067" xr:uid="{00000000-0005-0000-0000-000083300000}"/>
    <cellStyle name="Comma 33 8" xfId="6880" xr:uid="{00000000-0005-0000-0000-000084300000}"/>
    <cellStyle name="Comma 33 8 2" xfId="20068" xr:uid="{00000000-0005-0000-0000-000085300000}"/>
    <cellStyle name="Comma 33 9" xfId="6881" xr:uid="{00000000-0005-0000-0000-000086300000}"/>
    <cellStyle name="Comma 33 9 2" xfId="20069" xr:uid="{00000000-0005-0000-0000-000087300000}"/>
    <cellStyle name="Comma 34" xfId="6882" xr:uid="{00000000-0005-0000-0000-000088300000}"/>
    <cellStyle name="Comma 34 10" xfId="20070" xr:uid="{00000000-0005-0000-0000-000089300000}"/>
    <cellStyle name="Comma 34 2" xfId="6883" xr:uid="{00000000-0005-0000-0000-00008A300000}"/>
    <cellStyle name="Comma 34 2 2" xfId="6884" xr:uid="{00000000-0005-0000-0000-00008B300000}"/>
    <cellStyle name="Comma 34 2 2 2" xfId="20072" xr:uid="{00000000-0005-0000-0000-00008C300000}"/>
    <cellStyle name="Comma 34 2 3" xfId="6885" xr:uid="{00000000-0005-0000-0000-00008D300000}"/>
    <cellStyle name="Comma 34 2 3 2" xfId="20073" xr:uid="{00000000-0005-0000-0000-00008E300000}"/>
    <cellStyle name="Comma 34 2 4" xfId="6886" xr:uid="{00000000-0005-0000-0000-00008F300000}"/>
    <cellStyle name="Comma 34 2 4 2" xfId="20074" xr:uid="{00000000-0005-0000-0000-000090300000}"/>
    <cellStyle name="Comma 34 2 5" xfId="6887" xr:uid="{00000000-0005-0000-0000-000091300000}"/>
    <cellStyle name="Comma 34 2 5 2" xfId="20075" xr:uid="{00000000-0005-0000-0000-000092300000}"/>
    <cellStyle name="Comma 34 2 6" xfId="20071" xr:uid="{00000000-0005-0000-0000-000093300000}"/>
    <cellStyle name="Comma 34 3" xfId="6888" xr:uid="{00000000-0005-0000-0000-000094300000}"/>
    <cellStyle name="Comma 34 3 2" xfId="6889" xr:uid="{00000000-0005-0000-0000-000095300000}"/>
    <cellStyle name="Comma 34 3 2 2" xfId="20077" xr:uid="{00000000-0005-0000-0000-000096300000}"/>
    <cellStyle name="Comma 34 3 3" xfId="6890" xr:uid="{00000000-0005-0000-0000-000097300000}"/>
    <cellStyle name="Comma 34 3 3 2" xfId="20078" xr:uid="{00000000-0005-0000-0000-000098300000}"/>
    <cellStyle name="Comma 34 3 4" xfId="6891" xr:uid="{00000000-0005-0000-0000-000099300000}"/>
    <cellStyle name="Comma 34 3 4 2" xfId="20079" xr:uid="{00000000-0005-0000-0000-00009A300000}"/>
    <cellStyle name="Comma 34 3 5" xfId="6892" xr:uid="{00000000-0005-0000-0000-00009B300000}"/>
    <cellStyle name="Comma 34 3 5 2" xfId="20080" xr:uid="{00000000-0005-0000-0000-00009C300000}"/>
    <cellStyle name="Comma 34 3 6" xfId="20076" xr:uid="{00000000-0005-0000-0000-00009D300000}"/>
    <cellStyle name="Comma 34 4" xfId="6893" xr:uid="{00000000-0005-0000-0000-00009E300000}"/>
    <cellStyle name="Comma 34 4 2" xfId="6894" xr:uid="{00000000-0005-0000-0000-00009F300000}"/>
    <cellStyle name="Comma 34 4 2 2" xfId="20082" xr:uid="{00000000-0005-0000-0000-0000A0300000}"/>
    <cellStyle name="Comma 34 4 3" xfId="6895" xr:uid="{00000000-0005-0000-0000-0000A1300000}"/>
    <cellStyle name="Comma 34 4 3 2" xfId="20083" xr:uid="{00000000-0005-0000-0000-0000A2300000}"/>
    <cellStyle name="Comma 34 4 4" xfId="6896" xr:uid="{00000000-0005-0000-0000-0000A3300000}"/>
    <cellStyle name="Comma 34 4 4 2" xfId="20084" xr:uid="{00000000-0005-0000-0000-0000A4300000}"/>
    <cellStyle name="Comma 34 4 5" xfId="6897" xr:uid="{00000000-0005-0000-0000-0000A5300000}"/>
    <cellStyle name="Comma 34 4 5 2" xfId="20085" xr:uid="{00000000-0005-0000-0000-0000A6300000}"/>
    <cellStyle name="Comma 34 4 6" xfId="20081" xr:uid="{00000000-0005-0000-0000-0000A7300000}"/>
    <cellStyle name="Comma 34 5" xfId="6898" xr:uid="{00000000-0005-0000-0000-0000A8300000}"/>
    <cellStyle name="Comma 34 5 2" xfId="6899" xr:uid="{00000000-0005-0000-0000-0000A9300000}"/>
    <cellStyle name="Comma 34 5 2 2" xfId="20087" xr:uid="{00000000-0005-0000-0000-0000AA300000}"/>
    <cellStyle name="Comma 34 5 3" xfId="6900" xr:uid="{00000000-0005-0000-0000-0000AB300000}"/>
    <cellStyle name="Comma 34 5 3 2" xfId="20088" xr:uid="{00000000-0005-0000-0000-0000AC300000}"/>
    <cellStyle name="Comma 34 5 4" xfId="6901" xr:uid="{00000000-0005-0000-0000-0000AD300000}"/>
    <cellStyle name="Comma 34 5 4 2" xfId="20089" xr:uid="{00000000-0005-0000-0000-0000AE300000}"/>
    <cellStyle name="Comma 34 5 5" xfId="6902" xr:uid="{00000000-0005-0000-0000-0000AF300000}"/>
    <cellStyle name="Comma 34 5 5 2" xfId="20090" xr:uid="{00000000-0005-0000-0000-0000B0300000}"/>
    <cellStyle name="Comma 34 5 6" xfId="20086" xr:uid="{00000000-0005-0000-0000-0000B1300000}"/>
    <cellStyle name="Comma 34 6" xfId="6903" xr:uid="{00000000-0005-0000-0000-0000B2300000}"/>
    <cellStyle name="Comma 34 6 2" xfId="20091" xr:uid="{00000000-0005-0000-0000-0000B3300000}"/>
    <cellStyle name="Comma 34 7" xfId="6904" xr:uid="{00000000-0005-0000-0000-0000B4300000}"/>
    <cellStyle name="Comma 34 7 2" xfId="20092" xr:uid="{00000000-0005-0000-0000-0000B5300000}"/>
    <cellStyle name="Comma 34 8" xfId="6905" xr:uid="{00000000-0005-0000-0000-0000B6300000}"/>
    <cellStyle name="Comma 34 8 2" xfId="20093" xr:uid="{00000000-0005-0000-0000-0000B7300000}"/>
    <cellStyle name="Comma 34 9" xfId="6906" xr:uid="{00000000-0005-0000-0000-0000B8300000}"/>
    <cellStyle name="Comma 34 9 2" xfId="20094" xr:uid="{00000000-0005-0000-0000-0000B9300000}"/>
    <cellStyle name="Comma 35" xfId="6907" xr:uid="{00000000-0005-0000-0000-0000BA300000}"/>
    <cellStyle name="Comma 35 10" xfId="20095" xr:uid="{00000000-0005-0000-0000-0000BB300000}"/>
    <cellStyle name="Comma 35 2" xfId="6908" xr:uid="{00000000-0005-0000-0000-0000BC300000}"/>
    <cellStyle name="Comma 35 2 2" xfId="6909" xr:uid="{00000000-0005-0000-0000-0000BD300000}"/>
    <cellStyle name="Comma 35 2 2 2" xfId="20097" xr:uid="{00000000-0005-0000-0000-0000BE300000}"/>
    <cellStyle name="Comma 35 2 3" xfId="6910" xr:uid="{00000000-0005-0000-0000-0000BF300000}"/>
    <cellStyle name="Comma 35 2 3 2" xfId="20098" xr:uid="{00000000-0005-0000-0000-0000C0300000}"/>
    <cellStyle name="Comma 35 2 4" xfId="6911" xr:uid="{00000000-0005-0000-0000-0000C1300000}"/>
    <cellStyle name="Comma 35 2 4 2" xfId="20099" xr:uid="{00000000-0005-0000-0000-0000C2300000}"/>
    <cellStyle name="Comma 35 2 5" xfId="6912" xr:uid="{00000000-0005-0000-0000-0000C3300000}"/>
    <cellStyle name="Comma 35 2 5 2" xfId="20100" xr:uid="{00000000-0005-0000-0000-0000C4300000}"/>
    <cellStyle name="Comma 35 2 6" xfId="20096" xr:uid="{00000000-0005-0000-0000-0000C5300000}"/>
    <cellStyle name="Comma 35 3" xfId="6913" xr:uid="{00000000-0005-0000-0000-0000C6300000}"/>
    <cellStyle name="Comma 35 3 2" xfId="6914" xr:uid="{00000000-0005-0000-0000-0000C7300000}"/>
    <cellStyle name="Comma 35 3 2 2" xfId="20102" xr:uid="{00000000-0005-0000-0000-0000C8300000}"/>
    <cellStyle name="Comma 35 3 3" xfId="6915" xr:uid="{00000000-0005-0000-0000-0000C9300000}"/>
    <cellStyle name="Comma 35 3 3 2" xfId="20103" xr:uid="{00000000-0005-0000-0000-0000CA300000}"/>
    <cellStyle name="Comma 35 3 4" xfId="6916" xr:uid="{00000000-0005-0000-0000-0000CB300000}"/>
    <cellStyle name="Comma 35 3 4 2" xfId="20104" xr:uid="{00000000-0005-0000-0000-0000CC300000}"/>
    <cellStyle name="Comma 35 3 5" xfId="6917" xr:uid="{00000000-0005-0000-0000-0000CD300000}"/>
    <cellStyle name="Comma 35 3 5 2" xfId="20105" xr:uid="{00000000-0005-0000-0000-0000CE300000}"/>
    <cellStyle name="Comma 35 3 6" xfId="20101" xr:uid="{00000000-0005-0000-0000-0000CF300000}"/>
    <cellStyle name="Comma 35 4" xfId="6918" xr:uid="{00000000-0005-0000-0000-0000D0300000}"/>
    <cellStyle name="Comma 35 4 2" xfId="6919" xr:uid="{00000000-0005-0000-0000-0000D1300000}"/>
    <cellStyle name="Comma 35 4 2 2" xfId="20107" xr:uid="{00000000-0005-0000-0000-0000D2300000}"/>
    <cellStyle name="Comma 35 4 3" xfId="6920" xr:uid="{00000000-0005-0000-0000-0000D3300000}"/>
    <cellStyle name="Comma 35 4 3 2" xfId="20108" xr:uid="{00000000-0005-0000-0000-0000D4300000}"/>
    <cellStyle name="Comma 35 4 4" xfId="6921" xr:uid="{00000000-0005-0000-0000-0000D5300000}"/>
    <cellStyle name="Comma 35 4 4 2" xfId="20109" xr:uid="{00000000-0005-0000-0000-0000D6300000}"/>
    <cellStyle name="Comma 35 4 5" xfId="6922" xr:uid="{00000000-0005-0000-0000-0000D7300000}"/>
    <cellStyle name="Comma 35 4 5 2" xfId="20110" xr:uid="{00000000-0005-0000-0000-0000D8300000}"/>
    <cellStyle name="Comma 35 4 6" xfId="20106" xr:uid="{00000000-0005-0000-0000-0000D9300000}"/>
    <cellStyle name="Comma 35 5" xfId="6923" xr:uid="{00000000-0005-0000-0000-0000DA300000}"/>
    <cellStyle name="Comma 35 5 2" xfId="6924" xr:uid="{00000000-0005-0000-0000-0000DB300000}"/>
    <cellStyle name="Comma 35 5 2 2" xfId="20112" xr:uid="{00000000-0005-0000-0000-0000DC300000}"/>
    <cellStyle name="Comma 35 5 3" xfId="6925" xr:uid="{00000000-0005-0000-0000-0000DD300000}"/>
    <cellStyle name="Comma 35 5 3 2" xfId="20113" xr:uid="{00000000-0005-0000-0000-0000DE300000}"/>
    <cellStyle name="Comma 35 5 4" xfId="6926" xr:uid="{00000000-0005-0000-0000-0000DF300000}"/>
    <cellStyle name="Comma 35 5 4 2" xfId="20114" xr:uid="{00000000-0005-0000-0000-0000E0300000}"/>
    <cellStyle name="Comma 35 5 5" xfId="6927" xr:uid="{00000000-0005-0000-0000-0000E1300000}"/>
    <cellStyle name="Comma 35 5 5 2" xfId="20115" xr:uid="{00000000-0005-0000-0000-0000E2300000}"/>
    <cellStyle name="Comma 35 5 6" xfId="20111" xr:uid="{00000000-0005-0000-0000-0000E3300000}"/>
    <cellStyle name="Comma 35 6" xfId="6928" xr:uid="{00000000-0005-0000-0000-0000E4300000}"/>
    <cellStyle name="Comma 35 6 2" xfId="20116" xr:uid="{00000000-0005-0000-0000-0000E5300000}"/>
    <cellStyle name="Comma 35 7" xfId="6929" xr:uid="{00000000-0005-0000-0000-0000E6300000}"/>
    <cellStyle name="Comma 35 7 2" xfId="20117" xr:uid="{00000000-0005-0000-0000-0000E7300000}"/>
    <cellStyle name="Comma 35 8" xfId="6930" xr:uid="{00000000-0005-0000-0000-0000E8300000}"/>
    <cellStyle name="Comma 35 8 2" xfId="20118" xr:uid="{00000000-0005-0000-0000-0000E9300000}"/>
    <cellStyle name="Comma 35 9" xfId="6931" xr:uid="{00000000-0005-0000-0000-0000EA300000}"/>
    <cellStyle name="Comma 35 9 2" xfId="20119" xr:uid="{00000000-0005-0000-0000-0000EB300000}"/>
    <cellStyle name="Comma 36" xfId="6932" xr:uid="{00000000-0005-0000-0000-0000EC300000}"/>
    <cellStyle name="Comma 36 10" xfId="20120" xr:uid="{00000000-0005-0000-0000-0000ED300000}"/>
    <cellStyle name="Comma 36 2" xfId="6933" xr:uid="{00000000-0005-0000-0000-0000EE300000}"/>
    <cellStyle name="Comma 36 2 2" xfId="6934" xr:uid="{00000000-0005-0000-0000-0000EF300000}"/>
    <cellStyle name="Comma 36 2 2 2" xfId="20122" xr:uid="{00000000-0005-0000-0000-0000F0300000}"/>
    <cellStyle name="Comma 36 2 3" xfId="6935" xr:uid="{00000000-0005-0000-0000-0000F1300000}"/>
    <cellStyle name="Comma 36 2 3 2" xfId="20123" xr:uid="{00000000-0005-0000-0000-0000F2300000}"/>
    <cellStyle name="Comma 36 2 4" xfId="6936" xr:uid="{00000000-0005-0000-0000-0000F3300000}"/>
    <cellStyle name="Comma 36 2 4 2" xfId="20124" xr:uid="{00000000-0005-0000-0000-0000F4300000}"/>
    <cellStyle name="Comma 36 2 5" xfId="6937" xr:uid="{00000000-0005-0000-0000-0000F5300000}"/>
    <cellStyle name="Comma 36 2 5 2" xfId="20125" xr:uid="{00000000-0005-0000-0000-0000F6300000}"/>
    <cellStyle name="Comma 36 2 6" xfId="20121" xr:uid="{00000000-0005-0000-0000-0000F7300000}"/>
    <cellStyle name="Comma 36 3" xfId="6938" xr:uid="{00000000-0005-0000-0000-0000F8300000}"/>
    <cellStyle name="Comma 36 3 2" xfId="6939" xr:uid="{00000000-0005-0000-0000-0000F9300000}"/>
    <cellStyle name="Comma 36 3 2 2" xfId="20127" xr:uid="{00000000-0005-0000-0000-0000FA300000}"/>
    <cellStyle name="Comma 36 3 3" xfId="6940" xr:uid="{00000000-0005-0000-0000-0000FB300000}"/>
    <cellStyle name="Comma 36 3 3 2" xfId="20128" xr:uid="{00000000-0005-0000-0000-0000FC300000}"/>
    <cellStyle name="Comma 36 3 4" xfId="6941" xr:uid="{00000000-0005-0000-0000-0000FD300000}"/>
    <cellStyle name="Comma 36 3 4 2" xfId="20129" xr:uid="{00000000-0005-0000-0000-0000FE300000}"/>
    <cellStyle name="Comma 36 3 5" xfId="6942" xr:uid="{00000000-0005-0000-0000-0000FF300000}"/>
    <cellStyle name="Comma 36 3 5 2" xfId="20130" xr:uid="{00000000-0005-0000-0000-000000310000}"/>
    <cellStyle name="Comma 36 3 6" xfId="20126" xr:uid="{00000000-0005-0000-0000-000001310000}"/>
    <cellStyle name="Comma 36 4" xfId="6943" xr:uid="{00000000-0005-0000-0000-000002310000}"/>
    <cellStyle name="Comma 36 4 2" xfId="6944" xr:uid="{00000000-0005-0000-0000-000003310000}"/>
    <cellStyle name="Comma 36 4 2 2" xfId="20132" xr:uid="{00000000-0005-0000-0000-000004310000}"/>
    <cellStyle name="Comma 36 4 3" xfId="6945" xr:uid="{00000000-0005-0000-0000-000005310000}"/>
    <cellStyle name="Comma 36 4 3 2" xfId="20133" xr:uid="{00000000-0005-0000-0000-000006310000}"/>
    <cellStyle name="Comma 36 4 4" xfId="6946" xr:uid="{00000000-0005-0000-0000-000007310000}"/>
    <cellStyle name="Comma 36 4 4 2" xfId="20134" xr:uid="{00000000-0005-0000-0000-000008310000}"/>
    <cellStyle name="Comma 36 4 5" xfId="6947" xr:uid="{00000000-0005-0000-0000-000009310000}"/>
    <cellStyle name="Comma 36 4 5 2" xfId="20135" xr:uid="{00000000-0005-0000-0000-00000A310000}"/>
    <cellStyle name="Comma 36 4 6" xfId="20131" xr:uid="{00000000-0005-0000-0000-00000B310000}"/>
    <cellStyle name="Comma 36 5" xfId="6948" xr:uid="{00000000-0005-0000-0000-00000C310000}"/>
    <cellStyle name="Comma 36 5 2" xfId="6949" xr:uid="{00000000-0005-0000-0000-00000D310000}"/>
    <cellStyle name="Comma 36 5 2 2" xfId="20137" xr:uid="{00000000-0005-0000-0000-00000E310000}"/>
    <cellStyle name="Comma 36 5 3" xfId="6950" xr:uid="{00000000-0005-0000-0000-00000F310000}"/>
    <cellStyle name="Comma 36 5 3 2" xfId="20138" xr:uid="{00000000-0005-0000-0000-000010310000}"/>
    <cellStyle name="Comma 36 5 4" xfId="6951" xr:uid="{00000000-0005-0000-0000-000011310000}"/>
    <cellStyle name="Comma 36 5 4 2" xfId="20139" xr:uid="{00000000-0005-0000-0000-000012310000}"/>
    <cellStyle name="Comma 36 5 5" xfId="6952" xr:uid="{00000000-0005-0000-0000-000013310000}"/>
    <cellStyle name="Comma 36 5 5 2" xfId="20140" xr:uid="{00000000-0005-0000-0000-000014310000}"/>
    <cellStyle name="Comma 36 5 6" xfId="20136" xr:uid="{00000000-0005-0000-0000-000015310000}"/>
    <cellStyle name="Comma 36 6" xfId="6953" xr:uid="{00000000-0005-0000-0000-000016310000}"/>
    <cellStyle name="Comma 36 6 2" xfId="20141" xr:uid="{00000000-0005-0000-0000-000017310000}"/>
    <cellStyle name="Comma 36 7" xfId="6954" xr:uid="{00000000-0005-0000-0000-000018310000}"/>
    <cellStyle name="Comma 36 7 2" xfId="20142" xr:uid="{00000000-0005-0000-0000-000019310000}"/>
    <cellStyle name="Comma 36 8" xfId="6955" xr:uid="{00000000-0005-0000-0000-00001A310000}"/>
    <cellStyle name="Comma 36 8 2" xfId="20143" xr:uid="{00000000-0005-0000-0000-00001B310000}"/>
    <cellStyle name="Comma 36 9" xfId="6956" xr:uid="{00000000-0005-0000-0000-00001C310000}"/>
    <cellStyle name="Comma 36 9 2" xfId="20144" xr:uid="{00000000-0005-0000-0000-00001D310000}"/>
    <cellStyle name="Comma 37" xfId="11336" xr:uid="{00000000-0005-0000-0000-00001E310000}"/>
    <cellStyle name="Comma 37 2" xfId="12758" xr:uid="{00000000-0005-0000-0000-00001F310000}"/>
    <cellStyle name="Comma 37 2 2" xfId="20146" xr:uid="{00000000-0005-0000-0000-000020310000}"/>
    <cellStyle name="Comma 37 3" xfId="20145" xr:uid="{00000000-0005-0000-0000-000021310000}"/>
    <cellStyle name="Comma 38" xfId="11338" xr:uid="{00000000-0005-0000-0000-000022310000}"/>
    <cellStyle name="Comma 38 2" xfId="12760" xr:uid="{00000000-0005-0000-0000-000023310000}"/>
    <cellStyle name="Comma 38 2 2" xfId="20148" xr:uid="{00000000-0005-0000-0000-000024310000}"/>
    <cellStyle name="Comma 38 3" xfId="20147" xr:uid="{00000000-0005-0000-0000-000025310000}"/>
    <cellStyle name="Comma 39" xfId="143" xr:uid="{00000000-0005-0000-0000-000026310000}"/>
    <cellStyle name="Comma 39 2" xfId="12762" xr:uid="{00000000-0005-0000-0000-000027310000}"/>
    <cellStyle name="Comma 39 2 2" xfId="20150" xr:uid="{00000000-0005-0000-0000-000028310000}"/>
    <cellStyle name="Comma 39 3" xfId="20149" xr:uid="{00000000-0005-0000-0000-000029310000}"/>
    <cellStyle name="Comma 39 4" xfId="11340" xr:uid="{00000000-0005-0000-0000-00002A310000}"/>
    <cellStyle name="Comma 4" xfId="270" xr:uid="{00000000-0005-0000-0000-00002B310000}"/>
    <cellStyle name="Comma 4 10" xfId="144" xr:uid="{00000000-0005-0000-0000-00002C310000}"/>
    <cellStyle name="Comma 4 10 2" xfId="383" xr:uid="{00000000-0005-0000-0000-00002D310000}"/>
    <cellStyle name="Comma 4 11" xfId="145" xr:uid="{00000000-0005-0000-0000-00002E310000}"/>
    <cellStyle name="Comma 4 11 2" xfId="382" xr:uid="{00000000-0005-0000-0000-00002F310000}"/>
    <cellStyle name="Comma 4 12" xfId="146" xr:uid="{00000000-0005-0000-0000-000030310000}"/>
    <cellStyle name="Comma 4 12 2" xfId="381" xr:uid="{00000000-0005-0000-0000-000031310000}"/>
    <cellStyle name="Comma 4 13" xfId="147" xr:uid="{00000000-0005-0000-0000-000032310000}"/>
    <cellStyle name="Comma 4 13 2" xfId="380" xr:uid="{00000000-0005-0000-0000-000033310000}"/>
    <cellStyle name="Comma 4 14" xfId="148" xr:uid="{00000000-0005-0000-0000-000034310000}"/>
    <cellStyle name="Comma 4 14 2" xfId="379" xr:uid="{00000000-0005-0000-0000-000035310000}"/>
    <cellStyle name="Comma 4 15" xfId="526" xr:uid="{00000000-0005-0000-0000-000036310000}"/>
    <cellStyle name="Comma 4 2" xfId="149" xr:uid="{00000000-0005-0000-0000-000037310000}"/>
    <cellStyle name="Comma 4 2 2" xfId="378" xr:uid="{00000000-0005-0000-0000-000038310000}"/>
    <cellStyle name="Comma 4 2 2 2" xfId="20153" xr:uid="{00000000-0005-0000-0000-000039310000}"/>
    <cellStyle name="Comma 4 2 2 3" xfId="12844" xr:uid="{00000000-0005-0000-0000-00003A310000}"/>
    <cellStyle name="Comma 4 2 3" xfId="13248" xr:uid="{00000000-0005-0000-0000-00003B310000}"/>
    <cellStyle name="Comma 4 2 3 2" xfId="20154" xr:uid="{00000000-0005-0000-0000-00003C310000}"/>
    <cellStyle name="Comma 4 2 4" xfId="20152" xr:uid="{00000000-0005-0000-0000-00003D310000}"/>
    <cellStyle name="Comma 4 2 4 2" xfId="33523" xr:uid="{00000000-0005-0000-0000-00003E310000}"/>
    <cellStyle name="Comma 4 2 5" xfId="30872" xr:uid="{00000000-0005-0000-0000-00003F310000}"/>
    <cellStyle name="Comma 4 2 5 2" xfId="33506" xr:uid="{00000000-0005-0000-0000-000040310000}"/>
    <cellStyle name="Comma 4 2 6" xfId="30873" xr:uid="{00000000-0005-0000-0000-000041310000}"/>
    <cellStyle name="Comma 4 2 7" xfId="6957" xr:uid="{00000000-0005-0000-0000-000042310000}"/>
    <cellStyle name="Comma 4 3" xfId="150" xr:uid="{00000000-0005-0000-0000-000043310000}"/>
    <cellStyle name="Comma 4 3 2" xfId="377" xr:uid="{00000000-0005-0000-0000-000044310000}"/>
    <cellStyle name="Comma 4 3 2 2" xfId="12274" xr:uid="{00000000-0005-0000-0000-000045310000}"/>
    <cellStyle name="Comma 4 3 2 2 2" xfId="20157" xr:uid="{00000000-0005-0000-0000-000046310000}"/>
    <cellStyle name="Comma 4 3 2 3" xfId="20156" xr:uid="{00000000-0005-0000-0000-000047310000}"/>
    <cellStyle name="Comma 4 3 3" xfId="11621" xr:uid="{00000000-0005-0000-0000-000048310000}"/>
    <cellStyle name="Comma 4 3 3 2" xfId="20158" xr:uid="{00000000-0005-0000-0000-000049310000}"/>
    <cellStyle name="Comma 4 3 4" xfId="20155" xr:uid="{00000000-0005-0000-0000-00004A310000}"/>
    <cellStyle name="Comma 4 3 5" xfId="30874" xr:uid="{00000000-0005-0000-0000-00004B310000}"/>
    <cellStyle name="Comma 4 3 6" xfId="30875" xr:uid="{00000000-0005-0000-0000-00004C310000}"/>
    <cellStyle name="Comma 4 4" xfId="151" xr:uid="{00000000-0005-0000-0000-00004D310000}"/>
    <cellStyle name="Comma 4 4 2" xfId="376" xr:uid="{00000000-0005-0000-0000-00004E310000}"/>
    <cellStyle name="Comma 4 4 2 2" xfId="20159" xr:uid="{00000000-0005-0000-0000-00004F310000}"/>
    <cellStyle name="Comma 4 4 3" xfId="11446" xr:uid="{00000000-0005-0000-0000-000050310000}"/>
    <cellStyle name="Comma 4 5" xfId="152" xr:uid="{00000000-0005-0000-0000-000051310000}"/>
    <cellStyle name="Comma 4 5 2" xfId="375" xr:uid="{00000000-0005-0000-0000-000052310000}"/>
    <cellStyle name="Comma 4 5 2 2" xfId="30877" xr:uid="{00000000-0005-0000-0000-000053310000}"/>
    <cellStyle name="Comma 4 5 2 3" xfId="30876" xr:uid="{00000000-0005-0000-0000-000054310000}"/>
    <cellStyle name="Comma 4 5 3" xfId="30878" xr:uid="{00000000-0005-0000-0000-000055310000}"/>
    <cellStyle name="Comma 4 5 4" xfId="30879" xr:uid="{00000000-0005-0000-0000-000056310000}"/>
    <cellStyle name="Comma 4 5 5" xfId="20151" xr:uid="{00000000-0005-0000-0000-000057310000}"/>
    <cellStyle name="Comma 4 6" xfId="153" xr:uid="{00000000-0005-0000-0000-000058310000}"/>
    <cellStyle name="Comma 4 6 2" xfId="374" xr:uid="{00000000-0005-0000-0000-000059310000}"/>
    <cellStyle name="Comma 4 6 3" xfId="30880" xr:uid="{00000000-0005-0000-0000-00005A310000}"/>
    <cellStyle name="Comma 4 7" xfId="154" xr:uid="{00000000-0005-0000-0000-00005B310000}"/>
    <cellStyle name="Comma 4 7 2" xfId="373" xr:uid="{00000000-0005-0000-0000-00005C310000}"/>
    <cellStyle name="Comma 4 7 2 2" xfId="30882" xr:uid="{00000000-0005-0000-0000-00005D310000}"/>
    <cellStyle name="Comma 4 7 3" xfId="30881" xr:uid="{00000000-0005-0000-0000-00005E310000}"/>
    <cellStyle name="Comma 4 8" xfId="155" xr:uid="{00000000-0005-0000-0000-00005F310000}"/>
    <cellStyle name="Comma 4 8 2" xfId="372" xr:uid="{00000000-0005-0000-0000-000060310000}"/>
    <cellStyle name="Comma 4 8 3" xfId="30883" xr:uid="{00000000-0005-0000-0000-000061310000}"/>
    <cellStyle name="Comma 4 9" xfId="156" xr:uid="{00000000-0005-0000-0000-000062310000}"/>
    <cellStyle name="Comma 4 9 2" xfId="371" xr:uid="{00000000-0005-0000-0000-000063310000}"/>
    <cellStyle name="Comma 4 9 3" xfId="30884" xr:uid="{00000000-0005-0000-0000-000064310000}"/>
    <cellStyle name="Comma 40" xfId="11342" xr:uid="{00000000-0005-0000-0000-000065310000}"/>
    <cellStyle name="Comma 40 2" xfId="12764" xr:uid="{00000000-0005-0000-0000-000066310000}"/>
    <cellStyle name="Comma 40 2 2" xfId="20161" xr:uid="{00000000-0005-0000-0000-000067310000}"/>
    <cellStyle name="Comma 40 3" xfId="20160" xr:uid="{00000000-0005-0000-0000-000068310000}"/>
    <cellStyle name="Comma 41" xfId="11343" xr:uid="{00000000-0005-0000-0000-000069310000}"/>
    <cellStyle name="Comma 41 2" xfId="12765" xr:uid="{00000000-0005-0000-0000-00006A310000}"/>
    <cellStyle name="Comma 41 2 2" xfId="20163" xr:uid="{00000000-0005-0000-0000-00006B310000}"/>
    <cellStyle name="Comma 41 3" xfId="20162" xr:uid="{00000000-0005-0000-0000-00006C310000}"/>
    <cellStyle name="Comma 42" xfId="11345" xr:uid="{00000000-0005-0000-0000-00006D310000}"/>
    <cellStyle name="Comma 42 2" xfId="12767" xr:uid="{00000000-0005-0000-0000-00006E310000}"/>
    <cellStyle name="Comma 42 2 2" xfId="20165" xr:uid="{00000000-0005-0000-0000-00006F310000}"/>
    <cellStyle name="Comma 42 3" xfId="20164" xr:uid="{00000000-0005-0000-0000-000070310000}"/>
    <cellStyle name="Comma 43" xfId="11347" xr:uid="{00000000-0005-0000-0000-000071310000}"/>
    <cellStyle name="Comma 43 2" xfId="12769" xr:uid="{00000000-0005-0000-0000-000072310000}"/>
    <cellStyle name="Comma 43 2 2" xfId="20167" xr:uid="{00000000-0005-0000-0000-000073310000}"/>
    <cellStyle name="Comma 43 3" xfId="20166" xr:uid="{00000000-0005-0000-0000-000074310000}"/>
    <cellStyle name="Comma 44" xfId="11348" xr:uid="{00000000-0005-0000-0000-000075310000}"/>
    <cellStyle name="Comma 44 2" xfId="12770" xr:uid="{00000000-0005-0000-0000-000076310000}"/>
    <cellStyle name="Comma 44 2 2" xfId="20169" xr:uid="{00000000-0005-0000-0000-000077310000}"/>
    <cellStyle name="Comma 44 3" xfId="20168" xr:uid="{00000000-0005-0000-0000-000078310000}"/>
    <cellStyle name="Comma 45" xfId="11352" xr:uid="{00000000-0005-0000-0000-000079310000}"/>
    <cellStyle name="Comma 45 2" xfId="12774" xr:uid="{00000000-0005-0000-0000-00007A310000}"/>
    <cellStyle name="Comma 45 2 2" xfId="20171" xr:uid="{00000000-0005-0000-0000-00007B310000}"/>
    <cellStyle name="Comma 45 3" xfId="20170" xr:uid="{00000000-0005-0000-0000-00007C310000}"/>
    <cellStyle name="Comma 46" xfId="11362" xr:uid="{00000000-0005-0000-0000-00007D310000}"/>
    <cellStyle name="Comma 46 2" xfId="12784" xr:uid="{00000000-0005-0000-0000-00007E310000}"/>
    <cellStyle name="Comma 46 2 2" xfId="20173" xr:uid="{00000000-0005-0000-0000-00007F310000}"/>
    <cellStyle name="Comma 46 3" xfId="20172" xr:uid="{00000000-0005-0000-0000-000080310000}"/>
    <cellStyle name="Comma 47" xfId="6958" xr:uid="{00000000-0005-0000-0000-000081310000}"/>
    <cellStyle name="Comma 47 2" xfId="20174" xr:uid="{00000000-0005-0000-0000-000082310000}"/>
    <cellStyle name="Comma 48" xfId="6959" xr:uid="{00000000-0005-0000-0000-000083310000}"/>
    <cellStyle name="Comma 48 2" xfId="20175" xr:uid="{00000000-0005-0000-0000-000084310000}"/>
    <cellStyle name="Comma 49" xfId="11364" xr:uid="{00000000-0005-0000-0000-000085310000}"/>
    <cellStyle name="Comma 49 2" xfId="12786" xr:uid="{00000000-0005-0000-0000-000086310000}"/>
    <cellStyle name="Comma 49 2 2" xfId="20177" xr:uid="{00000000-0005-0000-0000-000087310000}"/>
    <cellStyle name="Comma 49 3" xfId="20176" xr:uid="{00000000-0005-0000-0000-000088310000}"/>
    <cellStyle name="Comma 5" xfId="266" xr:uid="{00000000-0005-0000-0000-000089310000}"/>
    <cellStyle name="Comma 5 10" xfId="12251" xr:uid="{00000000-0005-0000-0000-00008A310000}"/>
    <cellStyle name="Comma 5 10 2" xfId="20179" xr:uid="{00000000-0005-0000-0000-00008B310000}"/>
    <cellStyle name="Comma 5 11" xfId="20178" xr:uid="{00000000-0005-0000-0000-00008C310000}"/>
    <cellStyle name="Comma 5 12" xfId="30885" xr:uid="{00000000-0005-0000-0000-00008D310000}"/>
    <cellStyle name="Comma 5 13" xfId="527" xr:uid="{00000000-0005-0000-0000-00008E310000}"/>
    <cellStyle name="Comma 5 2" xfId="6960" xr:uid="{00000000-0005-0000-0000-00008F310000}"/>
    <cellStyle name="Comma 5 2 2" xfId="6961" xr:uid="{00000000-0005-0000-0000-000090310000}"/>
    <cellStyle name="Comma 5 2 2 2" xfId="20181" xr:uid="{00000000-0005-0000-0000-000091310000}"/>
    <cellStyle name="Comma 5 2 2 3" xfId="30886" xr:uid="{00000000-0005-0000-0000-000092310000}"/>
    <cellStyle name="Comma 5 2 2 4" xfId="30887" xr:uid="{00000000-0005-0000-0000-000093310000}"/>
    <cellStyle name="Comma 5 2 3" xfId="6962" xr:uid="{00000000-0005-0000-0000-000094310000}"/>
    <cellStyle name="Comma 5 2 3 2" xfId="20182" xr:uid="{00000000-0005-0000-0000-000095310000}"/>
    <cellStyle name="Comma 5 2 3 3" xfId="33507" xr:uid="{00000000-0005-0000-0000-000096310000}"/>
    <cellStyle name="Comma 5 2 4" xfId="6963" xr:uid="{00000000-0005-0000-0000-000097310000}"/>
    <cellStyle name="Comma 5 2 4 2" xfId="20183" xr:uid="{00000000-0005-0000-0000-000098310000}"/>
    <cellStyle name="Comma 5 2 4 3" xfId="33522" xr:uid="{00000000-0005-0000-0000-000099310000}"/>
    <cellStyle name="Comma 5 2 5" xfId="6964" xr:uid="{00000000-0005-0000-0000-00009A310000}"/>
    <cellStyle name="Comma 5 2 5 2" xfId="20184" xr:uid="{00000000-0005-0000-0000-00009B310000}"/>
    <cellStyle name="Comma 5 2 5 3" xfId="33508" xr:uid="{00000000-0005-0000-0000-00009C310000}"/>
    <cellStyle name="Comma 5 2 6" xfId="20180" xr:uid="{00000000-0005-0000-0000-00009D310000}"/>
    <cellStyle name="Comma 5 2 7" xfId="30888" xr:uid="{00000000-0005-0000-0000-00009E310000}"/>
    <cellStyle name="Comma 5 2 8" xfId="30889" xr:uid="{00000000-0005-0000-0000-00009F310000}"/>
    <cellStyle name="Comma 5 2 9" xfId="30890" xr:uid="{00000000-0005-0000-0000-0000A0310000}"/>
    <cellStyle name="Comma 5 3" xfId="6965" xr:uid="{00000000-0005-0000-0000-0000A1310000}"/>
    <cellStyle name="Comma 5 3 10" xfId="20185" xr:uid="{00000000-0005-0000-0000-0000A2310000}"/>
    <cellStyle name="Comma 5 3 11" xfId="30891" xr:uid="{00000000-0005-0000-0000-0000A3310000}"/>
    <cellStyle name="Comma 5 3 12" xfId="30892" xr:uid="{00000000-0005-0000-0000-0000A4310000}"/>
    <cellStyle name="Comma 5 3 13" xfId="30893" xr:uid="{00000000-0005-0000-0000-0000A5310000}"/>
    <cellStyle name="Comma 5 3 2" xfId="6966" xr:uid="{00000000-0005-0000-0000-0000A6310000}"/>
    <cellStyle name="Comma 5 3 2 2" xfId="6967" xr:uid="{00000000-0005-0000-0000-0000A7310000}"/>
    <cellStyle name="Comma 5 3 2 2 2" xfId="20187" xr:uid="{00000000-0005-0000-0000-0000A8310000}"/>
    <cellStyle name="Comma 5 3 2 3" xfId="6968" xr:uid="{00000000-0005-0000-0000-0000A9310000}"/>
    <cellStyle name="Comma 5 3 2 3 2" xfId="20188" xr:uid="{00000000-0005-0000-0000-0000AA310000}"/>
    <cellStyle name="Comma 5 3 2 4" xfId="6969" xr:uid="{00000000-0005-0000-0000-0000AB310000}"/>
    <cellStyle name="Comma 5 3 2 4 2" xfId="20189" xr:uid="{00000000-0005-0000-0000-0000AC310000}"/>
    <cellStyle name="Comma 5 3 2 5" xfId="6970" xr:uid="{00000000-0005-0000-0000-0000AD310000}"/>
    <cellStyle name="Comma 5 3 2 5 2" xfId="20190" xr:uid="{00000000-0005-0000-0000-0000AE310000}"/>
    <cellStyle name="Comma 5 3 2 6" xfId="20186" xr:uid="{00000000-0005-0000-0000-0000AF310000}"/>
    <cellStyle name="Comma 5 3 3" xfId="6971" xr:uid="{00000000-0005-0000-0000-0000B0310000}"/>
    <cellStyle name="Comma 5 3 3 2" xfId="6972" xr:uid="{00000000-0005-0000-0000-0000B1310000}"/>
    <cellStyle name="Comma 5 3 3 2 2" xfId="20192" xr:uid="{00000000-0005-0000-0000-0000B2310000}"/>
    <cellStyle name="Comma 5 3 3 3" xfId="6973" xr:uid="{00000000-0005-0000-0000-0000B3310000}"/>
    <cellStyle name="Comma 5 3 3 3 2" xfId="20193" xr:uid="{00000000-0005-0000-0000-0000B4310000}"/>
    <cellStyle name="Comma 5 3 3 4" xfId="6974" xr:uid="{00000000-0005-0000-0000-0000B5310000}"/>
    <cellStyle name="Comma 5 3 3 4 2" xfId="20194" xr:uid="{00000000-0005-0000-0000-0000B6310000}"/>
    <cellStyle name="Comma 5 3 3 5" xfId="6975" xr:uid="{00000000-0005-0000-0000-0000B7310000}"/>
    <cellStyle name="Comma 5 3 3 5 2" xfId="20195" xr:uid="{00000000-0005-0000-0000-0000B8310000}"/>
    <cellStyle name="Comma 5 3 3 6" xfId="20191" xr:uid="{00000000-0005-0000-0000-0000B9310000}"/>
    <cellStyle name="Comma 5 3 4" xfId="6976" xr:uid="{00000000-0005-0000-0000-0000BA310000}"/>
    <cellStyle name="Comma 5 3 4 2" xfId="6977" xr:uid="{00000000-0005-0000-0000-0000BB310000}"/>
    <cellStyle name="Comma 5 3 4 2 2" xfId="20197" xr:uid="{00000000-0005-0000-0000-0000BC310000}"/>
    <cellStyle name="Comma 5 3 4 3" xfId="6978" xr:uid="{00000000-0005-0000-0000-0000BD310000}"/>
    <cellStyle name="Comma 5 3 4 3 2" xfId="20198" xr:uid="{00000000-0005-0000-0000-0000BE310000}"/>
    <cellStyle name="Comma 5 3 4 4" xfId="6979" xr:uid="{00000000-0005-0000-0000-0000BF310000}"/>
    <cellStyle name="Comma 5 3 4 4 2" xfId="20199" xr:uid="{00000000-0005-0000-0000-0000C0310000}"/>
    <cellStyle name="Comma 5 3 4 5" xfId="6980" xr:uid="{00000000-0005-0000-0000-0000C1310000}"/>
    <cellStyle name="Comma 5 3 4 5 2" xfId="20200" xr:uid="{00000000-0005-0000-0000-0000C2310000}"/>
    <cellStyle name="Comma 5 3 4 6" xfId="20196" xr:uid="{00000000-0005-0000-0000-0000C3310000}"/>
    <cellStyle name="Comma 5 3 5" xfId="6981" xr:uid="{00000000-0005-0000-0000-0000C4310000}"/>
    <cellStyle name="Comma 5 3 5 2" xfId="6982" xr:uid="{00000000-0005-0000-0000-0000C5310000}"/>
    <cellStyle name="Comma 5 3 5 2 2" xfId="20202" xr:uid="{00000000-0005-0000-0000-0000C6310000}"/>
    <cellStyle name="Comma 5 3 5 3" xfId="6983" xr:uid="{00000000-0005-0000-0000-0000C7310000}"/>
    <cellStyle name="Comma 5 3 5 3 2" xfId="20203" xr:uid="{00000000-0005-0000-0000-0000C8310000}"/>
    <cellStyle name="Comma 5 3 5 4" xfId="6984" xr:uid="{00000000-0005-0000-0000-0000C9310000}"/>
    <cellStyle name="Comma 5 3 5 4 2" xfId="20204" xr:uid="{00000000-0005-0000-0000-0000CA310000}"/>
    <cellStyle name="Comma 5 3 5 5" xfId="6985" xr:uid="{00000000-0005-0000-0000-0000CB310000}"/>
    <cellStyle name="Comma 5 3 5 5 2" xfId="20205" xr:uid="{00000000-0005-0000-0000-0000CC310000}"/>
    <cellStyle name="Comma 5 3 5 6" xfId="20201" xr:uid="{00000000-0005-0000-0000-0000CD310000}"/>
    <cellStyle name="Comma 5 3 6" xfId="6986" xr:uid="{00000000-0005-0000-0000-0000CE310000}"/>
    <cellStyle name="Comma 5 3 6 2" xfId="20206" xr:uid="{00000000-0005-0000-0000-0000CF310000}"/>
    <cellStyle name="Comma 5 3 7" xfId="6987" xr:uid="{00000000-0005-0000-0000-0000D0310000}"/>
    <cellStyle name="Comma 5 3 7 2" xfId="20207" xr:uid="{00000000-0005-0000-0000-0000D1310000}"/>
    <cellStyle name="Comma 5 3 8" xfId="6988" xr:uid="{00000000-0005-0000-0000-0000D2310000}"/>
    <cellStyle name="Comma 5 3 8 2" xfId="20208" xr:uid="{00000000-0005-0000-0000-0000D3310000}"/>
    <cellStyle name="Comma 5 3 9" xfId="6989" xr:uid="{00000000-0005-0000-0000-0000D4310000}"/>
    <cellStyle name="Comma 5 3 9 2" xfId="20209" xr:uid="{00000000-0005-0000-0000-0000D5310000}"/>
    <cellStyle name="Comma 5 4" xfId="6990" xr:uid="{00000000-0005-0000-0000-0000D6310000}"/>
    <cellStyle name="Comma 5 4 2" xfId="6991" xr:uid="{00000000-0005-0000-0000-0000D7310000}"/>
    <cellStyle name="Comma 5 4 2 2" xfId="20211" xr:uid="{00000000-0005-0000-0000-0000D8310000}"/>
    <cellStyle name="Comma 5 4 3" xfId="6992" xr:uid="{00000000-0005-0000-0000-0000D9310000}"/>
    <cellStyle name="Comma 5 4 3 2" xfId="20212" xr:uid="{00000000-0005-0000-0000-0000DA310000}"/>
    <cellStyle name="Comma 5 4 4" xfId="6993" xr:uid="{00000000-0005-0000-0000-0000DB310000}"/>
    <cellStyle name="Comma 5 4 4 2" xfId="20213" xr:uid="{00000000-0005-0000-0000-0000DC310000}"/>
    <cellStyle name="Comma 5 4 5" xfId="6994" xr:uid="{00000000-0005-0000-0000-0000DD310000}"/>
    <cellStyle name="Comma 5 4 5 2" xfId="20214" xr:uid="{00000000-0005-0000-0000-0000DE310000}"/>
    <cellStyle name="Comma 5 4 6" xfId="20210" xr:uid="{00000000-0005-0000-0000-0000DF310000}"/>
    <cellStyle name="Comma 5 4 7" xfId="30894" xr:uid="{00000000-0005-0000-0000-0000E0310000}"/>
    <cellStyle name="Comma 5 4 8" xfId="30895" xr:uid="{00000000-0005-0000-0000-0000E1310000}"/>
    <cellStyle name="Comma 5 5" xfId="6995" xr:uid="{00000000-0005-0000-0000-0000E2310000}"/>
    <cellStyle name="Comma 5 5 2" xfId="6996" xr:uid="{00000000-0005-0000-0000-0000E3310000}"/>
    <cellStyle name="Comma 5 5 2 2" xfId="20216" xr:uid="{00000000-0005-0000-0000-0000E4310000}"/>
    <cellStyle name="Comma 5 5 3" xfId="6997" xr:uid="{00000000-0005-0000-0000-0000E5310000}"/>
    <cellStyle name="Comma 5 5 3 2" xfId="20217" xr:uid="{00000000-0005-0000-0000-0000E6310000}"/>
    <cellStyle name="Comma 5 5 4" xfId="6998" xr:uid="{00000000-0005-0000-0000-0000E7310000}"/>
    <cellStyle name="Comma 5 5 4 2" xfId="20218" xr:uid="{00000000-0005-0000-0000-0000E8310000}"/>
    <cellStyle name="Comma 5 5 5" xfId="6999" xr:uid="{00000000-0005-0000-0000-0000E9310000}"/>
    <cellStyle name="Comma 5 5 5 2" xfId="20219" xr:uid="{00000000-0005-0000-0000-0000EA310000}"/>
    <cellStyle name="Comma 5 5 6" xfId="20215" xr:uid="{00000000-0005-0000-0000-0000EB310000}"/>
    <cellStyle name="Comma 5 5 7" xfId="30896" xr:uid="{00000000-0005-0000-0000-0000EC310000}"/>
    <cellStyle name="Comma 5 6" xfId="7000" xr:uid="{00000000-0005-0000-0000-0000ED310000}"/>
    <cellStyle name="Comma 5 6 2" xfId="7001" xr:uid="{00000000-0005-0000-0000-0000EE310000}"/>
    <cellStyle name="Comma 5 6 2 2" xfId="20221" xr:uid="{00000000-0005-0000-0000-0000EF310000}"/>
    <cellStyle name="Comma 5 6 3" xfId="7002" xr:uid="{00000000-0005-0000-0000-0000F0310000}"/>
    <cellStyle name="Comma 5 6 3 2" xfId="20222" xr:uid="{00000000-0005-0000-0000-0000F1310000}"/>
    <cellStyle name="Comma 5 6 4" xfId="7003" xr:uid="{00000000-0005-0000-0000-0000F2310000}"/>
    <cellStyle name="Comma 5 6 4 2" xfId="20223" xr:uid="{00000000-0005-0000-0000-0000F3310000}"/>
    <cellStyle name="Comma 5 6 5" xfId="7004" xr:uid="{00000000-0005-0000-0000-0000F4310000}"/>
    <cellStyle name="Comma 5 6 5 2" xfId="20224" xr:uid="{00000000-0005-0000-0000-0000F5310000}"/>
    <cellStyle name="Comma 5 6 6" xfId="20220" xr:uid="{00000000-0005-0000-0000-0000F6310000}"/>
    <cellStyle name="Comma 5 7" xfId="7005" xr:uid="{00000000-0005-0000-0000-0000F7310000}"/>
    <cellStyle name="Comma 5 7 2" xfId="7006" xr:uid="{00000000-0005-0000-0000-0000F8310000}"/>
    <cellStyle name="Comma 5 7 2 2" xfId="20226" xr:uid="{00000000-0005-0000-0000-0000F9310000}"/>
    <cellStyle name="Comma 5 7 3" xfId="7007" xr:uid="{00000000-0005-0000-0000-0000FA310000}"/>
    <cellStyle name="Comma 5 7 3 2" xfId="20227" xr:uid="{00000000-0005-0000-0000-0000FB310000}"/>
    <cellStyle name="Comma 5 7 4" xfId="7008" xr:uid="{00000000-0005-0000-0000-0000FC310000}"/>
    <cellStyle name="Comma 5 7 4 2" xfId="20228" xr:uid="{00000000-0005-0000-0000-0000FD310000}"/>
    <cellStyle name="Comma 5 7 5" xfId="7009" xr:uid="{00000000-0005-0000-0000-0000FE310000}"/>
    <cellStyle name="Comma 5 7 5 2" xfId="20229" xr:uid="{00000000-0005-0000-0000-0000FF310000}"/>
    <cellStyle name="Comma 5 7 6" xfId="20225" xr:uid="{00000000-0005-0000-0000-000000320000}"/>
    <cellStyle name="Comma 5 8" xfId="7010" xr:uid="{00000000-0005-0000-0000-000001320000}"/>
    <cellStyle name="Comma 5 8 2" xfId="20230" xr:uid="{00000000-0005-0000-0000-000002320000}"/>
    <cellStyle name="Comma 5 9" xfId="7011" xr:uid="{00000000-0005-0000-0000-000003320000}"/>
    <cellStyle name="Comma 5 9 2" xfId="20231" xr:uid="{00000000-0005-0000-0000-000004320000}"/>
    <cellStyle name="Comma 50" xfId="11366" xr:uid="{00000000-0005-0000-0000-000005320000}"/>
    <cellStyle name="Comma 50 2" xfId="12788" xr:uid="{00000000-0005-0000-0000-000006320000}"/>
    <cellStyle name="Comma 50 2 2" xfId="20233" xr:uid="{00000000-0005-0000-0000-000007320000}"/>
    <cellStyle name="Comma 50 3" xfId="20232" xr:uid="{00000000-0005-0000-0000-000008320000}"/>
    <cellStyle name="Comma 51" xfId="11369" xr:uid="{00000000-0005-0000-0000-000009320000}"/>
    <cellStyle name="Comma 51 2" xfId="12791" xr:uid="{00000000-0005-0000-0000-00000A320000}"/>
    <cellStyle name="Comma 51 2 2" xfId="20235" xr:uid="{00000000-0005-0000-0000-00000B320000}"/>
    <cellStyle name="Comma 51 3" xfId="20234" xr:uid="{00000000-0005-0000-0000-00000C320000}"/>
    <cellStyle name="Comma 52" xfId="11371" xr:uid="{00000000-0005-0000-0000-00000D320000}"/>
    <cellStyle name="Comma 52 2" xfId="12793" xr:uid="{00000000-0005-0000-0000-00000E320000}"/>
    <cellStyle name="Comma 52 2 2" xfId="20237" xr:uid="{00000000-0005-0000-0000-00000F320000}"/>
    <cellStyle name="Comma 52 3" xfId="20236" xr:uid="{00000000-0005-0000-0000-000010320000}"/>
    <cellStyle name="Comma 53" xfId="11373" xr:uid="{00000000-0005-0000-0000-000011320000}"/>
    <cellStyle name="Comma 53 2" xfId="12795" xr:uid="{00000000-0005-0000-0000-000012320000}"/>
    <cellStyle name="Comma 53 2 2" xfId="20239" xr:uid="{00000000-0005-0000-0000-000013320000}"/>
    <cellStyle name="Comma 53 3" xfId="20238" xr:uid="{00000000-0005-0000-0000-000014320000}"/>
    <cellStyle name="Comma 54" xfId="11375" xr:uid="{00000000-0005-0000-0000-000015320000}"/>
    <cellStyle name="Comma 54 2" xfId="12797" xr:uid="{00000000-0005-0000-0000-000016320000}"/>
    <cellStyle name="Comma 54 2 2" xfId="20241" xr:uid="{00000000-0005-0000-0000-000017320000}"/>
    <cellStyle name="Comma 54 3" xfId="20240" xr:uid="{00000000-0005-0000-0000-000018320000}"/>
    <cellStyle name="Comma 55" xfId="11377" xr:uid="{00000000-0005-0000-0000-000019320000}"/>
    <cellStyle name="Comma 55 2" xfId="12799" xr:uid="{00000000-0005-0000-0000-00001A320000}"/>
    <cellStyle name="Comma 55 2 2" xfId="20243" xr:uid="{00000000-0005-0000-0000-00001B320000}"/>
    <cellStyle name="Comma 55 3" xfId="20242" xr:uid="{00000000-0005-0000-0000-00001C320000}"/>
    <cellStyle name="Comma 56" xfId="11379" xr:uid="{00000000-0005-0000-0000-00001D320000}"/>
    <cellStyle name="Comma 56 2" xfId="12801" xr:uid="{00000000-0005-0000-0000-00001E320000}"/>
    <cellStyle name="Comma 56 2 2" xfId="20245" xr:uid="{00000000-0005-0000-0000-00001F320000}"/>
    <cellStyle name="Comma 56 3" xfId="20244" xr:uid="{00000000-0005-0000-0000-000020320000}"/>
    <cellStyle name="Comma 57" xfId="11381" xr:uid="{00000000-0005-0000-0000-000021320000}"/>
    <cellStyle name="Comma 57 2" xfId="12803" xr:uid="{00000000-0005-0000-0000-000022320000}"/>
    <cellStyle name="Comma 57 2 2" xfId="20247" xr:uid="{00000000-0005-0000-0000-000023320000}"/>
    <cellStyle name="Comma 57 3" xfId="20246" xr:uid="{00000000-0005-0000-0000-000024320000}"/>
    <cellStyle name="Comma 58" xfId="11383" xr:uid="{00000000-0005-0000-0000-000025320000}"/>
    <cellStyle name="Comma 58 2" xfId="12805" xr:uid="{00000000-0005-0000-0000-000026320000}"/>
    <cellStyle name="Comma 58 2 2" xfId="20249" xr:uid="{00000000-0005-0000-0000-000027320000}"/>
    <cellStyle name="Comma 58 3" xfId="20248" xr:uid="{00000000-0005-0000-0000-000028320000}"/>
    <cellStyle name="Comma 59" xfId="11385" xr:uid="{00000000-0005-0000-0000-000029320000}"/>
    <cellStyle name="Comma 59 2" xfId="12807" xr:uid="{00000000-0005-0000-0000-00002A320000}"/>
    <cellStyle name="Comma 59 2 2" xfId="20251" xr:uid="{00000000-0005-0000-0000-00002B320000}"/>
    <cellStyle name="Comma 59 3" xfId="20250" xr:uid="{00000000-0005-0000-0000-00002C320000}"/>
    <cellStyle name="Comma 6" xfId="260" xr:uid="{00000000-0005-0000-0000-00002D320000}"/>
    <cellStyle name="Comma 6 10" xfId="30897" xr:uid="{00000000-0005-0000-0000-00002E320000}"/>
    <cellStyle name="Comma 6 11" xfId="30898" xr:uid="{00000000-0005-0000-0000-00002F320000}"/>
    <cellStyle name="Comma 6 12" xfId="30899" xr:uid="{00000000-0005-0000-0000-000030320000}"/>
    <cellStyle name="Comma 6 13" xfId="30900" xr:uid="{00000000-0005-0000-0000-000031320000}"/>
    <cellStyle name="Comma 6 14" xfId="649" xr:uid="{00000000-0005-0000-0000-000032320000}"/>
    <cellStyle name="Comma 6 2" xfId="7012" xr:uid="{00000000-0005-0000-0000-000033320000}"/>
    <cellStyle name="Comma 6 2 10" xfId="20253" xr:uid="{00000000-0005-0000-0000-000034320000}"/>
    <cellStyle name="Comma 6 2 11" xfId="30901" xr:uid="{00000000-0005-0000-0000-000035320000}"/>
    <cellStyle name="Comma 6 2 12" xfId="30902" xr:uid="{00000000-0005-0000-0000-000036320000}"/>
    <cellStyle name="Comma 6 2 2" xfId="7013" xr:uid="{00000000-0005-0000-0000-000037320000}"/>
    <cellStyle name="Comma 6 2 2 2" xfId="7014" xr:uid="{00000000-0005-0000-0000-000038320000}"/>
    <cellStyle name="Comma 6 2 2 2 2" xfId="20255" xr:uid="{00000000-0005-0000-0000-000039320000}"/>
    <cellStyle name="Comma 6 2 2 3" xfId="7015" xr:uid="{00000000-0005-0000-0000-00003A320000}"/>
    <cellStyle name="Comma 6 2 2 3 2" xfId="20256" xr:uid="{00000000-0005-0000-0000-00003B320000}"/>
    <cellStyle name="Comma 6 2 2 4" xfId="7016" xr:uid="{00000000-0005-0000-0000-00003C320000}"/>
    <cellStyle name="Comma 6 2 2 4 2" xfId="20257" xr:uid="{00000000-0005-0000-0000-00003D320000}"/>
    <cellStyle name="Comma 6 2 2 5" xfId="7017" xr:uid="{00000000-0005-0000-0000-00003E320000}"/>
    <cellStyle name="Comma 6 2 2 5 2" xfId="20258" xr:uid="{00000000-0005-0000-0000-00003F320000}"/>
    <cellStyle name="Comma 6 2 2 6" xfId="20254" xr:uid="{00000000-0005-0000-0000-000040320000}"/>
    <cellStyle name="Comma 6 2 2 7" xfId="30903" xr:uid="{00000000-0005-0000-0000-000041320000}"/>
    <cellStyle name="Comma 6 2 2 8" xfId="30904" xr:uid="{00000000-0005-0000-0000-000042320000}"/>
    <cellStyle name="Comma 6 2 3" xfId="7018" xr:uid="{00000000-0005-0000-0000-000043320000}"/>
    <cellStyle name="Comma 6 2 3 2" xfId="7019" xr:uid="{00000000-0005-0000-0000-000044320000}"/>
    <cellStyle name="Comma 6 2 3 2 2" xfId="20260" xr:uid="{00000000-0005-0000-0000-000045320000}"/>
    <cellStyle name="Comma 6 2 3 3" xfId="7020" xr:uid="{00000000-0005-0000-0000-000046320000}"/>
    <cellStyle name="Comma 6 2 3 3 2" xfId="20261" xr:uid="{00000000-0005-0000-0000-000047320000}"/>
    <cellStyle name="Comma 6 2 3 4" xfId="7021" xr:uid="{00000000-0005-0000-0000-000048320000}"/>
    <cellStyle name="Comma 6 2 3 4 2" xfId="20262" xr:uid="{00000000-0005-0000-0000-000049320000}"/>
    <cellStyle name="Comma 6 2 3 5" xfId="7022" xr:uid="{00000000-0005-0000-0000-00004A320000}"/>
    <cellStyle name="Comma 6 2 3 5 2" xfId="20263" xr:uid="{00000000-0005-0000-0000-00004B320000}"/>
    <cellStyle name="Comma 6 2 3 6" xfId="20259" xr:uid="{00000000-0005-0000-0000-00004C320000}"/>
    <cellStyle name="Comma 6 2 3 7" xfId="33509" xr:uid="{00000000-0005-0000-0000-00004D320000}"/>
    <cellStyle name="Comma 6 2 4" xfId="7023" xr:uid="{00000000-0005-0000-0000-00004E320000}"/>
    <cellStyle name="Comma 6 2 4 2" xfId="7024" xr:uid="{00000000-0005-0000-0000-00004F320000}"/>
    <cellStyle name="Comma 6 2 4 2 2" xfId="20265" xr:uid="{00000000-0005-0000-0000-000050320000}"/>
    <cellStyle name="Comma 6 2 4 3" xfId="7025" xr:uid="{00000000-0005-0000-0000-000051320000}"/>
    <cellStyle name="Comma 6 2 4 3 2" xfId="20266" xr:uid="{00000000-0005-0000-0000-000052320000}"/>
    <cellStyle name="Comma 6 2 4 4" xfId="7026" xr:uid="{00000000-0005-0000-0000-000053320000}"/>
    <cellStyle name="Comma 6 2 4 4 2" xfId="20267" xr:uid="{00000000-0005-0000-0000-000054320000}"/>
    <cellStyle name="Comma 6 2 4 5" xfId="7027" xr:uid="{00000000-0005-0000-0000-000055320000}"/>
    <cellStyle name="Comma 6 2 4 5 2" xfId="20268" xr:uid="{00000000-0005-0000-0000-000056320000}"/>
    <cellStyle name="Comma 6 2 4 6" xfId="20264" xr:uid="{00000000-0005-0000-0000-000057320000}"/>
    <cellStyle name="Comma 6 2 4 7" xfId="33520" xr:uid="{00000000-0005-0000-0000-000058320000}"/>
    <cellStyle name="Comma 6 2 5" xfId="7028" xr:uid="{00000000-0005-0000-0000-000059320000}"/>
    <cellStyle name="Comma 6 2 5 2" xfId="7029" xr:uid="{00000000-0005-0000-0000-00005A320000}"/>
    <cellStyle name="Comma 6 2 5 2 2" xfId="20270" xr:uid="{00000000-0005-0000-0000-00005B320000}"/>
    <cellStyle name="Comma 6 2 5 3" xfId="7030" xr:uid="{00000000-0005-0000-0000-00005C320000}"/>
    <cellStyle name="Comma 6 2 5 3 2" xfId="20271" xr:uid="{00000000-0005-0000-0000-00005D320000}"/>
    <cellStyle name="Comma 6 2 5 4" xfId="7031" xr:uid="{00000000-0005-0000-0000-00005E320000}"/>
    <cellStyle name="Comma 6 2 5 4 2" xfId="20272" xr:uid="{00000000-0005-0000-0000-00005F320000}"/>
    <cellStyle name="Comma 6 2 5 5" xfId="7032" xr:uid="{00000000-0005-0000-0000-000060320000}"/>
    <cellStyle name="Comma 6 2 5 5 2" xfId="20273" xr:uid="{00000000-0005-0000-0000-000061320000}"/>
    <cellStyle name="Comma 6 2 5 6" xfId="20269" xr:uid="{00000000-0005-0000-0000-000062320000}"/>
    <cellStyle name="Comma 6 2 5 7" xfId="33617" xr:uid="{00000000-0005-0000-0000-000063320000}"/>
    <cellStyle name="Comma 6 2 6" xfId="7033" xr:uid="{00000000-0005-0000-0000-000064320000}"/>
    <cellStyle name="Comma 6 2 6 2" xfId="20274" xr:uid="{00000000-0005-0000-0000-000065320000}"/>
    <cellStyle name="Comma 6 2 7" xfId="7034" xr:uid="{00000000-0005-0000-0000-000066320000}"/>
    <cellStyle name="Comma 6 2 7 2" xfId="20275" xr:uid="{00000000-0005-0000-0000-000067320000}"/>
    <cellStyle name="Comma 6 2 8" xfId="7035" xr:uid="{00000000-0005-0000-0000-000068320000}"/>
    <cellStyle name="Comma 6 2 8 2" xfId="20276" xr:uid="{00000000-0005-0000-0000-000069320000}"/>
    <cellStyle name="Comma 6 2 9" xfId="7036" xr:uid="{00000000-0005-0000-0000-00006A320000}"/>
    <cellStyle name="Comma 6 2 9 2" xfId="20277" xr:uid="{00000000-0005-0000-0000-00006B320000}"/>
    <cellStyle name="Comma 6 3" xfId="7037" xr:uid="{00000000-0005-0000-0000-00006C320000}"/>
    <cellStyle name="Comma 6 3 2" xfId="20278" xr:uid="{00000000-0005-0000-0000-00006D320000}"/>
    <cellStyle name="Comma 6 3 3" xfId="30905" xr:uid="{00000000-0005-0000-0000-00006E320000}"/>
    <cellStyle name="Comma 6 3 4" xfId="30906" xr:uid="{00000000-0005-0000-0000-00006F320000}"/>
    <cellStyle name="Comma 6 4" xfId="7038" xr:uid="{00000000-0005-0000-0000-000070320000}"/>
    <cellStyle name="Comma 6 4 2" xfId="20279" xr:uid="{00000000-0005-0000-0000-000071320000}"/>
    <cellStyle name="Comma 6 4 3" xfId="30907" xr:uid="{00000000-0005-0000-0000-000072320000}"/>
    <cellStyle name="Comma 6 4 4" xfId="30908" xr:uid="{00000000-0005-0000-0000-000073320000}"/>
    <cellStyle name="Comma 6 5" xfId="7039" xr:uid="{00000000-0005-0000-0000-000074320000}"/>
    <cellStyle name="Comma 6 5 2" xfId="20280" xr:uid="{00000000-0005-0000-0000-000075320000}"/>
    <cellStyle name="Comma 6 6" xfId="7040" xr:uid="{00000000-0005-0000-0000-000076320000}"/>
    <cellStyle name="Comma 6 6 2" xfId="20281" xr:uid="{00000000-0005-0000-0000-000077320000}"/>
    <cellStyle name="Comma 6 6 3" xfId="30909" xr:uid="{00000000-0005-0000-0000-000078320000}"/>
    <cellStyle name="Comma 6 7" xfId="10851" xr:uid="{00000000-0005-0000-0000-000079320000}"/>
    <cellStyle name="Comma 6 7 2" xfId="12270" xr:uid="{00000000-0005-0000-0000-00007A320000}"/>
    <cellStyle name="Comma 6 7 2 2" xfId="20283" xr:uid="{00000000-0005-0000-0000-00007B320000}"/>
    <cellStyle name="Comma 6 7 3" xfId="20282" xr:uid="{00000000-0005-0000-0000-00007C320000}"/>
    <cellStyle name="Comma 6 7 4" xfId="33521" xr:uid="{00000000-0005-0000-0000-00007D320000}"/>
    <cellStyle name="Comma 6 8" xfId="11617" xr:uid="{00000000-0005-0000-0000-00007E320000}"/>
    <cellStyle name="Comma 6 8 2" xfId="20284" xr:uid="{00000000-0005-0000-0000-00007F320000}"/>
    <cellStyle name="Comma 6 8 3" xfId="33510" xr:uid="{00000000-0005-0000-0000-000080320000}"/>
    <cellStyle name="Comma 6 9" xfId="20252" xr:uid="{00000000-0005-0000-0000-000081320000}"/>
    <cellStyle name="Comma 60" xfId="11387" xr:uid="{00000000-0005-0000-0000-000082320000}"/>
    <cellStyle name="Comma 60 2" xfId="12809" xr:uid="{00000000-0005-0000-0000-000083320000}"/>
    <cellStyle name="Comma 60 2 2" xfId="20286" xr:uid="{00000000-0005-0000-0000-000084320000}"/>
    <cellStyle name="Comma 60 3" xfId="20285" xr:uid="{00000000-0005-0000-0000-000085320000}"/>
    <cellStyle name="Comma 61" xfId="11389" xr:uid="{00000000-0005-0000-0000-000086320000}"/>
    <cellStyle name="Comma 61 2" xfId="12811" xr:uid="{00000000-0005-0000-0000-000087320000}"/>
    <cellStyle name="Comma 61 2 2" xfId="20288" xr:uid="{00000000-0005-0000-0000-000088320000}"/>
    <cellStyle name="Comma 61 3" xfId="20287" xr:uid="{00000000-0005-0000-0000-000089320000}"/>
    <cellStyle name="Comma 62" xfId="11391" xr:uid="{00000000-0005-0000-0000-00008A320000}"/>
    <cellStyle name="Comma 62 2" xfId="12813" xr:uid="{00000000-0005-0000-0000-00008B320000}"/>
    <cellStyle name="Comma 62 2 2" xfId="20290" xr:uid="{00000000-0005-0000-0000-00008C320000}"/>
    <cellStyle name="Comma 62 3" xfId="20289" xr:uid="{00000000-0005-0000-0000-00008D320000}"/>
    <cellStyle name="Comma 63" xfId="11393" xr:uid="{00000000-0005-0000-0000-00008E320000}"/>
    <cellStyle name="Comma 63 2" xfId="12815" xr:uid="{00000000-0005-0000-0000-00008F320000}"/>
    <cellStyle name="Comma 63 2 2" xfId="20292" xr:uid="{00000000-0005-0000-0000-000090320000}"/>
    <cellStyle name="Comma 63 3" xfId="20291" xr:uid="{00000000-0005-0000-0000-000091320000}"/>
    <cellStyle name="Comma 64" xfId="11395" xr:uid="{00000000-0005-0000-0000-000092320000}"/>
    <cellStyle name="Comma 64 2" xfId="12817" xr:uid="{00000000-0005-0000-0000-000093320000}"/>
    <cellStyle name="Comma 64 2 2" xfId="20294" xr:uid="{00000000-0005-0000-0000-000094320000}"/>
    <cellStyle name="Comma 64 3" xfId="20293" xr:uid="{00000000-0005-0000-0000-000095320000}"/>
    <cellStyle name="Comma 65" xfId="11397" xr:uid="{00000000-0005-0000-0000-000096320000}"/>
    <cellStyle name="Comma 65 2" xfId="12819" xr:uid="{00000000-0005-0000-0000-000097320000}"/>
    <cellStyle name="Comma 65 2 2" xfId="20296" xr:uid="{00000000-0005-0000-0000-000098320000}"/>
    <cellStyle name="Comma 65 3" xfId="20295" xr:uid="{00000000-0005-0000-0000-000099320000}"/>
    <cellStyle name="Comma 66" xfId="11399" xr:uid="{00000000-0005-0000-0000-00009A320000}"/>
    <cellStyle name="Comma 66 2" xfId="12821" xr:uid="{00000000-0005-0000-0000-00009B320000}"/>
    <cellStyle name="Comma 66 2 2" xfId="20298" xr:uid="{00000000-0005-0000-0000-00009C320000}"/>
    <cellStyle name="Comma 66 3" xfId="20297" xr:uid="{00000000-0005-0000-0000-00009D320000}"/>
    <cellStyle name="Comma 67" xfId="11514" xr:uid="{00000000-0005-0000-0000-00009E320000}"/>
    <cellStyle name="Comma 67 2" xfId="12825" xr:uid="{00000000-0005-0000-0000-00009F320000}"/>
    <cellStyle name="Comma 67 2 2" xfId="20300" xr:uid="{00000000-0005-0000-0000-0000A0320000}"/>
    <cellStyle name="Comma 67 3" xfId="20299" xr:uid="{00000000-0005-0000-0000-0000A1320000}"/>
    <cellStyle name="Comma 68" xfId="11517" xr:uid="{00000000-0005-0000-0000-0000A2320000}"/>
    <cellStyle name="Comma 68 2" xfId="20301" xr:uid="{00000000-0005-0000-0000-0000A3320000}"/>
    <cellStyle name="Comma 68 3" xfId="30910" xr:uid="{00000000-0005-0000-0000-0000A4320000}"/>
    <cellStyle name="Comma 69" xfId="11590" xr:uid="{00000000-0005-0000-0000-0000A5320000}"/>
    <cellStyle name="Comma 69 2" xfId="20302" xr:uid="{00000000-0005-0000-0000-0000A6320000}"/>
    <cellStyle name="Comma 7" xfId="4" xr:uid="{00000000-0005-0000-0000-0000A7320000}"/>
    <cellStyle name="Comma 7 10" xfId="30911" xr:uid="{00000000-0005-0000-0000-0000A8320000}"/>
    <cellStyle name="Comma 7 11" xfId="30912" xr:uid="{00000000-0005-0000-0000-0000A9320000}"/>
    <cellStyle name="Comma 7 12" xfId="651" xr:uid="{00000000-0005-0000-0000-0000AA320000}"/>
    <cellStyle name="Comma 7 2" xfId="254" xr:uid="{00000000-0005-0000-0000-0000AB320000}"/>
    <cellStyle name="Comma 7 2 10" xfId="7041" xr:uid="{00000000-0005-0000-0000-0000AC320000}"/>
    <cellStyle name="Comma 7 2 2" xfId="7042" xr:uid="{00000000-0005-0000-0000-0000AD320000}"/>
    <cellStyle name="Comma 7 2 2 2" xfId="12845" xr:uid="{00000000-0005-0000-0000-0000AE320000}"/>
    <cellStyle name="Comma 7 2 2 2 2" xfId="20306" xr:uid="{00000000-0005-0000-0000-0000AF320000}"/>
    <cellStyle name="Comma 7 2 2 3" xfId="13249" xr:uid="{00000000-0005-0000-0000-0000B0320000}"/>
    <cellStyle name="Comma 7 2 2 3 2" xfId="20307" xr:uid="{00000000-0005-0000-0000-0000B1320000}"/>
    <cellStyle name="Comma 7 2 2 4" xfId="20305" xr:uid="{00000000-0005-0000-0000-0000B2320000}"/>
    <cellStyle name="Comma 7 2 2 4 2" xfId="33518" xr:uid="{00000000-0005-0000-0000-0000B3320000}"/>
    <cellStyle name="Comma 7 2 2 5" xfId="30913" xr:uid="{00000000-0005-0000-0000-0000B4320000}"/>
    <cellStyle name="Comma 7 2 2 5 2" xfId="33618" xr:uid="{00000000-0005-0000-0000-0000B5320000}"/>
    <cellStyle name="Comma 7 2 3" xfId="7043" xr:uid="{00000000-0005-0000-0000-0000B6320000}"/>
    <cellStyle name="Comma 7 2 3 2" xfId="20308" xr:uid="{00000000-0005-0000-0000-0000B7320000}"/>
    <cellStyle name="Comma 7 2 3 3" xfId="30914" xr:uid="{00000000-0005-0000-0000-0000B8320000}"/>
    <cellStyle name="Comma 7 2 4" xfId="7044" xr:uid="{00000000-0005-0000-0000-0000B9320000}"/>
    <cellStyle name="Comma 7 2 4 2" xfId="20309" xr:uid="{00000000-0005-0000-0000-0000BA320000}"/>
    <cellStyle name="Comma 7 2 5" xfId="7045" xr:uid="{00000000-0005-0000-0000-0000BB320000}"/>
    <cellStyle name="Comma 7 2 5 2" xfId="20310" xr:uid="{00000000-0005-0000-0000-0000BC320000}"/>
    <cellStyle name="Comma 7 2 6" xfId="20304" xr:uid="{00000000-0005-0000-0000-0000BD320000}"/>
    <cellStyle name="Comma 7 2 7" xfId="30915" xr:uid="{00000000-0005-0000-0000-0000BE320000}"/>
    <cellStyle name="Comma 7 2 8" xfId="30916" xr:uid="{00000000-0005-0000-0000-0000BF320000}"/>
    <cellStyle name="Comma 7 2 9" xfId="30917" xr:uid="{00000000-0005-0000-0000-0000C0320000}"/>
    <cellStyle name="Comma 7 3" xfId="7046" xr:uid="{00000000-0005-0000-0000-0000C1320000}"/>
    <cellStyle name="Comma 7 3 2" xfId="7047" xr:uid="{00000000-0005-0000-0000-0000C2320000}"/>
    <cellStyle name="Comma 7 3 2 2" xfId="20312" xr:uid="{00000000-0005-0000-0000-0000C3320000}"/>
    <cellStyle name="Comma 7 3 3" xfId="7048" xr:uid="{00000000-0005-0000-0000-0000C4320000}"/>
    <cellStyle name="Comma 7 3 3 2" xfId="20313" xr:uid="{00000000-0005-0000-0000-0000C5320000}"/>
    <cellStyle name="Comma 7 3 4" xfId="7049" xr:uid="{00000000-0005-0000-0000-0000C6320000}"/>
    <cellStyle name="Comma 7 3 4 2" xfId="20314" xr:uid="{00000000-0005-0000-0000-0000C7320000}"/>
    <cellStyle name="Comma 7 3 5" xfId="7050" xr:uid="{00000000-0005-0000-0000-0000C8320000}"/>
    <cellStyle name="Comma 7 3 5 2" xfId="20315" xr:uid="{00000000-0005-0000-0000-0000C9320000}"/>
    <cellStyle name="Comma 7 3 6" xfId="20311" xr:uid="{00000000-0005-0000-0000-0000CA320000}"/>
    <cellStyle name="Comma 7 3 7" xfId="30918" xr:uid="{00000000-0005-0000-0000-0000CB320000}"/>
    <cellStyle name="Comma 7 3 8" xfId="30919" xr:uid="{00000000-0005-0000-0000-0000CC320000}"/>
    <cellStyle name="Comma 7 4" xfId="11447" xr:uid="{00000000-0005-0000-0000-0000CD320000}"/>
    <cellStyle name="Comma 7 4 2" xfId="20316" xr:uid="{00000000-0005-0000-0000-0000CE320000}"/>
    <cellStyle name="Comma 7 5" xfId="12846" xr:uid="{00000000-0005-0000-0000-0000CF320000}"/>
    <cellStyle name="Comma 7 5 2" xfId="20317" xr:uid="{00000000-0005-0000-0000-0000D0320000}"/>
    <cellStyle name="Comma 7 6" xfId="12847" xr:uid="{00000000-0005-0000-0000-0000D1320000}"/>
    <cellStyle name="Comma 7 6 2" xfId="20318" xr:uid="{00000000-0005-0000-0000-0000D2320000}"/>
    <cellStyle name="Comma 7 6 3" xfId="30920" xr:uid="{00000000-0005-0000-0000-0000D3320000}"/>
    <cellStyle name="Comma 7 6 4" xfId="30921" xr:uid="{00000000-0005-0000-0000-0000D4320000}"/>
    <cellStyle name="Comma 7 7" xfId="20303" xr:uid="{00000000-0005-0000-0000-0000D5320000}"/>
    <cellStyle name="Comma 7 7 2" xfId="30922" xr:uid="{00000000-0005-0000-0000-0000D6320000}"/>
    <cellStyle name="Comma 7 7 3" xfId="33519" xr:uid="{00000000-0005-0000-0000-0000D7320000}"/>
    <cellStyle name="Comma 7 8" xfId="30923" xr:uid="{00000000-0005-0000-0000-0000D8320000}"/>
    <cellStyle name="Comma 7 8 2" xfId="33511" xr:uid="{00000000-0005-0000-0000-0000D9320000}"/>
    <cellStyle name="Comma 7 9" xfId="30924" xr:uid="{00000000-0005-0000-0000-0000DA320000}"/>
    <cellStyle name="Comma 70" xfId="11521" xr:uid="{00000000-0005-0000-0000-0000DB320000}"/>
    <cellStyle name="Comma 70 2" xfId="20319" xr:uid="{00000000-0005-0000-0000-0000DC320000}"/>
    <cellStyle name="Comma 71" xfId="11613" xr:uid="{00000000-0005-0000-0000-0000DD320000}"/>
    <cellStyle name="Comma 71 2" xfId="20320" xr:uid="{00000000-0005-0000-0000-0000DE320000}"/>
    <cellStyle name="Comma 72" xfId="12098" xr:uid="{00000000-0005-0000-0000-0000DF320000}"/>
    <cellStyle name="Comma 72 2" xfId="20321" xr:uid="{00000000-0005-0000-0000-0000E0320000}"/>
    <cellStyle name="Comma 73" xfId="11913" xr:uid="{00000000-0005-0000-0000-0000E1320000}"/>
    <cellStyle name="Comma 73 2" xfId="20322" xr:uid="{00000000-0005-0000-0000-0000E2320000}"/>
    <cellStyle name="Comma 74" xfId="12880" xr:uid="{00000000-0005-0000-0000-0000E3320000}"/>
    <cellStyle name="Comma 74 2" xfId="20323" xr:uid="{00000000-0005-0000-0000-0000E4320000}"/>
    <cellStyle name="Comma 74 3" xfId="30925" xr:uid="{00000000-0005-0000-0000-0000E5320000}"/>
    <cellStyle name="Comma 75" xfId="12899" xr:uid="{00000000-0005-0000-0000-0000E6320000}"/>
    <cellStyle name="Comma 75 2" xfId="20324" xr:uid="{00000000-0005-0000-0000-0000E7320000}"/>
    <cellStyle name="Comma 76" xfId="12901" xr:uid="{00000000-0005-0000-0000-0000E8320000}"/>
    <cellStyle name="Comma 76 2" xfId="20325" xr:uid="{00000000-0005-0000-0000-0000E9320000}"/>
    <cellStyle name="Comma 77" xfId="12903" xr:uid="{00000000-0005-0000-0000-0000EA320000}"/>
    <cellStyle name="Comma 77 2" xfId="20326" xr:uid="{00000000-0005-0000-0000-0000EB320000}"/>
    <cellStyle name="Comma 78" xfId="12905" xr:uid="{00000000-0005-0000-0000-0000EC320000}"/>
    <cellStyle name="Comma 78 2" xfId="20327" xr:uid="{00000000-0005-0000-0000-0000ED320000}"/>
    <cellStyle name="Comma 79" xfId="12907" xr:uid="{00000000-0005-0000-0000-0000EE320000}"/>
    <cellStyle name="Comma 79 2" xfId="20328" xr:uid="{00000000-0005-0000-0000-0000EF320000}"/>
    <cellStyle name="Comma 8" xfId="250" xr:uid="{00000000-0005-0000-0000-0000F0320000}"/>
    <cellStyle name="Comma 8 10" xfId="30926" xr:uid="{00000000-0005-0000-0000-0000F1320000}"/>
    <cellStyle name="Comma 8 11" xfId="30927" xr:uid="{00000000-0005-0000-0000-0000F2320000}"/>
    <cellStyle name="Comma 8 12" xfId="30928" xr:uid="{00000000-0005-0000-0000-0000F3320000}"/>
    <cellStyle name="Comma 8 13" xfId="33167" xr:uid="{00000000-0005-0000-0000-0000F4320000}"/>
    <cellStyle name="Comma 8 14" xfId="647" xr:uid="{00000000-0005-0000-0000-0000F5320000}"/>
    <cellStyle name="Comma 8 2" xfId="7051" xr:uid="{00000000-0005-0000-0000-0000F6320000}"/>
    <cellStyle name="Comma 8 2 10" xfId="20330" xr:uid="{00000000-0005-0000-0000-0000F7320000}"/>
    <cellStyle name="Comma 8 2 11" xfId="30929" xr:uid="{00000000-0005-0000-0000-0000F8320000}"/>
    <cellStyle name="Comma 8 2 12" xfId="30930" xr:uid="{00000000-0005-0000-0000-0000F9320000}"/>
    <cellStyle name="Comma 8 2 13" xfId="30931" xr:uid="{00000000-0005-0000-0000-0000FA320000}"/>
    <cellStyle name="Comma 8 2 2" xfId="7052" xr:uid="{00000000-0005-0000-0000-0000FB320000}"/>
    <cellStyle name="Comma 8 2 2 2" xfId="7053" xr:uid="{00000000-0005-0000-0000-0000FC320000}"/>
    <cellStyle name="Comma 8 2 2 2 2" xfId="20332" xr:uid="{00000000-0005-0000-0000-0000FD320000}"/>
    <cellStyle name="Comma 8 2 2 3" xfId="7054" xr:uid="{00000000-0005-0000-0000-0000FE320000}"/>
    <cellStyle name="Comma 8 2 2 3 2" xfId="20333" xr:uid="{00000000-0005-0000-0000-0000FF320000}"/>
    <cellStyle name="Comma 8 2 2 4" xfId="7055" xr:uid="{00000000-0005-0000-0000-000000330000}"/>
    <cellStyle name="Comma 8 2 2 4 2" xfId="20334" xr:uid="{00000000-0005-0000-0000-000001330000}"/>
    <cellStyle name="Comma 8 2 2 5" xfId="7056" xr:uid="{00000000-0005-0000-0000-000002330000}"/>
    <cellStyle name="Comma 8 2 2 5 2" xfId="20335" xr:uid="{00000000-0005-0000-0000-000003330000}"/>
    <cellStyle name="Comma 8 2 2 6" xfId="20331" xr:uid="{00000000-0005-0000-0000-000004330000}"/>
    <cellStyle name="Comma 8 2 2 7" xfId="30932" xr:uid="{00000000-0005-0000-0000-000005330000}"/>
    <cellStyle name="Comma 8 2 2 8" xfId="30933" xr:uid="{00000000-0005-0000-0000-000006330000}"/>
    <cellStyle name="Comma 8 2 3" xfId="7057" xr:uid="{00000000-0005-0000-0000-000007330000}"/>
    <cellStyle name="Comma 8 2 3 2" xfId="7058" xr:uid="{00000000-0005-0000-0000-000008330000}"/>
    <cellStyle name="Comma 8 2 3 2 2" xfId="20337" xr:uid="{00000000-0005-0000-0000-000009330000}"/>
    <cellStyle name="Comma 8 2 3 3" xfId="7059" xr:uid="{00000000-0005-0000-0000-00000A330000}"/>
    <cellStyle name="Comma 8 2 3 3 2" xfId="20338" xr:uid="{00000000-0005-0000-0000-00000B330000}"/>
    <cellStyle name="Comma 8 2 3 4" xfId="7060" xr:uid="{00000000-0005-0000-0000-00000C330000}"/>
    <cellStyle name="Comma 8 2 3 4 2" xfId="20339" xr:uid="{00000000-0005-0000-0000-00000D330000}"/>
    <cellStyle name="Comma 8 2 3 5" xfId="7061" xr:uid="{00000000-0005-0000-0000-00000E330000}"/>
    <cellStyle name="Comma 8 2 3 5 2" xfId="20340" xr:uid="{00000000-0005-0000-0000-00000F330000}"/>
    <cellStyle name="Comma 8 2 3 6" xfId="20336" xr:uid="{00000000-0005-0000-0000-000010330000}"/>
    <cellStyle name="Comma 8 2 3 7" xfId="33513" xr:uid="{00000000-0005-0000-0000-000011330000}"/>
    <cellStyle name="Comma 8 2 4" xfId="7062" xr:uid="{00000000-0005-0000-0000-000012330000}"/>
    <cellStyle name="Comma 8 2 4 2" xfId="7063" xr:uid="{00000000-0005-0000-0000-000013330000}"/>
    <cellStyle name="Comma 8 2 4 2 2" xfId="20342" xr:uid="{00000000-0005-0000-0000-000014330000}"/>
    <cellStyle name="Comma 8 2 4 3" xfId="7064" xr:uid="{00000000-0005-0000-0000-000015330000}"/>
    <cellStyle name="Comma 8 2 4 3 2" xfId="20343" xr:uid="{00000000-0005-0000-0000-000016330000}"/>
    <cellStyle name="Comma 8 2 4 4" xfId="7065" xr:uid="{00000000-0005-0000-0000-000017330000}"/>
    <cellStyle name="Comma 8 2 4 4 2" xfId="20344" xr:uid="{00000000-0005-0000-0000-000018330000}"/>
    <cellStyle name="Comma 8 2 4 5" xfId="7066" xr:uid="{00000000-0005-0000-0000-000019330000}"/>
    <cellStyle name="Comma 8 2 4 5 2" xfId="20345" xr:uid="{00000000-0005-0000-0000-00001A330000}"/>
    <cellStyle name="Comma 8 2 4 6" xfId="20341" xr:uid="{00000000-0005-0000-0000-00001B330000}"/>
    <cellStyle name="Comma 8 2 4 7" xfId="33516" xr:uid="{00000000-0005-0000-0000-00001C330000}"/>
    <cellStyle name="Comma 8 2 5" xfId="7067" xr:uid="{00000000-0005-0000-0000-00001D330000}"/>
    <cellStyle name="Comma 8 2 5 2" xfId="7068" xr:uid="{00000000-0005-0000-0000-00001E330000}"/>
    <cellStyle name="Comma 8 2 5 2 2" xfId="20347" xr:uid="{00000000-0005-0000-0000-00001F330000}"/>
    <cellStyle name="Comma 8 2 5 3" xfId="7069" xr:uid="{00000000-0005-0000-0000-000020330000}"/>
    <cellStyle name="Comma 8 2 5 3 2" xfId="20348" xr:uid="{00000000-0005-0000-0000-000021330000}"/>
    <cellStyle name="Comma 8 2 5 4" xfId="7070" xr:uid="{00000000-0005-0000-0000-000022330000}"/>
    <cellStyle name="Comma 8 2 5 4 2" xfId="20349" xr:uid="{00000000-0005-0000-0000-000023330000}"/>
    <cellStyle name="Comma 8 2 5 5" xfId="7071" xr:uid="{00000000-0005-0000-0000-000024330000}"/>
    <cellStyle name="Comma 8 2 5 5 2" xfId="20350" xr:uid="{00000000-0005-0000-0000-000025330000}"/>
    <cellStyle name="Comma 8 2 5 6" xfId="20346" xr:uid="{00000000-0005-0000-0000-000026330000}"/>
    <cellStyle name="Comma 8 2 5 7" xfId="33515" xr:uid="{00000000-0005-0000-0000-000027330000}"/>
    <cellStyle name="Comma 8 2 6" xfId="7072" xr:uid="{00000000-0005-0000-0000-000028330000}"/>
    <cellStyle name="Comma 8 2 6 2" xfId="20351" xr:uid="{00000000-0005-0000-0000-000029330000}"/>
    <cellStyle name="Comma 8 2 7" xfId="7073" xr:uid="{00000000-0005-0000-0000-00002A330000}"/>
    <cellStyle name="Comma 8 2 7 2" xfId="20352" xr:uid="{00000000-0005-0000-0000-00002B330000}"/>
    <cellStyle name="Comma 8 2 8" xfId="7074" xr:uid="{00000000-0005-0000-0000-00002C330000}"/>
    <cellStyle name="Comma 8 2 8 2" xfId="20353" xr:uid="{00000000-0005-0000-0000-00002D330000}"/>
    <cellStyle name="Comma 8 2 9" xfId="7075" xr:uid="{00000000-0005-0000-0000-00002E330000}"/>
    <cellStyle name="Comma 8 2 9 2" xfId="20354" xr:uid="{00000000-0005-0000-0000-00002F330000}"/>
    <cellStyle name="Comma 8 3" xfId="7076" xr:uid="{00000000-0005-0000-0000-000030330000}"/>
    <cellStyle name="Comma 8 3 2" xfId="20355" xr:uid="{00000000-0005-0000-0000-000031330000}"/>
    <cellStyle name="Comma 8 3 3" xfId="30934" xr:uid="{00000000-0005-0000-0000-000032330000}"/>
    <cellStyle name="Comma 8 3 4" xfId="30935" xr:uid="{00000000-0005-0000-0000-000033330000}"/>
    <cellStyle name="Comma 8 4" xfId="10849" xr:uid="{00000000-0005-0000-0000-000034330000}"/>
    <cellStyle name="Comma 8 4 2" xfId="12268" xr:uid="{00000000-0005-0000-0000-000035330000}"/>
    <cellStyle name="Comma 8 4 2 2" xfId="20357" xr:uid="{00000000-0005-0000-0000-000036330000}"/>
    <cellStyle name="Comma 8 4 3" xfId="20356" xr:uid="{00000000-0005-0000-0000-000037330000}"/>
    <cellStyle name="Comma 8 4 4" xfId="30936" xr:uid="{00000000-0005-0000-0000-000038330000}"/>
    <cellStyle name="Comma 8 4 5" xfId="30937" xr:uid="{00000000-0005-0000-0000-000039330000}"/>
    <cellStyle name="Comma 8 5" xfId="11350" xr:uid="{00000000-0005-0000-0000-00003A330000}"/>
    <cellStyle name="Comma 8 5 2" xfId="12772" xr:uid="{00000000-0005-0000-0000-00003B330000}"/>
    <cellStyle name="Comma 8 5 2 2" xfId="13250" xr:uid="{00000000-0005-0000-0000-00003C330000}"/>
    <cellStyle name="Comma 8 5 2 2 2" xfId="20360" xr:uid="{00000000-0005-0000-0000-00003D330000}"/>
    <cellStyle name="Comma 8 5 2 2 3" xfId="30938" xr:uid="{00000000-0005-0000-0000-00003E330000}"/>
    <cellStyle name="Comma 8 5 2 2 4" xfId="30939" xr:uid="{00000000-0005-0000-0000-00003F330000}"/>
    <cellStyle name="Comma 8 5 2 2 5" xfId="33725" xr:uid="{00000000-0005-0000-0000-000040330000}"/>
    <cellStyle name="Comma 8 5 2 3" xfId="20359" xr:uid="{00000000-0005-0000-0000-000041330000}"/>
    <cellStyle name="Comma 8 5 2 3 2" xfId="33954" xr:uid="{00000000-0005-0000-0000-000042330000}"/>
    <cellStyle name="Comma 8 5 2 4" xfId="30940" xr:uid="{00000000-0005-0000-0000-000043330000}"/>
    <cellStyle name="Comma 8 5 2 4 2" xfId="34168" xr:uid="{00000000-0005-0000-0000-000044330000}"/>
    <cellStyle name="Comma 8 5 2 5" xfId="30941" xr:uid="{00000000-0005-0000-0000-000045330000}"/>
    <cellStyle name="Comma 8 5 2 6" xfId="33341" xr:uid="{00000000-0005-0000-0000-000046330000}"/>
    <cellStyle name="Comma 8 5 3" xfId="13251" xr:uid="{00000000-0005-0000-0000-000047330000}"/>
    <cellStyle name="Comma 8 5 3 2" xfId="20361" xr:uid="{00000000-0005-0000-0000-000048330000}"/>
    <cellStyle name="Comma 8 5 3 3" xfId="30942" xr:uid="{00000000-0005-0000-0000-000049330000}"/>
    <cellStyle name="Comma 8 5 3 4" xfId="30943" xr:uid="{00000000-0005-0000-0000-00004A330000}"/>
    <cellStyle name="Comma 8 5 3 5" xfId="33619" xr:uid="{00000000-0005-0000-0000-00004B330000}"/>
    <cellStyle name="Comma 8 5 4" xfId="20358" xr:uid="{00000000-0005-0000-0000-00004C330000}"/>
    <cellStyle name="Comma 8 5 4 2" xfId="33852" xr:uid="{00000000-0005-0000-0000-00004D330000}"/>
    <cellStyle name="Comma 8 5 5" xfId="30944" xr:uid="{00000000-0005-0000-0000-00004E330000}"/>
    <cellStyle name="Comma 8 5 5 2" xfId="34071" xr:uid="{00000000-0005-0000-0000-00004F330000}"/>
    <cellStyle name="Comma 8 5 6" xfId="30945" xr:uid="{00000000-0005-0000-0000-000050330000}"/>
    <cellStyle name="Comma 8 5 7" xfId="33238" xr:uid="{00000000-0005-0000-0000-000051330000}"/>
    <cellStyle name="Comma 8 6" xfId="11516" xr:uid="{00000000-0005-0000-0000-000052330000}"/>
    <cellStyle name="Comma 8 6 2" xfId="12827" xr:uid="{00000000-0005-0000-0000-000053330000}"/>
    <cellStyle name="Comma 8 6 2 2" xfId="20363" xr:uid="{00000000-0005-0000-0000-000054330000}"/>
    <cellStyle name="Comma 8 6 2 3" xfId="30946" xr:uid="{00000000-0005-0000-0000-000055330000}"/>
    <cellStyle name="Comma 8 6 2 4" xfId="30947" xr:uid="{00000000-0005-0000-0000-000056330000}"/>
    <cellStyle name="Comma 8 6 2 5" xfId="33684" xr:uid="{00000000-0005-0000-0000-000057330000}"/>
    <cellStyle name="Comma 8 6 3" xfId="20362" xr:uid="{00000000-0005-0000-0000-000058330000}"/>
    <cellStyle name="Comma 8 6 3 2" xfId="33912" xr:uid="{00000000-0005-0000-0000-000059330000}"/>
    <cellStyle name="Comma 8 6 4" xfId="30948" xr:uid="{00000000-0005-0000-0000-00005A330000}"/>
    <cellStyle name="Comma 8 6 4 2" xfId="34127" xr:uid="{00000000-0005-0000-0000-00005B330000}"/>
    <cellStyle name="Comma 8 6 5" xfId="30949" xr:uid="{00000000-0005-0000-0000-00005C330000}"/>
    <cellStyle name="Comma 8 6 6" xfId="33300" xr:uid="{00000000-0005-0000-0000-00005D330000}"/>
    <cellStyle name="Comma 8 7" xfId="11615" xr:uid="{00000000-0005-0000-0000-00005E330000}"/>
    <cellStyle name="Comma 8 7 2" xfId="20364" xr:uid="{00000000-0005-0000-0000-00005F330000}"/>
    <cellStyle name="Comma 8 7 3" xfId="30950" xr:uid="{00000000-0005-0000-0000-000060330000}"/>
    <cellStyle name="Comma 8 7 4" xfId="30951" xr:uid="{00000000-0005-0000-0000-000061330000}"/>
    <cellStyle name="Comma 8 7 5" xfId="30952" xr:uid="{00000000-0005-0000-0000-000062330000}"/>
    <cellStyle name="Comma 8 7 6" xfId="33512" xr:uid="{00000000-0005-0000-0000-000063330000}"/>
    <cellStyle name="Comma 8 8" xfId="20329" xr:uid="{00000000-0005-0000-0000-000064330000}"/>
    <cellStyle name="Comma 8 8 2" xfId="30953" xr:uid="{00000000-0005-0000-0000-000065330000}"/>
    <cellStyle name="Comma 8 8 3" xfId="30954" xr:uid="{00000000-0005-0000-0000-000066330000}"/>
    <cellStyle name="Comma 8 8 4" xfId="33517" xr:uid="{00000000-0005-0000-0000-000067330000}"/>
    <cellStyle name="Comma 8 9" xfId="30955" xr:uid="{00000000-0005-0000-0000-000068330000}"/>
    <cellStyle name="Comma 8 9 2" xfId="33514" xr:uid="{00000000-0005-0000-0000-000069330000}"/>
    <cellStyle name="Comma 80" xfId="12909" xr:uid="{00000000-0005-0000-0000-00006A330000}"/>
    <cellStyle name="Comma 80 2" xfId="20365" xr:uid="{00000000-0005-0000-0000-00006B330000}"/>
    <cellStyle name="Comma 81" xfId="12911" xr:uid="{00000000-0005-0000-0000-00006C330000}"/>
    <cellStyle name="Comma 81 2" xfId="20366" xr:uid="{00000000-0005-0000-0000-00006D330000}"/>
    <cellStyle name="Comma 82" xfId="12913" xr:uid="{00000000-0005-0000-0000-00006E330000}"/>
    <cellStyle name="Comma 82 2" xfId="20367" xr:uid="{00000000-0005-0000-0000-00006F330000}"/>
    <cellStyle name="Comma 83" xfId="12915" xr:uid="{00000000-0005-0000-0000-000070330000}"/>
    <cellStyle name="Comma 83 2" xfId="20368" xr:uid="{00000000-0005-0000-0000-000071330000}"/>
    <cellStyle name="Comma 84" xfId="12917" xr:uid="{00000000-0005-0000-0000-000072330000}"/>
    <cellStyle name="Comma 84 2" xfId="20369" xr:uid="{00000000-0005-0000-0000-000073330000}"/>
    <cellStyle name="Comma 85" xfId="12919" xr:uid="{00000000-0005-0000-0000-000074330000}"/>
    <cellStyle name="Comma 85 2" xfId="20370" xr:uid="{00000000-0005-0000-0000-000075330000}"/>
    <cellStyle name="Comma 86" xfId="12921" xr:uid="{00000000-0005-0000-0000-000076330000}"/>
    <cellStyle name="Comma 86 2" xfId="20371" xr:uid="{00000000-0005-0000-0000-000077330000}"/>
    <cellStyle name="Comma 87" xfId="12923" xr:uid="{00000000-0005-0000-0000-000078330000}"/>
    <cellStyle name="Comma 87 2" xfId="20372" xr:uid="{00000000-0005-0000-0000-000079330000}"/>
    <cellStyle name="Comma 88" xfId="14580" xr:uid="{00000000-0005-0000-0000-00007A330000}"/>
    <cellStyle name="Comma 88 2" xfId="20373" xr:uid="{00000000-0005-0000-0000-00007B330000}"/>
    <cellStyle name="Comma 89" xfId="15798" xr:uid="{00000000-0005-0000-0000-00007C330000}"/>
    <cellStyle name="Comma 89 2" xfId="20374" xr:uid="{00000000-0005-0000-0000-00007D330000}"/>
    <cellStyle name="Comma 9" xfId="244" xr:uid="{00000000-0005-0000-0000-00007E330000}"/>
    <cellStyle name="Comma 9 10" xfId="7077" xr:uid="{00000000-0005-0000-0000-00007F330000}"/>
    <cellStyle name="Comma 9 2" xfId="7078" xr:uid="{00000000-0005-0000-0000-000080330000}"/>
    <cellStyle name="Comma 9 2 10" xfId="20376" xr:uid="{00000000-0005-0000-0000-000081330000}"/>
    <cellStyle name="Comma 9 2 11" xfId="30956" xr:uid="{00000000-0005-0000-0000-000082330000}"/>
    <cellStyle name="Comma 9 2 2" xfId="7079" xr:uid="{00000000-0005-0000-0000-000083330000}"/>
    <cellStyle name="Comma 9 2 2 2" xfId="7080" xr:uid="{00000000-0005-0000-0000-000084330000}"/>
    <cellStyle name="Comma 9 2 2 2 2" xfId="20378" xr:uid="{00000000-0005-0000-0000-000085330000}"/>
    <cellStyle name="Comma 9 2 2 3" xfId="7081" xr:uid="{00000000-0005-0000-0000-000086330000}"/>
    <cellStyle name="Comma 9 2 2 3 2" xfId="20379" xr:uid="{00000000-0005-0000-0000-000087330000}"/>
    <cellStyle name="Comma 9 2 2 4" xfId="7082" xr:uid="{00000000-0005-0000-0000-000088330000}"/>
    <cellStyle name="Comma 9 2 2 4 2" xfId="20380" xr:uid="{00000000-0005-0000-0000-000089330000}"/>
    <cellStyle name="Comma 9 2 2 5" xfId="7083" xr:uid="{00000000-0005-0000-0000-00008A330000}"/>
    <cellStyle name="Comma 9 2 2 5 2" xfId="20381" xr:uid="{00000000-0005-0000-0000-00008B330000}"/>
    <cellStyle name="Comma 9 2 2 6" xfId="20377" xr:uid="{00000000-0005-0000-0000-00008C330000}"/>
    <cellStyle name="Comma 9 2 2 7" xfId="30957" xr:uid="{00000000-0005-0000-0000-00008D330000}"/>
    <cellStyle name="Comma 9 2 2 8" xfId="30958" xr:uid="{00000000-0005-0000-0000-00008E330000}"/>
    <cellStyle name="Comma 9 2 3" xfId="7084" xr:uid="{00000000-0005-0000-0000-00008F330000}"/>
    <cellStyle name="Comma 9 2 3 2" xfId="7085" xr:uid="{00000000-0005-0000-0000-000090330000}"/>
    <cellStyle name="Comma 9 2 3 2 2" xfId="20383" xr:uid="{00000000-0005-0000-0000-000091330000}"/>
    <cellStyle name="Comma 9 2 3 3" xfId="7086" xr:uid="{00000000-0005-0000-0000-000092330000}"/>
    <cellStyle name="Comma 9 2 3 3 2" xfId="20384" xr:uid="{00000000-0005-0000-0000-000093330000}"/>
    <cellStyle name="Comma 9 2 3 4" xfId="7087" xr:uid="{00000000-0005-0000-0000-000094330000}"/>
    <cellStyle name="Comma 9 2 3 4 2" xfId="20385" xr:uid="{00000000-0005-0000-0000-000095330000}"/>
    <cellStyle name="Comma 9 2 3 5" xfId="7088" xr:uid="{00000000-0005-0000-0000-000096330000}"/>
    <cellStyle name="Comma 9 2 3 5 2" xfId="20386" xr:uid="{00000000-0005-0000-0000-000097330000}"/>
    <cellStyle name="Comma 9 2 3 6" xfId="20382" xr:uid="{00000000-0005-0000-0000-000098330000}"/>
    <cellStyle name="Comma 9 2 4" xfId="7089" xr:uid="{00000000-0005-0000-0000-000099330000}"/>
    <cellStyle name="Comma 9 2 4 2" xfId="7090" xr:uid="{00000000-0005-0000-0000-00009A330000}"/>
    <cellStyle name="Comma 9 2 4 2 2" xfId="20388" xr:uid="{00000000-0005-0000-0000-00009B330000}"/>
    <cellStyle name="Comma 9 2 4 3" xfId="7091" xr:uid="{00000000-0005-0000-0000-00009C330000}"/>
    <cellStyle name="Comma 9 2 4 3 2" xfId="20389" xr:uid="{00000000-0005-0000-0000-00009D330000}"/>
    <cellStyle name="Comma 9 2 4 4" xfId="7092" xr:uid="{00000000-0005-0000-0000-00009E330000}"/>
    <cellStyle name="Comma 9 2 4 4 2" xfId="20390" xr:uid="{00000000-0005-0000-0000-00009F330000}"/>
    <cellStyle name="Comma 9 2 4 5" xfId="7093" xr:uid="{00000000-0005-0000-0000-0000A0330000}"/>
    <cellStyle name="Comma 9 2 4 5 2" xfId="20391" xr:uid="{00000000-0005-0000-0000-0000A1330000}"/>
    <cellStyle name="Comma 9 2 4 6" xfId="20387" xr:uid="{00000000-0005-0000-0000-0000A2330000}"/>
    <cellStyle name="Comma 9 2 5" xfId="7094" xr:uid="{00000000-0005-0000-0000-0000A3330000}"/>
    <cellStyle name="Comma 9 2 5 2" xfId="7095" xr:uid="{00000000-0005-0000-0000-0000A4330000}"/>
    <cellStyle name="Comma 9 2 5 2 2" xfId="20393" xr:uid="{00000000-0005-0000-0000-0000A5330000}"/>
    <cellStyle name="Comma 9 2 5 3" xfId="7096" xr:uid="{00000000-0005-0000-0000-0000A6330000}"/>
    <cellStyle name="Comma 9 2 5 3 2" xfId="20394" xr:uid="{00000000-0005-0000-0000-0000A7330000}"/>
    <cellStyle name="Comma 9 2 5 4" xfId="7097" xr:uid="{00000000-0005-0000-0000-0000A8330000}"/>
    <cellStyle name="Comma 9 2 5 4 2" xfId="20395" xr:uid="{00000000-0005-0000-0000-0000A9330000}"/>
    <cellStyle name="Comma 9 2 5 5" xfId="7098" xr:uid="{00000000-0005-0000-0000-0000AA330000}"/>
    <cellStyle name="Comma 9 2 5 5 2" xfId="20396" xr:uid="{00000000-0005-0000-0000-0000AB330000}"/>
    <cellStyle name="Comma 9 2 5 6" xfId="20392" xr:uid="{00000000-0005-0000-0000-0000AC330000}"/>
    <cellStyle name="Comma 9 2 6" xfId="7099" xr:uid="{00000000-0005-0000-0000-0000AD330000}"/>
    <cellStyle name="Comma 9 2 6 2" xfId="20397" xr:uid="{00000000-0005-0000-0000-0000AE330000}"/>
    <cellStyle name="Comma 9 2 7" xfId="7100" xr:uid="{00000000-0005-0000-0000-0000AF330000}"/>
    <cellStyle name="Comma 9 2 7 2" xfId="20398" xr:uid="{00000000-0005-0000-0000-0000B0330000}"/>
    <cellStyle name="Comma 9 2 8" xfId="7101" xr:uid="{00000000-0005-0000-0000-0000B1330000}"/>
    <cellStyle name="Comma 9 2 8 2" xfId="20399" xr:uid="{00000000-0005-0000-0000-0000B2330000}"/>
    <cellStyle name="Comma 9 2 9" xfId="7102" xr:uid="{00000000-0005-0000-0000-0000B3330000}"/>
    <cellStyle name="Comma 9 2 9 2" xfId="20400" xr:uid="{00000000-0005-0000-0000-0000B4330000}"/>
    <cellStyle name="Comma 9 3" xfId="11448" xr:uid="{00000000-0005-0000-0000-0000B5330000}"/>
    <cellStyle name="Comma 9 3 2" xfId="20401" xr:uid="{00000000-0005-0000-0000-0000B6330000}"/>
    <cellStyle name="Comma 9 3 2 2" xfId="30959" xr:uid="{00000000-0005-0000-0000-0000B7330000}"/>
    <cellStyle name="Comma 9 3 2 3" xfId="30960" xr:uid="{00000000-0005-0000-0000-0000B8330000}"/>
    <cellStyle name="Comma 9 3 3" xfId="30961" xr:uid="{00000000-0005-0000-0000-0000B9330000}"/>
    <cellStyle name="Comma 9 4" xfId="20375" xr:uid="{00000000-0005-0000-0000-0000BA330000}"/>
    <cellStyle name="Comma 9 4 2" xfId="30962" xr:uid="{00000000-0005-0000-0000-0000BB330000}"/>
    <cellStyle name="Comma 9 4 2 2" xfId="33733" xr:uid="{00000000-0005-0000-0000-0000BC330000}"/>
    <cellStyle name="Comma 9 4 3" xfId="33962" xr:uid="{00000000-0005-0000-0000-0000BD330000}"/>
    <cellStyle name="Comma 9 4 4" xfId="34176" xr:uid="{00000000-0005-0000-0000-0000BE330000}"/>
    <cellStyle name="Comma 9 4 5" xfId="33349" xr:uid="{00000000-0005-0000-0000-0000BF330000}"/>
    <cellStyle name="Comma 9 5" xfId="30963" xr:uid="{00000000-0005-0000-0000-0000C0330000}"/>
    <cellStyle name="Comma 9 5 2" xfId="33635" xr:uid="{00000000-0005-0000-0000-0000C1330000}"/>
    <cellStyle name="Comma 9 6" xfId="30964" xr:uid="{00000000-0005-0000-0000-0000C2330000}"/>
    <cellStyle name="Comma 9 6 2" xfId="33864" xr:uid="{00000000-0005-0000-0000-0000C3330000}"/>
    <cellStyle name="Comma 9 7" xfId="30965" xr:uid="{00000000-0005-0000-0000-0000C4330000}"/>
    <cellStyle name="Comma 9 7 2" xfId="34079" xr:uid="{00000000-0005-0000-0000-0000C5330000}"/>
    <cellStyle name="Comma 9 8" xfId="30966" xr:uid="{00000000-0005-0000-0000-0000C6330000}"/>
    <cellStyle name="Comma 9 9" xfId="33250" xr:uid="{00000000-0005-0000-0000-0000C7330000}"/>
    <cellStyle name="Comma 90" xfId="15820" xr:uid="{00000000-0005-0000-0000-0000C8330000}"/>
    <cellStyle name="Comma 90 2" xfId="20402" xr:uid="{00000000-0005-0000-0000-0000C9330000}"/>
    <cellStyle name="Comma 91" xfId="15822" xr:uid="{00000000-0005-0000-0000-0000CA330000}"/>
    <cellStyle name="Comma 91 2" xfId="20403" xr:uid="{00000000-0005-0000-0000-0000CB330000}"/>
    <cellStyle name="Comma 92" xfId="15816" xr:uid="{00000000-0005-0000-0000-0000CC330000}"/>
    <cellStyle name="Comma 92 2" xfId="20404" xr:uid="{00000000-0005-0000-0000-0000CD330000}"/>
    <cellStyle name="Comma 93" xfId="15817" xr:uid="{00000000-0005-0000-0000-0000CE330000}"/>
    <cellStyle name="Comma 93 2" xfId="20405" xr:uid="{00000000-0005-0000-0000-0000CF330000}"/>
    <cellStyle name="Comma 94" xfId="15809" xr:uid="{00000000-0005-0000-0000-0000D0330000}"/>
    <cellStyle name="Comma 94 2" xfId="20406" xr:uid="{00000000-0005-0000-0000-0000D1330000}"/>
    <cellStyle name="Comma 95" xfId="15815" xr:uid="{00000000-0005-0000-0000-0000D2330000}"/>
    <cellStyle name="Comma 95 2" xfId="20407" xr:uid="{00000000-0005-0000-0000-0000D3330000}"/>
    <cellStyle name="Comma 96" xfId="15803" xr:uid="{00000000-0005-0000-0000-0000D4330000}"/>
    <cellStyle name="Comma 96 2" xfId="20408" xr:uid="{00000000-0005-0000-0000-0000D5330000}"/>
    <cellStyle name="Comma 97" xfId="15804" xr:uid="{00000000-0005-0000-0000-0000D6330000}"/>
    <cellStyle name="Comma 97 2" xfId="20409" xr:uid="{00000000-0005-0000-0000-0000D7330000}"/>
    <cellStyle name="Comma 98" xfId="15814" xr:uid="{00000000-0005-0000-0000-0000D8330000}"/>
    <cellStyle name="Comma 98 2" xfId="20410" xr:uid="{00000000-0005-0000-0000-0000D9330000}"/>
    <cellStyle name="Comma 99" xfId="15802" xr:uid="{00000000-0005-0000-0000-0000DA330000}"/>
    <cellStyle name="Comma 99 2" xfId="20411" xr:uid="{00000000-0005-0000-0000-0000DB330000}"/>
    <cellStyle name="Comma_30th june '08 Mgt Accounts &amp; cbk Reports1" xfId="480" xr:uid="{00000000-0005-0000-0000-0000DC330000}"/>
    <cellStyle name="Comma_Sheet1" xfId="10832" xr:uid="{00000000-0005-0000-0000-0000DD330000}"/>
    <cellStyle name="Commentaire" xfId="30967" xr:uid="{00000000-0005-0000-0000-0000DE330000}"/>
    <cellStyle name="Copied" xfId="30968" xr:uid="{00000000-0005-0000-0000-0000DF330000}"/>
    <cellStyle name="Currency 2" xfId="12881" xr:uid="{00000000-0005-0000-0000-0000E0330000}"/>
    <cellStyle name="Currency 2 2" xfId="20412" xr:uid="{00000000-0005-0000-0000-0000E1330000}"/>
    <cellStyle name="Currency 2 2 2" xfId="30969" xr:uid="{00000000-0005-0000-0000-0000E2330000}"/>
    <cellStyle name="Currency 2 3" xfId="30970" xr:uid="{00000000-0005-0000-0000-0000E3330000}"/>
    <cellStyle name="Currency 2 4" xfId="30971" xr:uid="{00000000-0005-0000-0000-0000E4330000}"/>
    <cellStyle name="Currency 2 5" xfId="30972" xr:uid="{00000000-0005-0000-0000-0000E5330000}"/>
    <cellStyle name="Currency 3" xfId="30973" xr:uid="{00000000-0005-0000-0000-0000E6330000}"/>
    <cellStyle name="Currency 4" xfId="30974" xr:uid="{00000000-0005-0000-0000-0000E7330000}"/>
    <cellStyle name="Currency 5" xfId="30975" xr:uid="{00000000-0005-0000-0000-0000E8330000}"/>
    <cellStyle name="Currency 5 2" xfId="30976" xr:uid="{00000000-0005-0000-0000-0000E9330000}"/>
    <cellStyle name="Currency 5 3" xfId="30977" xr:uid="{00000000-0005-0000-0000-0000EA330000}"/>
    <cellStyle name="Currency 6" xfId="30978" xr:uid="{00000000-0005-0000-0000-0000EB330000}"/>
    <cellStyle name="Currency 7" xfId="30979" xr:uid="{00000000-0005-0000-0000-0000EC330000}"/>
    <cellStyle name="Entered" xfId="30980" xr:uid="{00000000-0005-0000-0000-0000ED330000}"/>
    <cellStyle name="Entrée" xfId="30981" xr:uid="{00000000-0005-0000-0000-0000EE330000}"/>
    <cellStyle name="Euro" xfId="30982" xr:uid="{00000000-0005-0000-0000-0000EF330000}"/>
    <cellStyle name="Excel Built-in Normal" xfId="482" xr:uid="{00000000-0005-0000-0000-0000F0330000}"/>
    <cellStyle name="Excel_BuiltIn_Comma" xfId="30983" xr:uid="{00000000-0005-0000-0000-0000F1330000}"/>
    <cellStyle name="Explanatory Text" xfId="23" builtinId="53" customBuiltin="1"/>
    <cellStyle name="Explanatory Text 10" xfId="7103" xr:uid="{00000000-0005-0000-0000-0000F3330000}"/>
    <cellStyle name="Explanatory Text 10 2" xfId="20413" xr:uid="{00000000-0005-0000-0000-0000F4330000}"/>
    <cellStyle name="Explanatory Text 10 3" xfId="30984" xr:uid="{00000000-0005-0000-0000-0000F5330000}"/>
    <cellStyle name="Explanatory Text 11" xfId="7104" xr:uid="{00000000-0005-0000-0000-0000F6330000}"/>
    <cellStyle name="Explanatory Text 11 2" xfId="20414" xr:uid="{00000000-0005-0000-0000-0000F7330000}"/>
    <cellStyle name="Explanatory Text 11 3" xfId="30985" xr:uid="{00000000-0005-0000-0000-0000F8330000}"/>
    <cellStyle name="Explanatory Text 12" xfId="7105" xr:uid="{00000000-0005-0000-0000-0000F9330000}"/>
    <cellStyle name="Explanatory Text 12 2" xfId="20415" xr:uid="{00000000-0005-0000-0000-0000FA330000}"/>
    <cellStyle name="Explanatory Text 12 3" xfId="30986" xr:uid="{00000000-0005-0000-0000-0000FB330000}"/>
    <cellStyle name="Explanatory Text 13" xfId="7106" xr:uid="{00000000-0005-0000-0000-0000FC330000}"/>
    <cellStyle name="Explanatory Text 13 2" xfId="20416" xr:uid="{00000000-0005-0000-0000-0000FD330000}"/>
    <cellStyle name="Explanatory Text 13 3" xfId="30987" xr:uid="{00000000-0005-0000-0000-0000FE330000}"/>
    <cellStyle name="Explanatory Text 14" xfId="7107" xr:uid="{00000000-0005-0000-0000-0000FF330000}"/>
    <cellStyle name="Explanatory Text 14 2" xfId="20417" xr:uid="{00000000-0005-0000-0000-000000340000}"/>
    <cellStyle name="Explanatory Text 14 3" xfId="30988" xr:uid="{00000000-0005-0000-0000-000001340000}"/>
    <cellStyle name="Explanatory Text 15" xfId="7108" xr:uid="{00000000-0005-0000-0000-000002340000}"/>
    <cellStyle name="Explanatory Text 15 2" xfId="20418" xr:uid="{00000000-0005-0000-0000-000003340000}"/>
    <cellStyle name="Explanatory Text 15 3" xfId="30989" xr:uid="{00000000-0005-0000-0000-000004340000}"/>
    <cellStyle name="Explanatory Text 16" xfId="7109" xr:uid="{00000000-0005-0000-0000-000005340000}"/>
    <cellStyle name="Explanatory Text 16 2" xfId="20419" xr:uid="{00000000-0005-0000-0000-000006340000}"/>
    <cellStyle name="Explanatory Text 16 3" xfId="30990" xr:uid="{00000000-0005-0000-0000-000007340000}"/>
    <cellStyle name="Explanatory Text 17" xfId="7110" xr:uid="{00000000-0005-0000-0000-000008340000}"/>
    <cellStyle name="Explanatory Text 17 2" xfId="20420" xr:uid="{00000000-0005-0000-0000-000009340000}"/>
    <cellStyle name="Explanatory Text 17 3" xfId="30991" xr:uid="{00000000-0005-0000-0000-00000A340000}"/>
    <cellStyle name="Explanatory Text 18" xfId="7111" xr:uid="{00000000-0005-0000-0000-00000B340000}"/>
    <cellStyle name="Explanatory Text 18 2" xfId="20421" xr:uid="{00000000-0005-0000-0000-00000C340000}"/>
    <cellStyle name="Explanatory Text 19" xfId="7112" xr:uid="{00000000-0005-0000-0000-00000D340000}"/>
    <cellStyle name="Explanatory Text 19 2" xfId="20422" xr:uid="{00000000-0005-0000-0000-00000E340000}"/>
    <cellStyle name="Explanatory Text 2" xfId="7113" xr:uid="{00000000-0005-0000-0000-00000F340000}"/>
    <cellStyle name="Explanatory Text 2 10" xfId="7114" xr:uid="{00000000-0005-0000-0000-000010340000}"/>
    <cellStyle name="Explanatory Text 2 10 2" xfId="20424" xr:uid="{00000000-0005-0000-0000-000011340000}"/>
    <cellStyle name="Explanatory Text 2 11" xfId="7115" xr:uid="{00000000-0005-0000-0000-000012340000}"/>
    <cellStyle name="Explanatory Text 2 11 2" xfId="20425" xr:uid="{00000000-0005-0000-0000-000013340000}"/>
    <cellStyle name="Explanatory Text 2 12" xfId="7116" xr:uid="{00000000-0005-0000-0000-000014340000}"/>
    <cellStyle name="Explanatory Text 2 12 2" xfId="20426" xr:uid="{00000000-0005-0000-0000-000015340000}"/>
    <cellStyle name="Explanatory Text 2 13" xfId="7117" xr:uid="{00000000-0005-0000-0000-000016340000}"/>
    <cellStyle name="Explanatory Text 2 13 2" xfId="20427" xr:uid="{00000000-0005-0000-0000-000017340000}"/>
    <cellStyle name="Explanatory Text 2 14" xfId="7118" xr:uid="{00000000-0005-0000-0000-000018340000}"/>
    <cellStyle name="Explanatory Text 2 14 2" xfId="20428" xr:uid="{00000000-0005-0000-0000-000019340000}"/>
    <cellStyle name="Explanatory Text 2 15" xfId="7119" xr:uid="{00000000-0005-0000-0000-00001A340000}"/>
    <cellStyle name="Explanatory Text 2 15 2" xfId="20429" xr:uid="{00000000-0005-0000-0000-00001B340000}"/>
    <cellStyle name="Explanatory Text 2 16" xfId="7120" xr:uid="{00000000-0005-0000-0000-00001C340000}"/>
    <cellStyle name="Explanatory Text 2 16 2" xfId="7121" xr:uid="{00000000-0005-0000-0000-00001D340000}"/>
    <cellStyle name="Explanatory Text 2 16 2 2" xfId="20431" xr:uid="{00000000-0005-0000-0000-00001E340000}"/>
    <cellStyle name="Explanatory Text 2 16 3" xfId="20430" xr:uid="{00000000-0005-0000-0000-00001F340000}"/>
    <cellStyle name="Explanatory Text 2 17" xfId="7122" xr:uid="{00000000-0005-0000-0000-000020340000}"/>
    <cellStyle name="Explanatory Text 2 17 2" xfId="20432" xr:uid="{00000000-0005-0000-0000-000021340000}"/>
    <cellStyle name="Explanatory Text 2 18" xfId="7123" xr:uid="{00000000-0005-0000-0000-000022340000}"/>
    <cellStyle name="Explanatory Text 2 18 2" xfId="20433" xr:uid="{00000000-0005-0000-0000-000023340000}"/>
    <cellStyle name="Explanatory Text 2 19" xfId="7124" xr:uid="{00000000-0005-0000-0000-000024340000}"/>
    <cellStyle name="Explanatory Text 2 19 2" xfId="20434" xr:uid="{00000000-0005-0000-0000-000025340000}"/>
    <cellStyle name="Explanatory Text 2 2" xfId="7125" xr:uid="{00000000-0005-0000-0000-000026340000}"/>
    <cellStyle name="Explanatory Text 2 2 10" xfId="7126" xr:uid="{00000000-0005-0000-0000-000027340000}"/>
    <cellStyle name="Explanatory Text 2 2 10 2" xfId="20436" xr:uid="{00000000-0005-0000-0000-000028340000}"/>
    <cellStyle name="Explanatory Text 2 2 11" xfId="7127" xr:uid="{00000000-0005-0000-0000-000029340000}"/>
    <cellStyle name="Explanatory Text 2 2 11 2" xfId="20437" xr:uid="{00000000-0005-0000-0000-00002A340000}"/>
    <cellStyle name="Explanatory Text 2 2 12" xfId="7128" xr:uid="{00000000-0005-0000-0000-00002B340000}"/>
    <cellStyle name="Explanatory Text 2 2 12 2" xfId="20438" xr:uid="{00000000-0005-0000-0000-00002C340000}"/>
    <cellStyle name="Explanatory Text 2 2 13" xfId="7129" xr:uid="{00000000-0005-0000-0000-00002D340000}"/>
    <cellStyle name="Explanatory Text 2 2 13 2" xfId="20439" xr:uid="{00000000-0005-0000-0000-00002E340000}"/>
    <cellStyle name="Explanatory Text 2 2 14" xfId="7130" xr:uid="{00000000-0005-0000-0000-00002F340000}"/>
    <cellStyle name="Explanatory Text 2 2 14 2" xfId="7131" xr:uid="{00000000-0005-0000-0000-000030340000}"/>
    <cellStyle name="Explanatory Text 2 2 14 2 2" xfId="20441" xr:uid="{00000000-0005-0000-0000-000031340000}"/>
    <cellStyle name="Explanatory Text 2 2 14 3" xfId="20440" xr:uid="{00000000-0005-0000-0000-000032340000}"/>
    <cellStyle name="Explanatory Text 2 2 15" xfId="7132" xr:uid="{00000000-0005-0000-0000-000033340000}"/>
    <cellStyle name="Explanatory Text 2 2 15 2" xfId="20442" xr:uid="{00000000-0005-0000-0000-000034340000}"/>
    <cellStyle name="Explanatory Text 2 2 16" xfId="7133" xr:uid="{00000000-0005-0000-0000-000035340000}"/>
    <cellStyle name="Explanatory Text 2 2 16 2" xfId="20443" xr:uid="{00000000-0005-0000-0000-000036340000}"/>
    <cellStyle name="Explanatory Text 2 2 17" xfId="7134" xr:uid="{00000000-0005-0000-0000-000037340000}"/>
    <cellStyle name="Explanatory Text 2 2 17 2" xfId="20444" xr:uid="{00000000-0005-0000-0000-000038340000}"/>
    <cellStyle name="Explanatory Text 2 2 18" xfId="7135" xr:uid="{00000000-0005-0000-0000-000039340000}"/>
    <cellStyle name="Explanatory Text 2 2 18 2" xfId="20445" xr:uid="{00000000-0005-0000-0000-00003A340000}"/>
    <cellStyle name="Explanatory Text 2 2 19" xfId="7136" xr:uid="{00000000-0005-0000-0000-00003B340000}"/>
    <cellStyle name="Explanatory Text 2 2 19 2" xfId="20446" xr:uid="{00000000-0005-0000-0000-00003C340000}"/>
    <cellStyle name="Explanatory Text 2 2 2" xfId="7137" xr:uid="{00000000-0005-0000-0000-00003D340000}"/>
    <cellStyle name="Explanatory Text 2 2 2 10" xfId="7138" xr:uid="{00000000-0005-0000-0000-00003E340000}"/>
    <cellStyle name="Explanatory Text 2 2 2 10 2" xfId="20448" xr:uid="{00000000-0005-0000-0000-00003F340000}"/>
    <cellStyle name="Explanatory Text 2 2 2 11" xfId="7139" xr:uid="{00000000-0005-0000-0000-000040340000}"/>
    <cellStyle name="Explanatory Text 2 2 2 11 2" xfId="20449" xr:uid="{00000000-0005-0000-0000-000041340000}"/>
    <cellStyle name="Explanatory Text 2 2 2 12" xfId="7140" xr:uid="{00000000-0005-0000-0000-000042340000}"/>
    <cellStyle name="Explanatory Text 2 2 2 12 2" xfId="20450" xr:uid="{00000000-0005-0000-0000-000043340000}"/>
    <cellStyle name="Explanatory Text 2 2 2 13" xfId="7141" xr:uid="{00000000-0005-0000-0000-000044340000}"/>
    <cellStyle name="Explanatory Text 2 2 2 13 2" xfId="20451" xr:uid="{00000000-0005-0000-0000-000045340000}"/>
    <cellStyle name="Explanatory Text 2 2 2 14" xfId="7142" xr:uid="{00000000-0005-0000-0000-000046340000}"/>
    <cellStyle name="Explanatory Text 2 2 2 14 2" xfId="20452" xr:uid="{00000000-0005-0000-0000-000047340000}"/>
    <cellStyle name="Explanatory Text 2 2 2 15" xfId="7143" xr:uid="{00000000-0005-0000-0000-000048340000}"/>
    <cellStyle name="Explanatory Text 2 2 2 15 2" xfId="20453" xr:uid="{00000000-0005-0000-0000-000049340000}"/>
    <cellStyle name="Explanatory Text 2 2 2 16" xfId="7144" xr:uid="{00000000-0005-0000-0000-00004A340000}"/>
    <cellStyle name="Explanatory Text 2 2 2 16 2" xfId="20454" xr:uid="{00000000-0005-0000-0000-00004B340000}"/>
    <cellStyle name="Explanatory Text 2 2 2 17" xfId="7145" xr:uid="{00000000-0005-0000-0000-00004C340000}"/>
    <cellStyle name="Explanatory Text 2 2 2 17 2" xfId="20455" xr:uid="{00000000-0005-0000-0000-00004D340000}"/>
    <cellStyle name="Explanatory Text 2 2 2 18" xfId="7146" xr:uid="{00000000-0005-0000-0000-00004E340000}"/>
    <cellStyle name="Explanatory Text 2 2 2 18 2" xfId="20456" xr:uid="{00000000-0005-0000-0000-00004F340000}"/>
    <cellStyle name="Explanatory Text 2 2 2 19" xfId="7147" xr:uid="{00000000-0005-0000-0000-000050340000}"/>
    <cellStyle name="Explanatory Text 2 2 2 19 2" xfId="20457" xr:uid="{00000000-0005-0000-0000-000051340000}"/>
    <cellStyle name="Explanatory Text 2 2 2 2" xfId="7148" xr:uid="{00000000-0005-0000-0000-000052340000}"/>
    <cellStyle name="Explanatory Text 2 2 2 2 10" xfId="7149" xr:uid="{00000000-0005-0000-0000-000053340000}"/>
    <cellStyle name="Explanatory Text 2 2 2 2 10 2" xfId="20459" xr:uid="{00000000-0005-0000-0000-000054340000}"/>
    <cellStyle name="Explanatory Text 2 2 2 2 11" xfId="7150" xr:uid="{00000000-0005-0000-0000-000055340000}"/>
    <cellStyle name="Explanatory Text 2 2 2 2 11 2" xfId="20460" xr:uid="{00000000-0005-0000-0000-000056340000}"/>
    <cellStyle name="Explanatory Text 2 2 2 2 12" xfId="7151" xr:uid="{00000000-0005-0000-0000-000057340000}"/>
    <cellStyle name="Explanatory Text 2 2 2 2 12 2" xfId="20461" xr:uid="{00000000-0005-0000-0000-000058340000}"/>
    <cellStyle name="Explanatory Text 2 2 2 2 13" xfId="7152" xr:uid="{00000000-0005-0000-0000-000059340000}"/>
    <cellStyle name="Explanatory Text 2 2 2 2 13 2" xfId="20462" xr:uid="{00000000-0005-0000-0000-00005A340000}"/>
    <cellStyle name="Explanatory Text 2 2 2 2 14" xfId="7153" xr:uid="{00000000-0005-0000-0000-00005B340000}"/>
    <cellStyle name="Explanatory Text 2 2 2 2 14 2" xfId="20463" xr:uid="{00000000-0005-0000-0000-00005C340000}"/>
    <cellStyle name="Explanatory Text 2 2 2 2 15" xfId="7154" xr:uid="{00000000-0005-0000-0000-00005D340000}"/>
    <cellStyle name="Explanatory Text 2 2 2 2 15 2" xfId="20464" xr:uid="{00000000-0005-0000-0000-00005E340000}"/>
    <cellStyle name="Explanatory Text 2 2 2 2 16" xfId="7155" xr:uid="{00000000-0005-0000-0000-00005F340000}"/>
    <cellStyle name="Explanatory Text 2 2 2 2 16 2" xfId="20465" xr:uid="{00000000-0005-0000-0000-000060340000}"/>
    <cellStyle name="Explanatory Text 2 2 2 2 17" xfId="7156" xr:uid="{00000000-0005-0000-0000-000061340000}"/>
    <cellStyle name="Explanatory Text 2 2 2 2 17 2" xfId="20466" xr:uid="{00000000-0005-0000-0000-000062340000}"/>
    <cellStyle name="Explanatory Text 2 2 2 2 18" xfId="7157" xr:uid="{00000000-0005-0000-0000-000063340000}"/>
    <cellStyle name="Explanatory Text 2 2 2 2 18 2" xfId="20467" xr:uid="{00000000-0005-0000-0000-000064340000}"/>
    <cellStyle name="Explanatory Text 2 2 2 2 19" xfId="7158" xr:uid="{00000000-0005-0000-0000-000065340000}"/>
    <cellStyle name="Explanatory Text 2 2 2 2 19 2" xfId="20468" xr:uid="{00000000-0005-0000-0000-000066340000}"/>
    <cellStyle name="Explanatory Text 2 2 2 2 2" xfId="7159" xr:uid="{00000000-0005-0000-0000-000067340000}"/>
    <cellStyle name="Explanatory Text 2 2 2 2 2 10" xfId="7160" xr:uid="{00000000-0005-0000-0000-000068340000}"/>
    <cellStyle name="Explanatory Text 2 2 2 2 2 10 2" xfId="20470" xr:uid="{00000000-0005-0000-0000-000069340000}"/>
    <cellStyle name="Explanatory Text 2 2 2 2 2 11" xfId="7161" xr:uid="{00000000-0005-0000-0000-00006A340000}"/>
    <cellStyle name="Explanatory Text 2 2 2 2 2 11 2" xfId="7162" xr:uid="{00000000-0005-0000-0000-00006B340000}"/>
    <cellStyle name="Explanatory Text 2 2 2 2 2 11 2 2" xfId="20472" xr:uid="{00000000-0005-0000-0000-00006C340000}"/>
    <cellStyle name="Explanatory Text 2 2 2 2 2 11 3" xfId="20471" xr:uid="{00000000-0005-0000-0000-00006D340000}"/>
    <cellStyle name="Explanatory Text 2 2 2 2 2 12" xfId="20469" xr:uid="{00000000-0005-0000-0000-00006E340000}"/>
    <cellStyle name="Explanatory Text 2 2 2 2 2 2" xfId="7163" xr:uid="{00000000-0005-0000-0000-00006F340000}"/>
    <cellStyle name="Explanatory Text 2 2 2 2 2 2 10" xfId="7164" xr:uid="{00000000-0005-0000-0000-000070340000}"/>
    <cellStyle name="Explanatory Text 2 2 2 2 2 2 10 2" xfId="20474" xr:uid="{00000000-0005-0000-0000-000071340000}"/>
    <cellStyle name="Explanatory Text 2 2 2 2 2 2 11" xfId="7165" xr:uid="{00000000-0005-0000-0000-000072340000}"/>
    <cellStyle name="Explanatory Text 2 2 2 2 2 2 11 2" xfId="7166" xr:uid="{00000000-0005-0000-0000-000073340000}"/>
    <cellStyle name="Explanatory Text 2 2 2 2 2 2 11 2 2" xfId="20476" xr:uid="{00000000-0005-0000-0000-000074340000}"/>
    <cellStyle name="Explanatory Text 2 2 2 2 2 2 11 3" xfId="20475" xr:uid="{00000000-0005-0000-0000-000075340000}"/>
    <cellStyle name="Explanatory Text 2 2 2 2 2 2 12" xfId="20473" xr:uid="{00000000-0005-0000-0000-000076340000}"/>
    <cellStyle name="Explanatory Text 2 2 2 2 2 2 2" xfId="7167" xr:uid="{00000000-0005-0000-0000-000077340000}"/>
    <cellStyle name="Explanatory Text 2 2 2 2 2 2 2 2" xfId="7168" xr:uid="{00000000-0005-0000-0000-000078340000}"/>
    <cellStyle name="Explanatory Text 2 2 2 2 2 2 2 2 2" xfId="7169" xr:uid="{00000000-0005-0000-0000-000079340000}"/>
    <cellStyle name="Explanatory Text 2 2 2 2 2 2 2 2 2 2" xfId="7170" xr:uid="{00000000-0005-0000-0000-00007A340000}"/>
    <cellStyle name="Explanatory Text 2 2 2 2 2 2 2 2 2 2 2" xfId="20480" xr:uid="{00000000-0005-0000-0000-00007B340000}"/>
    <cellStyle name="Explanatory Text 2 2 2 2 2 2 2 2 2 3" xfId="20479" xr:uid="{00000000-0005-0000-0000-00007C340000}"/>
    <cellStyle name="Explanatory Text 2 2 2 2 2 2 2 2 3" xfId="7171" xr:uid="{00000000-0005-0000-0000-00007D340000}"/>
    <cellStyle name="Explanatory Text 2 2 2 2 2 2 2 2 3 2" xfId="20481" xr:uid="{00000000-0005-0000-0000-00007E340000}"/>
    <cellStyle name="Explanatory Text 2 2 2 2 2 2 2 2 4" xfId="20478" xr:uid="{00000000-0005-0000-0000-00007F340000}"/>
    <cellStyle name="Explanatory Text 2 2 2 2 2 2 2 3" xfId="7172" xr:uid="{00000000-0005-0000-0000-000080340000}"/>
    <cellStyle name="Explanatory Text 2 2 2 2 2 2 2 3 2" xfId="7173" xr:uid="{00000000-0005-0000-0000-000081340000}"/>
    <cellStyle name="Explanatory Text 2 2 2 2 2 2 2 3 2 2" xfId="20483" xr:uid="{00000000-0005-0000-0000-000082340000}"/>
    <cellStyle name="Explanatory Text 2 2 2 2 2 2 2 3 3" xfId="20482" xr:uid="{00000000-0005-0000-0000-000083340000}"/>
    <cellStyle name="Explanatory Text 2 2 2 2 2 2 2 4" xfId="20477" xr:uid="{00000000-0005-0000-0000-000084340000}"/>
    <cellStyle name="Explanatory Text 2 2 2 2 2 2 3" xfId="7174" xr:uid="{00000000-0005-0000-0000-000085340000}"/>
    <cellStyle name="Explanatory Text 2 2 2 2 2 2 3 2" xfId="20484" xr:uid="{00000000-0005-0000-0000-000086340000}"/>
    <cellStyle name="Explanatory Text 2 2 2 2 2 2 4" xfId="7175" xr:uid="{00000000-0005-0000-0000-000087340000}"/>
    <cellStyle name="Explanatory Text 2 2 2 2 2 2 4 2" xfId="20485" xr:uid="{00000000-0005-0000-0000-000088340000}"/>
    <cellStyle name="Explanatory Text 2 2 2 2 2 2 5" xfId="7176" xr:uid="{00000000-0005-0000-0000-000089340000}"/>
    <cellStyle name="Explanatory Text 2 2 2 2 2 2 5 2" xfId="20486" xr:uid="{00000000-0005-0000-0000-00008A340000}"/>
    <cellStyle name="Explanatory Text 2 2 2 2 2 2 6" xfId="7177" xr:uid="{00000000-0005-0000-0000-00008B340000}"/>
    <cellStyle name="Explanatory Text 2 2 2 2 2 2 6 2" xfId="20487" xr:uid="{00000000-0005-0000-0000-00008C340000}"/>
    <cellStyle name="Explanatory Text 2 2 2 2 2 2 7" xfId="7178" xr:uid="{00000000-0005-0000-0000-00008D340000}"/>
    <cellStyle name="Explanatory Text 2 2 2 2 2 2 7 2" xfId="20488" xr:uid="{00000000-0005-0000-0000-00008E340000}"/>
    <cellStyle name="Explanatory Text 2 2 2 2 2 2 8" xfId="7179" xr:uid="{00000000-0005-0000-0000-00008F340000}"/>
    <cellStyle name="Explanatory Text 2 2 2 2 2 2 8 2" xfId="20489" xr:uid="{00000000-0005-0000-0000-000090340000}"/>
    <cellStyle name="Explanatory Text 2 2 2 2 2 2 9" xfId="7180" xr:uid="{00000000-0005-0000-0000-000091340000}"/>
    <cellStyle name="Explanatory Text 2 2 2 2 2 2 9 2" xfId="20490" xr:uid="{00000000-0005-0000-0000-000092340000}"/>
    <cellStyle name="Explanatory Text 2 2 2 2 2 3" xfId="7181" xr:uid="{00000000-0005-0000-0000-000093340000}"/>
    <cellStyle name="Explanatory Text 2 2 2 2 2 3 2" xfId="7182" xr:uid="{00000000-0005-0000-0000-000094340000}"/>
    <cellStyle name="Explanatory Text 2 2 2 2 2 3 2 2" xfId="20492" xr:uid="{00000000-0005-0000-0000-000095340000}"/>
    <cellStyle name="Explanatory Text 2 2 2 2 2 3 3" xfId="20491" xr:uid="{00000000-0005-0000-0000-000096340000}"/>
    <cellStyle name="Explanatory Text 2 2 2 2 2 4" xfId="7183" xr:uid="{00000000-0005-0000-0000-000097340000}"/>
    <cellStyle name="Explanatory Text 2 2 2 2 2 4 2" xfId="20493" xr:uid="{00000000-0005-0000-0000-000098340000}"/>
    <cellStyle name="Explanatory Text 2 2 2 2 2 5" xfId="7184" xr:uid="{00000000-0005-0000-0000-000099340000}"/>
    <cellStyle name="Explanatory Text 2 2 2 2 2 5 2" xfId="20494" xr:uid="{00000000-0005-0000-0000-00009A340000}"/>
    <cellStyle name="Explanatory Text 2 2 2 2 2 6" xfId="7185" xr:uid="{00000000-0005-0000-0000-00009B340000}"/>
    <cellStyle name="Explanatory Text 2 2 2 2 2 6 2" xfId="20495" xr:uid="{00000000-0005-0000-0000-00009C340000}"/>
    <cellStyle name="Explanatory Text 2 2 2 2 2 7" xfId="7186" xr:uid="{00000000-0005-0000-0000-00009D340000}"/>
    <cellStyle name="Explanatory Text 2 2 2 2 2 7 2" xfId="20496" xr:uid="{00000000-0005-0000-0000-00009E340000}"/>
    <cellStyle name="Explanatory Text 2 2 2 2 2 8" xfId="7187" xr:uid="{00000000-0005-0000-0000-00009F340000}"/>
    <cellStyle name="Explanatory Text 2 2 2 2 2 8 2" xfId="20497" xr:uid="{00000000-0005-0000-0000-0000A0340000}"/>
    <cellStyle name="Explanatory Text 2 2 2 2 2 9" xfId="7188" xr:uid="{00000000-0005-0000-0000-0000A1340000}"/>
    <cellStyle name="Explanatory Text 2 2 2 2 2 9 2" xfId="20498" xr:uid="{00000000-0005-0000-0000-0000A2340000}"/>
    <cellStyle name="Explanatory Text 2 2 2 2 20" xfId="7189" xr:uid="{00000000-0005-0000-0000-0000A3340000}"/>
    <cellStyle name="Explanatory Text 2 2 2 2 20 2" xfId="7190" xr:uid="{00000000-0005-0000-0000-0000A4340000}"/>
    <cellStyle name="Explanatory Text 2 2 2 2 20 2 2" xfId="20500" xr:uid="{00000000-0005-0000-0000-0000A5340000}"/>
    <cellStyle name="Explanatory Text 2 2 2 2 20 3" xfId="20499" xr:uid="{00000000-0005-0000-0000-0000A6340000}"/>
    <cellStyle name="Explanatory Text 2 2 2 2 21" xfId="7191" xr:uid="{00000000-0005-0000-0000-0000A7340000}"/>
    <cellStyle name="Explanatory Text 2 2 2 2 21 2" xfId="20501" xr:uid="{00000000-0005-0000-0000-0000A8340000}"/>
    <cellStyle name="Explanatory Text 2 2 2 2 22" xfId="7192" xr:uid="{00000000-0005-0000-0000-0000A9340000}"/>
    <cellStyle name="Explanatory Text 2 2 2 2 22 2" xfId="20502" xr:uid="{00000000-0005-0000-0000-0000AA340000}"/>
    <cellStyle name="Explanatory Text 2 2 2 2 23" xfId="7193" xr:uid="{00000000-0005-0000-0000-0000AB340000}"/>
    <cellStyle name="Explanatory Text 2 2 2 2 23 2" xfId="20503" xr:uid="{00000000-0005-0000-0000-0000AC340000}"/>
    <cellStyle name="Explanatory Text 2 2 2 2 24" xfId="7194" xr:uid="{00000000-0005-0000-0000-0000AD340000}"/>
    <cellStyle name="Explanatory Text 2 2 2 2 24 2" xfId="20504" xr:uid="{00000000-0005-0000-0000-0000AE340000}"/>
    <cellStyle name="Explanatory Text 2 2 2 2 25" xfId="7195" xr:uid="{00000000-0005-0000-0000-0000AF340000}"/>
    <cellStyle name="Explanatory Text 2 2 2 2 25 2" xfId="20505" xr:uid="{00000000-0005-0000-0000-0000B0340000}"/>
    <cellStyle name="Explanatory Text 2 2 2 2 26" xfId="7196" xr:uid="{00000000-0005-0000-0000-0000B1340000}"/>
    <cellStyle name="Explanatory Text 2 2 2 2 26 2" xfId="20506" xr:uid="{00000000-0005-0000-0000-0000B2340000}"/>
    <cellStyle name="Explanatory Text 2 2 2 2 27" xfId="7197" xr:uid="{00000000-0005-0000-0000-0000B3340000}"/>
    <cellStyle name="Explanatory Text 2 2 2 2 27 2" xfId="20507" xr:uid="{00000000-0005-0000-0000-0000B4340000}"/>
    <cellStyle name="Explanatory Text 2 2 2 2 28" xfId="7198" xr:uid="{00000000-0005-0000-0000-0000B5340000}"/>
    <cellStyle name="Explanatory Text 2 2 2 2 28 2" xfId="7199" xr:uid="{00000000-0005-0000-0000-0000B6340000}"/>
    <cellStyle name="Explanatory Text 2 2 2 2 28 2 2" xfId="20509" xr:uid="{00000000-0005-0000-0000-0000B7340000}"/>
    <cellStyle name="Explanatory Text 2 2 2 2 28 3" xfId="20508" xr:uid="{00000000-0005-0000-0000-0000B8340000}"/>
    <cellStyle name="Explanatory Text 2 2 2 2 29" xfId="20458" xr:uid="{00000000-0005-0000-0000-0000B9340000}"/>
    <cellStyle name="Explanatory Text 2 2 2 2 3" xfId="7200" xr:uid="{00000000-0005-0000-0000-0000BA340000}"/>
    <cellStyle name="Explanatory Text 2 2 2 2 3 2" xfId="20510" xr:uid="{00000000-0005-0000-0000-0000BB340000}"/>
    <cellStyle name="Explanatory Text 2 2 2 2 4" xfId="7201" xr:uid="{00000000-0005-0000-0000-0000BC340000}"/>
    <cellStyle name="Explanatory Text 2 2 2 2 4 2" xfId="20511" xr:uid="{00000000-0005-0000-0000-0000BD340000}"/>
    <cellStyle name="Explanatory Text 2 2 2 2 5" xfId="7202" xr:uid="{00000000-0005-0000-0000-0000BE340000}"/>
    <cellStyle name="Explanatory Text 2 2 2 2 5 2" xfId="20512" xr:uid="{00000000-0005-0000-0000-0000BF340000}"/>
    <cellStyle name="Explanatory Text 2 2 2 2 6" xfId="7203" xr:uid="{00000000-0005-0000-0000-0000C0340000}"/>
    <cellStyle name="Explanatory Text 2 2 2 2 6 2" xfId="20513" xr:uid="{00000000-0005-0000-0000-0000C1340000}"/>
    <cellStyle name="Explanatory Text 2 2 2 2 7" xfId="7204" xr:uid="{00000000-0005-0000-0000-0000C2340000}"/>
    <cellStyle name="Explanatory Text 2 2 2 2 7 2" xfId="20514" xr:uid="{00000000-0005-0000-0000-0000C3340000}"/>
    <cellStyle name="Explanatory Text 2 2 2 2 8" xfId="7205" xr:uid="{00000000-0005-0000-0000-0000C4340000}"/>
    <cellStyle name="Explanatory Text 2 2 2 2 8 2" xfId="20515" xr:uid="{00000000-0005-0000-0000-0000C5340000}"/>
    <cellStyle name="Explanatory Text 2 2 2 2 9" xfId="7206" xr:uid="{00000000-0005-0000-0000-0000C6340000}"/>
    <cellStyle name="Explanatory Text 2 2 2 2 9 2" xfId="20516" xr:uid="{00000000-0005-0000-0000-0000C7340000}"/>
    <cellStyle name="Explanatory Text 2 2 2 20" xfId="7207" xr:uid="{00000000-0005-0000-0000-0000C8340000}"/>
    <cellStyle name="Explanatory Text 2 2 2 20 2" xfId="7208" xr:uid="{00000000-0005-0000-0000-0000C9340000}"/>
    <cellStyle name="Explanatory Text 2 2 2 20 2 2" xfId="20518" xr:uid="{00000000-0005-0000-0000-0000CA340000}"/>
    <cellStyle name="Explanatory Text 2 2 2 20 3" xfId="20517" xr:uid="{00000000-0005-0000-0000-0000CB340000}"/>
    <cellStyle name="Explanatory Text 2 2 2 21" xfId="7209" xr:uid="{00000000-0005-0000-0000-0000CC340000}"/>
    <cellStyle name="Explanatory Text 2 2 2 21 2" xfId="20519" xr:uid="{00000000-0005-0000-0000-0000CD340000}"/>
    <cellStyle name="Explanatory Text 2 2 2 22" xfId="7210" xr:uid="{00000000-0005-0000-0000-0000CE340000}"/>
    <cellStyle name="Explanatory Text 2 2 2 22 2" xfId="20520" xr:uid="{00000000-0005-0000-0000-0000CF340000}"/>
    <cellStyle name="Explanatory Text 2 2 2 23" xfId="7211" xr:uid="{00000000-0005-0000-0000-0000D0340000}"/>
    <cellStyle name="Explanatory Text 2 2 2 23 2" xfId="20521" xr:uid="{00000000-0005-0000-0000-0000D1340000}"/>
    <cellStyle name="Explanatory Text 2 2 2 24" xfId="7212" xr:uid="{00000000-0005-0000-0000-0000D2340000}"/>
    <cellStyle name="Explanatory Text 2 2 2 24 2" xfId="20522" xr:uid="{00000000-0005-0000-0000-0000D3340000}"/>
    <cellStyle name="Explanatory Text 2 2 2 25" xfId="7213" xr:uid="{00000000-0005-0000-0000-0000D4340000}"/>
    <cellStyle name="Explanatory Text 2 2 2 25 2" xfId="20523" xr:uid="{00000000-0005-0000-0000-0000D5340000}"/>
    <cellStyle name="Explanatory Text 2 2 2 26" xfId="7214" xr:uid="{00000000-0005-0000-0000-0000D6340000}"/>
    <cellStyle name="Explanatory Text 2 2 2 26 2" xfId="20524" xr:uid="{00000000-0005-0000-0000-0000D7340000}"/>
    <cellStyle name="Explanatory Text 2 2 2 27" xfId="7215" xr:uid="{00000000-0005-0000-0000-0000D8340000}"/>
    <cellStyle name="Explanatory Text 2 2 2 27 2" xfId="20525" xr:uid="{00000000-0005-0000-0000-0000D9340000}"/>
    <cellStyle name="Explanatory Text 2 2 2 28" xfId="7216" xr:uid="{00000000-0005-0000-0000-0000DA340000}"/>
    <cellStyle name="Explanatory Text 2 2 2 28 2" xfId="7217" xr:uid="{00000000-0005-0000-0000-0000DB340000}"/>
    <cellStyle name="Explanatory Text 2 2 2 28 2 2" xfId="20527" xr:uid="{00000000-0005-0000-0000-0000DC340000}"/>
    <cellStyle name="Explanatory Text 2 2 2 28 3" xfId="20526" xr:uid="{00000000-0005-0000-0000-0000DD340000}"/>
    <cellStyle name="Explanatory Text 2 2 2 29" xfId="20447" xr:uid="{00000000-0005-0000-0000-0000DE340000}"/>
    <cellStyle name="Explanatory Text 2 2 2 3" xfId="7218" xr:uid="{00000000-0005-0000-0000-0000DF340000}"/>
    <cellStyle name="Explanatory Text 2 2 2 3 2" xfId="7219" xr:uid="{00000000-0005-0000-0000-0000E0340000}"/>
    <cellStyle name="Explanatory Text 2 2 2 3 2 2" xfId="20529" xr:uid="{00000000-0005-0000-0000-0000E1340000}"/>
    <cellStyle name="Explanatory Text 2 2 2 3 3" xfId="20528" xr:uid="{00000000-0005-0000-0000-0000E2340000}"/>
    <cellStyle name="Explanatory Text 2 2 2 30" xfId="30992" xr:uid="{00000000-0005-0000-0000-0000E3340000}"/>
    <cellStyle name="Explanatory Text 2 2 2 4" xfId="7220" xr:uid="{00000000-0005-0000-0000-0000E4340000}"/>
    <cellStyle name="Explanatory Text 2 2 2 4 2" xfId="20530" xr:uid="{00000000-0005-0000-0000-0000E5340000}"/>
    <cellStyle name="Explanatory Text 2 2 2 5" xfId="7221" xr:uid="{00000000-0005-0000-0000-0000E6340000}"/>
    <cellStyle name="Explanatory Text 2 2 2 5 2" xfId="20531" xr:uid="{00000000-0005-0000-0000-0000E7340000}"/>
    <cellStyle name="Explanatory Text 2 2 2 6" xfId="7222" xr:uid="{00000000-0005-0000-0000-0000E8340000}"/>
    <cellStyle name="Explanatory Text 2 2 2 6 2" xfId="20532" xr:uid="{00000000-0005-0000-0000-0000E9340000}"/>
    <cellStyle name="Explanatory Text 2 2 2 7" xfId="7223" xr:uid="{00000000-0005-0000-0000-0000EA340000}"/>
    <cellStyle name="Explanatory Text 2 2 2 7 2" xfId="20533" xr:uid="{00000000-0005-0000-0000-0000EB340000}"/>
    <cellStyle name="Explanatory Text 2 2 2 8" xfId="7224" xr:uid="{00000000-0005-0000-0000-0000EC340000}"/>
    <cellStyle name="Explanatory Text 2 2 2 8 2" xfId="20534" xr:uid="{00000000-0005-0000-0000-0000ED340000}"/>
    <cellStyle name="Explanatory Text 2 2 2 9" xfId="7225" xr:uid="{00000000-0005-0000-0000-0000EE340000}"/>
    <cellStyle name="Explanatory Text 2 2 2 9 2" xfId="20535" xr:uid="{00000000-0005-0000-0000-0000EF340000}"/>
    <cellStyle name="Explanatory Text 2 2 20" xfId="7226" xr:uid="{00000000-0005-0000-0000-0000F0340000}"/>
    <cellStyle name="Explanatory Text 2 2 20 2" xfId="20536" xr:uid="{00000000-0005-0000-0000-0000F1340000}"/>
    <cellStyle name="Explanatory Text 2 2 21" xfId="7227" xr:uid="{00000000-0005-0000-0000-0000F2340000}"/>
    <cellStyle name="Explanatory Text 2 2 21 2" xfId="20537" xr:uid="{00000000-0005-0000-0000-0000F3340000}"/>
    <cellStyle name="Explanatory Text 2 2 22" xfId="7228" xr:uid="{00000000-0005-0000-0000-0000F4340000}"/>
    <cellStyle name="Explanatory Text 2 2 22 2" xfId="20538" xr:uid="{00000000-0005-0000-0000-0000F5340000}"/>
    <cellStyle name="Explanatory Text 2 2 23" xfId="7229" xr:uid="{00000000-0005-0000-0000-0000F6340000}"/>
    <cellStyle name="Explanatory Text 2 2 23 2" xfId="20539" xr:uid="{00000000-0005-0000-0000-0000F7340000}"/>
    <cellStyle name="Explanatory Text 2 2 24" xfId="7230" xr:uid="{00000000-0005-0000-0000-0000F8340000}"/>
    <cellStyle name="Explanatory Text 2 2 24 2" xfId="20540" xr:uid="{00000000-0005-0000-0000-0000F9340000}"/>
    <cellStyle name="Explanatory Text 2 2 25" xfId="7231" xr:uid="{00000000-0005-0000-0000-0000FA340000}"/>
    <cellStyle name="Explanatory Text 2 2 25 2" xfId="20541" xr:uid="{00000000-0005-0000-0000-0000FB340000}"/>
    <cellStyle name="Explanatory Text 2 2 26" xfId="7232" xr:uid="{00000000-0005-0000-0000-0000FC340000}"/>
    <cellStyle name="Explanatory Text 2 2 26 2" xfId="20542" xr:uid="{00000000-0005-0000-0000-0000FD340000}"/>
    <cellStyle name="Explanatory Text 2 2 27" xfId="7233" xr:uid="{00000000-0005-0000-0000-0000FE340000}"/>
    <cellStyle name="Explanatory Text 2 2 27 2" xfId="20543" xr:uid="{00000000-0005-0000-0000-0000FF340000}"/>
    <cellStyle name="Explanatory Text 2 2 28" xfId="7234" xr:uid="{00000000-0005-0000-0000-000000350000}"/>
    <cellStyle name="Explanatory Text 2 2 28 2" xfId="20544" xr:uid="{00000000-0005-0000-0000-000001350000}"/>
    <cellStyle name="Explanatory Text 2 2 29" xfId="7235" xr:uid="{00000000-0005-0000-0000-000002350000}"/>
    <cellStyle name="Explanatory Text 2 2 29 2" xfId="20545" xr:uid="{00000000-0005-0000-0000-000003350000}"/>
    <cellStyle name="Explanatory Text 2 2 3" xfId="7236" xr:uid="{00000000-0005-0000-0000-000004350000}"/>
    <cellStyle name="Explanatory Text 2 2 3 2" xfId="20546" xr:uid="{00000000-0005-0000-0000-000005350000}"/>
    <cellStyle name="Explanatory Text 2 2 30" xfId="7237" xr:uid="{00000000-0005-0000-0000-000006350000}"/>
    <cellStyle name="Explanatory Text 2 2 30 2" xfId="20547" xr:uid="{00000000-0005-0000-0000-000007350000}"/>
    <cellStyle name="Explanatory Text 2 2 31" xfId="7238" xr:uid="{00000000-0005-0000-0000-000008350000}"/>
    <cellStyle name="Explanatory Text 2 2 31 2" xfId="7239" xr:uid="{00000000-0005-0000-0000-000009350000}"/>
    <cellStyle name="Explanatory Text 2 2 31 2 2" xfId="20549" xr:uid="{00000000-0005-0000-0000-00000A350000}"/>
    <cellStyle name="Explanatory Text 2 2 31 3" xfId="20548" xr:uid="{00000000-0005-0000-0000-00000B350000}"/>
    <cellStyle name="Explanatory Text 2 2 32" xfId="7240" xr:uid="{00000000-0005-0000-0000-00000C350000}"/>
    <cellStyle name="Explanatory Text 2 2 32 2" xfId="20550" xr:uid="{00000000-0005-0000-0000-00000D350000}"/>
    <cellStyle name="Explanatory Text 2 2 33" xfId="7241" xr:uid="{00000000-0005-0000-0000-00000E350000}"/>
    <cellStyle name="Explanatory Text 2 2 33 2" xfId="20551" xr:uid="{00000000-0005-0000-0000-00000F350000}"/>
    <cellStyle name="Explanatory Text 2 2 34" xfId="7242" xr:uid="{00000000-0005-0000-0000-000010350000}"/>
    <cellStyle name="Explanatory Text 2 2 34 2" xfId="20552" xr:uid="{00000000-0005-0000-0000-000011350000}"/>
    <cellStyle name="Explanatory Text 2 2 35" xfId="7243" xr:uid="{00000000-0005-0000-0000-000012350000}"/>
    <cellStyle name="Explanatory Text 2 2 35 2" xfId="20553" xr:uid="{00000000-0005-0000-0000-000013350000}"/>
    <cellStyle name="Explanatory Text 2 2 36" xfId="7244" xr:uid="{00000000-0005-0000-0000-000014350000}"/>
    <cellStyle name="Explanatory Text 2 2 36 2" xfId="20554" xr:uid="{00000000-0005-0000-0000-000015350000}"/>
    <cellStyle name="Explanatory Text 2 2 37" xfId="7245" xr:uid="{00000000-0005-0000-0000-000016350000}"/>
    <cellStyle name="Explanatory Text 2 2 37 2" xfId="20555" xr:uid="{00000000-0005-0000-0000-000017350000}"/>
    <cellStyle name="Explanatory Text 2 2 38" xfId="7246" xr:uid="{00000000-0005-0000-0000-000018350000}"/>
    <cellStyle name="Explanatory Text 2 2 38 2" xfId="20556" xr:uid="{00000000-0005-0000-0000-000019350000}"/>
    <cellStyle name="Explanatory Text 2 2 39" xfId="7247" xr:uid="{00000000-0005-0000-0000-00001A350000}"/>
    <cellStyle name="Explanatory Text 2 2 39 2" xfId="7248" xr:uid="{00000000-0005-0000-0000-00001B350000}"/>
    <cellStyle name="Explanatory Text 2 2 39 2 2" xfId="20558" xr:uid="{00000000-0005-0000-0000-00001C350000}"/>
    <cellStyle name="Explanatory Text 2 2 39 3" xfId="20557" xr:uid="{00000000-0005-0000-0000-00001D350000}"/>
    <cellStyle name="Explanatory Text 2 2 4" xfId="7249" xr:uid="{00000000-0005-0000-0000-00001E350000}"/>
    <cellStyle name="Explanatory Text 2 2 4 2" xfId="20559" xr:uid="{00000000-0005-0000-0000-00001F350000}"/>
    <cellStyle name="Explanatory Text 2 2 40" xfId="20435" xr:uid="{00000000-0005-0000-0000-000020350000}"/>
    <cellStyle name="Explanatory Text 2 2 41" xfId="30993" xr:uid="{00000000-0005-0000-0000-000021350000}"/>
    <cellStyle name="Explanatory Text 2 2 42" xfId="30994" xr:uid="{00000000-0005-0000-0000-000022350000}"/>
    <cellStyle name="Explanatory Text 2 2 5" xfId="7250" xr:uid="{00000000-0005-0000-0000-000023350000}"/>
    <cellStyle name="Explanatory Text 2 2 5 2" xfId="20560" xr:uid="{00000000-0005-0000-0000-000024350000}"/>
    <cellStyle name="Explanatory Text 2 2 6" xfId="7251" xr:uid="{00000000-0005-0000-0000-000025350000}"/>
    <cellStyle name="Explanatory Text 2 2 6 2" xfId="20561" xr:uid="{00000000-0005-0000-0000-000026350000}"/>
    <cellStyle name="Explanatory Text 2 2 7" xfId="7252" xr:uid="{00000000-0005-0000-0000-000027350000}"/>
    <cellStyle name="Explanatory Text 2 2 7 2" xfId="20562" xr:uid="{00000000-0005-0000-0000-000028350000}"/>
    <cellStyle name="Explanatory Text 2 2 8" xfId="7253" xr:uid="{00000000-0005-0000-0000-000029350000}"/>
    <cellStyle name="Explanatory Text 2 2 8 2" xfId="20563" xr:uid="{00000000-0005-0000-0000-00002A350000}"/>
    <cellStyle name="Explanatory Text 2 2 9" xfId="7254" xr:uid="{00000000-0005-0000-0000-00002B350000}"/>
    <cellStyle name="Explanatory Text 2 2 9 2" xfId="20564" xr:uid="{00000000-0005-0000-0000-00002C350000}"/>
    <cellStyle name="Explanatory Text 2 2_Loan Classification" xfId="11450" xr:uid="{00000000-0005-0000-0000-00002D350000}"/>
    <cellStyle name="Explanatory Text 2 20" xfId="7255" xr:uid="{00000000-0005-0000-0000-00002E350000}"/>
    <cellStyle name="Explanatory Text 2 20 2" xfId="20565" xr:uid="{00000000-0005-0000-0000-00002F350000}"/>
    <cellStyle name="Explanatory Text 2 21" xfId="7256" xr:uid="{00000000-0005-0000-0000-000030350000}"/>
    <cellStyle name="Explanatory Text 2 21 2" xfId="20566" xr:uid="{00000000-0005-0000-0000-000031350000}"/>
    <cellStyle name="Explanatory Text 2 22" xfId="7257" xr:uid="{00000000-0005-0000-0000-000032350000}"/>
    <cellStyle name="Explanatory Text 2 22 2" xfId="20567" xr:uid="{00000000-0005-0000-0000-000033350000}"/>
    <cellStyle name="Explanatory Text 2 23" xfId="7258" xr:uid="{00000000-0005-0000-0000-000034350000}"/>
    <cellStyle name="Explanatory Text 2 23 2" xfId="20568" xr:uid="{00000000-0005-0000-0000-000035350000}"/>
    <cellStyle name="Explanatory Text 2 24" xfId="7259" xr:uid="{00000000-0005-0000-0000-000036350000}"/>
    <cellStyle name="Explanatory Text 2 24 2" xfId="20569" xr:uid="{00000000-0005-0000-0000-000037350000}"/>
    <cellStyle name="Explanatory Text 2 25" xfId="7260" xr:uid="{00000000-0005-0000-0000-000038350000}"/>
    <cellStyle name="Explanatory Text 2 25 2" xfId="20570" xr:uid="{00000000-0005-0000-0000-000039350000}"/>
    <cellStyle name="Explanatory Text 2 26" xfId="7261" xr:uid="{00000000-0005-0000-0000-00003A350000}"/>
    <cellStyle name="Explanatory Text 2 26 2" xfId="20571" xr:uid="{00000000-0005-0000-0000-00003B350000}"/>
    <cellStyle name="Explanatory Text 2 27" xfId="7262" xr:uid="{00000000-0005-0000-0000-00003C350000}"/>
    <cellStyle name="Explanatory Text 2 27 2" xfId="20572" xr:uid="{00000000-0005-0000-0000-00003D350000}"/>
    <cellStyle name="Explanatory Text 2 28" xfId="7263" xr:uid="{00000000-0005-0000-0000-00003E350000}"/>
    <cellStyle name="Explanatory Text 2 28 2" xfId="20573" xr:uid="{00000000-0005-0000-0000-00003F350000}"/>
    <cellStyle name="Explanatory Text 2 29" xfId="7264" xr:uid="{00000000-0005-0000-0000-000040350000}"/>
    <cellStyle name="Explanatory Text 2 29 2" xfId="20574" xr:uid="{00000000-0005-0000-0000-000041350000}"/>
    <cellStyle name="Explanatory Text 2 3" xfId="7265" xr:uid="{00000000-0005-0000-0000-000042350000}"/>
    <cellStyle name="Explanatory Text 2 3 2" xfId="20575" xr:uid="{00000000-0005-0000-0000-000043350000}"/>
    <cellStyle name="Explanatory Text 2 3 2 2" xfId="30995" xr:uid="{00000000-0005-0000-0000-000044350000}"/>
    <cellStyle name="Explanatory Text 2 3 3" xfId="30996" xr:uid="{00000000-0005-0000-0000-000045350000}"/>
    <cellStyle name="Explanatory Text 2 3 4" xfId="30997" xr:uid="{00000000-0005-0000-0000-000046350000}"/>
    <cellStyle name="Explanatory Text 2 3 5" xfId="30998" xr:uid="{00000000-0005-0000-0000-000047350000}"/>
    <cellStyle name="Explanatory Text 2 30" xfId="7266" xr:uid="{00000000-0005-0000-0000-000048350000}"/>
    <cellStyle name="Explanatory Text 2 30 2" xfId="20576" xr:uid="{00000000-0005-0000-0000-000049350000}"/>
    <cellStyle name="Explanatory Text 2 31" xfId="7267" xr:uid="{00000000-0005-0000-0000-00004A350000}"/>
    <cellStyle name="Explanatory Text 2 31 2" xfId="20577" xr:uid="{00000000-0005-0000-0000-00004B350000}"/>
    <cellStyle name="Explanatory Text 2 32" xfId="7268" xr:uid="{00000000-0005-0000-0000-00004C350000}"/>
    <cellStyle name="Explanatory Text 2 32 2" xfId="20578" xr:uid="{00000000-0005-0000-0000-00004D350000}"/>
    <cellStyle name="Explanatory Text 2 33" xfId="7269" xr:uid="{00000000-0005-0000-0000-00004E350000}"/>
    <cellStyle name="Explanatory Text 2 33 2" xfId="7270" xr:uid="{00000000-0005-0000-0000-00004F350000}"/>
    <cellStyle name="Explanatory Text 2 33 2 2" xfId="20580" xr:uid="{00000000-0005-0000-0000-000050350000}"/>
    <cellStyle name="Explanatory Text 2 33 3" xfId="20579" xr:uid="{00000000-0005-0000-0000-000051350000}"/>
    <cellStyle name="Explanatory Text 2 34" xfId="7271" xr:uid="{00000000-0005-0000-0000-000052350000}"/>
    <cellStyle name="Explanatory Text 2 34 2" xfId="20581" xr:uid="{00000000-0005-0000-0000-000053350000}"/>
    <cellStyle name="Explanatory Text 2 35" xfId="7272" xr:uid="{00000000-0005-0000-0000-000054350000}"/>
    <cellStyle name="Explanatory Text 2 35 2" xfId="20582" xr:uid="{00000000-0005-0000-0000-000055350000}"/>
    <cellStyle name="Explanatory Text 2 36" xfId="7273" xr:uid="{00000000-0005-0000-0000-000056350000}"/>
    <cellStyle name="Explanatory Text 2 36 2" xfId="20583" xr:uid="{00000000-0005-0000-0000-000057350000}"/>
    <cellStyle name="Explanatory Text 2 37" xfId="7274" xr:uid="{00000000-0005-0000-0000-000058350000}"/>
    <cellStyle name="Explanatory Text 2 37 2" xfId="20584" xr:uid="{00000000-0005-0000-0000-000059350000}"/>
    <cellStyle name="Explanatory Text 2 38" xfId="7275" xr:uid="{00000000-0005-0000-0000-00005A350000}"/>
    <cellStyle name="Explanatory Text 2 38 2" xfId="20585" xr:uid="{00000000-0005-0000-0000-00005B350000}"/>
    <cellStyle name="Explanatory Text 2 39" xfId="7276" xr:uid="{00000000-0005-0000-0000-00005C350000}"/>
    <cellStyle name="Explanatory Text 2 39 2" xfId="20586" xr:uid="{00000000-0005-0000-0000-00005D350000}"/>
    <cellStyle name="Explanatory Text 2 4" xfId="7277" xr:uid="{00000000-0005-0000-0000-00005E350000}"/>
    <cellStyle name="Explanatory Text 2 4 2" xfId="20587" xr:uid="{00000000-0005-0000-0000-00005F350000}"/>
    <cellStyle name="Explanatory Text 2 4 2 2" xfId="30999" xr:uid="{00000000-0005-0000-0000-000060350000}"/>
    <cellStyle name="Explanatory Text 2 4 3" xfId="31000" xr:uid="{00000000-0005-0000-0000-000061350000}"/>
    <cellStyle name="Explanatory Text 2 4 4" xfId="31001" xr:uid="{00000000-0005-0000-0000-000062350000}"/>
    <cellStyle name="Explanatory Text 2 4 5" xfId="31002" xr:uid="{00000000-0005-0000-0000-000063350000}"/>
    <cellStyle name="Explanatory Text 2 40" xfId="7278" xr:uid="{00000000-0005-0000-0000-000064350000}"/>
    <cellStyle name="Explanatory Text 2 40 2" xfId="20588" xr:uid="{00000000-0005-0000-0000-000065350000}"/>
    <cellStyle name="Explanatory Text 2 41" xfId="7279" xr:uid="{00000000-0005-0000-0000-000066350000}"/>
    <cellStyle name="Explanatory Text 2 41 2" xfId="7280" xr:uid="{00000000-0005-0000-0000-000067350000}"/>
    <cellStyle name="Explanatory Text 2 41 2 2" xfId="20590" xr:uid="{00000000-0005-0000-0000-000068350000}"/>
    <cellStyle name="Explanatory Text 2 41 3" xfId="20589" xr:uid="{00000000-0005-0000-0000-000069350000}"/>
    <cellStyle name="Explanatory Text 2 42" xfId="20423" xr:uid="{00000000-0005-0000-0000-00006A350000}"/>
    <cellStyle name="Explanatory Text 2 43" xfId="31003" xr:uid="{00000000-0005-0000-0000-00006B350000}"/>
    <cellStyle name="Explanatory Text 2 5" xfId="7281" xr:uid="{00000000-0005-0000-0000-00006C350000}"/>
    <cellStyle name="Explanatory Text 2 5 2" xfId="7282" xr:uid="{00000000-0005-0000-0000-00006D350000}"/>
    <cellStyle name="Explanatory Text 2 5 2 2" xfId="20592" xr:uid="{00000000-0005-0000-0000-00006E350000}"/>
    <cellStyle name="Explanatory Text 2 5 3" xfId="20591" xr:uid="{00000000-0005-0000-0000-00006F350000}"/>
    <cellStyle name="Explanatory Text 2 5 4" xfId="31004" xr:uid="{00000000-0005-0000-0000-000070350000}"/>
    <cellStyle name="Explanatory Text 2 6" xfId="7283" xr:uid="{00000000-0005-0000-0000-000071350000}"/>
    <cellStyle name="Explanatory Text 2 6 2" xfId="20593" xr:uid="{00000000-0005-0000-0000-000072350000}"/>
    <cellStyle name="Explanatory Text 2 6 3" xfId="31005" xr:uid="{00000000-0005-0000-0000-000073350000}"/>
    <cellStyle name="Explanatory Text 2 7" xfId="7284" xr:uid="{00000000-0005-0000-0000-000074350000}"/>
    <cellStyle name="Explanatory Text 2 7 2" xfId="20594" xr:uid="{00000000-0005-0000-0000-000075350000}"/>
    <cellStyle name="Explanatory Text 2 8" xfId="7285" xr:uid="{00000000-0005-0000-0000-000076350000}"/>
    <cellStyle name="Explanatory Text 2 8 2" xfId="20595" xr:uid="{00000000-0005-0000-0000-000077350000}"/>
    <cellStyle name="Explanatory Text 2 9" xfId="7286" xr:uid="{00000000-0005-0000-0000-000078350000}"/>
    <cellStyle name="Explanatory Text 2 9 2" xfId="20596" xr:uid="{00000000-0005-0000-0000-000079350000}"/>
    <cellStyle name="Explanatory Text 2_Loan Classification" xfId="11449" xr:uid="{00000000-0005-0000-0000-00007A350000}"/>
    <cellStyle name="Explanatory Text 20" xfId="7287" xr:uid="{00000000-0005-0000-0000-00007B350000}"/>
    <cellStyle name="Explanatory Text 20 2" xfId="20597" xr:uid="{00000000-0005-0000-0000-00007C350000}"/>
    <cellStyle name="Explanatory Text 21" xfId="7288" xr:uid="{00000000-0005-0000-0000-00007D350000}"/>
    <cellStyle name="Explanatory Text 21 2" xfId="20598" xr:uid="{00000000-0005-0000-0000-00007E350000}"/>
    <cellStyle name="Explanatory Text 22" xfId="7289" xr:uid="{00000000-0005-0000-0000-00007F350000}"/>
    <cellStyle name="Explanatory Text 22 2" xfId="20599" xr:uid="{00000000-0005-0000-0000-000080350000}"/>
    <cellStyle name="Explanatory Text 23" xfId="7290" xr:uid="{00000000-0005-0000-0000-000081350000}"/>
    <cellStyle name="Explanatory Text 23 2" xfId="20600" xr:uid="{00000000-0005-0000-0000-000082350000}"/>
    <cellStyle name="Explanatory Text 24" xfId="7291" xr:uid="{00000000-0005-0000-0000-000083350000}"/>
    <cellStyle name="Explanatory Text 24 2" xfId="20601" xr:uid="{00000000-0005-0000-0000-000084350000}"/>
    <cellStyle name="Explanatory Text 25" xfId="7292" xr:uid="{00000000-0005-0000-0000-000085350000}"/>
    <cellStyle name="Explanatory Text 25 2" xfId="20602" xr:uid="{00000000-0005-0000-0000-000086350000}"/>
    <cellStyle name="Explanatory Text 26" xfId="7293" xr:uid="{00000000-0005-0000-0000-000087350000}"/>
    <cellStyle name="Explanatory Text 26 2" xfId="20603" xr:uid="{00000000-0005-0000-0000-000088350000}"/>
    <cellStyle name="Explanatory Text 27" xfId="7294" xr:uid="{00000000-0005-0000-0000-000089350000}"/>
    <cellStyle name="Explanatory Text 27 2" xfId="20604" xr:uid="{00000000-0005-0000-0000-00008A350000}"/>
    <cellStyle name="Explanatory Text 28" xfId="7295" xr:uid="{00000000-0005-0000-0000-00008B350000}"/>
    <cellStyle name="Explanatory Text 28 2" xfId="20605" xr:uid="{00000000-0005-0000-0000-00008C350000}"/>
    <cellStyle name="Explanatory Text 29" xfId="7296" xr:uid="{00000000-0005-0000-0000-00008D350000}"/>
    <cellStyle name="Explanatory Text 29 2" xfId="20606" xr:uid="{00000000-0005-0000-0000-00008E350000}"/>
    <cellStyle name="Explanatory Text 3" xfId="7297" xr:uid="{00000000-0005-0000-0000-00008F350000}"/>
    <cellStyle name="Explanatory Text 3 2" xfId="20607" xr:uid="{00000000-0005-0000-0000-000090350000}"/>
    <cellStyle name="Explanatory Text 3 2 2" xfId="31006" xr:uid="{00000000-0005-0000-0000-000091350000}"/>
    <cellStyle name="Explanatory Text 3 3" xfId="31007" xr:uid="{00000000-0005-0000-0000-000092350000}"/>
    <cellStyle name="Explanatory Text 3 4" xfId="31008" xr:uid="{00000000-0005-0000-0000-000093350000}"/>
    <cellStyle name="Explanatory Text 30" xfId="7298" xr:uid="{00000000-0005-0000-0000-000094350000}"/>
    <cellStyle name="Explanatory Text 30 2" xfId="20608" xr:uid="{00000000-0005-0000-0000-000095350000}"/>
    <cellStyle name="Explanatory Text 31" xfId="7299" xr:uid="{00000000-0005-0000-0000-000096350000}"/>
    <cellStyle name="Explanatory Text 31 2" xfId="20609" xr:uid="{00000000-0005-0000-0000-000097350000}"/>
    <cellStyle name="Explanatory Text 32" xfId="7300" xr:uid="{00000000-0005-0000-0000-000098350000}"/>
    <cellStyle name="Explanatory Text 32 2" xfId="20610" xr:uid="{00000000-0005-0000-0000-000099350000}"/>
    <cellStyle name="Explanatory Text 33" xfId="7301" xr:uid="{00000000-0005-0000-0000-00009A350000}"/>
    <cellStyle name="Explanatory Text 33 2" xfId="20611" xr:uid="{00000000-0005-0000-0000-00009B350000}"/>
    <cellStyle name="Explanatory Text 34" xfId="7302" xr:uid="{00000000-0005-0000-0000-00009C350000}"/>
    <cellStyle name="Explanatory Text 34 2" xfId="20612" xr:uid="{00000000-0005-0000-0000-00009D350000}"/>
    <cellStyle name="Explanatory Text 35" xfId="7303" xr:uid="{00000000-0005-0000-0000-00009E350000}"/>
    <cellStyle name="Explanatory Text 35 2" xfId="20613" xr:uid="{00000000-0005-0000-0000-00009F350000}"/>
    <cellStyle name="Explanatory Text 36" xfId="7304" xr:uid="{00000000-0005-0000-0000-0000A0350000}"/>
    <cellStyle name="Explanatory Text 36 2" xfId="20614" xr:uid="{00000000-0005-0000-0000-0000A1350000}"/>
    <cellStyle name="Explanatory Text 37" xfId="7305" xr:uid="{00000000-0005-0000-0000-0000A2350000}"/>
    <cellStyle name="Explanatory Text 37 2" xfId="20615" xr:uid="{00000000-0005-0000-0000-0000A3350000}"/>
    <cellStyle name="Explanatory Text 38" xfId="7306" xr:uid="{00000000-0005-0000-0000-0000A4350000}"/>
    <cellStyle name="Explanatory Text 38 2" xfId="20616" xr:uid="{00000000-0005-0000-0000-0000A5350000}"/>
    <cellStyle name="Explanatory Text 39" xfId="7307" xr:uid="{00000000-0005-0000-0000-0000A6350000}"/>
    <cellStyle name="Explanatory Text 39 2" xfId="20617" xr:uid="{00000000-0005-0000-0000-0000A7350000}"/>
    <cellStyle name="Explanatory Text 4" xfId="7308" xr:uid="{00000000-0005-0000-0000-0000A8350000}"/>
    <cellStyle name="Explanatory Text 4 2" xfId="20618" xr:uid="{00000000-0005-0000-0000-0000A9350000}"/>
    <cellStyle name="Explanatory Text 4 2 2" xfId="31009" xr:uid="{00000000-0005-0000-0000-0000AA350000}"/>
    <cellStyle name="Explanatory Text 4 3" xfId="31010" xr:uid="{00000000-0005-0000-0000-0000AB350000}"/>
    <cellStyle name="Explanatory Text 4 4" xfId="31011" xr:uid="{00000000-0005-0000-0000-0000AC350000}"/>
    <cellStyle name="Explanatory Text 40" xfId="7309" xr:uid="{00000000-0005-0000-0000-0000AD350000}"/>
    <cellStyle name="Explanatory Text 40 2" xfId="20619" xr:uid="{00000000-0005-0000-0000-0000AE350000}"/>
    <cellStyle name="Explanatory Text 41" xfId="7310" xr:uid="{00000000-0005-0000-0000-0000AF350000}"/>
    <cellStyle name="Explanatory Text 41 2" xfId="20620" xr:uid="{00000000-0005-0000-0000-0000B0350000}"/>
    <cellStyle name="Explanatory Text 42" xfId="7311" xr:uid="{00000000-0005-0000-0000-0000B1350000}"/>
    <cellStyle name="Explanatory Text 42 2" xfId="20621" xr:uid="{00000000-0005-0000-0000-0000B2350000}"/>
    <cellStyle name="Explanatory Text 43" xfId="11591" xr:uid="{00000000-0005-0000-0000-0000B3350000}"/>
    <cellStyle name="Explanatory Text 43 2" xfId="20622" xr:uid="{00000000-0005-0000-0000-0000B4350000}"/>
    <cellStyle name="Explanatory Text 44" xfId="11536" xr:uid="{00000000-0005-0000-0000-0000B5350000}"/>
    <cellStyle name="Explanatory Text 44 2" xfId="20623" xr:uid="{00000000-0005-0000-0000-0000B6350000}"/>
    <cellStyle name="Explanatory Text 45" xfId="20624" xr:uid="{00000000-0005-0000-0000-0000B7350000}"/>
    <cellStyle name="Explanatory Text 46" xfId="31012" xr:uid="{00000000-0005-0000-0000-0000B8350000}"/>
    <cellStyle name="Explanatory Text 47" xfId="528" xr:uid="{00000000-0005-0000-0000-0000B9350000}"/>
    <cellStyle name="Explanatory Text 5" xfId="7312" xr:uid="{00000000-0005-0000-0000-0000BA350000}"/>
    <cellStyle name="Explanatory Text 5 2" xfId="20625" xr:uid="{00000000-0005-0000-0000-0000BB350000}"/>
    <cellStyle name="Explanatory Text 5 2 2" xfId="31013" xr:uid="{00000000-0005-0000-0000-0000BC350000}"/>
    <cellStyle name="Explanatory Text 5 3" xfId="31014" xr:uid="{00000000-0005-0000-0000-0000BD350000}"/>
    <cellStyle name="Explanatory Text 6" xfId="7313" xr:uid="{00000000-0005-0000-0000-0000BE350000}"/>
    <cellStyle name="Explanatory Text 6 2" xfId="20626" xr:uid="{00000000-0005-0000-0000-0000BF350000}"/>
    <cellStyle name="Explanatory Text 6 3" xfId="31015" xr:uid="{00000000-0005-0000-0000-0000C0350000}"/>
    <cellStyle name="Explanatory Text 7" xfId="7314" xr:uid="{00000000-0005-0000-0000-0000C1350000}"/>
    <cellStyle name="Explanatory Text 7 2" xfId="20627" xr:uid="{00000000-0005-0000-0000-0000C2350000}"/>
    <cellStyle name="Explanatory Text 7 3" xfId="31016" xr:uid="{00000000-0005-0000-0000-0000C3350000}"/>
    <cellStyle name="Explanatory Text 8" xfId="7315" xr:uid="{00000000-0005-0000-0000-0000C4350000}"/>
    <cellStyle name="Explanatory Text 8 2" xfId="20628" xr:uid="{00000000-0005-0000-0000-0000C5350000}"/>
    <cellStyle name="Explanatory Text 8 3" xfId="31017" xr:uid="{00000000-0005-0000-0000-0000C6350000}"/>
    <cellStyle name="Explanatory Text 9" xfId="7316" xr:uid="{00000000-0005-0000-0000-0000C7350000}"/>
    <cellStyle name="Explanatory Text 9 2" xfId="20629" xr:uid="{00000000-0005-0000-0000-0000C8350000}"/>
    <cellStyle name="Explanatory Text 9 3" xfId="31018" xr:uid="{00000000-0005-0000-0000-0000C9350000}"/>
    <cellStyle name="Good" xfId="14" builtinId="26" customBuiltin="1"/>
    <cellStyle name="Good 10" xfId="7317" xr:uid="{00000000-0005-0000-0000-0000CB350000}"/>
    <cellStyle name="Good 10 2" xfId="20630" xr:uid="{00000000-0005-0000-0000-0000CC350000}"/>
    <cellStyle name="Good 10 3" xfId="31019" xr:uid="{00000000-0005-0000-0000-0000CD350000}"/>
    <cellStyle name="Good 11" xfId="7318" xr:uid="{00000000-0005-0000-0000-0000CE350000}"/>
    <cellStyle name="Good 11 2" xfId="20631" xr:uid="{00000000-0005-0000-0000-0000CF350000}"/>
    <cellStyle name="Good 11 3" xfId="31020" xr:uid="{00000000-0005-0000-0000-0000D0350000}"/>
    <cellStyle name="Good 12" xfId="7319" xr:uid="{00000000-0005-0000-0000-0000D1350000}"/>
    <cellStyle name="Good 12 2" xfId="20632" xr:uid="{00000000-0005-0000-0000-0000D2350000}"/>
    <cellStyle name="Good 12 3" xfId="31021" xr:uid="{00000000-0005-0000-0000-0000D3350000}"/>
    <cellStyle name="Good 13" xfId="7320" xr:uid="{00000000-0005-0000-0000-0000D4350000}"/>
    <cellStyle name="Good 13 2" xfId="20633" xr:uid="{00000000-0005-0000-0000-0000D5350000}"/>
    <cellStyle name="Good 13 3" xfId="31022" xr:uid="{00000000-0005-0000-0000-0000D6350000}"/>
    <cellStyle name="Good 14" xfId="7321" xr:uid="{00000000-0005-0000-0000-0000D7350000}"/>
    <cellStyle name="Good 14 2" xfId="20634" xr:uid="{00000000-0005-0000-0000-0000D8350000}"/>
    <cellStyle name="Good 14 3" xfId="31023" xr:uid="{00000000-0005-0000-0000-0000D9350000}"/>
    <cellStyle name="Good 15" xfId="7322" xr:uid="{00000000-0005-0000-0000-0000DA350000}"/>
    <cellStyle name="Good 15 2" xfId="20635" xr:uid="{00000000-0005-0000-0000-0000DB350000}"/>
    <cellStyle name="Good 15 3" xfId="31024" xr:uid="{00000000-0005-0000-0000-0000DC350000}"/>
    <cellStyle name="Good 16" xfId="7323" xr:uid="{00000000-0005-0000-0000-0000DD350000}"/>
    <cellStyle name="Good 16 2" xfId="20636" xr:uid="{00000000-0005-0000-0000-0000DE350000}"/>
    <cellStyle name="Good 16 3" xfId="31025" xr:uid="{00000000-0005-0000-0000-0000DF350000}"/>
    <cellStyle name="Good 17" xfId="7324" xr:uid="{00000000-0005-0000-0000-0000E0350000}"/>
    <cellStyle name="Good 17 2" xfId="20637" xr:uid="{00000000-0005-0000-0000-0000E1350000}"/>
    <cellStyle name="Good 17 3" xfId="31026" xr:uid="{00000000-0005-0000-0000-0000E2350000}"/>
    <cellStyle name="Good 18" xfId="7325" xr:uid="{00000000-0005-0000-0000-0000E3350000}"/>
    <cellStyle name="Good 18 2" xfId="20638" xr:uid="{00000000-0005-0000-0000-0000E4350000}"/>
    <cellStyle name="Good 19" xfId="7326" xr:uid="{00000000-0005-0000-0000-0000E5350000}"/>
    <cellStyle name="Good 19 2" xfId="20639" xr:uid="{00000000-0005-0000-0000-0000E6350000}"/>
    <cellStyle name="Good 2" xfId="7327" xr:uid="{00000000-0005-0000-0000-0000E7350000}"/>
    <cellStyle name="Good 2 10" xfId="7328" xr:uid="{00000000-0005-0000-0000-0000E8350000}"/>
    <cellStyle name="Good 2 10 2" xfId="20641" xr:uid="{00000000-0005-0000-0000-0000E9350000}"/>
    <cellStyle name="Good 2 11" xfId="7329" xr:uid="{00000000-0005-0000-0000-0000EA350000}"/>
    <cellStyle name="Good 2 11 2" xfId="20642" xr:uid="{00000000-0005-0000-0000-0000EB350000}"/>
    <cellStyle name="Good 2 12" xfId="7330" xr:uid="{00000000-0005-0000-0000-0000EC350000}"/>
    <cellStyle name="Good 2 12 2" xfId="20643" xr:uid="{00000000-0005-0000-0000-0000ED350000}"/>
    <cellStyle name="Good 2 13" xfId="7331" xr:uid="{00000000-0005-0000-0000-0000EE350000}"/>
    <cellStyle name="Good 2 13 2" xfId="20644" xr:uid="{00000000-0005-0000-0000-0000EF350000}"/>
    <cellStyle name="Good 2 14" xfId="7332" xr:uid="{00000000-0005-0000-0000-0000F0350000}"/>
    <cellStyle name="Good 2 14 2" xfId="20645" xr:uid="{00000000-0005-0000-0000-0000F1350000}"/>
    <cellStyle name="Good 2 15" xfId="7333" xr:uid="{00000000-0005-0000-0000-0000F2350000}"/>
    <cellStyle name="Good 2 15 2" xfId="20646" xr:uid="{00000000-0005-0000-0000-0000F3350000}"/>
    <cellStyle name="Good 2 16" xfId="7334" xr:uid="{00000000-0005-0000-0000-0000F4350000}"/>
    <cellStyle name="Good 2 16 2" xfId="7335" xr:uid="{00000000-0005-0000-0000-0000F5350000}"/>
    <cellStyle name="Good 2 16 2 2" xfId="20648" xr:uid="{00000000-0005-0000-0000-0000F6350000}"/>
    <cellStyle name="Good 2 16 3" xfId="20647" xr:uid="{00000000-0005-0000-0000-0000F7350000}"/>
    <cellStyle name="Good 2 17" xfId="7336" xr:uid="{00000000-0005-0000-0000-0000F8350000}"/>
    <cellStyle name="Good 2 17 2" xfId="20649" xr:uid="{00000000-0005-0000-0000-0000F9350000}"/>
    <cellStyle name="Good 2 18" xfId="7337" xr:uid="{00000000-0005-0000-0000-0000FA350000}"/>
    <cellStyle name="Good 2 18 2" xfId="20650" xr:uid="{00000000-0005-0000-0000-0000FB350000}"/>
    <cellStyle name="Good 2 19" xfId="7338" xr:uid="{00000000-0005-0000-0000-0000FC350000}"/>
    <cellStyle name="Good 2 19 2" xfId="20651" xr:uid="{00000000-0005-0000-0000-0000FD350000}"/>
    <cellStyle name="Good 2 2" xfId="7339" xr:uid="{00000000-0005-0000-0000-0000FE350000}"/>
    <cellStyle name="Good 2 2 10" xfId="7340" xr:uid="{00000000-0005-0000-0000-0000FF350000}"/>
    <cellStyle name="Good 2 2 10 2" xfId="20653" xr:uid="{00000000-0005-0000-0000-000000360000}"/>
    <cellStyle name="Good 2 2 11" xfId="7341" xr:uid="{00000000-0005-0000-0000-000001360000}"/>
    <cellStyle name="Good 2 2 11 2" xfId="20654" xr:uid="{00000000-0005-0000-0000-000002360000}"/>
    <cellStyle name="Good 2 2 12" xfId="7342" xr:uid="{00000000-0005-0000-0000-000003360000}"/>
    <cellStyle name="Good 2 2 12 2" xfId="20655" xr:uid="{00000000-0005-0000-0000-000004360000}"/>
    <cellStyle name="Good 2 2 13" xfId="7343" xr:uid="{00000000-0005-0000-0000-000005360000}"/>
    <cellStyle name="Good 2 2 13 2" xfId="20656" xr:uid="{00000000-0005-0000-0000-000006360000}"/>
    <cellStyle name="Good 2 2 14" xfId="7344" xr:uid="{00000000-0005-0000-0000-000007360000}"/>
    <cellStyle name="Good 2 2 14 2" xfId="7345" xr:uid="{00000000-0005-0000-0000-000008360000}"/>
    <cellStyle name="Good 2 2 14 2 2" xfId="20658" xr:uid="{00000000-0005-0000-0000-000009360000}"/>
    <cellStyle name="Good 2 2 14 3" xfId="20657" xr:uid="{00000000-0005-0000-0000-00000A360000}"/>
    <cellStyle name="Good 2 2 15" xfId="7346" xr:uid="{00000000-0005-0000-0000-00000B360000}"/>
    <cellStyle name="Good 2 2 15 2" xfId="20659" xr:uid="{00000000-0005-0000-0000-00000C360000}"/>
    <cellStyle name="Good 2 2 16" xfId="7347" xr:uid="{00000000-0005-0000-0000-00000D360000}"/>
    <cellStyle name="Good 2 2 16 2" xfId="20660" xr:uid="{00000000-0005-0000-0000-00000E360000}"/>
    <cellStyle name="Good 2 2 17" xfId="7348" xr:uid="{00000000-0005-0000-0000-00000F360000}"/>
    <cellStyle name="Good 2 2 17 2" xfId="20661" xr:uid="{00000000-0005-0000-0000-000010360000}"/>
    <cellStyle name="Good 2 2 18" xfId="7349" xr:uid="{00000000-0005-0000-0000-000011360000}"/>
    <cellStyle name="Good 2 2 18 2" xfId="20662" xr:uid="{00000000-0005-0000-0000-000012360000}"/>
    <cellStyle name="Good 2 2 19" xfId="7350" xr:uid="{00000000-0005-0000-0000-000013360000}"/>
    <cellStyle name="Good 2 2 19 2" xfId="20663" xr:uid="{00000000-0005-0000-0000-000014360000}"/>
    <cellStyle name="Good 2 2 2" xfId="7351" xr:uid="{00000000-0005-0000-0000-000015360000}"/>
    <cellStyle name="Good 2 2 2 10" xfId="7352" xr:uid="{00000000-0005-0000-0000-000016360000}"/>
    <cellStyle name="Good 2 2 2 10 2" xfId="20665" xr:uid="{00000000-0005-0000-0000-000017360000}"/>
    <cellStyle name="Good 2 2 2 11" xfId="7353" xr:uid="{00000000-0005-0000-0000-000018360000}"/>
    <cellStyle name="Good 2 2 2 11 2" xfId="20666" xr:uid="{00000000-0005-0000-0000-000019360000}"/>
    <cellStyle name="Good 2 2 2 12" xfId="7354" xr:uid="{00000000-0005-0000-0000-00001A360000}"/>
    <cellStyle name="Good 2 2 2 12 2" xfId="20667" xr:uid="{00000000-0005-0000-0000-00001B360000}"/>
    <cellStyle name="Good 2 2 2 13" xfId="7355" xr:uid="{00000000-0005-0000-0000-00001C360000}"/>
    <cellStyle name="Good 2 2 2 13 2" xfId="20668" xr:uid="{00000000-0005-0000-0000-00001D360000}"/>
    <cellStyle name="Good 2 2 2 14" xfId="7356" xr:uid="{00000000-0005-0000-0000-00001E360000}"/>
    <cellStyle name="Good 2 2 2 14 2" xfId="20669" xr:uid="{00000000-0005-0000-0000-00001F360000}"/>
    <cellStyle name="Good 2 2 2 15" xfId="7357" xr:uid="{00000000-0005-0000-0000-000020360000}"/>
    <cellStyle name="Good 2 2 2 15 2" xfId="20670" xr:uid="{00000000-0005-0000-0000-000021360000}"/>
    <cellStyle name="Good 2 2 2 16" xfId="7358" xr:uid="{00000000-0005-0000-0000-000022360000}"/>
    <cellStyle name="Good 2 2 2 16 2" xfId="20671" xr:uid="{00000000-0005-0000-0000-000023360000}"/>
    <cellStyle name="Good 2 2 2 17" xfId="7359" xr:uid="{00000000-0005-0000-0000-000024360000}"/>
    <cellStyle name="Good 2 2 2 17 2" xfId="20672" xr:uid="{00000000-0005-0000-0000-000025360000}"/>
    <cellStyle name="Good 2 2 2 18" xfId="7360" xr:uid="{00000000-0005-0000-0000-000026360000}"/>
    <cellStyle name="Good 2 2 2 18 2" xfId="20673" xr:uid="{00000000-0005-0000-0000-000027360000}"/>
    <cellStyle name="Good 2 2 2 19" xfId="7361" xr:uid="{00000000-0005-0000-0000-000028360000}"/>
    <cellStyle name="Good 2 2 2 19 2" xfId="20674" xr:uid="{00000000-0005-0000-0000-000029360000}"/>
    <cellStyle name="Good 2 2 2 2" xfId="7362" xr:uid="{00000000-0005-0000-0000-00002A360000}"/>
    <cellStyle name="Good 2 2 2 2 10" xfId="7363" xr:uid="{00000000-0005-0000-0000-00002B360000}"/>
    <cellStyle name="Good 2 2 2 2 10 2" xfId="20676" xr:uid="{00000000-0005-0000-0000-00002C360000}"/>
    <cellStyle name="Good 2 2 2 2 11" xfId="7364" xr:uid="{00000000-0005-0000-0000-00002D360000}"/>
    <cellStyle name="Good 2 2 2 2 11 2" xfId="20677" xr:uid="{00000000-0005-0000-0000-00002E360000}"/>
    <cellStyle name="Good 2 2 2 2 12" xfId="7365" xr:uid="{00000000-0005-0000-0000-00002F360000}"/>
    <cellStyle name="Good 2 2 2 2 12 2" xfId="20678" xr:uid="{00000000-0005-0000-0000-000030360000}"/>
    <cellStyle name="Good 2 2 2 2 13" xfId="7366" xr:uid="{00000000-0005-0000-0000-000031360000}"/>
    <cellStyle name="Good 2 2 2 2 13 2" xfId="20679" xr:uid="{00000000-0005-0000-0000-000032360000}"/>
    <cellStyle name="Good 2 2 2 2 14" xfId="7367" xr:uid="{00000000-0005-0000-0000-000033360000}"/>
    <cellStyle name="Good 2 2 2 2 14 2" xfId="20680" xr:uid="{00000000-0005-0000-0000-000034360000}"/>
    <cellStyle name="Good 2 2 2 2 15" xfId="7368" xr:uid="{00000000-0005-0000-0000-000035360000}"/>
    <cellStyle name="Good 2 2 2 2 15 2" xfId="20681" xr:uid="{00000000-0005-0000-0000-000036360000}"/>
    <cellStyle name="Good 2 2 2 2 16" xfId="7369" xr:uid="{00000000-0005-0000-0000-000037360000}"/>
    <cellStyle name="Good 2 2 2 2 16 2" xfId="20682" xr:uid="{00000000-0005-0000-0000-000038360000}"/>
    <cellStyle name="Good 2 2 2 2 17" xfId="7370" xr:uid="{00000000-0005-0000-0000-000039360000}"/>
    <cellStyle name="Good 2 2 2 2 17 2" xfId="20683" xr:uid="{00000000-0005-0000-0000-00003A360000}"/>
    <cellStyle name="Good 2 2 2 2 18" xfId="7371" xr:uid="{00000000-0005-0000-0000-00003B360000}"/>
    <cellStyle name="Good 2 2 2 2 18 2" xfId="20684" xr:uid="{00000000-0005-0000-0000-00003C360000}"/>
    <cellStyle name="Good 2 2 2 2 19" xfId="7372" xr:uid="{00000000-0005-0000-0000-00003D360000}"/>
    <cellStyle name="Good 2 2 2 2 19 2" xfId="20685" xr:uid="{00000000-0005-0000-0000-00003E360000}"/>
    <cellStyle name="Good 2 2 2 2 2" xfId="7373" xr:uid="{00000000-0005-0000-0000-00003F360000}"/>
    <cellStyle name="Good 2 2 2 2 2 10" xfId="7374" xr:uid="{00000000-0005-0000-0000-000040360000}"/>
    <cellStyle name="Good 2 2 2 2 2 10 2" xfId="20687" xr:uid="{00000000-0005-0000-0000-000041360000}"/>
    <cellStyle name="Good 2 2 2 2 2 11" xfId="7375" xr:uid="{00000000-0005-0000-0000-000042360000}"/>
    <cellStyle name="Good 2 2 2 2 2 11 2" xfId="7376" xr:uid="{00000000-0005-0000-0000-000043360000}"/>
    <cellStyle name="Good 2 2 2 2 2 11 2 2" xfId="20689" xr:uid="{00000000-0005-0000-0000-000044360000}"/>
    <cellStyle name="Good 2 2 2 2 2 11 3" xfId="20688" xr:uid="{00000000-0005-0000-0000-000045360000}"/>
    <cellStyle name="Good 2 2 2 2 2 12" xfId="20686" xr:uid="{00000000-0005-0000-0000-000046360000}"/>
    <cellStyle name="Good 2 2 2 2 2 2" xfId="7377" xr:uid="{00000000-0005-0000-0000-000047360000}"/>
    <cellStyle name="Good 2 2 2 2 2 2 10" xfId="7378" xr:uid="{00000000-0005-0000-0000-000048360000}"/>
    <cellStyle name="Good 2 2 2 2 2 2 10 2" xfId="20691" xr:uid="{00000000-0005-0000-0000-000049360000}"/>
    <cellStyle name="Good 2 2 2 2 2 2 11" xfId="7379" xr:uid="{00000000-0005-0000-0000-00004A360000}"/>
    <cellStyle name="Good 2 2 2 2 2 2 11 2" xfId="7380" xr:uid="{00000000-0005-0000-0000-00004B360000}"/>
    <cellStyle name="Good 2 2 2 2 2 2 11 2 2" xfId="20693" xr:uid="{00000000-0005-0000-0000-00004C360000}"/>
    <cellStyle name="Good 2 2 2 2 2 2 11 3" xfId="20692" xr:uid="{00000000-0005-0000-0000-00004D360000}"/>
    <cellStyle name="Good 2 2 2 2 2 2 12" xfId="20690" xr:uid="{00000000-0005-0000-0000-00004E360000}"/>
    <cellStyle name="Good 2 2 2 2 2 2 2" xfId="7381" xr:uid="{00000000-0005-0000-0000-00004F360000}"/>
    <cellStyle name="Good 2 2 2 2 2 2 2 2" xfId="7382" xr:uid="{00000000-0005-0000-0000-000050360000}"/>
    <cellStyle name="Good 2 2 2 2 2 2 2 2 2" xfId="7383" xr:uid="{00000000-0005-0000-0000-000051360000}"/>
    <cellStyle name="Good 2 2 2 2 2 2 2 2 2 2" xfId="7384" xr:uid="{00000000-0005-0000-0000-000052360000}"/>
    <cellStyle name="Good 2 2 2 2 2 2 2 2 2 2 2" xfId="20697" xr:uid="{00000000-0005-0000-0000-000053360000}"/>
    <cellStyle name="Good 2 2 2 2 2 2 2 2 2 3" xfId="20696" xr:uid="{00000000-0005-0000-0000-000054360000}"/>
    <cellStyle name="Good 2 2 2 2 2 2 2 2 3" xfId="7385" xr:uid="{00000000-0005-0000-0000-000055360000}"/>
    <cellStyle name="Good 2 2 2 2 2 2 2 2 3 2" xfId="20698" xr:uid="{00000000-0005-0000-0000-000056360000}"/>
    <cellStyle name="Good 2 2 2 2 2 2 2 2 4" xfId="20695" xr:uid="{00000000-0005-0000-0000-000057360000}"/>
    <cellStyle name="Good 2 2 2 2 2 2 2 3" xfId="7386" xr:uid="{00000000-0005-0000-0000-000058360000}"/>
    <cellStyle name="Good 2 2 2 2 2 2 2 3 2" xfId="7387" xr:uid="{00000000-0005-0000-0000-000059360000}"/>
    <cellStyle name="Good 2 2 2 2 2 2 2 3 2 2" xfId="20700" xr:uid="{00000000-0005-0000-0000-00005A360000}"/>
    <cellStyle name="Good 2 2 2 2 2 2 2 3 3" xfId="20699" xr:uid="{00000000-0005-0000-0000-00005B360000}"/>
    <cellStyle name="Good 2 2 2 2 2 2 2 4" xfId="20694" xr:uid="{00000000-0005-0000-0000-00005C360000}"/>
    <cellStyle name="Good 2 2 2 2 2 2 3" xfId="7388" xr:uid="{00000000-0005-0000-0000-00005D360000}"/>
    <cellStyle name="Good 2 2 2 2 2 2 3 2" xfId="20701" xr:uid="{00000000-0005-0000-0000-00005E360000}"/>
    <cellStyle name="Good 2 2 2 2 2 2 4" xfId="7389" xr:uid="{00000000-0005-0000-0000-00005F360000}"/>
    <cellStyle name="Good 2 2 2 2 2 2 4 2" xfId="20702" xr:uid="{00000000-0005-0000-0000-000060360000}"/>
    <cellStyle name="Good 2 2 2 2 2 2 5" xfId="7390" xr:uid="{00000000-0005-0000-0000-000061360000}"/>
    <cellStyle name="Good 2 2 2 2 2 2 5 2" xfId="20703" xr:uid="{00000000-0005-0000-0000-000062360000}"/>
    <cellStyle name="Good 2 2 2 2 2 2 6" xfId="7391" xr:uid="{00000000-0005-0000-0000-000063360000}"/>
    <cellStyle name="Good 2 2 2 2 2 2 6 2" xfId="20704" xr:uid="{00000000-0005-0000-0000-000064360000}"/>
    <cellStyle name="Good 2 2 2 2 2 2 7" xfId="7392" xr:uid="{00000000-0005-0000-0000-000065360000}"/>
    <cellStyle name="Good 2 2 2 2 2 2 7 2" xfId="20705" xr:uid="{00000000-0005-0000-0000-000066360000}"/>
    <cellStyle name="Good 2 2 2 2 2 2 8" xfId="7393" xr:uid="{00000000-0005-0000-0000-000067360000}"/>
    <cellStyle name="Good 2 2 2 2 2 2 8 2" xfId="20706" xr:uid="{00000000-0005-0000-0000-000068360000}"/>
    <cellStyle name="Good 2 2 2 2 2 2 9" xfId="7394" xr:uid="{00000000-0005-0000-0000-000069360000}"/>
    <cellStyle name="Good 2 2 2 2 2 2 9 2" xfId="20707" xr:uid="{00000000-0005-0000-0000-00006A360000}"/>
    <cellStyle name="Good 2 2 2 2 2 3" xfId="7395" xr:uid="{00000000-0005-0000-0000-00006B360000}"/>
    <cellStyle name="Good 2 2 2 2 2 3 2" xfId="7396" xr:uid="{00000000-0005-0000-0000-00006C360000}"/>
    <cellStyle name="Good 2 2 2 2 2 3 2 2" xfId="20709" xr:uid="{00000000-0005-0000-0000-00006D360000}"/>
    <cellStyle name="Good 2 2 2 2 2 3 3" xfId="20708" xr:uid="{00000000-0005-0000-0000-00006E360000}"/>
    <cellStyle name="Good 2 2 2 2 2 4" xfId="7397" xr:uid="{00000000-0005-0000-0000-00006F360000}"/>
    <cellStyle name="Good 2 2 2 2 2 4 2" xfId="20710" xr:uid="{00000000-0005-0000-0000-000070360000}"/>
    <cellStyle name="Good 2 2 2 2 2 5" xfId="7398" xr:uid="{00000000-0005-0000-0000-000071360000}"/>
    <cellStyle name="Good 2 2 2 2 2 5 2" xfId="20711" xr:uid="{00000000-0005-0000-0000-000072360000}"/>
    <cellStyle name="Good 2 2 2 2 2 6" xfId="7399" xr:uid="{00000000-0005-0000-0000-000073360000}"/>
    <cellStyle name="Good 2 2 2 2 2 6 2" xfId="20712" xr:uid="{00000000-0005-0000-0000-000074360000}"/>
    <cellStyle name="Good 2 2 2 2 2 7" xfId="7400" xr:uid="{00000000-0005-0000-0000-000075360000}"/>
    <cellStyle name="Good 2 2 2 2 2 7 2" xfId="20713" xr:uid="{00000000-0005-0000-0000-000076360000}"/>
    <cellStyle name="Good 2 2 2 2 2 8" xfId="7401" xr:uid="{00000000-0005-0000-0000-000077360000}"/>
    <cellStyle name="Good 2 2 2 2 2 8 2" xfId="20714" xr:uid="{00000000-0005-0000-0000-000078360000}"/>
    <cellStyle name="Good 2 2 2 2 2 9" xfId="7402" xr:uid="{00000000-0005-0000-0000-000079360000}"/>
    <cellStyle name="Good 2 2 2 2 2 9 2" xfId="20715" xr:uid="{00000000-0005-0000-0000-00007A360000}"/>
    <cellStyle name="Good 2 2 2 2 20" xfId="7403" xr:uid="{00000000-0005-0000-0000-00007B360000}"/>
    <cellStyle name="Good 2 2 2 2 20 2" xfId="7404" xr:uid="{00000000-0005-0000-0000-00007C360000}"/>
    <cellStyle name="Good 2 2 2 2 20 2 2" xfId="20717" xr:uid="{00000000-0005-0000-0000-00007D360000}"/>
    <cellStyle name="Good 2 2 2 2 20 3" xfId="20716" xr:uid="{00000000-0005-0000-0000-00007E360000}"/>
    <cellStyle name="Good 2 2 2 2 21" xfId="7405" xr:uid="{00000000-0005-0000-0000-00007F360000}"/>
    <cellStyle name="Good 2 2 2 2 21 2" xfId="20718" xr:uid="{00000000-0005-0000-0000-000080360000}"/>
    <cellStyle name="Good 2 2 2 2 22" xfId="7406" xr:uid="{00000000-0005-0000-0000-000081360000}"/>
    <cellStyle name="Good 2 2 2 2 22 2" xfId="20719" xr:uid="{00000000-0005-0000-0000-000082360000}"/>
    <cellStyle name="Good 2 2 2 2 23" xfId="7407" xr:uid="{00000000-0005-0000-0000-000083360000}"/>
    <cellStyle name="Good 2 2 2 2 23 2" xfId="20720" xr:uid="{00000000-0005-0000-0000-000084360000}"/>
    <cellStyle name="Good 2 2 2 2 24" xfId="7408" xr:uid="{00000000-0005-0000-0000-000085360000}"/>
    <cellStyle name="Good 2 2 2 2 24 2" xfId="20721" xr:uid="{00000000-0005-0000-0000-000086360000}"/>
    <cellStyle name="Good 2 2 2 2 25" xfId="7409" xr:uid="{00000000-0005-0000-0000-000087360000}"/>
    <cellStyle name="Good 2 2 2 2 25 2" xfId="20722" xr:uid="{00000000-0005-0000-0000-000088360000}"/>
    <cellStyle name="Good 2 2 2 2 26" xfId="7410" xr:uid="{00000000-0005-0000-0000-000089360000}"/>
    <cellStyle name="Good 2 2 2 2 26 2" xfId="20723" xr:uid="{00000000-0005-0000-0000-00008A360000}"/>
    <cellStyle name="Good 2 2 2 2 27" xfId="7411" xr:uid="{00000000-0005-0000-0000-00008B360000}"/>
    <cellStyle name="Good 2 2 2 2 27 2" xfId="20724" xr:uid="{00000000-0005-0000-0000-00008C360000}"/>
    <cellStyle name="Good 2 2 2 2 28" xfId="7412" xr:uid="{00000000-0005-0000-0000-00008D360000}"/>
    <cellStyle name="Good 2 2 2 2 28 2" xfId="7413" xr:uid="{00000000-0005-0000-0000-00008E360000}"/>
    <cellStyle name="Good 2 2 2 2 28 2 2" xfId="20726" xr:uid="{00000000-0005-0000-0000-00008F360000}"/>
    <cellStyle name="Good 2 2 2 2 28 3" xfId="20725" xr:uid="{00000000-0005-0000-0000-000090360000}"/>
    <cellStyle name="Good 2 2 2 2 29" xfId="20675" xr:uid="{00000000-0005-0000-0000-000091360000}"/>
    <cellStyle name="Good 2 2 2 2 3" xfId="7414" xr:uid="{00000000-0005-0000-0000-000092360000}"/>
    <cellStyle name="Good 2 2 2 2 3 2" xfId="20727" xr:uid="{00000000-0005-0000-0000-000093360000}"/>
    <cellStyle name="Good 2 2 2 2 4" xfId="7415" xr:uid="{00000000-0005-0000-0000-000094360000}"/>
    <cellStyle name="Good 2 2 2 2 4 2" xfId="20728" xr:uid="{00000000-0005-0000-0000-000095360000}"/>
    <cellStyle name="Good 2 2 2 2 5" xfId="7416" xr:uid="{00000000-0005-0000-0000-000096360000}"/>
    <cellStyle name="Good 2 2 2 2 5 2" xfId="20729" xr:uid="{00000000-0005-0000-0000-000097360000}"/>
    <cellStyle name="Good 2 2 2 2 6" xfId="7417" xr:uid="{00000000-0005-0000-0000-000098360000}"/>
    <cellStyle name="Good 2 2 2 2 6 2" xfId="20730" xr:uid="{00000000-0005-0000-0000-000099360000}"/>
    <cellStyle name="Good 2 2 2 2 7" xfId="7418" xr:uid="{00000000-0005-0000-0000-00009A360000}"/>
    <cellStyle name="Good 2 2 2 2 7 2" xfId="20731" xr:uid="{00000000-0005-0000-0000-00009B360000}"/>
    <cellStyle name="Good 2 2 2 2 8" xfId="7419" xr:uid="{00000000-0005-0000-0000-00009C360000}"/>
    <cellStyle name="Good 2 2 2 2 8 2" xfId="20732" xr:uid="{00000000-0005-0000-0000-00009D360000}"/>
    <cellStyle name="Good 2 2 2 2 9" xfId="7420" xr:uid="{00000000-0005-0000-0000-00009E360000}"/>
    <cellStyle name="Good 2 2 2 2 9 2" xfId="20733" xr:uid="{00000000-0005-0000-0000-00009F360000}"/>
    <cellStyle name="Good 2 2 2 20" xfId="7421" xr:uid="{00000000-0005-0000-0000-0000A0360000}"/>
    <cellStyle name="Good 2 2 2 20 2" xfId="7422" xr:uid="{00000000-0005-0000-0000-0000A1360000}"/>
    <cellStyle name="Good 2 2 2 20 2 2" xfId="20735" xr:uid="{00000000-0005-0000-0000-0000A2360000}"/>
    <cellStyle name="Good 2 2 2 20 3" xfId="20734" xr:uid="{00000000-0005-0000-0000-0000A3360000}"/>
    <cellStyle name="Good 2 2 2 21" xfId="7423" xr:uid="{00000000-0005-0000-0000-0000A4360000}"/>
    <cellStyle name="Good 2 2 2 21 2" xfId="20736" xr:uid="{00000000-0005-0000-0000-0000A5360000}"/>
    <cellStyle name="Good 2 2 2 22" xfId="7424" xr:uid="{00000000-0005-0000-0000-0000A6360000}"/>
    <cellStyle name="Good 2 2 2 22 2" xfId="20737" xr:uid="{00000000-0005-0000-0000-0000A7360000}"/>
    <cellStyle name="Good 2 2 2 23" xfId="7425" xr:uid="{00000000-0005-0000-0000-0000A8360000}"/>
    <cellStyle name="Good 2 2 2 23 2" xfId="20738" xr:uid="{00000000-0005-0000-0000-0000A9360000}"/>
    <cellStyle name="Good 2 2 2 24" xfId="7426" xr:uid="{00000000-0005-0000-0000-0000AA360000}"/>
    <cellStyle name="Good 2 2 2 24 2" xfId="20739" xr:uid="{00000000-0005-0000-0000-0000AB360000}"/>
    <cellStyle name="Good 2 2 2 25" xfId="7427" xr:uid="{00000000-0005-0000-0000-0000AC360000}"/>
    <cellStyle name="Good 2 2 2 25 2" xfId="20740" xr:uid="{00000000-0005-0000-0000-0000AD360000}"/>
    <cellStyle name="Good 2 2 2 26" xfId="7428" xr:uid="{00000000-0005-0000-0000-0000AE360000}"/>
    <cellStyle name="Good 2 2 2 26 2" xfId="20741" xr:uid="{00000000-0005-0000-0000-0000AF360000}"/>
    <cellStyle name="Good 2 2 2 27" xfId="7429" xr:uid="{00000000-0005-0000-0000-0000B0360000}"/>
    <cellStyle name="Good 2 2 2 27 2" xfId="20742" xr:uid="{00000000-0005-0000-0000-0000B1360000}"/>
    <cellStyle name="Good 2 2 2 28" xfId="7430" xr:uid="{00000000-0005-0000-0000-0000B2360000}"/>
    <cellStyle name="Good 2 2 2 28 2" xfId="7431" xr:uid="{00000000-0005-0000-0000-0000B3360000}"/>
    <cellStyle name="Good 2 2 2 28 2 2" xfId="20744" xr:uid="{00000000-0005-0000-0000-0000B4360000}"/>
    <cellStyle name="Good 2 2 2 28 3" xfId="20743" xr:uid="{00000000-0005-0000-0000-0000B5360000}"/>
    <cellStyle name="Good 2 2 2 29" xfId="20664" xr:uid="{00000000-0005-0000-0000-0000B6360000}"/>
    <cellStyle name="Good 2 2 2 3" xfId="7432" xr:uid="{00000000-0005-0000-0000-0000B7360000}"/>
    <cellStyle name="Good 2 2 2 3 2" xfId="7433" xr:uid="{00000000-0005-0000-0000-0000B8360000}"/>
    <cellStyle name="Good 2 2 2 3 2 2" xfId="20746" xr:uid="{00000000-0005-0000-0000-0000B9360000}"/>
    <cellStyle name="Good 2 2 2 3 3" xfId="20745" xr:uid="{00000000-0005-0000-0000-0000BA360000}"/>
    <cellStyle name="Good 2 2 2 30" xfId="31027" xr:uid="{00000000-0005-0000-0000-0000BB360000}"/>
    <cellStyle name="Good 2 2 2 4" xfId="7434" xr:uid="{00000000-0005-0000-0000-0000BC360000}"/>
    <cellStyle name="Good 2 2 2 4 2" xfId="20747" xr:uid="{00000000-0005-0000-0000-0000BD360000}"/>
    <cellStyle name="Good 2 2 2 5" xfId="7435" xr:uid="{00000000-0005-0000-0000-0000BE360000}"/>
    <cellStyle name="Good 2 2 2 5 2" xfId="20748" xr:uid="{00000000-0005-0000-0000-0000BF360000}"/>
    <cellStyle name="Good 2 2 2 6" xfId="7436" xr:uid="{00000000-0005-0000-0000-0000C0360000}"/>
    <cellStyle name="Good 2 2 2 6 2" xfId="20749" xr:uid="{00000000-0005-0000-0000-0000C1360000}"/>
    <cellStyle name="Good 2 2 2 7" xfId="7437" xr:uid="{00000000-0005-0000-0000-0000C2360000}"/>
    <cellStyle name="Good 2 2 2 7 2" xfId="20750" xr:uid="{00000000-0005-0000-0000-0000C3360000}"/>
    <cellStyle name="Good 2 2 2 8" xfId="7438" xr:uid="{00000000-0005-0000-0000-0000C4360000}"/>
    <cellStyle name="Good 2 2 2 8 2" xfId="20751" xr:uid="{00000000-0005-0000-0000-0000C5360000}"/>
    <cellStyle name="Good 2 2 2 9" xfId="7439" xr:uid="{00000000-0005-0000-0000-0000C6360000}"/>
    <cellStyle name="Good 2 2 2 9 2" xfId="20752" xr:uid="{00000000-0005-0000-0000-0000C7360000}"/>
    <cellStyle name="Good 2 2 20" xfId="7440" xr:uid="{00000000-0005-0000-0000-0000C8360000}"/>
    <cellStyle name="Good 2 2 20 2" xfId="20753" xr:uid="{00000000-0005-0000-0000-0000C9360000}"/>
    <cellStyle name="Good 2 2 21" xfId="7441" xr:uid="{00000000-0005-0000-0000-0000CA360000}"/>
    <cellStyle name="Good 2 2 21 2" xfId="20754" xr:uid="{00000000-0005-0000-0000-0000CB360000}"/>
    <cellStyle name="Good 2 2 22" xfId="7442" xr:uid="{00000000-0005-0000-0000-0000CC360000}"/>
    <cellStyle name="Good 2 2 22 2" xfId="20755" xr:uid="{00000000-0005-0000-0000-0000CD360000}"/>
    <cellStyle name="Good 2 2 23" xfId="7443" xr:uid="{00000000-0005-0000-0000-0000CE360000}"/>
    <cellStyle name="Good 2 2 23 2" xfId="20756" xr:uid="{00000000-0005-0000-0000-0000CF360000}"/>
    <cellStyle name="Good 2 2 24" xfId="7444" xr:uid="{00000000-0005-0000-0000-0000D0360000}"/>
    <cellStyle name="Good 2 2 24 2" xfId="20757" xr:uid="{00000000-0005-0000-0000-0000D1360000}"/>
    <cellStyle name="Good 2 2 25" xfId="7445" xr:uid="{00000000-0005-0000-0000-0000D2360000}"/>
    <cellStyle name="Good 2 2 25 2" xfId="20758" xr:uid="{00000000-0005-0000-0000-0000D3360000}"/>
    <cellStyle name="Good 2 2 26" xfId="7446" xr:uid="{00000000-0005-0000-0000-0000D4360000}"/>
    <cellStyle name="Good 2 2 26 2" xfId="20759" xr:uid="{00000000-0005-0000-0000-0000D5360000}"/>
    <cellStyle name="Good 2 2 27" xfId="7447" xr:uid="{00000000-0005-0000-0000-0000D6360000}"/>
    <cellStyle name="Good 2 2 27 2" xfId="20760" xr:uid="{00000000-0005-0000-0000-0000D7360000}"/>
    <cellStyle name="Good 2 2 28" xfId="7448" xr:uid="{00000000-0005-0000-0000-0000D8360000}"/>
    <cellStyle name="Good 2 2 28 2" xfId="20761" xr:uid="{00000000-0005-0000-0000-0000D9360000}"/>
    <cellStyle name="Good 2 2 29" xfId="7449" xr:uid="{00000000-0005-0000-0000-0000DA360000}"/>
    <cellStyle name="Good 2 2 29 2" xfId="20762" xr:uid="{00000000-0005-0000-0000-0000DB360000}"/>
    <cellStyle name="Good 2 2 3" xfId="7450" xr:uid="{00000000-0005-0000-0000-0000DC360000}"/>
    <cellStyle name="Good 2 2 3 2" xfId="20763" xr:uid="{00000000-0005-0000-0000-0000DD360000}"/>
    <cellStyle name="Good 2 2 30" xfId="7451" xr:uid="{00000000-0005-0000-0000-0000DE360000}"/>
    <cellStyle name="Good 2 2 30 2" xfId="20764" xr:uid="{00000000-0005-0000-0000-0000DF360000}"/>
    <cellStyle name="Good 2 2 31" xfId="7452" xr:uid="{00000000-0005-0000-0000-0000E0360000}"/>
    <cellStyle name="Good 2 2 31 2" xfId="7453" xr:uid="{00000000-0005-0000-0000-0000E1360000}"/>
    <cellStyle name="Good 2 2 31 2 2" xfId="20766" xr:uid="{00000000-0005-0000-0000-0000E2360000}"/>
    <cellStyle name="Good 2 2 31 3" xfId="20765" xr:uid="{00000000-0005-0000-0000-0000E3360000}"/>
    <cellStyle name="Good 2 2 32" xfId="7454" xr:uid="{00000000-0005-0000-0000-0000E4360000}"/>
    <cellStyle name="Good 2 2 32 2" xfId="20767" xr:uid="{00000000-0005-0000-0000-0000E5360000}"/>
    <cellStyle name="Good 2 2 33" xfId="7455" xr:uid="{00000000-0005-0000-0000-0000E6360000}"/>
    <cellStyle name="Good 2 2 33 2" xfId="20768" xr:uid="{00000000-0005-0000-0000-0000E7360000}"/>
    <cellStyle name="Good 2 2 34" xfId="7456" xr:uid="{00000000-0005-0000-0000-0000E8360000}"/>
    <cellStyle name="Good 2 2 34 2" xfId="20769" xr:uid="{00000000-0005-0000-0000-0000E9360000}"/>
    <cellStyle name="Good 2 2 35" xfId="7457" xr:uid="{00000000-0005-0000-0000-0000EA360000}"/>
    <cellStyle name="Good 2 2 35 2" xfId="20770" xr:uid="{00000000-0005-0000-0000-0000EB360000}"/>
    <cellStyle name="Good 2 2 36" xfId="7458" xr:uid="{00000000-0005-0000-0000-0000EC360000}"/>
    <cellStyle name="Good 2 2 36 2" xfId="20771" xr:uid="{00000000-0005-0000-0000-0000ED360000}"/>
    <cellStyle name="Good 2 2 37" xfId="7459" xr:uid="{00000000-0005-0000-0000-0000EE360000}"/>
    <cellStyle name="Good 2 2 37 2" xfId="20772" xr:uid="{00000000-0005-0000-0000-0000EF360000}"/>
    <cellStyle name="Good 2 2 38" xfId="7460" xr:uid="{00000000-0005-0000-0000-0000F0360000}"/>
    <cellStyle name="Good 2 2 38 2" xfId="20773" xr:uid="{00000000-0005-0000-0000-0000F1360000}"/>
    <cellStyle name="Good 2 2 39" xfId="7461" xr:uid="{00000000-0005-0000-0000-0000F2360000}"/>
    <cellStyle name="Good 2 2 39 2" xfId="7462" xr:uid="{00000000-0005-0000-0000-0000F3360000}"/>
    <cellStyle name="Good 2 2 39 2 2" xfId="20775" xr:uid="{00000000-0005-0000-0000-0000F4360000}"/>
    <cellStyle name="Good 2 2 39 3" xfId="20774" xr:uid="{00000000-0005-0000-0000-0000F5360000}"/>
    <cellStyle name="Good 2 2 4" xfId="7463" xr:uid="{00000000-0005-0000-0000-0000F6360000}"/>
    <cellStyle name="Good 2 2 4 2" xfId="20776" xr:uid="{00000000-0005-0000-0000-0000F7360000}"/>
    <cellStyle name="Good 2 2 40" xfId="20652" xr:uid="{00000000-0005-0000-0000-0000F8360000}"/>
    <cellStyle name="Good 2 2 41" xfId="31028" xr:uid="{00000000-0005-0000-0000-0000F9360000}"/>
    <cellStyle name="Good 2 2 42" xfId="31029" xr:uid="{00000000-0005-0000-0000-0000FA360000}"/>
    <cellStyle name="Good 2 2 43" xfId="31030" xr:uid="{00000000-0005-0000-0000-0000FB360000}"/>
    <cellStyle name="Good 2 2 44" xfId="31031" xr:uid="{00000000-0005-0000-0000-0000FC360000}"/>
    <cellStyle name="Good 2 2 5" xfId="7464" xr:uid="{00000000-0005-0000-0000-0000FD360000}"/>
    <cellStyle name="Good 2 2 5 2" xfId="20777" xr:uid="{00000000-0005-0000-0000-0000FE360000}"/>
    <cellStyle name="Good 2 2 6" xfId="7465" xr:uid="{00000000-0005-0000-0000-0000FF360000}"/>
    <cellStyle name="Good 2 2 6 2" xfId="20778" xr:uid="{00000000-0005-0000-0000-000000370000}"/>
    <cellStyle name="Good 2 2 7" xfId="7466" xr:uid="{00000000-0005-0000-0000-000001370000}"/>
    <cellStyle name="Good 2 2 7 2" xfId="20779" xr:uid="{00000000-0005-0000-0000-000002370000}"/>
    <cellStyle name="Good 2 2 8" xfId="7467" xr:uid="{00000000-0005-0000-0000-000003370000}"/>
    <cellStyle name="Good 2 2 8 2" xfId="20780" xr:uid="{00000000-0005-0000-0000-000004370000}"/>
    <cellStyle name="Good 2 2 9" xfId="7468" xr:uid="{00000000-0005-0000-0000-000005370000}"/>
    <cellStyle name="Good 2 2 9 2" xfId="20781" xr:uid="{00000000-0005-0000-0000-000006370000}"/>
    <cellStyle name="Good 2 2_Loan Classification" xfId="11452" xr:uid="{00000000-0005-0000-0000-000007370000}"/>
    <cellStyle name="Good 2 20" xfId="7469" xr:uid="{00000000-0005-0000-0000-000008370000}"/>
    <cellStyle name="Good 2 20 2" xfId="20782" xr:uid="{00000000-0005-0000-0000-000009370000}"/>
    <cellStyle name="Good 2 21" xfId="7470" xr:uid="{00000000-0005-0000-0000-00000A370000}"/>
    <cellStyle name="Good 2 21 2" xfId="20783" xr:uid="{00000000-0005-0000-0000-00000B370000}"/>
    <cellStyle name="Good 2 22" xfId="7471" xr:uid="{00000000-0005-0000-0000-00000C370000}"/>
    <cellStyle name="Good 2 22 2" xfId="20784" xr:uid="{00000000-0005-0000-0000-00000D370000}"/>
    <cellStyle name="Good 2 23" xfId="7472" xr:uid="{00000000-0005-0000-0000-00000E370000}"/>
    <cellStyle name="Good 2 23 2" xfId="20785" xr:uid="{00000000-0005-0000-0000-00000F370000}"/>
    <cellStyle name="Good 2 24" xfId="7473" xr:uid="{00000000-0005-0000-0000-000010370000}"/>
    <cellStyle name="Good 2 24 2" xfId="20786" xr:uid="{00000000-0005-0000-0000-000011370000}"/>
    <cellStyle name="Good 2 25" xfId="7474" xr:uid="{00000000-0005-0000-0000-000012370000}"/>
    <cellStyle name="Good 2 25 2" xfId="20787" xr:uid="{00000000-0005-0000-0000-000013370000}"/>
    <cellStyle name="Good 2 26" xfId="7475" xr:uid="{00000000-0005-0000-0000-000014370000}"/>
    <cellStyle name="Good 2 26 2" xfId="20788" xr:uid="{00000000-0005-0000-0000-000015370000}"/>
    <cellStyle name="Good 2 27" xfId="7476" xr:uid="{00000000-0005-0000-0000-000016370000}"/>
    <cellStyle name="Good 2 27 2" xfId="20789" xr:uid="{00000000-0005-0000-0000-000017370000}"/>
    <cellStyle name="Good 2 28" xfId="7477" xr:uid="{00000000-0005-0000-0000-000018370000}"/>
    <cellStyle name="Good 2 28 2" xfId="20790" xr:uid="{00000000-0005-0000-0000-000019370000}"/>
    <cellStyle name="Good 2 29" xfId="7478" xr:uid="{00000000-0005-0000-0000-00001A370000}"/>
    <cellStyle name="Good 2 29 2" xfId="20791" xr:uid="{00000000-0005-0000-0000-00001B370000}"/>
    <cellStyle name="Good 2 3" xfId="7479" xr:uid="{00000000-0005-0000-0000-00001C370000}"/>
    <cellStyle name="Good 2 3 2" xfId="20792" xr:uid="{00000000-0005-0000-0000-00001D370000}"/>
    <cellStyle name="Good 2 3 2 2" xfId="31032" xr:uid="{00000000-0005-0000-0000-00001E370000}"/>
    <cellStyle name="Good 2 3 3" xfId="31033" xr:uid="{00000000-0005-0000-0000-00001F370000}"/>
    <cellStyle name="Good 2 3 4" xfId="31034" xr:uid="{00000000-0005-0000-0000-000020370000}"/>
    <cellStyle name="Good 2 3 5" xfId="31035" xr:uid="{00000000-0005-0000-0000-000021370000}"/>
    <cellStyle name="Good 2 30" xfId="7480" xr:uid="{00000000-0005-0000-0000-000022370000}"/>
    <cellStyle name="Good 2 30 2" xfId="20793" xr:uid="{00000000-0005-0000-0000-000023370000}"/>
    <cellStyle name="Good 2 31" xfId="7481" xr:uid="{00000000-0005-0000-0000-000024370000}"/>
    <cellStyle name="Good 2 31 2" xfId="20794" xr:uid="{00000000-0005-0000-0000-000025370000}"/>
    <cellStyle name="Good 2 32" xfId="7482" xr:uid="{00000000-0005-0000-0000-000026370000}"/>
    <cellStyle name="Good 2 32 2" xfId="20795" xr:uid="{00000000-0005-0000-0000-000027370000}"/>
    <cellStyle name="Good 2 33" xfId="7483" xr:uid="{00000000-0005-0000-0000-000028370000}"/>
    <cellStyle name="Good 2 33 2" xfId="7484" xr:uid="{00000000-0005-0000-0000-000029370000}"/>
    <cellStyle name="Good 2 33 2 2" xfId="20797" xr:uid="{00000000-0005-0000-0000-00002A370000}"/>
    <cellStyle name="Good 2 33 3" xfId="20796" xr:uid="{00000000-0005-0000-0000-00002B370000}"/>
    <cellStyle name="Good 2 34" xfId="7485" xr:uid="{00000000-0005-0000-0000-00002C370000}"/>
    <cellStyle name="Good 2 34 2" xfId="20798" xr:uid="{00000000-0005-0000-0000-00002D370000}"/>
    <cellStyle name="Good 2 35" xfId="7486" xr:uid="{00000000-0005-0000-0000-00002E370000}"/>
    <cellStyle name="Good 2 35 2" xfId="20799" xr:uid="{00000000-0005-0000-0000-00002F370000}"/>
    <cellStyle name="Good 2 36" xfId="7487" xr:uid="{00000000-0005-0000-0000-000030370000}"/>
    <cellStyle name="Good 2 36 2" xfId="20800" xr:uid="{00000000-0005-0000-0000-000031370000}"/>
    <cellStyle name="Good 2 37" xfId="7488" xr:uid="{00000000-0005-0000-0000-000032370000}"/>
    <cellStyle name="Good 2 37 2" xfId="20801" xr:uid="{00000000-0005-0000-0000-000033370000}"/>
    <cellStyle name="Good 2 38" xfId="7489" xr:uid="{00000000-0005-0000-0000-000034370000}"/>
    <cellStyle name="Good 2 38 2" xfId="20802" xr:uid="{00000000-0005-0000-0000-000035370000}"/>
    <cellStyle name="Good 2 39" xfId="7490" xr:uid="{00000000-0005-0000-0000-000036370000}"/>
    <cellStyle name="Good 2 39 2" xfId="20803" xr:uid="{00000000-0005-0000-0000-000037370000}"/>
    <cellStyle name="Good 2 4" xfId="7491" xr:uid="{00000000-0005-0000-0000-000038370000}"/>
    <cellStyle name="Good 2 4 2" xfId="20804" xr:uid="{00000000-0005-0000-0000-000039370000}"/>
    <cellStyle name="Good 2 4 2 2" xfId="31036" xr:uid="{00000000-0005-0000-0000-00003A370000}"/>
    <cellStyle name="Good 2 4 3" xfId="31037" xr:uid="{00000000-0005-0000-0000-00003B370000}"/>
    <cellStyle name="Good 2 4 4" xfId="31038" xr:uid="{00000000-0005-0000-0000-00003C370000}"/>
    <cellStyle name="Good 2 4 5" xfId="31039" xr:uid="{00000000-0005-0000-0000-00003D370000}"/>
    <cellStyle name="Good 2 40" xfId="7492" xr:uid="{00000000-0005-0000-0000-00003E370000}"/>
    <cellStyle name="Good 2 40 2" xfId="20805" xr:uid="{00000000-0005-0000-0000-00003F370000}"/>
    <cellStyle name="Good 2 41" xfId="7493" xr:uid="{00000000-0005-0000-0000-000040370000}"/>
    <cellStyle name="Good 2 41 2" xfId="7494" xr:uid="{00000000-0005-0000-0000-000041370000}"/>
    <cellStyle name="Good 2 41 2 2" xfId="20807" xr:uid="{00000000-0005-0000-0000-000042370000}"/>
    <cellStyle name="Good 2 41 3" xfId="20806" xr:uid="{00000000-0005-0000-0000-000043370000}"/>
    <cellStyle name="Good 2 42" xfId="20640" xr:uid="{00000000-0005-0000-0000-000044370000}"/>
    <cellStyle name="Good 2 43" xfId="31040" xr:uid="{00000000-0005-0000-0000-000045370000}"/>
    <cellStyle name="Good 2 5" xfId="7495" xr:uid="{00000000-0005-0000-0000-000046370000}"/>
    <cellStyle name="Good 2 5 2" xfId="7496" xr:uid="{00000000-0005-0000-0000-000047370000}"/>
    <cellStyle name="Good 2 5 2 2" xfId="20809" xr:uid="{00000000-0005-0000-0000-000048370000}"/>
    <cellStyle name="Good 2 5 3" xfId="20808" xr:uid="{00000000-0005-0000-0000-000049370000}"/>
    <cellStyle name="Good 2 5 4" xfId="31041" xr:uid="{00000000-0005-0000-0000-00004A370000}"/>
    <cellStyle name="Good 2 6" xfId="7497" xr:uid="{00000000-0005-0000-0000-00004B370000}"/>
    <cellStyle name="Good 2 6 2" xfId="20810" xr:uid="{00000000-0005-0000-0000-00004C370000}"/>
    <cellStyle name="Good 2 6 3" xfId="31042" xr:uid="{00000000-0005-0000-0000-00004D370000}"/>
    <cellStyle name="Good 2 7" xfId="7498" xr:uid="{00000000-0005-0000-0000-00004E370000}"/>
    <cellStyle name="Good 2 7 2" xfId="20811" xr:uid="{00000000-0005-0000-0000-00004F370000}"/>
    <cellStyle name="Good 2 8" xfId="7499" xr:uid="{00000000-0005-0000-0000-000050370000}"/>
    <cellStyle name="Good 2 8 2" xfId="20812" xr:uid="{00000000-0005-0000-0000-000051370000}"/>
    <cellStyle name="Good 2 9" xfId="7500" xr:uid="{00000000-0005-0000-0000-000052370000}"/>
    <cellStyle name="Good 2 9 2" xfId="20813" xr:uid="{00000000-0005-0000-0000-000053370000}"/>
    <cellStyle name="Good 2_Loan Classification" xfId="11451" xr:uid="{00000000-0005-0000-0000-000054370000}"/>
    <cellStyle name="Good 20" xfId="7501" xr:uid="{00000000-0005-0000-0000-000055370000}"/>
    <cellStyle name="Good 20 2" xfId="20814" xr:uid="{00000000-0005-0000-0000-000056370000}"/>
    <cellStyle name="Good 21" xfId="7502" xr:uid="{00000000-0005-0000-0000-000057370000}"/>
    <cellStyle name="Good 21 2" xfId="20815" xr:uid="{00000000-0005-0000-0000-000058370000}"/>
    <cellStyle name="Good 22" xfId="7503" xr:uid="{00000000-0005-0000-0000-000059370000}"/>
    <cellStyle name="Good 22 2" xfId="20816" xr:uid="{00000000-0005-0000-0000-00005A370000}"/>
    <cellStyle name="Good 23" xfId="7504" xr:uid="{00000000-0005-0000-0000-00005B370000}"/>
    <cellStyle name="Good 23 2" xfId="20817" xr:uid="{00000000-0005-0000-0000-00005C370000}"/>
    <cellStyle name="Good 24" xfId="7505" xr:uid="{00000000-0005-0000-0000-00005D370000}"/>
    <cellStyle name="Good 24 2" xfId="20818" xr:uid="{00000000-0005-0000-0000-00005E370000}"/>
    <cellStyle name="Good 25" xfId="7506" xr:uid="{00000000-0005-0000-0000-00005F370000}"/>
    <cellStyle name="Good 25 2" xfId="20819" xr:uid="{00000000-0005-0000-0000-000060370000}"/>
    <cellStyle name="Good 26" xfId="7507" xr:uid="{00000000-0005-0000-0000-000061370000}"/>
    <cellStyle name="Good 26 2" xfId="20820" xr:uid="{00000000-0005-0000-0000-000062370000}"/>
    <cellStyle name="Good 27" xfId="7508" xr:uid="{00000000-0005-0000-0000-000063370000}"/>
    <cellStyle name="Good 27 2" xfId="20821" xr:uid="{00000000-0005-0000-0000-000064370000}"/>
    <cellStyle name="Good 28" xfId="7509" xr:uid="{00000000-0005-0000-0000-000065370000}"/>
    <cellStyle name="Good 28 2" xfId="20822" xr:uid="{00000000-0005-0000-0000-000066370000}"/>
    <cellStyle name="Good 29" xfId="7510" xr:uid="{00000000-0005-0000-0000-000067370000}"/>
    <cellStyle name="Good 29 2" xfId="20823" xr:uid="{00000000-0005-0000-0000-000068370000}"/>
    <cellStyle name="Good 3" xfId="7511" xr:uid="{00000000-0005-0000-0000-000069370000}"/>
    <cellStyle name="Good 3 2" xfId="20824" xr:uid="{00000000-0005-0000-0000-00006A370000}"/>
    <cellStyle name="Good 3 2 2" xfId="31043" xr:uid="{00000000-0005-0000-0000-00006B370000}"/>
    <cellStyle name="Good 3 3" xfId="31044" xr:uid="{00000000-0005-0000-0000-00006C370000}"/>
    <cellStyle name="Good 3 4" xfId="31045" xr:uid="{00000000-0005-0000-0000-00006D370000}"/>
    <cellStyle name="Good 30" xfId="7512" xr:uid="{00000000-0005-0000-0000-00006E370000}"/>
    <cellStyle name="Good 30 2" xfId="20825" xr:uid="{00000000-0005-0000-0000-00006F370000}"/>
    <cellStyle name="Good 31" xfId="7513" xr:uid="{00000000-0005-0000-0000-000070370000}"/>
    <cellStyle name="Good 31 2" xfId="20826" xr:uid="{00000000-0005-0000-0000-000071370000}"/>
    <cellStyle name="Good 32" xfId="7514" xr:uid="{00000000-0005-0000-0000-000072370000}"/>
    <cellStyle name="Good 32 2" xfId="20827" xr:uid="{00000000-0005-0000-0000-000073370000}"/>
    <cellStyle name="Good 33" xfId="7515" xr:uid="{00000000-0005-0000-0000-000074370000}"/>
    <cellStyle name="Good 33 2" xfId="20828" xr:uid="{00000000-0005-0000-0000-000075370000}"/>
    <cellStyle name="Good 34" xfId="7516" xr:uid="{00000000-0005-0000-0000-000076370000}"/>
    <cellStyle name="Good 34 2" xfId="20829" xr:uid="{00000000-0005-0000-0000-000077370000}"/>
    <cellStyle name="Good 35" xfId="7517" xr:uid="{00000000-0005-0000-0000-000078370000}"/>
    <cellStyle name="Good 35 2" xfId="20830" xr:uid="{00000000-0005-0000-0000-000079370000}"/>
    <cellStyle name="Good 36" xfId="7518" xr:uid="{00000000-0005-0000-0000-00007A370000}"/>
    <cellStyle name="Good 36 2" xfId="20831" xr:uid="{00000000-0005-0000-0000-00007B370000}"/>
    <cellStyle name="Good 37" xfId="7519" xr:uid="{00000000-0005-0000-0000-00007C370000}"/>
    <cellStyle name="Good 37 2" xfId="20832" xr:uid="{00000000-0005-0000-0000-00007D370000}"/>
    <cellStyle name="Good 38" xfId="7520" xr:uid="{00000000-0005-0000-0000-00007E370000}"/>
    <cellStyle name="Good 38 2" xfId="20833" xr:uid="{00000000-0005-0000-0000-00007F370000}"/>
    <cellStyle name="Good 39" xfId="7521" xr:uid="{00000000-0005-0000-0000-000080370000}"/>
    <cellStyle name="Good 39 2" xfId="20834" xr:uid="{00000000-0005-0000-0000-000081370000}"/>
    <cellStyle name="Good 4" xfId="7522" xr:uid="{00000000-0005-0000-0000-000082370000}"/>
    <cellStyle name="Good 4 2" xfId="20835" xr:uid="{00000000-0005-0000-0000-000083370000}"/>
    <cellStyle name="Good 4 2 2" xfId="31046" xr:uid="{00000000-0005-0000-0000-000084370000}"/>
    <cellStyle name="Good 4 3" xfId="31047" xr:uid="{00000000-0005-0000-0000-000085370000}"/>
    <cellStyle name="Good 4 4" xfId="31048" xr:uid="{00000000-0005-0000-0000-000086370000}"/>
    <cellStyle name="Good 40" xfId="7523" xr:uid="{00000000-0005-0000-0000-000087370000}"/>
    <cellStyle name="Good 40 2" xfId="20836" xr:uid="{00000000-0005-0000-0000-000088370000}"/>
    <cellStyle name="Good 41" xfId="7524" xr:uid="{00000000-0005-0000-0000-000089370000}"/>
    <cellStyle name="Good 41 2" xfId="20837" xr:uid="{00000000-0005-0000-0000-00008A370000}"/>
    <cellStyle name="Good 42" xfId="7525" xr:uid="{00000000-0005-0000-0000-00008B370000}"/>
    <cellStyle name="Good 42 2" xfId="20838" xr:uid="{00000000-0005-0000-0000-00008C370000}"/>
    <cellStyle name="Good 43" xfId="11592" xr:uid="{00000000-0005-0000-0000-00008D370000}"/>
    <cellStyle name="Good 43 2" xfId="20839" xr:uid="{00000000-0005-0000-0000-00008E370000}"/>
    <cellStyle name="Good 44" xfId="11526" xr:uid="{00000000-0005-0000-0000-00008F370000}"/>
    <cellStyle name="Good 44 2" xfId="20840" xr:uid="{00000000-0005-0000-0000-000090370000}"/>
    <cellStyle name="Good 45" xfId="20841" xr:uid="{00000000-0005-0000-0000-000091370000}"/>
    <cellStyle name="Good 46" xfId="31049" xr:uid="{00000000-0005-0000-0000-000092370000}"/>
    <cellStyle name="Good 47" xfId="529" xr:uid="{00000000-0005-0000-0000-000093370000}"/>
    <cellStyle name="Good 5" xfId="7526" xr:uid="{00000000-0005-0000-0000-000094370000}"/>
    <cellStyle name="Good 5 2" xfId="20842" xr:uid="{00000000-0005-0000-0000-000095370000}"/>
    <cellStyle name="Good 5 2 2" xfId="31050" xr:uid="{00000000-0005-0000-0000-000096370000}"/>
    <cellStyle name="Good 5 3" xfId="31051" xr:uid="{00000000-0005-0000-0000-000097370000}"/>
    <cellStyle name="Good 5 4" xfId="31052" xr:uid="{00000000-0005-0000-0000-000098370000}"/>
    <cellStyle name="Good 6" xfId="7527" xr:uid="{00000000-0005-0000-0000-000099370000}"/>
    <cellStyle name="Good 6 2" xfId="20843" xr:uid="{00000000-0005-0000-0000-00009A370000}"/>
    <cellStyle name="Good 6 3" xfId="31053" xr:uid="{00000000-0005-0000-0000-00009B370000}"/>
    <cellStyle name="Good 7" xfId="7528" xr:uid="{00000000-0005-0000-0000-00009C370000}"/>
    <cellStyle name="Good 7 2" xfId="20844" xr:uid="{00000000-0005-0000-0000-00009D370000}"/>
    <cellStyle name="Good 7 3" xfId="31054" xr:uid="{00000000-0005-0000-0000-00009E370000}"/>
    <cellStyle name="Good 8" xfId="7529" xr:uid="{00000000-0005-0000-0000-00009F370000}"/>
    <cellStyle name="Good 8 2" xfId="20845" xr:uid="{00000000-0005-0000-0000-0000A0370000}"/>
    <cellStyle name="Good 8 3" xfId="31055" xr:uid="{00000000-0005-0000-0000-0000A1370000}"/>
    <cellStyle name="Good 9" xfId="7530" xr:uid="{00000000-0005-0000-0000-0000A2370000}"/>
    <cellStyle name="Good 9 2" xfId="20846" xr:uid="{00000000-0005-0000-0000-0000A3370000}"/>
    <cellStyle name="Good 9 3" xfId="31056" xr:uid="{00000000-0005-0000-0000-0000A4370000}"/>
    <cellStyle name="Grey" xfId="31057" xr:uid="{00000000-0005-0000-0000-0000A5370000}"/>
    <cellStyle name="Header1" xfId="31058" xr:uid="{00000000-0005-0000-0000-0000A6370000}"/>
    <cellStyle name="Header2" xfId="31059" xr:uid="{00000000-0005-0000-0000-0000A7370000}"/>
    <cellStyle name="Heading" xfId="31060" xr:uid="{00000000-0005-0000-0000-0000A8370000}"/>
    <cellStyle name="Heading 1" xfId="10" builtinId="16" customBuiltin="1"/>
    <cellStyle name="Heading 1 10" xfId="7531" xr:uid="{00000000-0005-0000-0000-0000AA370000}"/>
    <cellStyle name="Heading 1 10 2" xfId="20847" xr:uid="{00000000-0005-0000-0000-0000AB370000}"/>
    <cellStyle name="Heading 1 10 3" xfId="31061" xr:uid="{00000000-0005-0000-0000-0000AC370000}"/>
    <cellStyle name="Heading 1 11" xfId="7532" xr:uid="{00000000-0005-0000-0000-0000AD370000}"/>
    <cellStyle name="Heading 1 11 2" xfId="20848" xr:uid="{00000000-0005-0000-0000-0000AE370000}"/>
    <cellStyle name="Heading 1 11 3" xfId="31062" xr:uid="{00000000-0005-0000-0000-0000AF370000}"/>
    <cellStyle name="Heading 1 12" xfId="7533" xr:uid="{00000000-0005-0000-0000-0000B0370000}"/>
    <cellStyle name="Heading 1 12 2" xfId="20849" xr:uid="{00000000-0005-0000-0000-0000B1370000}"/>
    <cellStyle name="Heading 1 12 3" xfId="31063" xr:uid="{00000000-0005-0000-0000-0000B2370000}"/>
    <cellStyle name="Heading 1 13" xfId="7534" xr:uid="{00000000-0005-0000-0000-0000B3370000}"/>
    <cellStyle name="Heading 1 13 2" xfId="20850" xr:uid="{00000000-0005-0000-0000-0000B4370000}"/>
    <cellStyle name="Heading 1 13 3" xfId="31064" xr:uid="{00000000-0005-0000-0000-0000B5370000}"/>
    <cellStyle name="Heading 1 14" xfId="7535" xr:uid="{00000000-0005-0000-0000-0000B6370000}"/>
    <cellStyle name="Heading 1 14 2" xfId="20851" xr:uid="{00000000-0005-0000-0000-0000B7370000}"/>
    <cellStyle name="Heading 1 14 3" xfId="31065" xr:uid="{00000000-0005-0000-0000-0000B8370000}"/>
    <cellStyle name="Heading 1 15" xfId="7536" xr:uid="{00000000-0005-0000-0000-0000B9370000}"/>
    <cellStyle name="Heading 1 15 2" xfId="20852" xr:uid="{00000000-0005-0000-0000-0000BA370000}"/>
    <cellStyle name="Heading 1 15 3" xfId="31066" xr:uid="{00000000-0005-0000-0000-0000BB370000}"/>
    <cellStyle name="Heading 1 16" xfId="7537" xr:uid="{00000000-0005-0000-0000-0000BC370000}"/>
    <cellStyle name="Heading 1 16 2" xfId="20853" xr:uid="{00000000-0005-0000-0000-0000BD370000}"/>
    <cellStyle name="Heading 1 16 3" xfId="31067" xr:uid="{00000000-0005-0000-0000-0000BE370000}"/>
    <cellStyle name="Heading 1 17" xfId="7538" xr:uid="{00000000-0005-0000-0000-0000BF370000}"/>
    <cellStyle name="Heading 1 17 2" xfId="20854" xr:uid="{00000000-0005-0000-0000-0000C0370000}"/>
    <cellStyle name="Heading 1 17 3" xfId="31068" xr:uid="{00000000-0005-0000-0000-0000C1370000}"/>
    <cellStyle name="Heading 1 18" xfId="7539" xr:uid="{00000000-0005-0000-0000-0000C2370000}"/>
    <cellStyle name="Heading 1 18 2" xfId="20855" xr:uid="{00000000-0005-0000-0000-0000C3370000}"/>
    <cellStyle name="Heading 1 19" xfId="7540" xr:uid="{00000000-0005-0000-0000-0000C4370000}"/>
    <cellStyle name="Heading 1 19 2" xfId="20856" xr:uid="{00000000-0005-0000-0000-0000C5370000}"/>
    <cellStyle name="Heading 1 2" xfId="157" xr:uid="{00000000-0005-0000-0000-0000C6370000}"/>
    <cellStyle name="Heading 1 2 10" xfId="7542" xr:uid="{00000000-0005-0000-0000-0000C7370000}"/>
    <cellStyle name="Heading 1 2 10 2" xfId="20858" xr:uid="{00000000-0005-0000-0000-0000C8370000}"/>
    <cellStyle name="Heading 1 2 11" xfId="7543" xr:uid="{00000000-0005-0000-0000-0000C9370000}"/>
    <cellStyle name="Heading 1 2 11 2" xfId="20859" xr:uid="{00000000-0005-0000-0000-0000CA370000}"/>
    <cellStyle name="Heading 1 2 12" xfId="7544" xr:uid="{00000000-0005-0000-0000-0000CB370000}"/>
    <cellStyle name="Heading 1 2 12 2" xfId="20860" xr:uid="{00000000-0005-0000-0000-0000CC370000}"/>
    <cellStyle name="Heading 1 2 13" xfId="7545" xr:uid="{00000000-0005-0000-0000-0000CD370000}"/>
    <cellStyle name="Heading 1 2 13 2" xfId="20861" xr:uid="{00000000-0005-0000-0000-0000CE370000}"/>
    <cellStyle name="Heading 1 2 14" xfId="7546" xr:uid="{00000000-0005-0000-0000-0000CF370000}"/>
    <cellStyle name="Heading 1 2 14 2" xfId="20862" xr:uid="{00000000-0005-0000-0000-0000D0370000}"/>
    <cellStyle name="Heading 1 2 15" xfId="7547" xr:uid="{00000000-0005-0000-0000-0000D1370000}"/>
    <cellStyle name="Heading 1 2 15 2" xfId="20863" xr:uid="{00000000-0005-0000-0000-0000D2370000}"/>
    <cellStyle name="Heading 1 2 16" xfId="7548" xr:uid="{00000000-0005-0000-0000-0000D3370000}"/>
    <cellStyle name="Heading 1 2 16 2" xfId="7549" xr:uid="{00000000-0005-0000-0000-0000D4370000}"/>
    <cellStyle name="Heading 1 2 16 2 2" xfId="20865" xr:uid="{00000000-0005-0000-0000-0000D5370000}"/>
    <cellStyle name="Heading 1 2 16 3" xfId="20864" xr:uid="{00000000-0005-0000-0000-0000D6370000}"/>
    <cellStyle name="Heading 1 2 17" xfId="7550" xr:uid="{00000000-0005-0000-0000-0000D7370000}"/>
    <cellStyle name="Heading 1 2 17 2" xfId="20866" xr:uid="{00000000-0005-0000-0000-0000D8370000}"/>
    <cellStyle name="Heading 1 2 18" xfId="7551" xr:uid="{00000000-0005-0000-0000-0000D9370000}"/>
    <cellStyle name="Heading 1 2 18 2" xfId="20867" xr:uid="{00000000-0005-0000-0000-0000DA370000}"/>
    <cellStyle name="Heading 1 2 19" xfId="7552" xr:uid="{00000000-0005-0000-0000-0000DB370000}"/>
    <cellStyle name="Heading 1 2 19 2" xfId="20868" xr:uid="{00000000-0005-0000-0000-0000DC370000}"/>
    <cellStyle name="Heading 1 2 2" xfId="7553" xr:uid="{00000000-0005-0000-0000-0000DD370000}"/>
    <cellStyle name="Heading 1 2 2 10" xfId="7554" xr:uid="{00000000-0005-0000-0000-0000DE370000}"/>
    <cellStyle name="Heading 1 2 2 10 2" xfId="20870" xr:uid="{00000000-0005-0000-0000-0000DF370000}"/>
    <cellStyle name="Heading 1 2 2 11" xfId="7555" xr:uid="{00000000-0005-0000-0000-0000E0370000}"/>
    <cellStyle name="Heading 1 2 2 11 2" xfId="20871" xr:uid="{00000000-0005-0000-0000-0000E1370000}"/>
    <cellStyle name="Heading 1 2 2 12" xfId="7556" xr:uid="{00000000-0005-0000-0000-0000E2370000}"/>
    <cellStyle name="Heading 1 2 2 12 2" xfId="20872" xr:uid="{00000000-0005-0000-0000-0000E3370000}"/>
    <cellStyle name="Heading 1 2 2 13" xfId="7557" xr:uid="{00000000-0005-0000-0000-0000E4370000}"/>
    <cellStyle name="Heading 1 2 2 13 2" xfId="20873" xr:uid="{00000000-0005-0000-0000-0000E5370000}"/>
    <cellStyle name="Heading 1 2 2 14" xfId="7558" xr:uid="{00000000-0005-0000-0000-0000E6370000}"/>
    <cellStyle name="Heading 1 2 2 14 2" xfId="7559" xr:uid="{00000000-0005-0000-0000-0000E7370000}"/>
    <cellStyle name="Heading 1 2 2 14 2 2" xfId="20875" xr:uid="{00000000-0005-0000-0000-0000E8370000}"/>
    <cellStyle name="Heading 1 2 2 14 3" xfId="20874" xr:uid="{00000000-0005-0000-0000-0000E9370000}"/>
    <cellStyle name="Heading 1 2 2 15" xfId="7560" xr:uid="{00000000-0005-0000-0000-0000EA370000}"/>
    <cellStyle name="Heading 1 2 2 15 2" xfId="20876" xr:uid="{00000000-0005-0000-0000-0000EB370000}"/>
    <cellStyle name="Heading 1 2 2 16" xfId="7561" xr:uid="{00000000-0005-0000-0000-0000EC370000}"/>
    <cellStyle name="Heading 1 2 2 16 2" xfId="20877" xr:uid="{00000000-0005-0000-0000-0000ED370000}"/>
    <cellStyle name="Heading 1 2 2 17" xfId="7562" xr:uid="{00000000-0005-0000-0000-0000EE370000}"/>
    <cellStyle name="Heading 1 2 2 17 2" xfId="20878" xr:uid="{00000000-0005-0000-0000-0000EF370000}"/>
    <cellStyle name="Heading 1 2 2 18" xfId="7563" xr:uid="{00000000-0005-0000-0000-0000F0370000}"/>
    <cellStyle name="Heading 1 2 2 18 2" xfId="20879" xr:uid="{00000000-0005-0000-0000-0000F1370000}"/>
    <cellStyle name="Heading 1 2 2 19" xfId="7564" xr:uid="{00000000-0005-0000-0000-0000F2370000}"/>
    <cellStyle name="Heading 1 2 2 19 2" xfId="20880" xr:uid="{00000000-0005-0000-0000-0000F3370000}"/>
    <cellStyle name="Heading 1 2 2 2" xfId="7565" xr:uid="{00000000-0005-0000-0000-0000F4370000}"/>
    <cellStyle name="Heading 1 2 2 2 10" xfId="7566" xr:uid="{00000000-0005-0000-0000-0000F5370000}"/>
    <cellStyle name="Heading 1 2 2 2 10 2" xfId="20882" xr:uid="{00000000-0005-0000-0000-0000F6370000}"/>
    <cellStyle name="Heading 1 2 2 2 11" xfId="7567" xr:uid="{00000000-0005-0000-0000-0000F7370000}"/>
    <cellStyle name="Heading 1 2 2 2 11 2" xfId="20883" xr:uid="{00000000-0005-0000-0000-0000F8370000}"/>
    <cellStyle name="Heading 1 2 2 2 12" xfId="7568" xr:uid="{00000000-0005-0000-0000-0000F9370000}"/>
    <cellStyle name="Heading 1 2 2 2 12 2" xfId="20884" xr:uid="{00000000-0005-0000-0000-0000FA370000}"/>
    <cellStyle name="Heading 1 2 2 2 13" xfId="7569" xr:uid="{00000000-0005-0000-0000-0000FB370000}"/>
    <cellStyle name="Heading 1 2 2 2 13 2" xfId="20885" xr:uid="{00000000-0005-0000-0000-0000FC370000}"/>
    <cellStyle name="Heading 1 2 2 2 14" xfId="7570" xr:uid="{00000000-0005-0000-0000-0000FD370000}"/>
    <cellStyle name="Heading 1 2 2 2 14 2" xfId="20886" xr:uid="{00000000-0005-0000-0000-0000FE370000}"/>
    <cellStyle name="Heading 1 2 2 2 15" xfId="7571" xr:uid="{00000000-0005-0000-0000-0000FF370000}"/>
    <cellStyle name="Heading 1 2 2 2 15 2" xfId="20887" xr:uid="{00000000-0005-0000-0000-000000380000}"/>
    <cellStyle name="Heading 1 2 2 2 16" xfId="7572" xr:uid="{00000000-0005-0000-0000-000001380000}"/>
    <cellStyle name="Heading 1 2 2 2 16 2" xfId="20888" xr:uid="{00000000-0005-0000-0000-000002380000}"/>
    <cellStyle name="Heading 1 2 2 2 17" xfId="7573" xr:uid="{00000000-0005-0000-0000-000003380000}"/>
    <cellStyle name="Heading 1 2 2 2 17 2" xfId="20889" xr:uid="{00000000-0005-0000-0000-000004380000}"/>
    <cellStyle name="Heading 1 2 2 2 18" xfId="7574" xr:uid="{00000000-0005-0000-0000-000005380000}"/>
    <cellStyle name="Heading 1 2 2 2 18 2" xfId="20890" xr:uid="{00000000-0005-0000-0000-000006380000}"/>
    <cellStyle name="Heading 1 2 2 2 19" xfId="7575" xr:uid="{00000000-0005-0000-0000-000007380000}"/>
    <cellStyle name="Heading 1 2 2 2 19 2" xfId="20891" xr:uid="{00000000-0005-0000-0000-000008380000}"/>
    <cellStyle name="Heading 1 2 2 2 2" xfId="7576" xr:uid="{00000000-0005-0000-0000-000009380000}"/>
    <cellStyle name="Heading 1 2 2 2 2 10" xfId="7577" xr:uid="{00000000-0005-0000-0000-00000A380000}"/>
    <cellStyle name="Heading 1 2 2 2 2 10 2" xfId="20893" xr:uid="{00000000-0005-0000-0000-00000B380000}"/>
    <cellStyle name="Heading 1 2 2 2 2 11" xfId="7578" xr:uid="{00000000-0005-0000-0000-00000C380000}"/>
    <cellStyle name="Heading 1 2 2 2 2 11 2" xfId="20894" xr:uid="{00000000-0005-0000-0000-00000D380000}"/>
    <cellStyle name="Heading 1 2 2 2 2 12" xfId="7579" xr:uid="{00000000-0005-0000-0000-00000E380000}"/>
    <cellStyle name="Heading 1 2 2 2 2 12 2" xfId="20895" xr:uid="{00000000-0005-0000-0000-00000F380000}"/>
    <cellStyle name="Heading 1 2 2 2 2 13" xfId="7580" xr:uid="{00000000-0005-0000-0000-000010380000}"/>
    <cellStyle name="Heading 1 2 2 2 2 13 2" xfId="20896" xr:uid="{00000000-0005-0000-0000-000011380000}"/>
    <cellStyle name="Heading 1 2 2 2 2 14" xfId="7581" xr:uid="{00000000-0005-0000-0000-000012380000}"/>
    <cellStyle name="Heading 1 2 2 2 2 14 2" xfId="20897" xr:uid="{00000000-0005-0000-0000-000013380000}"/>
    <cellStyle name="Heading 1 2 2 2 2 15" xfId="7582" xr:uid="{00000000-0005-0000-0000-000014380000}"/>
    <cellStyle name="Heading 1 2 2 2 2 15 2" xfId="20898" xr:uid="{00000000-0005-0000-0000-000015380000}"/>
    <cellStyle name="Heading 1 2 2 2 2 16" xfId="7583" xr:uid="{00000000-0005-0000-0000-000016380000}"/>
    <cellStyle name="Heading 1 2 2 2 2 16 2" xfId="20899" xr:uid="{00000000-0005-0000-0000-000017380000}"/>
    <cellStyle name="Heading 1 2 2 2 2 17" xfId="7584" xr:uid="{00000000-0005-0000-0000-000018380000}"/>
    <cellStyle name="Heading 1 2 2 2 2 17 2" xfId="20900" xr:uid="{00000000-0005-0000-0000-000019380000}"/>
    <cellStyle name="Heading 1 2 2 2 2 18" xfId="7585" xr:uid="{00000000-0005-0000-0000-00001A380000}"/>
    <cellStyle name="Heading 1 2 2 2 2 18 2" xfId="20901" xr:uid="{00000000-0005-0000-0000-00001B380000}"/>
    <cellStyle name="Heading 1 2 2 2 2 19" xfId="7586" xr:uid="{00000000-0005-0000-0000-00001C380000}"/>
    <cellStyle name="Heading 1 2 2 2 2 19 2" xfId="20902" xr:uid="{00000000-0005-0000-0000-00001D380000}"/>
    <cellStyle name="Heading 1 2 2 2 2 2" xfId="7587" xr:uid="{00000000-0005-0000-0000-00001E380000}"/>
    <cellStyle name="Heading 1 2 2 2 2 2 10" xfId="7588" xr:uid="{00000000-0005-0000-0000-00001F380000}"/>
    <cellStyle name="Heading 1 2 2 2 2 2 10 2" xfId="20904" xr:uid="{00000000-0005-0000-0000-000020380000}"/>
    <cellStyle name="Heading 1 2 2 2 2 2 11" xfId="7589" xr:uid="{00000000-0005-0000-0000-000021380000}"/>
    <cellStyle name="Heading 1 2 2 2 2 2 11 2" xfId="7590" xr:uid="{00000000-0005-0000-0000-000022380000}"/>
    <cellStyle name="Heading 1 2 2 2 2 2 11 2 2" xfId="20906" xr:uid="{00000000-0005-0000-0000-000023380000}"/>
    <cellStyle name="Heading 1 2 2 2 2 2 11 3" xfId="20905" xr:uid="{00000000-0005-0000-0000-000024380000}"/>
    <cellStyle name="Heading 1 2 2 2 2 2 12" xfId="20903" xr:uid="{00000000-0005-0000-0000-000025380000}"/>
    <cellStyle name="Heading 1 2 2 2 2 2 2" xfId="7591" xr:uid="{00000000-0005-0000-0000-000026380000}"/>
    <cellStyle name="Heading 1 2 2 2 2 2 2 10" xfId="7592" xr:uid="{00000000-0005-0000-0000-000027380000}"/>
    <cellStyle name="Heading 1 2 2 2 2 2 2 10 2" xfId="20908" xr:uid="{00000000-0005-0000-0000-000028380000}"/>
    <cellStyle name="Heading 1 2 2 2 2 2 2 11" xfId="7593" xr:uid="{00000000-0005-0000-0000-000029380000}"/>
    <cellStyle name="Heading 1 2 2 2 2 2 2 11 2" xfId="7594" xr:uid="{00000000-0005-0000-0000-00002A380000}"/>
    <cellStyle name="Heading 1 2 2 2 2 2 2 11 2 2" xfId="20910" xr:uid="{00000000-0005-0000-0000-00002B380000}"/>
    <cellStyle name="Heading 1 2 2 2 2 2 2 11 3" xfId="20909" xr:uid="{00000000-0005-0000-0000-00002C380000}"/>
    <cellStyle name="Heading 1 2 2 2 2 2 2 12" xfId="20907" xr:uid="{00000000-0005-0000-0000-00002D380000}"/>
    <cellStyle name="Heading 1 2 2 2 2 2 2 2" xfId="7595" xr:uid="{00000000-0005-0000-0000-00002E380000}"/>
    <cellStyle name="Heading 1 2 2 2 2 2 2 2 2" xfId="7596" xr:uid="{00000000-0005-0000-0000-00002F380000}"/>
    <cellStyle name="Heading 1 2 2 2 2 2 2 2 2 2" xfId="7597" xr:uid="{00000000-0005-0000-0000-000030380000}"/>
    <cellStyle name="Heading 1 2 2 2 2 2 2 2 2 2 2" xfId="7598" xr:uid="{00000000-0005-0000-0000-000031380000}"/>
    <cellStyle name="Heading 1 2 2 2 2 2 2 2 2 2 2 2" xfId="20914" xr:uid="{00000000-0005-0000-0000-000032380000}"/>
    <cellStyle name="Heading 1 2 2 2 2 2 2 2 2 2 3" xfId="20913" xr:uid="{00000000-0005-0000-0000-000033380000}"/>
    <cellStyle name="Heading 1 2 2 2 2 2 2 2 2 3" xfId="7599" xr:uid="{00000000-0005-0000-0000-000034380000}"/>
    <cellStyle name="Heading 1 2 2 2 2 2 2 2 2 3 2" xfId="20915" xr:uid="{00000000-0005-0000-0000-000035380000}"/>
    <cellStyle name="Heading 1 2 2 2 2 2 2 2 2 4" xfId="20912" xr:uid="{00000000-0005-0000-0000-000036380000}"/>
    <cellStyle name="Heading 1 2 2 2 2 2 2 2 3" xfId="7600" xr:uid="{00000000-0005-0000-0000-000037380000}"/>
    <cellStyle name="Heading 1 2 2 2 2 2 2 2 3 2" xfId="7601" xr:uid="{00000000-0005-0000-0000-000038380000}"/>
    <cellStyle name="Heading 1 2 2 2 2 2 2 2 3 2 2" xfId="20917" xr:uid="{00000000-0005-0000-0000-000039380000}"/>
    <cellStyle name="Heading 1 2 2 2 2 2 2 2 3 3" xfId="20916" xr:uid="{00000000-0005-0000-0000-00003A380000}"/>
    <cellStyle name="Heading 1 2 2 2 2 2 2 2 4" xfId="20911" xr:uid="{00000000-0005-0000-0000-00003B380000}"/>
    <cellStyle name="Heading 1 2 2 2 2 2 2 3" xfId="7602" xr:uid="{00000000-0005-0000-0000-00003C380000}"/>
    <cellStyle name="Heading 1 2 2 2 2 2 2 3 2" xfId="20918" xr:uid="{00000000-0005-0000-0000-00003D380000}"/>
    <cellStyle name="Heading 1 2 2 2 2 2 2 4" xfId="7603" xr:uid="{00000000-0005-0000-0000-00003E380000}"/>
    <cellStyle name="Heading 1 2 2 2 2 2 2 4 2" xfId="20919" xr:uid="{00000000-0005-0000-0000-00003F380000}"/>
    <cellStyle name="Heading 1 2 2 2 2 2 2 5" xfId="7604" xr:uid="{00000000-0005-0000-0000-000040380000}"/>
    <cellStyle name="Heading 1 2 2 2 2 2 2 5 2" xfId="20920" xr:uid="{00000000-0005-0000-0000-000041380000}"/>
    <cellStyle name="Heading 1 2 2 2 2 2 2 6" xfId="7605" xr:uid="{00000000-0005-0000-0000-000042380000}"/>
    <cellStyle name="Heading 1 2 2 2 2 2 2 6 2" xfId="20921" xr:uid="{00000000-0005-0000-0000-000043380000}"/>
    <cellStyle name="Heading 1 2 2 2 2 2 2 7" xfId="7606" xr:uid="{00000000-0005-0000-0000-000044380000}"/>
    <cellStyle name="Heading 1 2 2 2 2 2 2 7 2" xfId="20922" xr:uid="{00000000-0005-0000-0000-000045380000}"/>
    <cellStyle name="Heading 1 2 2 2 2 2 2 8" xfId="7607" xr:uid="{00000000-0005-0000-0000-000046380000}"/>
    <cellStyle name="Heading 1 2 2 2 2 2 2 8 2" xfId="20923" xr:uid="{00000000-0005-0000-0000-000047380000}"/>
    <cellStyle name="Heading 1 2 2 2 2 2 2 9" xfId="7608" xr:uid="{00000000-0005-0000-0000-000048380000}"/>
    <cellStyle name="Heading 1 2 2 2 2 2 2 9 2" xfId="20924" xr:uid="{00000000-0005-0000-0000-000049380000}"/>
    <cellStyle name="Heading 1 2 2 2 2 2 3" xfId="7609" xr:uid="{00000000-0005-0000-0000-00004A380000}"/>
    <cellStyle name="Heading 1 2 2 2 2 2 3 2" xfId="7610" xr:uid="{00000000-0005-0000-0000-00004B380000}"/>
    <cellStyle name="Heading 1 2 2 2 2 2 3 2 2" xfId="20926" xr:uid="{00000000-0005-0000-0000-00004C380000}"/>
    <cellStyle name="Heading 1 2 2 2 2 2 3 3" xfId="20925" xr:uid="{00000000-0005-0000-0000-00004D380000}"/>
    <cellStyle name="Heading 1 2 2 2 2 2 4" xfId="7611" xr:uid="{00000000-0005-0000-0000-00004E380000}"/>
    <cellStyle name="Heading 1 2 2 2 2 2 4 2" xfId="20927" xr:uid="{00000000-0005-0000-0000-00004F380000}"/>
    <cellStyle name="Heading 1 2 2 2 2 2 5" xfId="7612" xr:uid="{00000000-0005-0000-0000-000050380000}"/>
    <cellStyle name="Heading 1 2 2 2 2 2 5 2" xfId="20928" xr:uid="{00000000-0005-0000-0000-000051380000}"/>
    <cellStyle name="Heading 1 2 2 2 2 2 6" xfId="7613" xr:uid="{00000000-0005-0000-0000-000052380000}"/>
    <cellStyle name="Heading 1 2 2 2 2 2 6 2" xfId="20929" xr:uid="{00000000-0005-0000-0000-000053380000}"/>
    <cellStyle name="Heading 1 2 2 2 2 2 7" xfId="7614" xr:uid="{00000000-0005-0000-0000-000054380000}"/>
    <cellStyle name="Heading 1 2 2 2 2 2 7 2" xfId="20930" xr:uid="{00000000-0005-0000-0000-000055380000}"/>
    <cellStyle name="Heading 1 2 2 2 2 2 8" xfId="7615" xr:uid="{00000000-0005-0000-0000-000056380000}"/>
    <cellStyle name="Heading 1 2 2 2 2 2 8 2" xfId="20931" xr:uid="{00000000-0005-0000-0000-000057380000}"/>
    <cellStyle name="Heading 1 2 2 2 2 2 9" xfId="7616" xr:uid="{00000000-0005-0000-0000-000058380000}"/>
    <cellStyle name="Heading 1 2 2 2 2 2 9 2" xfId="20932" xr:uid="{00000000-0005-0000-0000-000059380000}"/>
    <cellStyle name="Heading 1 2 2 2 2 20" xfId="7617" xr:uid="{00000000-0005-0000-0000-00005A380000}"/>
    <cellStyle name="Heading 1 2 2 2 2 20 2" xfId="7618" xr:uid="{00000000-0005-0000-0000-00005B380000}"/>
    <cellStyle name="Heading 1 2 2 2 2 20 2 2" xfId="20934" xr:uid="{00000000-0005-0000-0000-00005C380000}"/>
    <cellStyle name="Heading 1 2 2 2 2 20 3" xfId="20933" xr:uid="{00000000-0005-0000-0000-00005D380000}"/>
    <cellStyle name="Heading 1 2 2 2 2 21" xfId="7619" xr:uid="{00000000-0005-0000-0000-00005E380000}"/>
    <cellStyle name="Heading 1 2 2 2 2 21 2" xfId="20935" xr:uid="{00000000-0005-0000-0000-00005F380000}"/>
    <cellStyle name="Heading 1 2 2 2 2 22" xfId="7620" xr:uid="{00000000-0005-0000-0000-000060380000}"/>
    <cellStyle name="Heading 1 2 2 2 2 22 2" xfId="20936" xr:uid="{00000000-0005-0000-0000-000061380000}"/>
    <cellStyle name="Heading 1 2 2 2 2 23" xfId="7621" xr:uid="{00000000-0005-0000-0000-000062380000}"/>
    <cellStyle name="Heading 1 2 2 2 2 23 2" xfId="20937" xr:uid="{00000000-0005-0000-0000-000063380000}"/>
    <cellStyle name="Heading 1 2 2 2 2 24" xfId="7622" xr:uid="{00000000-0005-0000-0000-000064380000}"/>
    <cellStyle name="Heading 1 2 2 2 2 24 2" xfId="20938" xr:uid="{00000000-0005-0000-0000-000065380000}"/>
    <cellStyle name="Heading 1 2 2 2 2 25" xfId="7623" xr:uid="{00000000-0005-0000-0000-000066380000}"/>
    <cellStyle name="Heading 1 2 2 2 2 25 2" xfId="20939" xr:uid="{00000000-0005-0000-0000-000067380000}"/>
    <cellStyle name="Heading 1 2 2 2 2 26" xfId="7624" xr:uid="{00000000-0005-0000-0000-000068380000}"/>
    <cellStyle name="Heading 1 2 2 2 2 26 2" xfId="20940" xr:uid="{00000000-0005-0000-0000-000069380000}"/>
    <cellStyle name="Heading 1 2 2 2 2 27" xfId="7625" xr:uid="{00000000-0005-0000-0000-00006A380000}"/>
    <cellStyle name="Heading 1 2 2 2 2 27 2" xfId="20941" xr:uid="{00000000-0005-0000-0000-00006B380000}"/>
    <cellStyle name="Heading 1 2 2 2 2 28" xfId="7626" xr:uid="{00000000-0005-0000-0000-00006C380000}"/>
    <cellStyle name="Heading 1 2 2 2 2 28 2" xfId="7627" xr:uid="{00000000-0005-0000-0000-00006D380000}"/>
    <cellStyle name="Heading 1 2 2 2 2 28 2 2" xfId="20943" xr:uid="{00000000-0005-0000-0000-00006E380000}"/>
    <cellStyle name="Heading 1 2 2 2 2 28 3" xfId="20942" xr:uid="{00000000-0005-0000-0000-00006F380000}"/>
    <cellStyle name="Heading 1 2 2 2 2 29" xfId="20892" xr:uid="{00000000-0005-0000-0000-000070380000}"/>
    <cellStyle name="Heading 1 2 2 2 2 3" xfId="7628" xr:uid="{00000000-0005-0000-0000-000071380000}"/>
    <cellStyle name="Heading 1 2 2 2 2 3 2" xfId="20944" xr:uid="{00000000-0005-0000-0000-000072380000}"/>
    <cellStyle name="Heading 1 2 2 2 2 4" xfId="7629" xr:uid="{00000000-0005-0000-0000-000073380000}"/>
    <cellStyle name="Heading 1 2 2 2 2 4 2" xfId="20945" xr:uid="{00000000-0005-0000-0000-000074380000}"/>
    <cellStyle name="Heading 1 2 2 2 2 5" xfId="7630" xr:uid="{00000000-0005-0000-0000-000075380000}"/>
    <cellStyle name="Heading 1 2 2 2 2 5 2" xfId="20946" xr:uid="{00000000-0005-0000-0000-000076380000}"/>
    <cellStyle name="Heading 1 2 2 2 2 6" xfId="7631" xr:uid="{00000000-0005-0000-0000-000077380000}"/>
    <cellStyle name="Heading 1 2 2 2 2 6 2" xfId="20947" xr:uid="{00000000-0005-0000-0000-000078380000}"/>
    <cellStyle name="Heading 1 2 2 2 2 7" xfId="7632" xr:uid="{00000000-0005-0000-0000-000079380000}"/>
    <cellStyle name="Heading 1 2 2 2 2 7 2" xfId="20948" xr:uid="{00000000-0005-0000-0000-00007A380000}"/>
    <cellStyle name="Heading 1 2 2 2 2 8" xfId="7633" xr:uid="{00000000-0005-0000-0000-00007B380000}"/>
    <cellStyle name="Heading 1 2 2 2 2 8 2" xfId="20949" xr:uid="{00000000-0005-0000-0000-00007C380000}"/>
    <cellStyle name="Heading 1 2 2 2 2 9" xfId="7634" xr:uid="{00000000-0005-0000-0000-00007D380000}"/>
    <cellStyle name="Heading 1 2 2 2 2 9 2" xfId="20950" xr:uid="{00000000-0005-0000-0000-00007E380000}"/>
    <cellStyle name="Heading 1 2 2 2 20" xfId="7635" xr:uid="{00000000-0005-0000-0000-00007F380000}"/>
    <cellStyle name="Heading 1 2 2 2 20 2" xfId="7636" xr:uid="{00000000-0005-0000-0000-000080380000}"/>
    <cellStyle name="Heading 1 2 2 2 20 2 2" xfId="20952" xr:uid="{00000000-0005-0000-0000-000081380000}"/>
    <cellStyle name="Heading 1 2 2 2 20 3" xfId="20951" xr:uid="{00000000-0005-0000-0000-000082380000}"/>
    <cellStyle name="Heading 1 2 2 2 21" xfId="7637" xr:uid="{00000000-0005-0000-0000-000083380000}"/>
    <cellStyle name="Heading 1 2 2 2 21 2" xfId="20953" xr:uid="{00000000-0005-0000-0000-000084380000}"/>
    <cellStyle name="Heading 1 2 2 2 22" xfId="7638" xr:uid="{00000000-0005-0000-0000-000085380000}"/>
    <cellStyle name="Heading 1 2 2 2 22 2" xfId="20954" xr:uid="{00000000-0005-0000-0000-000086380000}"/>
    <cellStyle name="Heading 1 2 2 2 23" xfId="7639" xr:uid="{00000000-0005-0000-0000-000087380000}"/>
    <cellStyle name="Heading 1 2 2 2 23 2" xfId="20955" xr:uid="{00000000-0005-0000-0000-000088380000}"/>
    <cellStyle name="Heading 1 2 2 2 24" xfId="7640" xr:uid="{00000000-0005-0000-0000-000089380000}"/>
    <cellStyle name="Heading 1 2 2 2 24 2" xfId="20956" xr:uid="{00000000-0005-0000-0000-00008A380000}"/>
    <cellStyle name="Heading 1 2 2 2 25" xfId="7641" xr:uid="{00000000-0005-0000-0000-00008B380000}"/>
    <cellStyle name="Heading 1 2 2 2 25 2" xfId="20957" xr:uid="{00000000-0005-0000-0000-00008C380000}"/>
    <cellStyle name="Heading 1 2 2 2 26" xfId="7642" xr:uid="{00000000-0005-0000-0000-00008D380000}"/>
    <cellStyle name="Heading 1 2 2 2 26 2" xfId="20958" xr:uid="{00000000-0005-0000-0000-00008E380000}"/>
    <cellStyle name="Heading 1 2 2 2 27" xfId="7643" xr:uid="{00000000-0005-0000-0000-00008F380000}"/>
    <cellStyle name="Heading 1 2 2 2 27 2" xfId="20959" xr:uid="{00000000-0005-0000-0000-000090380000}"/>
    <cellStyle name="Heading 1 2 2 2 28" xfId="7644" xr:uid="{00000000-0005-0000-0000-000091380000}"/>
    <cellStyle name="Heading 1 2 2 2 28 2" xfId="7645" xr:uid="{00000000-0005-0000-0000-000092380000}"/>
    <cellStyle name="Heading 1 2 2 2 28 2 2" xfId="20961" xr:uid="{00000000-0005-0000-0000-000093380000}"/>
    <cellStyle name="Heading 1 2 2 2 28 3" xfId="20960" xr:uid="{00000000-0005-0000-0000-000094380000}"/>
    <cellStyle name="Heading 1 2 2 2 29" xfId="20881" xr:uid="{00000000-0005-0000-0000-000095380000}"/>
    <cellStyle name="Heading 1 2 2 2 3" xfId="7646" xr:uid="{00000000-0005-0000-0000-000096380000}"/>
    <cellStyle name="Heading 1 2 2 2 3 2" xfId="7647" xr:uid="{00000000-0005-0000-0000-000097380000}"/>
    <cellStyle name="Heading 1 2 2 2 3 2 2" xfId="20963" xr:uid="{00000000-0005-0000-0000-000098380000}"/>
    <cellStyle name="Heading 1 2 2 2 3 3" xfId="20962" xr:uid="{00000000-0005-0000-0000-000099380000}"/>
    <cellStyle name="Heading 1 2 2 2 30" xfId="31069" xr:uid="{00000000-0005-0000-0000-00009A380000}"/>
    <cellStyle name="Heading 1 2 2 2 4" xfId="7648" xr:uid="{00000000-0005-0000-0000-00009B380000}"/>
    <cellStyle name="Heading 1 2 2 2 4 2" xfId="20964" xr:uid="{00000000-0005-0000-0000-00009C380000}"/>
    <cellStyle name="Heading 1 2 2 2 5" xfId="7649" xr:uid="{00000000-0005-0000-0000-00009D380000}"/>
    <cellStyle name="Heading 1 2 2 2 5 2" xfId="20965" xr:uid="{00000000-0005-0000-0000-00009E380000}"/>
    <cellStyle name="Heading 1 2 2 2 6" xfId="7650" xr:uid="{00000000-0005-0000-0000-00009F380000}"/>
    <cellStyle name="Heading 1 2 2 2 6 2" xfId="20966" xr:uid="{00000000-0005-0000-0000-0000A0380000}"/>
    <cellStyle name="Heading 1 2 2 2 7" xfId="7651" xr:uid="{00000000-0005-0000-0000-0000A1380000}"/>
    <cellStyle name="Heading 1 2 2 2 7 2" xfId="20967" xr:uid="{00000000-0005-0000-0000-0000A2380000}"/>
    <cellStyle name="Heading 1 2 2 2 8" xfId="7652" xr:uid="{00000000-0005-0000-0000-0000A3380000}"/>
    <cellStyle name="Heading 1 2 2 2 8 2" xfId="20968" xr:uid="{00000000-0005-0000-0000-0000A4380000}"/>
    <cellStyle name="Heading 1 2 2 2 9" xfId="7653" xr:uid="{00000000-0005-0000-0000-0000A5380000}"/>
    <cellStyle name="Heading 1 2 2 2 9 2" xfId="20969" xr:uid="{00000000-0005-0000-0000-0000A6380000}"/>
    <cellStyle name="Heading 1 2 2 20" xfId="7654" xr:uid="{00000000-0005-0000-0000-0000A7380000}"/>
    <cellStyle name="Heading 1 2 2 20 2" xfId="20970" xr:uid="{00000000-0005-0000-0000-0000A8380000}"/>
    <cellStyle name="Heading 1 2 2 21" xfId="7655" xr:uid="{00000000-0005-0000-0000-0000A9380000}"/>
    <cellStyle name="Heading 1 2 2 21 2" xfId="20971" xr:uid="{00000000-0005-0000-0000-0000AA380000}"/>
    <cellStyle name="Heading 1 2 2 22" xfId="7656" xr:uid="{00000000-0005-0000-0000-0000AB380000}"/>
    <cellStyle name="Heading 1 2 2 22 2" xfId="20972" xr:uid="{00000000-0005-0000-0000-0000AC380000}"/>
    <cellStyle name="Heading 1 2 2 23" xfId="7657" xr:uid="{00000000-0005-0000-0000-0000AD380000}"/>
    <cellStyle name="Heading 1 2 2 23 2" xfId="20973" xr:uid="{00000000-0005-0000-0000-0000AE380000}"/>
    <cellStyle name="Heading 1 2 2 24" xfId="7658" xr:uid="{00000000-0005-0000-0000-0000AF380000}"/>
    <cellStyle name="Heading 1 2 2 24 2" xfId="20974" xr:uid="{00000000-0005-0000-0000-0000B0380000}"/>
    <cellStyle name="Heading 1 2 2 25" xfId="7659" xr:uid="{00000000-0005-0000-0000-0000B1380000}"/>
    <cellStyle name="Heading 1 2 2 25 2" xfId="20975" xr:uid="{00000000-0005-0000-0000-0000B2380000}"/>
    <cellStyle name="Heading 1 2 2 26" xfId="7660" xr:uid="{00000000-0005-0000-0000-0000B3380000}"/>
    <cellStyle name="Heading 1 2 2 26 2" xfId="20976" xr:uid="{00000000-0005-0000-0000-0000B4380000}"/>
    <cellStyle name="Heading 1 2 2 27" xfId="7661" xr:uid="{00000000-0005-0000-0000-0000B5380000}"/>
    <cellStyle name="Heading 1 2 2 27 2" xfId="20977" xr:uid="{00000000-0005-0000-0000-0000B6380000}"/>
    <cellStyle name="Heading 1 2 2 28" xfId="7662" xr:uid="{00000000-0005-0000-0000-0000B7380000}"/>
    <cellStyle name="Heading 1 2 2 28 2" xfId="20978" xr:uid="{00000000-0005-0000-0000-0000B8380000}"/>
    <cellStyle name="Heading 1 2 2 29" xfId="7663" xr:uid="{00000000-0005-0000-0000-0000B9380000}"/>
    <cellStyle name="Heading 1 2 2 29 2" xfId="20979" xr:uid="{00000000-0005-0000-0000-0000BA380000}"/>
    <cellStyle name="Heading 1 2 2 3" xfId="7664" xr:uid="{00000000-0005-0000-0000-0000BB380000}"/>
    <cellStyle name="Heading 1 2 2 3 2" xfId="20980" xr:uid="{00000000-0005-0000-0000-0000BC380000}"/>
    <cellStyle name="Heading 1 2 2 30" xfId="7665" xr:uid="{00000000-0005-0000-0000-0000BD380000}"/>
    <cellStyle name="Heading 1 2 2 30 2" xfId="20981" xr:uid="{00000000-0005-0000-0000-0000BE380000}"/>
    <cellStyle name="Heading 1 2 2 31" xfId="7666" xr:uid="{00000000-0005-0000-0000-0000BF380000}"/>
    <cellStyle name="Heading 1 2 2 31 2" xfId="7667" xr:uid="{00000000-0005-0000-0000-0000C0380000}"/>
    <cellStyle name="Heading 1 2 2 31 2 2" xfId="20983" xr:uid="{00000000-0005-0000-0000-0000C1380000}"/>
    <cellStyle name="Heading 1 2 2 31 3" xfId="20982" xr:uid="{00000000-0005-0000-0000-0000C2380000}"/>
    <cellStyle name="Heading 1 2 2 32" xfId="7668" xr:uid="{00000000-0005-0000-0000-0000C3380000}"/>
    <cellStyle name="Heading 1 2 2 32 2" xfId="20984" xr:uid="{00000000-0005-0000-0000-0000C4380000}"/>
    <cellStyle name="Heading 1 2 2 33" xfId="7669" xr:uid="{00000000-0005-0000-0000-0000C5380000}"/>
    <cellStyle name="Heading 1 2 2 33 2" xfId="20985" xr:uid="{00000000-0005-0000-0000-0000C6380000}"/>
    <cellStyle name="Heading 1 2 2 34" xfId="7670" xr:uid="{00000000-0005-0000-0000-0000C7380000}"/>
    <cellStyle name="Heading 1 2 2 34 2" xfId="20986" xr:uid="{00000000-0005-0000-0000-0000C8380000}"/>
    <cellStyle name="Heading 1 2 2 35" xfId="7671" xr:uid="{00000000-0005-0000-0000-0000C9380000}"/>
    <cellStyle name="Heading 1 2 2 35 2" xfId="20987" xr:uid="{00000000-0005-0000-0000-0000CA380000}"/>
    <cellStyle name="Heading 1 2 2 36" xfId="7672" xr:uid="{00000000-0005-0000-0000-0000CB380000}"/>
    <cellStyle name="Heading 1 2 2 36 2" xfId="20988" xr:uid="{00000000-0005-0000-0000-0000CC380000}"/>
    <cellStyle name="Heading 1 2 2 37" xfId="7673" xr:uid="{00000000-0005-0000-0000-0000CD380000}"/>
    <cellStyle name="Heading 1 2 2 37 2" xfId="20989" xr:uid="{00000000-0005-0000-0000-0000CE380000}"/>
    <cellStyle name="Heading 1 2 2 38" xfId="7674" xr:uid="{00000000-0005-0000-0000-0000CF380000}"/>
    <cellStyle name="Heading 1 2 2 38 2" xfId="20990" xr:uid="{00000000-0005-0000-0000-0000D0380000}"/>
    <cellStyle name="Heading 1 2 2 39" xfId="7675" xr:uid="{00000000-0005-0000-0000-0000D1380000}"/>
    <cellStyle name="Heading 1 2 2 39 2" xfId="7676" xr:uid="{00000000-0005-0000-0000-0000D2380000}"/>
    <cellStyle name="Heading 1 2 2 39 2 2" xfId="20992" xr:uid="{00000000-0005-0000-0000-0000D3380000}"/>
    <cellStyle name="Heading 1 2 2 39 3" xfId="20991" xr:uid="{00000000-0005-0000-0000-0000D4380000}"/>
    <cellStyle name="Heading 1 2 2 4" xfId="7677" xr:uid="{00000000-0005-0000-0000-0000D5380000}"/>
    <cellStyle name="Heading 1 2 2 4 2" xfId="20993" xr:uid="{00000000-0005-0000-0000-0000D6380000}"/>
    <cellStyle name="Heading 1 2 2 40" xfId="20869" xr:uid="{00000000-0005-0000-0000-0000D7380000}"/>
    <cellStyle name="Heading 1 2 2 41" xfId="31070" xr:uid="{00000000-0005-0000-0000-0000D8380000}"/>
    <cellStyle name="Heading 1 2 2 42" xfId="31071" xr:uid="{00000000-0005-0000-0000-0000D9380000}"/>
    <cellStyle name="Heading 1 2 2 5" xfId="7678" xr:uid="{00000000-0005-0000-0000-0000DA380000}"/>
    <cellStyle name="Heading 1 2 2 5 2" xfId="20994" xr:uid="{00000000-0005-0000-0000-0000DB380000}"/>
    <cellStyle name="Heading 1 2 2 6" xfId="7679" xr:uid="{00000000-0005-0000-0000-0000DC380000}"/>
    <cellStyle name="Heading 1 2 2 6 2" xfId="20995" xr:uid="{00000000-0005-0000-0000-0000DD380000}"/>
    <cellStyle name="Heading 1 2 2 7" xfId="7680" xr:uid="{00000000-0005-0000-0000-0000DE380000}"/>
    <cellStyle name="Heading 1 2 2 7 2" xfId="20996" xr:uid="{00000000-0005-0000-0000-0000DF380000}"/>
    <cellStyle name="Heading 1 2 2 8" xfId="7681" xr:uid="{00000000-0005-0000-0000-0000E0380000}"/>
    <cellStyle name="Heading 1 2 2 8 2" xfId="20997" xr:uid="{00000000-0005-0000-0000-0000E1380000}"/>
    <cellStyle name="Heading 1 2 2 9" xfId="7682" xr:uid="{00000000-0005-0000-0000-0000E2380000}"/>
    <cellStyle name="Heading 1 2 2 9 2" xfId="20998" xr:uid="{00000000-0005-0000-0000-0000E3380000}"/>
    <cellStyle name="Heading 1 2 2_Loan Classification" xfId="11454" xr:uid="{00000000-0005-0000-0000-0000E4380000}"/>
    <cellStyle name="Heading 1 2 20" xfId="7683" xr:uid="{00000000-0005-0000-0000-0000E5380000}"/>
    <cellStyle name="Heading 1 2 20 2" xfId="20999" xr:uid="{00000000-0005-0000-0000-0000E6380000}"/>
    <cellStyle name="Heading 1 2 21" xfId="7684" xr:uid="{00000000-0005-0000-0000-0000E7380000}"/>
    <cellStyle name="Heading 1 2 21 2" xfId="21000" xr:uid="{00000000-0005-0000-0000-0000E8380000}"/>
    <cellStyle name="Heading 1 2 22" xfId="7685" xr:uid="{00000000-0005-0000-0000-0000E9380000}"/>
    <cellStyle name="Heading 1 2 22 2" xfId="21001" xr:uid="{00000000-0005-0000-0000-0000EA380000}"/>
    <cellStyle name="Heading 1 2 23" xfId="7686" xr:uid="{00000000-0005-0000-0000-0000EB380000}"/>
    <cellStyle name="Heading 1 2 23 2" xfId="21002" xr:uid="{00000000-0005-0000-0000-0000EC380000}"/>
    <cellStyle name="Heading 1 2 24" xfId="7687" xr:uid="{00000000-0005-0000-0000-0000ED380000}"/>
    <cellStyle name="Heading 1 2 24 2" xfId="21003" xr:uid="{00000000-0005-0000-0000-0000EE380000}"/>
    <cellStyle name="Heading 1 2 25" xfId="7688" xr:uid="{00000000-0005-0000-0000-0000EF380000}"/>
    <cellStyle name="Heading 1 2 25 2" xfId="21004" xr:uid="{00000000-0005-0000-0000-0000F0380000}"/>
    <cellStyle name="Heading 1 2 26" xfId="7689" xr:uid="{00000000-0005-0000-0000-0000F1380000}"/>
    <cellStyle name="Heading 1 2 26 2" xfId="21005" xr:uid="{00000000-0005-0000-0000-0000F2380000}"/>
    <cellStyle name="Heading 1 2 27" xfId="7690" xr:uid="{00000000-0005-0000-0000-0000F3380000}"/>
    <cellStyle name="Heading 1 2 27 2" xfId="21006" xr:uid="{00000000-0005-0000-0000-0000F4380000}"/>
    <cellStyle name="Heading 1 2 28" xfId="7691" xr:uid="{00000000-0005-0000-0000-0000F5380000}"/>
    <cellStyle name="Heading 1 2 28 2" xfId="21007" xr:uid="{00000000-0005-0000-0000-0000F6380000}"/>
    <cellStyle name="Heading 1 2 29" xfId="7692" xr:uid="{00000000-0005-0000-0000-0000F7380000}"/>
    <cellStyle name="Heading 1 2 29 2" xfId="21008" xr:uid="{00000000-0005-0000-0000-0000F8380000}"/>
    <cellStyle name="Heading 1 2 3" xfId="7693" xr:uid="{00000000-0005-0000-0000-0000F9380000}"/>
    <cellStyle name="Heading 1 2 3 2" xfId="21009" xr:uid="{00000000-0005-0000-0000-0000FA380000}"/>
    <cellStyle name="Heading 1 2 3 2 2" xfId="31072" xr:uid="{00000000-0005-0000-0000-0000FB380000}"/>
    <cellStyle name="Heading 1 2 3 3" xfId="31073" xr:uid="{00000000-0005-0000-0000-0000FC380000}"/>
    <cellStyle name="Heading 1 2 3 4" xfId="31074" xr:uid="{00000000-0005-0000-0000-0000FD380000}"/>
    <cellStyle name="Heading 1 2 3 5" xfId="31075" xr:uid="{00000000-0005-0000-0000-0000FE380000}"/>
    <cellStyle name="Heading 1 2 30" xfId="7694" xr:uid="{00000000-0005-0000-0000-0000FF380000}"/>
    <cellStyle name="Heading 1 2 30 2" xfId="21010" xr:uid="{00000000-0005-0000-0000-000000390000}"/>
    <cellStyle name="Heading 1 2 31" xfId="7695" xr:uid="{00000000-0005-0000-0000-000001390000}"/>
    <cellStyle name="Heading 1 2 31 2" xfId="21011" xr:uid="{00000000-0005-0000-0000-000002390000}"/>
    <cellStyle name="Heading 1 2 32" xfId="7696" xr:uid="{00000000-0005-0000-0000-000003390000}"/>
    <cellStyle name="Heading 1 2 32 2" xfId="21012" xr:uid="{00000000-0005-0000-0000-000004390000}"/>
    <cellStyle name="Heading 1 2 33" xfId="7697" xr:uid="{00000000-0005-0000-0000-000005390000}"/>
    <cellStyle name="Heading 1 2 33 2" xfId="7698" xr:uid="{00000000-0005-0000-0000-000006390000}"/>
    <cellStyle name="Heading 1 2 33 2 2" xfId="21014" xr:uid="{00000000-0005-0000-0000-000007390000}"/>
    <cellStyle name="Heading 1 2 33 3" xfId="21013" xr:uid="{00000000-0005-0000-0000-000008390000}"/>
    <cellStyle name="Heading 1 2 34" xfId="7699" xr:uid="{00000000-0005-0000-0000-000009390000}"/>
    <cellStyle name="Heading 1 2 34 2" xfId="21015" xr:uid="{00000000-0005-0000-0000-00000A390000}"/>
    <cellStyle name="Heading 1 2 35" xfId="7700" xr:uid="{00000000-0005-0000-0000-00000B390000}"/>
    <cellStyle name="Heading 1 2 35 2" xfId="21016" xr:uid="{00000000-0005-0000-0000-00000C390000}"/>
    <cellStyle name="Heading 1 2 36" xfId="7701" xr:uid="{00000000-0005-0000-0000-00000D390000}"/>
    <cellStyle name="Heading 1 2 36 2" xfId="21017" xr:uid="{00000000-0005-0000-0000-00000E390000}"/>
    <cellStyle name="Heading 1 2 37" xfId="7702" xr:uid="{00000000-0005-0000-0000-00000F390000}"/>
    <cellStyle name="Heading 1 2 37 2" xfId="21018" xr:uid="{00000000-0005-0000-0000-000010390000}"/>
    <cellStyle name="Heading 1 2 38" xfId="7703" xr:uid="{00000000-0005-0000-0000-000011390000}"/>
    <cellStyle name="Heading 1 2 38 2" xfId="21019" xr:uid="{00000000-0005-0000-0000-000012390000}"/>
    <cellStyle name="Heading 1 2 39" xfId="7704" xr:uid="{00000000-0005-0000-0000-000013390000}"/>
    <cellStyle name="Heading 1 2 39 2" xfId="21020" xr:uid="{00000000-0005-0000-0000-000014390000}"/>
    <cellStyle name="Heading 1 2 4" xfId="7705" xr:uid="{00000000-0005-0000-0000-000015390000}"/>
    <cellStyle name="Heading 1 2 4 2" xfId="21021" xr:uid="{00000000-0005-0000-0000-000016390000}"/>
    <cellStyle name="Heading 1 2 4 2 2" xfId="31076" xr:uid="{00000000-0005-0000-0000-000017390000}"/>
    <cellStyle name="Heading 1 2 4 3" xfId="31077" xr:uid="{00000000-0005-0000-0000-000018390000}"/>
    <cellStyle name="Heading 1 2 4 4" xfId="31078" xr:uid="{00000000-0005-0000-0000-000019390000}"/>
    <cellStyle name="Heading 1 2 4 5" xfId="31079" xr:uid="{00000000-0005-0000-0000-00001A390000}"/>
    <cellStyle name="Heading 1 2 40" xfId="7706" xr:uid="{00000000-0005-0000-0000-00001B390000}"/>
    <cellStyle name="Heading 1 2 40 2" xfId="21022" xr:uid="{00000000-0005-0000-0000-00001C390000}"/>
    <cellStyle name="Heading 1 2 41" xfId="7707" xr:uid="{00000000-0005-0000-0000-00001D390000}"/>
    <cellStyle name="Heading 1 2 41 2" xfId="7708" xr:uid="{00000000-0005-0000-0000-00001E390000}"/>
    <cellStyle name="Heading 1 2 41 2 2" xfId="21024" xr:uid="{00000000-0005-0000-0000-00001F390000}"/>
    <cellStyle name="Heading 1 2 41 3" xfId="21023" xr:uid="{00000000-0005-0000-0000-000020390000}"/>
    <cellStyle name="Heading 1 2 42" xfId="20857" xr:uid="{00000000-0005-0000-0000-000021390000}"/>
    <cellStyle name="Heading 1 2 43" xfId="31080" xr:uid="{00000000-0005-0000-0000-000022390000}"/>
    <cellStyle name="Heading 1 2 44" xfId="31081" xr:uid="{00000000-0005-0000-0000-000023390000}"/>
    <cellStyle name="Heading 1 2 45" xfId="31082" xr:uid="{00000000-0005-0000-0000-000024390000}"/>
    <cellStyle name="Heading 1 2 46" xfId="31083" xr:uid="{00000000-0005-0000-0000-000025390000}"/>
    <cellStyle name="Heading 1 2 47" xfId="33170" xr:uid="{00000000-0005-0000-0000-000026390000}"/>
    <cellStyle name="Heading 1 2 48" xfId="33169" xr:uid="{00000000-0005-0000-0000-000027390000}"/>
    <cellStyle name="Heading 1 2 49" xfId="7541" xr:uid="{00000000-0005-0000-0000-000028390000}"/>
    <cellStyle name="Heading 1 2 5" xfId="7709" xr:uid="{00000000-0005-0000-0000-000029390000}"/>
    <cellStyle name="Heading 1 2 5 2" xfId="7710" xr:uid="{00000000-0005-0000-0000-00002A390000}"/>
    <cellStyle name="Heading 1 2 5 2 2" xfId="21026" xr:uid="{00000000-0005-0000-0000-00002B390000}"/>
    <cellStyle name="Heading 1 2 5 3" xfId="21025" xr:uid="{00000000-0005-0000-0000-00002C390000}"/>
    <cellStyle name="Heading 1 2 5 4" xfId="31084" xr:uid="{00000000-0005-0000-0000-00002D390000}"/>
    <cellStyle name="Heading 1 2 6" xfId="7711" xr:uid="{00000000-0005-0000-0000-00002E390000}"/>
    <cellStyle name="Heading 1 2 6 2" xfId="21027" xr:uid="{00000000-0005-0000-0000-00002F390000}"/>
    <cellStyle name="Heading 1 2 6 3" xfId="31085" xr:uid="{00000000-0005-0000-0000-000030390000}"/>
    <cellStyle name="Heading 1 2 7" xfId="7712" xr:uid="{00000000-0005-0000-0000-000031390000}"/>
    <cellStyle name="Heading 1 2 7 2" xfId="21028" xr:uid="{00000000-0005-0000-0000-000032390000}"/>
    <cellStyle name="Heading 1 2 8" xfId="7713" xr:uid="{00000000-0005-0000-0000-000033390000}"/>
    <cellStyle name="Heading 1 2 8 2" xfId="21029" xr:uid="{00000000-0005-0000-0000-000034390000}"/>
    <cellStyle name="Heading 1 2 9" xfId="7714" xr:uid="{00000000-0005-0000-0000-000035390000}"/>
    <cellStyle name="Heading 1 2 9 2" xfId="21030" xr:uid="{00000000-0005-0000-0000-000036390000}"/>
    <cellStyle name="Heading 1 2_Loan Classification" xfId="11453" xr:uid="{00000000-0005-0000-0000-000037390000}"/>
    <cellStyle name="Heading 1 20" xfId="7715" xr:uid="{00000000-0005-0000-0000-000038390000}"/>
    <cellStyle name="Heading 1 20 2" xfId="21031" xr:uid="{00000000-0005-0000-0000-000039390000}"/>
    <cellStyle name="Heading 1 21" xfId="7716" xr:uid="{00000000-0005-0000-0000-00003A390000}"/>
    <cellStyle name="Heading 1 21 2" xfId="21032" xr:uid="{00000000-0005-0000-0000-00003B390000}"/>
    <cellStyle name="Heading 1 22" xfId="7717" xr:uid="{00000000-0005-0000-0000-00003C390000}"/>
    <cellStyle name="Heading 1 22 2" xfId="21033" xr:uid="{00000000-0005-0000-0000-00003D390000}"/>
    <cellStyle name="Heading 1 23" xfId="7718" xr:uid="{00000000-0005-0000-0000-00003E390000}"/>
    <cellStyle name="Heading 1 23 2" xfId="21034" xr:uid="{00000000-0005-0000-0000-00003F390000}"/>
    <cellStyle name="Heading 1 24" xfId="7719" xr:uid="{00000000-0005-0000-0000-000040390000}"/>
    <cellStyle name="Heading 1 24 2" xfId="21035" xr:uid="{00000000-0005-0000-0000-000041390000}"/>
    <cellStyle name="Heading 1 25" xfId="7720" xr:uid="{00000000-0005-0000-0000-000042390000}"/>
    <cellStyle name="Heading 1 25 2" xfId="21036" xr:uid="{00000000-0005-0000-0000-000043390000}"/>
    <cellStyle name="Heading 1 26" xfId="7721" xr:uid="{00000000-0005-0000-0000-000044390000}"/>
    <cellStyle name="Heading 1 26 2" xfId="21037" xr:uid="{00000000-0005-0000-0000-000045390000}"/>
    <cellStyle name="Heading 1 27" xfId="7722" xr:uid="{00000000-0005-0000-0000-000046390000}"/>
    <cellStyle name="Heading 1 27 2" xfId="21038" xr:uid="{00000000-0005-0000-0000-000047390000}"/>
    <cellStyle name="Heading 1 28" xfId="7723" xr:uid="{00000000-0005-0000-0000-000048390000}"/>
    <cellStyle name="Heading 1 28 2" xfId="21039" xr:uid="{00000000-0005-0000-0000-000049390000}"/>
    <cellStyle name="Heading 1 29" xfId="7724" xr:uid="{00000000-0005-0000-0000-00004A390000}"/>
    <cellStyle name="Heading 1 29 2" xfId="21040" xr:uid="{00000000-0005-0000-0000-00004B390000}"/>
    <cellStyle name="Heading 1 3" xfId="158" xr:uid="{00000000-0005-0000-0000-00004C390000}"/>
    <cellStyle name="Heading 1 3 2" xfId="21041" xr:uid="{00000000-0005-0000-0000-00004D390000}"/>
    <cellStyle name="Heading 1 3 2 2" xfId="31086" xr:uid="{00000000-0005-0000-0000-00004E390000}"/>
    <cellStyle name="Heading 1 3 3" xfId="31087" xr:uid="{00000000-0005-0000-0000-00004F390000}"/>
    <cellStyle name="Heading 1 3 4" xfId="31088" xr:uid="{00000000-0005-0000-0000-000050390000}"/>
    <cellStyle name="Heading 1 3 5" xfId="7725" xr:uid="{00000000-0005-0000-0000-000051390000}"/>
    <cellStyle name="Heading 1 30" xfId="7726" xr:uid="{00000000-0005-0000-0000-000052390000}"/>
    <cellStyle name="Heading 1 30 2" xfId="21042" xr:uid="{00000000-0005-0000-0000-000053390000}"/>
    <cellStyle name="Heading 1 31" xfId="7727" xr:uid="{00000000-0005-0000-0000-000054390000}"/>
    <cellStyle name="Heading 1 31 2" xfId="21043" xr:uid="{00000000-0005-0000-0000-000055390000}"/>
    <cellStyle name="Heading 1 32" xfId="7728" xr:uid="{00000000-0005-0000-0000-000056390000}"/>
    <cellStyle name="Heading 1 32 2" xfId="21044" xr:uid="{00000000-0005-0000-0000-000057390000}"/>
    <cellStyle name="Heading 1 33" xfId="7729" xr:uid="{00000000-0005-0000-0000-000058390000}"/>
    <cellStyle name="Heading 1 33 2" xfId="21045" xr:uid="{00000000-0005-0000-0000-000059390000}"/>
    <cellStyle name="Heading 1 34" xfId="7730" xr:uid="{00000000-0005-0000-0000-00005A390000}"/>
    <cellStyle name="Heading 1 34 2" xfId="21046" xr:uid="{00000000-0005-0000-0000-00005B390000}"/>
    <cellStyle name="Heading 1 35" xfId="7731" xr:uid="{00000000-0005-0000-0000-00005C390000}"/>
    <cellStyle name="Heading 1 35 2" xfId="21047" xr:uid="{00000000-0005-0000-0000-00005D390000}"/>
    <cellStyle name="Heading 1 36" xfId="7732" xr:uid="{00000000-0005-0000-0000-00005E390000}"/>
    <cellStyle name="Heading 1 36 2" xfId="21048" xr:uid="{00000000-0005-0000-0000-00005F390000}"/>
    <cellStyle name="Heading 1 37" xfId="7733" xr:uid="{00000000-0005-0000-0000-000060390000}"/>
    <cellStyle name="Heading 1 37 2" xfId="21049" xr:uid="{00000000-0005-0000-0000-000061390000}"/>
    <cellStyle name="Heading 1 38" xfId="7734" xr:uid="{00000000-0005-0000-0000-000062390000}"/>
    <cellStyle name="Heading 1 38 2" xfId="21050" xr:uid="{00000000-0005-0000-0000-000063390000}"/>
    <cellStyle name="Heading 1 39" xfId="7735" xr:uid="{00000000-0005-0000-0000-000064390000}"/>
    <cellStyle name="Heading 1 39 2" xfId="21051" xr:uid="{00000000-0005-0000-0000-000065390000}"/>
    <cellStyle name="Heading 1 4" xfId="7736" xr:uid="{00000000-0005-0000-0000-000066390000}"/>
    <cellStyle name="Heading 1 4 2" xfId="21052" xr:uid="{00000000-0005-0000-0000-000067390000}"/>
    <cellStyle name="Heading 1 4 2 2" xfId="31089" xr:uid="{00000000-0005-0000-0000-000068390000}"/>
    <cellStyle name="Heading 1 4 3" xfId="31090" xr:uid="{00000000-0005-0000-0000-000069390000}"/>
    <cellStyle name="Heading 1 4 4" xfId="31091" xr:uid="{00000000-0005-0000-0000-00006A390000}"/>
    <cellStyle name="Heading 1 40" xfId="7737" xr:uid="{00000000-0005-0000-0000-00006B390000}"/>
    <cellStyle name="Heading 1 40 2" xfId="21053" xr:uid="{00000000-0005-0000-0000-00006C390000}"/>
    <cellStyle name="Heading 1 41" xfId="7738" xr:uid="{00000000-0005-0000-0000-00006D390000}"/>
    <cellStyle name="Heading 1 41 2" xfId="21054" xr:uid="{00000000-0005-0000-0000-00006E390000}"/>
    <cellStyle name="Heading 1 42" xfId="7739" xr:uid="{00000000-0005-0000-0000-00006F390000}"/>
    <cellStyle name="Heading 1 42 2" xfId="21055" xr:uid="{00000000-0005-0000-0000-000070390000}"/>
    <cellStyle name="Heading 1 43" xfId="11593" xr:uid="{00000000-0005-0000-0000-000071390000}"/>
    <cellStyle name="Heading 1 43 2" xfId="21056" xr:uid="{00000000-0005-0000-0000-000072390000}"/>
    <cellStyle name="Heading 1 44" xfId="11522" xr:uid="{00000000-0005-0000-0000-000073390000}"/>
    <cellStyle name="Heading 1 44 2" xfId="21057" xr:uid="{00000000-0005-0000-0000-000074390000}"/>
    <cellStyle name="Heading 1 45" xfId="21058" xr:uid="{00000000-0005-0000-0000-000075390000}"/>
    <cellStyle name="Heading 1 46" xfId="31092" xr:uid="{00000000-0005-0000-0000-000076390000}"/>
    <cellStyle name="Heading 1 47" xfId="530" xr:uid="{00000000-0005-0000-0000-000077390000}"/>
    <cellStyle name="Heading 1 5" xfId="7740" xr:uid="{00000000-0005-0000-0000-000078390000}"/>
    <cellStyle name="Heading 1 5 2" xfId="21059" xr:uid="{00000000-0005-0000-0000-000079390000}"/>
    <cellStyle name="Heading 1 5 2 2" xfId="31093" xr:uid="{00000000-0005-0000-0000-00007A390000}"/>
    <cellStyle name="Heading 1 5 3" xfId="31094" xr:uid="{00000000-0005-0000-0000-00007B390000}"/>
    <cellStyle name="Heading 1 5 4" xfId="31095" xr:uid="{00000000-0005-0000-0000-00007C390000}"/>
    <cellStyle name="Heading 1 6" xfId="7741" xr:uid="{00000000-0005-0000-0000-00007D390000}"/>
    <cellStyle name="Heading 1 6 2" xfId="21060" xr:uid="{00000000-0005-0000-0000-00007E390000}"/>
    <cellStyle name="Heading 1 6 3" xfId="31096" xr:uid="{00000000-0005-0000-0000-00007F390000}"/>
    <cellStyle name="Heading 1 7" xfId="7742" xr:uid="{00000000-0005-0000-0000-000080390000}"/>
    <cellStyle name="Heading 1 7 2" xfId="21061" xr:uid="{00000000-0005-0000-0000-000081390000}"/>
    <cellStyle name="Heading 1 7 3" xfId="31097" xr:uid="{00000000-0005-0000-0000-000082390000}"/>
    <cellStyle name="Heading 1 8" xfId="7743" xr:uid="{00000000-0005-0000-0000-000083390000}"/>
    <cellStyle name="Heading 1 8 2" xfId="21062" xr:uid="{00000000-0005-0000-0000-000084390000}"/>
    <cellStyle name="Heading 1 8 3" xfId="31098" xr:uid="{00000000-0005-0000-0000-000085390000}"/>
    <cellStyle name="Heading 1 9" xfId="7744" xr:uid="{00000000-0005-0000-0000-000086390000}"/>
    <cellStyle name="Heading 1 9 2" xfId="21063" xr:uid="{00000000-0005-0000-0000-000087390000}"/>
    <cellStyle name="Heading 1 9 3" xfId="31099" xr:uid="{00000000-0005-0000-0000-000088390000}"/>
    <cellStyle name="Heading 2" xfId="11" builtinId="17" customBuiltin="1"/>
    <cellStyle name="Heading 2 10" xfId="7745" xr:uid="{00000000-0005-0000-0000-00008A390000}"/>
    <cellStyle name="Heading 2 10 2" xfId="21064" xr:uid="{00000000-0005-0000-0000-00008B390000}"/>
    <cellStyle name="Heading 2 10 3" xfId="31100" xr:uid="{00000000-0005-0000-0000-00008C390000}"/>
    <cellStyle name="Heading 2 11" xfId="7746" xr:uid="{00000000-0005-0000-0000-00008D390000}"/>
    <cellStyle name="Heading 2 11 2" xfId="21065" xr:uid="{00000000-0005-0000-0000-00008E390000}"/>
    <cellStyle name="Heading 2 11 3" xfId="31101" xr:uid="{00000000-0005-0000-0000-00008F390000}"/>
    <cellStyle name="Heading 2 12" xfId="7747" xr:uid="{00000000-0005-0000-0000-000090390000}"/>
    <cellStyle name="Heading 2 12 2" xfId="21066" xr:uid="{00000000-0005-0000-0000-000091390000}"/>
    <cellStyle name="Heading 2 12 3" xfId="31102" xr:uid="{00000000-0005-0000-0000-000092390000}"/>
    <cellStyle name="Heading 2 13" xfId="7748" xr:uid="{00000000-0005-0000-0000-000093390000}"/>
    <cellStyle name="Heading 2 13 2" xfId="21067" xr:uid="{00000000-0005-0000-0000-000094390000}"/>
    <cellStyle name="Heading 2 13 3" xfId="31103" xr:uid="{00000000-0005-0000-0000-000095390000}"/>
    <cellStyle name="Heading 2 14" xfId="7749" xr:uid="{00000000-0005-0000-0000-000096390000}"/>
    <cellStyle name="Heading 2 14 2" xfId="21068" xr:uid="{00000000-0005-0000-0000-000097390000}"/>
    <cellStyle name="Heading 2 14 3" xfId="31104" xr:uid="{00000000-0005-0000-0000-000098390000}"/>
    <cellStyle name="Heading 2 15" xfId="7750" xr:uid="{00000000-0005-0000-0000-000099390000}"/>
    <cellStyle name="Heading 2 15 2" xfId="21069" xr:uid="{00000000-0005-0000-0000-00009A390000}"/>
    <cellStyle name="Heading 2 15 3" xfId="31105" xr:uid="{00000000-0005-0000-0000-00009B390000}"/>
    <cellStyle name="Heading 2 16" xfId="7751" xr:uid="{00000000-0005-0000-0000-00009C390000}"/>
    <cellStyle name="Heading 2 16 2" xfId="21070" xr:uid="{00000000-0005-0000-0000-00009D390000}"/>
    <cellStyle name="Heading 2 16 3" xfId="31106" xr:uid="{00000000-0005-0000-0000-00009E390000}"/>
    <cellStyle name="Heading 2 17" xfId="7752" xr:uid="{00000000-0005-0000-0000-00009F390000}"/>
    <cellStyle name="Heading 2 17 2" xfId="21071" xr:uid="{00000000-0005-0000-0000-0000A0390000}"/>
    <cellStyle name="Heading 2 17 3" xfId="31107" xr:uid="{00000000-0005-0000-0000-0000A1390000}"/>
    <cellStyle name="Heading 2 18" xfId="7753" xr:uid="{00000000-0005-0000-0000-0000A2390000}"/>
    <cellStyle name="Heading 2 18 2" xfId="21072" xr:uid="{00000000-0005-0000-0000-0000A3390000}"/>
    <cellStyle name="Heading 2 19" xfId="7754" xr:uid="{00000000-0005-0000-0000-0000A4390000}"/>
    <cellStyle name="Heading 2 19 2" xfId="21073" xr:uid="{00000000-0005-0000-0000-0000A5390000}"/>
    <cellStyle name="Heading 2 2" xfId="159" xr:uid="{00000000-0005-0000-0000-0000A6390000}"/>
    <cellStyle name="Heading 2 2 10" xfId="7756" xr:uid="{00000000-0005-0000-0000-0000A7390000}"/>
    <cellStyle name="Heading 2 2 10 2" xfId="21075" xr:uid="{00000000-0005-0000-0000-0000A8390000}"/>
    <cellStyle name="Heading 2 2 11" xfId="7757" xr:uid="{00000000-0005-0000-0000-0000A9390000}"/>
    <cellStyle name="Heading 2 2 11 2" xfId="21076" xr:uid="{00000000-0005-0000-0000-0000AA390000}"/>
    <cellStyle name="Heading 2 2 12" xfId="7758" xr:uid="{00000000-0005-0000-0000-0000AB390000}"/>
    <cellStyle name="Heading 2 2 12 2" xfId="21077" xr:uid="{00000000-0005-0000-0000-0000AC390000}"/>
    <cellStyle name="Heading 2 2 13" xfId="7759" xr:uid="{00000000-0005-0000-0000-0000AD390000}"/>
    <cellStyle name="Heading 2 2 13 2" xfId="21078" xr:uid="{00000000-0005-0000-0000-0000AE390000}"/>
    <cellStyle name="Heading 2 2 14" xfId="7760" xr:uid="{00000000-0005-0000-0000-0000AF390000}"/>
    <cellStyle name="Heading 2 2 14 2" xfId="21079" xr:uid="{00000000-0005-0000-0000-0000B0390000}"/>
    <cellStyle name="Heading 2 2 15" xfId="7761" xr:uid="{00000000-0005-0000-0000-0000B1390000}"/>
    <cellStyle name="Heading 2 2 15 2" xfId="21080" xr:uid="{00000000-0005-0000-0000-0000B2390000}"/>
    <cellStyle name="Heading 2 2 16" xfId="7762" xr:uid="{00000000-0005-0000-0000-0000B3390000}"/>
    <cellStyle name="Heading 2 2 16 2" xfId="7763" xr:uid="{00000000-0005-0000-0000-0000B4390000}"/>
    <cellStyle name="Heading 2 2 16 2 2" xfId="21082" xr:uid="{00000000-0005-0000-0000-0000B5390000}"/>
    <cellStyle name="Heading 2 2 16 3" xfId="21081" xr:uid="{00000000-0005-0000-0000-0000B6390000}"/>
    <cellStyle name="Heading 2 2 17" xfId="7764" xr:uid="{00000000-0005-0000-0000-0000B7390000}"/>
    <cellStyle name="Heading 2 2 17 2" xfId="21083" xr:uid="{00000000-0005-0000-0000-0000B8390000}"/>
    <cellStyle name="Heading 2 2 18" xfId="7765" xr:uid="{00000000-0005-0000-0000-0000B9390000}"/>
    <cellStyle name="Heading 2 2 18 2" xfId="21084" xr:uid="{00000000-0005-0000-0000-0000BA390000}"/>
    <cellStyle name="Heading 2 2 19" xfId="7766" xr:uid="{00000000-0005-0000-0000-0000BB390000}"/>
    <cellStyle name="Heading 2 2 19 2" xfId="21085" xr:uid="{00000000-0005-0000-0000-0000BC390000}"/>
    <cellStyle name="Heading 2 2 2" xfId="7767" xr:uid="{00000000-0005-0000-0000-0000BD390000}"/>
    <cellStyle name="Heading 2 2 2 10" xfId="7768" xr:uid="{00000000-0005-0000-0000-0000BE390000}"/>
    <cellStyle name="Heading 2 2 2 10 2" xfId="21087" xr:uid="{00000000-0005-0000-0000-0000BF390000}"/>
    <cellStyle name="Heading 2 2 2 11" xfId="7769" xr:uid="{00000000-0005-0000-0000-0000C0390000}"/>
    <cellStyle name="Heading 2 2 2 11 2" xfId="21088" xr:uid="{00000000-0005-0000-0000-0000C1390000}"/>
    <cellStyle name="Heading 2 2 2 12" xfId="7770" xr:uid="{00000000-0005-0000-0000-0000C2390000}"/>
    <cellStyle name="Heading 2 2 2 12 2" xfId="21089" xr:uid="{00000000-0005-0000-0000-0000C3390000}"/>
    <cellStyle name="Heading 2 2 2 13" xfId="7771" xr:uid="{00000000-0005-0000-0000-0000C4390000}"/>
    <cellStyle name="Heading 2 2 2 13 2" xfId="21090" xr:uid="{00000000-0005-0000-0000-0000C5390000}"/>
    <cellStyle name="Heading 2 2 2 14" xfId="7772" xr:uid="{00000000-0005-0000-0000-0000C6390000}"/>
    <cellStyle name="Heading 2 2 2 14 2" xfId="7773" xr:uid="{00000000-0005-0000-0000-0000C7390000}"/>
    <cellStyle name="Heading 2 2 2 14 2 2" xfId="21092" xr:uid="{00000000-0005-0000-0000-0000C8390000}"/>
    <cellStyle name="Heading 2 2 2 14 3" xfId="21091" xr:uid="{00000000-0005-0000-0000-0000C9390000}"/>
    <cellStyle name="Heading 2 2 2 15" xfId="7774" xr:uid="{00000000-0005-0000-0000-0000CA390000}"/>
    <cellStyle name="Heading 2 2 2 15 2" xfId="21093" xr:uid="{00000000-0005-0000-0000-0000CB390000}"/>
    <cellStyle name="Heading 2 2 2 16" xfId="7775" xr:uid="{00000000-0005-0000-0000-0000CC390000}"/>
    <cellStyle name="Heading 2 2 2 16 2" xfId="21094" xr:uid="{00000000-0005-0000-0000-0000CD390000}"/>
    <cellStyle name="Heading 2 2 2 17" xfId="7776" xr:uid="{00000000-0005-0000-0000-0000CE390000}"/>
    <cellStyle name="Heading 2 2 2 17 2" xfId="21095" xr:uid="{00000000-0005-0000-0000-0000CF390000}"/>
    <cellStyle name="Heading 2 2 2 18" xfId="7777" xr:uid="{00000000-0005-0000-0000-0000D0390000}"/>
    <cellStyle name="Heading 2 2 2 18 2" xfId="21096" xr:uid="{00000000-0005-0000-0000-0000D1390000}"/>
    <cellStyle name="Heading 2 2 2 19" xfId="7778" xr:uid="{00000000-0005-0000-0000-0000D2390000}"/>
    <cellStyle name="Heading 2 2 2 19 2" xfId="21097" xr:uid="{00000000-0005-0000-0000-0000D3390000}"/>
    <cellStyle name="Heading 2 2 2 2" xfId="7779" xr:uid="{00000000-0005-0000-0000-0000D4390000}"/>
    <cellStyle name="Heading 2 2 2 2 10" xfId="7780" xr:uid="{00000000-0005-0000-0000-0000D5390000}"/>
    <cellStyle name="Heading 2 2 2 2 10 2" xfId="21099" xr:uid="{00000000-0005-0000-0000-0000D6390000}"/>
    <cellStyle name="Heading 2 2 2 2 11" xfId="7781" xr:uid="{00000000-0005-0000-0000-0000D7390000}"/>
    <cellStyle name="Heading 2 2 2 2 11 2" xfId="21100" xr:uid="{00000000-0005-0000-0000-0000D8390000}"/>
    <cellStyle name="Heading 2 2 2 2 12" xfId="7782" xr:uid="{00000000-0005-0000-0000-0000D9390000}"/>
    <cellStyle name="Heading 2 2 2 2 12 2" xfId="21101" xr:uid="{00000000-0005-0000-0000-0000DA390000}"/>
    <cellStyle name="Heading 2 2 2 2 13" xfId="7783" xr:uid="{00000000-0005-0000-0000-0000DB390000}"/>
    <cellStyle name="Heading 2 2 2 2 13 2" xfId="21102" xr:uid="{00000000-0005-0000-0000-0000DC390000}"/>
    <cellStyle name="Heading 2 2 2 2 14" xfId="7784" xr:uid="{00000000-0005-0000-0000-0000DD390000}"/>
    <cellStyle name="Heading 2 2 2 2 14 2" xfId="21103" xr:uid="{00000000-0005-0000-0000-0000DE390000}"/>
    <cellStyle name="Heading 2 2 2 2 15" xfId="7785" xr:uid="{00000000-0005-0000-0000-0000DF390000}"/>
    <cellStyle name="Heading 2 2 2 2 15 2" xfId="21104" xr:uid="{00000000-0005-0000-0000-0000E0390000}"/>
    <cellStyle name="Heading 2 2 2 2 16" xfId="7786" xr:uid="{00000000-0005-0000-0000-0000E1390000}"/>
    <cellStyle name="Heading 2 2 2 2 16 2" xfId="21105" xr:uid="{00000000-0005-0000-0000-0000E2390000}"/>
    <cellStyle name="Heading 2 2 2 2 17" xfId="7787" xr:uid="{00000000-0005-0000-0000-0000E3390000}"/>
    <cellStyle name="Heading 2 2 2 2 17 2" xfId="21106" xr:uid="{00000000-0005-0000-0000-0000E4390000}"/>
    <cellStyle name="Heading 2 2 2 2 18" xfId="7788" xr:uid="{00000000-0005-0000-0000-0000E5390000}"/>
    <cellStyle name="Heading 2 2 2 2 18 2" xfId="21107" xr:uid="{00000000-0005-0000-0000-0000E6390000}"/>
    <cellStyle name="Heading 2 2 2 2 19" xfId="7789" xr:uid="{00000000-0005-0000-0000-0000E7390000}"/>
    <cellStyle name="Heading 2 2 2 2 19 2" xfId="21108" xr:uid="{00000000-0005-0000-0000-0000E8390000}"/>
    <cellStyle name="Heading 2 2 2 2 2" xfId="7790" xr:uid="{00000000-0005-0000-0000-0000E9390000}"/>
    <cellStyle name="Heading 2 2 2 2 2 10" xfId="7791" xr:uid="{00000000-0005-0000-0000-0000EA390000}"/>
    <cellStyle name="Heading 2 2 2 2 2 10 2" xfId="21110" xr:uid="{00000000-0005-0000-0000-0000EB390000}"/>
    <cellStyle name="Heading 2 2 2 2 2 11" xfId="7792" xr:uid="{00000000-0005-0000-0000-0000EC390000}"/>
    <cellStyle name="Heading 2 2 2 2 2 11 2" xfId="21111" xr:uid="{00000000-0005-0000-0000-0000ED390000}"/>
    <cellStyle name="Heading 2 2 2 2 2 12" xfId="7793" xr:uid="{00000000-0005-0000-0000-0000EE390000}"/>
    <cellStyle name="Heading 2 2 2 2 2 12 2" xfId="21112" xr:uid="{00000000-0005-0000-0000-0000EF390000}"/>
    <cellStyle name="Heading 2 2 2 2 2 13" xfId="7794" xr:uid="{00000000-0005-0000-0000-0000F0390000}"/>
    <cellStyle name="Heading 2 2 2 2 2 13 2" xfId="21113" xr:uid="{00000000-0005-0000-0000-0000F1390000}"/>
    <cellStyle name="Heading 2 2 2 2 2 14" xfId="7795" xr:uid="{00000000-0005-0000-0000-0000F2390000}"/>
    <cellStyle name="Heading 2 2 2 2 2 14 2" xfId="21114" xr:uid="{00000000-0005-0000-0000-0000F3390000}"/>
    <cellStyle name="Heading 2 2 2 2 2 15" xfId="7796" xr:uid="{00000000-0005-0000-0000-0000F4390000}"/>
    <cellStyle name="Heading 2 2 2 2 2 15 2" xfId="21115" xr:uid="{00000000-0005-0000-0000-0000F5390000}"/>
    <cellStyle name="Heading 2 2 2 2 2 16" xfId="7797" xr:uid="{00000000-0005-0000-0000-0000F6390000}"/>
    <cellStyle name="Heading 2 2 2 2 2 16 2" xfId="21116" xr:uid="{00000000-0005-0000-0000-0000F7390000}"/>
    <cellStyle name="Heading 2 2 2 2 2 17" xfId="7798" xr:uid="{00000000-0005-0000-0000-0000F8390000}"/>
    <cellStyle name="Heading 2 2 2 2 2 17 2" xfId="21117" xr:uid="{00000000-0005-0000-0000-0000F9390000}"/>
    <cellStyle name="Heading 2 2 2 2 2 18" xfId="7799" xr:uid="{00000000-0005-0000-0000-0000FA390000}"/>
    <cellStyle name="Heading 2 2 2 2 2 18 2" xfId="21118" xr:uid="{00000000-0005-0000-0000-0000FB390000}"/>
    <cellStyle name="Heading 2 2 2 2 2 19" xfId="7800" xr:uid="{00000000-0005-0000-0000-0000FC390000}"/>
    <cellStyle name="Heading 2 2 2 2 2 19 2" xfId="21119" xr:uid="{00000000-0005-0000-0000-0000FD390000}"/>
    <cellStyle name="Heading 2 2 2 2 2 2" xfId="7801" xr:uid="{00000000-0005-0000-0000-0000FE390000}"/>
    <cellStyle name="Heading 2 2 2 2 2 2 10" xfId="7802" xr:uid="{00000000-0005-0000-0000-0000FF390000}"/>
    <cellStyle name="Heading 2 2 2 2 2 2 10 2" xfId="21121" xr:uid="{00000000-0005-0000-0000-0000003A0000}"/>
    <cellStyle name="Heading 2 2 2 2 2 2 11" xfId="7803" xr:uid="{00000000-0005-0000-0000-0000013A0000}"/>
    <cellStyle name="Heading 2 2 2 2 2 2 11 2" xfId="7804" xr:uid="{00000000-0005-0000-0000-0000023A0000}"/>
    <cellStyle name="Heading 2 2 2 2 2 2 11 2 2" xfId="21123" xr:uid="{00000000-0005-0000-0000-0000033A0000}"/>
    <cellStyle name="Heading 2 2 2 2 2 2 11 3" xfId="21122" xr:uid="{00000000-0005-0000-0000-0000043A0000}"/>
    <cellStyle name="Heading 2 2 2 2 2 2 12" xfId="21120" xr:uid="{00000000-0005-0000-0000-0000053A0000}"/>
    <cellStyle name="Heading 2 2 2 2 2 2 2" xfId="7805" xr:uid="{00000000-0005-0000-0000-0000063A0000}"/>
    <cellStyle name="Heading 2 2 2 2 2 2 2 10" xfId="7806" xr:uid="{00000000-0005-0000-0000-0000073A0000}"/>
    <cellStyle name="Heading 2 2 2 2 2 2 2 10 2" xfId="21125" xr:uid="{00000000-0005-0000-0000-0000083A0000}"/>
    <cellStyle name="Heading 2 2 2 2 2 2 2 11" xfId="7807" xr:uid="{00000000-0005-0000-0000-0000093A0000}"/>
    <cellStyle name="Heading 2 2 2 2 2 2 2 11 2" xfId="7808" xr:uid="{00000000-0005-0000-0000-00000A3A0000}"/>
    <cellStyle name="Heading 2 2 2 2 2 2 2 11 2 2" xfId="21127" xr:uid="{00000000-0005-0000-0000-00000B3A0000}"/>
    <cellStyle name="Heading 2 2 2 2 2 2 2 11 3" xfId="21126" xr:uid="{00000000-0005-0000-0000-00000C3A0000}"/>
    <cellStyle name="Heading 2 2 2 2 2 2 2 12" xfId="21124" xr:uid="{00000000-0005-0000-0000-00000D3A0000}"/>
    <cellStyle name="Heading 2 2 2 2 2 2 2 2" xfId="7809" xr:uid="{00000000-0005-0000-0000-00000E3A0000}"/>
    <cellStyle name="Heading 2 2 2 2 2 2 2 2 2" xfId="7810" xr:uid="{00000000-0005-0000-0000-00000F3A0000}"/>
    <cellStyle name="Heading 2 2 2 2 2 2 2 2 2 2" xfId="7811" xr:uid="{00000000-0005-0000-0000-0000103A0000}"/>
    <cellStyle name="Heading 2 2 2 2 2 2 2 2 2 2 2" xfId="7812" xr:uid="{00000000-0005-0000-0000-0000113A0000}"/>
    <cellStyle name="Heading 2 2 2 2 2 2 2 2 2 2 2 2" xfId="21131" xr:uid="{00000000-0005-0000-0000-0000123A0000}"/>
    <cellStyle name="Heading 2 2 2 2 2 2 2 2 2 2 3" xfId="21130" xr:uid="{00000000-0005-0000-0000-0000133A0000}"/>
    <cellStyle name="Heading 2 2 2 2 2 2 2 2 2 3" xfId="7813" xr:uid="{00000000-0005-0000-0000-0000143A0000}"/>
    <cellStyle name="Heading 2 2 2 2 2 2 2 2 2 3 2" xfId="21132" xr:uid="{00000000-0005-0000-0000-0000153A0000}"/>
    <cellStyle name="Heading 2 2 2 2 2 2 2 2 2 4" xfId="21129" xr:uid="{00000000-0005-0000-0000-0000163A0000}"/>
    <cellStyle name="Heading 2 2 2 2 2 2 2 2 3" xfId="7814" xr:uid="{00000000-0005-0000-0000-0000173A0000}"/>
    <cellStyle name="Heading 2 2 2 2 2 2 2 2 3 2" xfId="7815" xr:uid="{00000000-0005-0000-0000-0000183A0000}"/>
    <cellStyle name="Heading 2 2 2 2 2 2 2 2 3 2 2" xfId="21134" xr:uid="{00000000-0005-0000-0000-0000193A0000}"/>
    <cellStyle name="Heading 2 2 2 2 2 2 2 2 3 3" xfId="21133" xr:uid="{00000000-0005-0000-0000-00001A3A0000}"/>
    <cellStyle name="Heading 2 2 2 2 2 2 2 2 4" xfId="21128" xr:uid="{00000000-0005-0000-0000-00001B3A0000}"/>
    <cellStyle name="Heading 2 2 2 2 2 2 2 3" xfId="7816" xr:uid="{00000000-0005-0000-0000-00001C3A0000}"/>
    <cellStyle name="Heading 2 2 2 2 2 2 2 3 2" xfId="21135" xr:uid="{00000000-0005-0000-0000-00001D3A0000}"/>
    <cellStyle name="Heading 2 2 2 2 2 2 2 4" xfId="7817" xr:uid="{00000000-0005-0000-0000-00001E3A0000}"/>
    <cellStyle name="Heading 2 2 2 2 2 2 2 4 2" xfId="21136" xr:uid="{00000000-0005-0000-0000-00001F3A0000}"/>
    <cellStyle name="Heading 2 2 2 2 2 2 2 5" xfId="7818" xr:uid="{00000000-0005-0000-0000-0000203A0000}"/>
    <cellStyle name="Heading 2 2 2 2 2 2 2 5 2" xfId="21137" xr:uid="{00000000-0005-0000-0000-0000213A0000}"/>
    <cellStyle name="Heading 2 2 2 2 2 2 2 6" xfId="7819" xr:uid="{00000000-0005-0000-0000-0000223A0000}"/>
    <cellStyle name="Heading 2 2 2 2 2 2 2 6 2" xfId="21138" xr:uid="{00000000-0005-0000-0000-0000233A0000}"/>
    <cellStyle name="Heading 2 2 2 2 2 2 2 7" xfId="7820" xr:uid="{00000000-0005-0000-0000-0000243A0000}"/>
    <cellStyle name="Heading 2 2 2 2 2 2 2 7 2" xfId="21139" xr:uid="{00000000-0005-0000-0000-0000253A0000}"/>
    <cellStyle name="Heading 2 2 2 2 2 2 2 8" xfId="7821" xr:uid="{00000000-0005-0000-0000-0000263A0000}"/>
    <cellStyle name="Heading 2 2 2 2 2 2 2 8 2" xfId="21140" xr:uid="{00000000-0005-0000-0000-0000273A0000}"/>
    <cellStyle name="Heading 2 2 2 2 2 2 2 9" xfId="7822" xr:uid="{00000000-0005-0000-0000-0000283A0000}"/>
    <cellStyle name="Heading 2 2 2 2 2 2 2 9 2" xfId="21141" xr:uid="{00000000-0005-0000-0000-0000293A0000}"/>
    <cellStyle name="Heading 2 2 2 2 2 2 3" xfId="7823" xr:uid="{00000000-0005-0000-0000-00002A3A0000}"/>
    <cellStyle name="Heading 2 2 2 2 2 2 3 2" xfId="7824" xr:uid="{00000000-0005-0000-0000-00002B3A0000}"/>
    <cellStyle name="Heading 2 2 2 2 2 2 3 2 2" xfId="21143" xr:uid="{00000000-0005-0000-0000-00002C3A0000}"/>
    <cellStyle name="Heading 2 2 2 2 2 2 3 3" xfId="21142" xr:uid="{00000000-0005-0000-0000-00002D3A0000}"/>
    <cellStyle name="Heading 2 2 2 2 2 2 4" xfId="7825" xr:uid="{00000000-0005-0000-0000-00002E3A0000}"/>
    <cellStyle name="Heading 2 2 2 2 2 2 4 2" xfId="21144" xr:uid="{00000000-0005-0000-0000-00002F3A0000}"/>
    <cellStyle name="Heading 2 2 2 2 2 2 5" xfId="7826" xr:uid="{00000000-0005-0000-0000-0000303A0000}"/>
    <cellStyle name="Heading 2 2 2 2 2 2 5 2" xfId="21145" xr:uid="{00000000-0005-0000-0000-0000313A0000}"/>
    <cellStyle name="Heading 2 2 2 2 2 2 6" xfId="7827" xr:uid="{00000000-0005-0000-0000-0000323A0000}"/>
    <cellStyle name="Heading 2 2 2 2 2 2 6 2" xfId="21146" xr:uid="{00000000-0005-0000-0000-0000333A0000}"/>
    <cellStyle name="Heading 2 2 2 2 2 2 7" xfId="7828" xr:uid="{00000000-0005-0000-0000-0000343A0000}"/>
    <cellStyle name="Heading 2 2 2 2 2 2 7 2" xfId="21147" xr:uid="{00000000-0005-0000-0000-0000353A0000}"/>
    <cellStyle name="Heading 2 2 2 2 2 2 8" xfId="7829" xr:uid="{00000000-0005-0000-0000-0000363A0000}"/>
    <cellStyle name="Heading 2 2 2 2 2 2 8 2" xfId="21148" xr:uid="{00000000-0005-0000-0000-0000373A0000}"/>
    <cellStyle name="Heading 2 2 2 2 2 2 9" xfId="7830" xr:uid="{00000000-0005-0000-0000-0000383A0000}"/>
    <cellStyle name="Heading 2 2 2 2 2 2 9 2" xfId="21149" xr:uid="{00000000-0005-0000-0000-0000393A0000}"/>
    <cellStyle name="Heading 2 2 2 2 2 20" xfId="7831" xr:uid="{00000000-0005-0000-0000-00003A3A0000}"/>
    <cellStyle name="Heading 2 2 2 2 2 20 2" xfId="7832" xr:uid="{00000000-0005-0000-0000-00003B3A0000}"/>
    <cellStyle name="Heading 2 2 2 2 2 20 2 2" xfId="21151" xr:uid="{00000000-0005-0000-0000-00003C3A0000}"/>
    <cellStyle name="Heading 2 2 2 2 2 20 3" xfId="21150" xr:uid="{00000000-0005-0000-0000-00003D3A0000}"/>
    <cellStyle name="Heading 2 2 2 2 2 21" xfId="7833" xr:uid="{00000000-0005-0000-0000-00003E3A0000}"/>
    <cellStyle name="Heading 2 2 2 2 2 21 2" xfId="21152" xr:uid="{00000000-0005-0000-0000-00003F3A0000}"/>
    <cellStyle name="Heading 2 2 2 2 2 22" xfId="7834" xr:uid="{00000000-0005-0000-0000-0000403A0000}"/>
    <cellStyle name="Heading 2 2 2 2 2 22 2" xfId="21153" xr:uid="{00000000-0005-0000-0000-0000413A0000}"/>
    <cellStyle name="Heading 2 2 2 2 2 23" xfId="7835" xr:uid="{00000000-0005-0000-0000-0000423A0000}"/>
    <cellStyle name="Heading 2 2 2 2 2 23 2" xfId="21154" xr:uid="{00000000-0005-0000-0000-0000433A0000}"/>
    <cellStyle name="Heading 2 2 2 2 2 24" xfId="7836" xr:uid="{00000000-0005-0000-0000-0000443A0000}"/>
    <cellStyle name="Heading 2 2 2 2 2 24 2" xfId="21155" xr:uid="{00000000-0005-0000-0000-0000453A0000}"/>
    <cellStyle name="Heading 2 2 2 2 2 25" xfId="7837" xr:uid="{00000000-0005-0000-0000-0000463A0000}"/>
    <cellStyle name="Heading 2 2 2 2 2 25 2" xfId="21156" xr:uid="{00000000-0005-0000-0000-0000473A0000}"/>
    <cellStyle name="Heading 2 2 2 2 2 26" xfId="7838" xr:uid="{00000000-0005-0000-0000-0000483A0000}"/>
    <cellStyle name="Heading 2 2 2 2 2 26 2" xfId="21157" xr:uid="{00000000-0005-0000-0000-0000493A0000}"/>
    <cellStyle name="Heading 2 2 2 2 2 27" xfId="7839" xr:uid="{00000000-0005-0000-0000-00004A3A0000}"/>
    <cellStyle name="Heading 2 2 2 2 2 27 2" xfId="21158" xr:uid="{00000000-0005-0000-0000-00004B3A0000}"/>
    <cellStyle name="Heading 2 2 2 2 2 28" xfId="7840" xr:uid="{00000000-0005-0000-0000-00004C3A0000}"/>
    <cellStyle name="Heading 2 2 2 2 2 28 2" xfId="7841" xr:uid="{00000000-0005-0000-0000-00004D3A0000}"/>
    <cellStyle name="Heading 2 2 2 2 2 28 2 2" xfId="21160" xr:uid="{00000000-0005-0000-0000-00004E3A0000}"/>
    <cellStyle name="Heading 2 2 2 2 2 28 3" xfId="21159" xr:uid="{00000000-0005-0000-0000-00004F3A0000}"/>
    <cellStyle name="Heading 2 2 2 2 2 29" xfId="21109" xr:uid="{00000000-0005-0000-0000-0000503A0000}"/>
    <cellStyle name="Heading 2 2 2 2 2 3" xfId="7842" xr:uid="{00000000-0005-0000-0000-0000513A0000}"/>
    <cellStyle name="Heading 2 2 2 2 2 3 2" xfId="21161" xr:uid="{00000000-0005-0000-0000-0000523A0000}"/>
    <cellStyle name="Heading 2 2 2 2 2 4" xfId="7843" xr:uid="{00000000-0005-0000-0000-0000533A0000}"/>
    <cellStyle name="Heading 2 2 2 2 2 4 2" xfId="21162" xr:uid="{00000000-0005-0000-0000-0000543A0000}"/>
    <cellStyle name="Heading 2 2 2 2 2 5" xfId="7844" xr:uid="{00000000-0005-0000-0000-0000553A0000}"/>
    <cellStyle name="Heading 2 2 2 2 2 5 2" xfId="21163" xr:uid="{00000000-0005-0000-0000-0000563A0000}"/>
    <cellStyle name="Heading 2 2 2 2 2 6" xfId="7845" xr:uid="{00000000-0005-0000-0000-0000573A0000}"/>
    <cellStyle name="Heading 2 2 2 2 2 6 2" xfId="21164" xr:uid="{00000000-0005-0000-0000-0000583A0000}"/>
    <cellStyle name="Heading 2 2 2 2 2 7" xfId="7846" xr:uid="{00000000-0005-0000-0000-0000593A0000}"/>
    <cellStyle name="Heading 2 2 2 2 2 7 2" xfId="21165" xr:uid="{00000000-0005-0000-0000-00005A3A0000}"/>
    <cellStyle name="Heading 2 2 2 2 2 8" xfId="7847" xr:uid="{00000000-0005-0000-0000-00005B3A0000}"/>
    <cellStyle name="Heading 2 2 2 2 2 8 2" xfId="21166" xr:uid="{00000000-0005-0000-0000-00005C3A0000}"/>
    <cellStyle name="Heading 2 2 2 2 2 9" xfId="7848" xr:uid="{00000000-0005-0000-0000-00005D3A0000}"/>
    <cellStyle name="Heading 2 2 2 2 2 9 2" xfId="21167" xr:uid="{00000000-0005-0000-0000-00005E3A0000}"/>
    <cellStyle name="Heading 2 2 2 2 20" xfId="7849" xr:uid="{00000000-0005-0000-0000-00005F3A0000}"/>
    <cellStyle name="Heading 2 2 2 2 20 2" xfId="7850" xr:uid="{00000000-0005-0000-0000-0000603A0000}"/>
    <cellStyle name="Heading 2 2 2 2 20 2 2" xfId="21169" xr:uid="{00000000-0005-0000-0000-0000613A0000}"/>
    <cellStyle name="Heading 2 2 2 2 20 3" xfId="21168" xr:uid="{00000000-0005-0000-0000-0000623A0000}"/>
    <cellStyle name="Heading 2 2 2 2 21" xfId="7851" xr:uid="{00000000-0005-0000-0000-0000633A0000}"/>
    <cellStyle name="Heading 2 2 2 2 21 2" xfId="21170" xr:uid="{00000000-0005-0000-0000-0000643A0000}"/>
    <cellStyle name="Heading 2 2 2 2 22" xfId="7852" xr:uid="{00000000-0005-0000-0000-0000653A0000}"/>
    <cellStyle name="Heading 2 2 2 2 22 2" xfId="21171" xr:uid="{00000000-0005-0000-0000-0000663A0000}"/>
    <cellStyle name="Heading 2 2 2 2 23" xfId="7853" xr:uid="{00000000-0005-0000-0000-0000673A0000}"/>
    <cellStyle name="Heading 2 2 2 2 23 2" xfId="21172" xr:uid="{00000000-0005-0000-0000-0000683A0000}"/>
    <cellStyle name="Heading 2 2 2 2 24" xfId="7854" xr:uid="{00000000-0005-0000-0000-0000693A0000}"/>
    <cellStyle name="Heading 2 2 2 2 24 2" xfId="21173" xr:uid="{00000000-0005-0000-0000-00006A3A0000}"/>
    <cellStyle name="Heading 2 2 2 2 25" xfId="7855" xr:uid="{00000000-0005-0000-0000-00006B3A0000}"/>
    <cellStyle name="Heading 2 2 2 2 25 2" xfId="21174" xr:uid="{00000000-0005-0000-0000-00006C3A0000}"/>
    <cellStyle name="Heading 2 2 2 2 26" xfId="7856" xr:uid="{00000000-0005-0000-0000-00006D3A0000}"/>
    <cellStyle name="Heading 2 2 2 2 26 2" xfId="21175" xr:uid="{00000000-0005-0000-0000-00006E3A0000}"/>
    <cellStyle name="Heading 2 2 2 2 27" xfId="7857" xr:uid="{00000000-0005-0000-0000-00006F3A0000}"/>
    <cellStyle name="Heading 2 2 2 2 27 2" xfId="21176" xr:uid="{00000000-0005-0000-0000-0000703A0000}"/>
    <cellStyle name="Heading 2 2 2 2 28" xfId="7858" xr:uid="{00000000-0005-0000-0000-0000713A0000}"/>
    <cellStyle name="Heading 2 2 2 2 28 2" xfId="7859" xr:uid="{00000000-0005-0000-0000-0000723A0000}"/>
    <cellStyle name="Heading 2 2 2 2 28 2 2" xfId="21178" xr:uid="{00000000-0005-0000-0000-0000733A0000}"/>
    <cellStyle name="Heading 2 2 2 2 28 3" xfId="21177" xr:uid="{00000000-0005-0000-0000-0000743A0000}"/>
    <cellStyle name="Heading 2 2 2 2 29" xfId="21098" xr:uid="{00000000-0005-0000-0000-0000753A0000}"/>
    <cellStyle name="Heading 2 2 2 2 3" xfId="7860" xr:uid="{00000000-0005-0000-0000-0000763A0000}"/>
    <cellStyle name="Heading 2 2 2 2 3 2" xfId="7861" xr:uid="{00000000-0005-0000-0000-0000773A0000}"/>
    <cellStyle name="Heading 2 2 2 2 3 2 2" xfId="21180" xr:uid="{00000000-0005-0000-0000-0000783A0000}"/>
    <cellStyle name="Heading 2 2 2 2 3 3" xfId="21179" xr:uid="{00000000-0005-0000-0000-0000793A0000}"/>
    <cellStyle name="Heading 2 2 2 2 30" xfId="31108" xr:uid="{00000000-0005-0000-0000-00007A3A0000}"/>
    <cellStyle name="Heading 2 2 2 2 4" xfId="7862" xr:uid="{00000000-0005-0000-0000-00007B3A0000}"/>
    <cellStyle name="Heading 2 2 2 2 4 2" xfId="21181" xr:uid="{00000000-0005-0000-0000-00007C3A0000}"/>
    <cellStyle name="Heading 2 2 2 2 5" xfId="7863" xr:uid="{00000000-0005-0000-0000-00007D3A0000}"/>
    <cellStyle name="Heading 2 2 2 2 5 2" xfId="21182" xr:uid="{00000000-0005-0000-0000-00007E3A0000}"/>
    <cellStyle name="Heading 2 2 2 2 6" xfId="7864" xr:uid="{00000000-0005-0000-0000-00007F3A0000}"/>
    <cellStyle name="Heading 2 2 2 2 6 2" xfId="21183" xr:uid="{00000000-0005-0000-0000-0000803A0000}"/>
    <cellStyle name="Heading 2 2 2 2 7" xfId="7865" xr:uid="{00000000-0005-0000-0000-0000813A0000}"/>
    <cellStyle name="Heading 2 2 2 2 7 2" xfId="21184" xr:uid="{00000000-0005-0000-0000-0000823A0000}"/>
    <cellStyle name="Heading 2 2 2 2 8" xfId="7866" xr:uid="{00000000-0005-0000-0000-0000833A0000}"/>
    <cellStyle name="Heading 2 2 2 2 8 2" xfId="21185" xr:uid="{00000000-0005-0000-0000-0000843A0000}"/>
    <cellStyle name="Heading 2 2 2 2 9" xfId="7867" xr:uid="{00000000-0005-0000-0000-0000853A0000}"/>
    <cellStyle name="Heading 2 2 2 2 9 2" xfId="21186" xr:uid="{00000000-0005-0000-0000-0000863A0000}"/>
    <cellStyle name="Heading 2 2 2 20" xfId="7868" xr:uid="{00000000-0005-0000-0000-0000873A0000}"/>
    <cellStyle name="Heading 2 2 2 20 2" xfId="21187" xr:uid="{00000000-0005-0000-0000-0000883A0000}"/>
    <cellStyle name="Heading 2 2 2 21" xfId="7869" xr:uid="{00000000-0005-0000-0000-0000893A0000}"/>
    <cellStyle name="Heading 2 2 2 21 2" xfId="21188" xr:uid="{00000000-0005-0000-0000-00008A3A0000}"/>
    <cellStyle name="Heading 2 2 2 22" xfId="7870" xr:uid="{00000000-0005-0000-0000-00008B3A0000}"/>
    <cellStyle name="Heading 2 2 2 22 2" xfId="21189" xr:uid="{00000000-0005-0000-0000-00008C3A0000}"/>
    <cellStyle name="Heading 2 2 2 23" xfId="7871" xr:uid="{00000000-0005-0000-0000-00008D3A0000}"/>
    <cellStyle name="Heading 2 2 2 23 2" xfId="21190" xr:uid="{00000000-0005-0000-0000-00008E3A0000}"/>
    <cellStyle name="Heading 2 2 2 24" xfId="7872" xr:uid="{00000000-0005-0000-0000-00008F3A0000}"/>
    <cellStyle name="Heading 2 2 2 24 2" xfId="21191" xr:uid="{00000000-0005-0000-0000-0000903A0000}"/>
    <cellStyle name="Heading 2 2 2 25" xfId="7873" xr:uid="{00000000-0005-0000-0000-0000913A0000}"/>
    <cellStyle name="Heading 2 2 2 25 2" xfId="21192" xr:uid="{00000000-0005-0000-0000-0000923A0000}"/>
    <cellStyle name="Heading 2 2 2 26" xfId="7874" xr:uid="{00000000-0005-0000-0000-0000933A0000}"/>
    <cellStyle name="Heading 2 2 2 26 2" xfId="21193" xr:uid="{00000000-0005-0000-0000-0000943A0000}"/>
    <cellStyle name="Heading 2 2 2 27" xfId="7875" xr:uid="{00000000-0005-0000-0000-0000953A0000}"/>
    <cellStyle name="Heading 2 2 2 27 2" xfId="21194" xr:uid="{00000000-0005-0000-0000-0000963A0000}"/>
    <cellStyle name="Heading 2 2 2 28" xfId="7876" xr:uid="{00000000-0005-0000-0000-0000973A0000}"/>
    <cellStyle name="Heading 2 2 2 28 2" xfId="21195" xr:uid="{00000000-0005-0000-0000-0000983A0000}"/>
    <cellStyle name="Heading 2 2 2 29" xfId="7877" xr:uid="{00000000-0005-0000-0000-0000993A0000}"/>
    <cellStyle name="Heading 2 2 2 29 2" xfId="21196" xr:uid="{00000000-0005-0000-0000-00009A3A0000}"/>
    <cellStyle name="Heading 2 2 2 3" xfId="7878" xr:uid="{00000000-0005-0000-0000-00009B3A0000}"/>
    <cellStyle name="Heading 2 2 2 3 2" xfId="21197" xr:uid="{00000000-0005-0000-0000-00009C3A0000}"/>
    <cellStyle name="Heading 2 2 2 30" xfId="7879" xr:uid="{00000000-0005-0000-0000-00009D3A0000}"/>
    <cellStyle name="Heading 2 2 2 30 2" xfId="21198" xr:uid="{00000000-0005-0000-0000-00009E3A0000}"/>
    <cellStyle name="Heading 2 2 2 31" xfId="7880" xr:uid="{00000000-0005-0000-0000-00009F3A0000}"/>
    <cellStyle name="Heading 2 2 2 31 2" xfId="7881" xr:uid="{00000000-0005-0000-0000-0000A03A0000}"/>
    <cellStyle name="Heading 2 2 2 31 2 2" xfId="21200" xr:uid="{00000000-0005-0000-0000-0000A13A0000}"/>
    <cellStyle name="Heading 2 2 2 31 3" xfId="21199" xr:uid="{00000000-0005-0000-0000-0000A23A0000}"/>
    <cellStyle name="Heading 2 2 2 32" xfId="7882" xr:uid="{00000000-0005-0000-0000-0000A33A0000}"/>
    <cellStyle name="Heading 2 2 2 32 2" xfId="21201" xr:uid="{00000000-0005-0000-0000-0000A43A0000}"/>
    <cellStyle name="Heading 2 2 2 33" xfId="7883" xr:uid="{00000000-0005-0000-0000-0000A53A0000}"/>
    <cellStyle name="Heading 2 2 2 33 2" xfId="21202" xr:uid="{00000000-0005-0000-0000-0000A63A0000}"/>
    <cellStyle name="Heading 2 2 2 34" xfId="7884" xr:uid="{00000000-0005-0000-0000-0000A73A0000}"/>
    <cellStyle name="Heading 2 2 2 34 2" xfId="21203" xr:uid="{00000000-0005-0000-0000-0000A83A0000}"/>
    <cellStyle name="Heading 2 2 2 35" xfId="7885" xr:uid="{00000000-0005-0000-0000-0000A93A0000}"/>
    <cellStyle name="Heading 2 2 2 35 2" xfId="21204" xr:uid="{00000000-0005-0000-0000-0000AA3A0000}"/>
    <cellStyle name="Heading 2 2 2 36" xfId="7886" xr:uid="{00000000-0005-0000-0000-0000AB3A0000}"/>
    <cellStyle name="Heading 2 2 2 36 2" xfId="21205" xr:uid="{00000000-0005-0000-0000-0000AC3A0000}"/>
    <cellStyle name="Heading 2 2 2 37" xfId="7887" xr:uid="{00000000-0005-0000-0000-0000AD3A0000}"/>
    <cellStyle name="Heading 2 2 2 37 2" xfId="21206" xr:uid="{00000000-0005-0000-0000-0000AE3A0000}"/>
    <cellStyle name="Heading 2 2 2 38" xfId="7888" xr:uid="{00000000-0005-0000-0000-0000AF3A0000}"/>
    <cellStyle name="Heading 2 2 2 38 2" xfId="21207" xr:uid="{00000000-0005-0000-0000-0000B03A0000}"/>
    <cellStyle name="Heading 2 2 2 39" xfId="7889" xr:uid="{00000000-0005-0000-0000-0000B13A0000}"/>
    <cellStyle name="Heading 2 2 2 39 2" xfId="7890" xr:uid="{00000000-0005-0000-0000-0000B23A0000}"/>
    <cellStyle name="Heading 2 2 2 39 2 2" xfId="21209" xr:uid="{00000000-0005-0000-0000-0000B33A0000}"/>
    <cellStyle name="Heading 2 2 2 39 3" xfId="21208" xr:uid="{00000000-0005-0000-0000-0000B43A0000}"/>
    <cellStyle name="Heading 2 2 2 4" xfId="7891" xr:uid="{00000000-0005-0000-0000-0000B53A0000}"/>
    <cellStyle name="Heading 2 2 2 4 2" xfId="21210" xr:uid="{00000000-0005-0000-0000-0000B63A0000}"/>
    <cellStyle name="Heading 2 2 2 40" xfId="21086" xr:uid="{00000000-0005-0000-0000-0000B73A0000}"/>
    <cellStyle name="Heading 2 2 2 41" xfId="31109" xr:uid="{00000000-0005-0000-0000-0000B83A0000}"/>
    <cellStyle name="Heading 2 2 2 42" xfId="31110" xr:uid="{00000000-0005-0000-0000-0000B93A0000}"/>
    <cellStyle name="Heading 2 2 2 5" xfId="7892" xr:uid="{00000000-0005-0000-0000-0000BA3A0000}"/>
    <cellStyle name="Heading 2 2 2 5 2" xfId="21211" xr:uid="{00000000-0005-0000-0000-0000BB3A0000}"/>
    <cellStyle name="Heading 2 2 2 6" xfId="7893" xr:uid="{00000000-0005-0000-0000-0000BC3A0000}"/>
    <cellStyle name="Heading 2 2 2 6 2" xfId="21212" xr:uid="{00000000-0005-0000-0000-0000BD3A0000}"/>
    <cellStyle name="Heading 2 2 2 7" xfId="7894" xr:uid="{00000000-0005-0000-0000-0000BE3A0000}"/>
    <cellStyle name="Heading 2 2 2 7 2" xfId="21213" xr:uid="{00000000-0005-0000-0000-0000BF3A0000}"/>
    <cellStyle name="Heading 2 2 2 8" xfId="7895" xr:uid="{00000000-0005-0000-0000-0000C03A0000}"/>
    <cellStyle name="Heading 2 2 2 8 2" xfId="21214" xr:uid="{00000000-0005-0000-0000-0000C13A0000}"/>
    <cellStyle name="Heading 2 2 2 9" xfId="7896" xr:uid="{00000000-0005-0000-0000-0000C23A0000}"/>
    <cellStyle name="Heading 2 2 2 9 2" xfId="21215" xr:uid="{00000000-0005-0000-0000-0000C33A0000}"/>
    <cellStyle name="Heading 2 2 2_Loan Classification" xfId="11456" xr:uid="{00000000-0005-0000-0000-0000C43A0000}"/>
    <cellStyle name="Heading 2 2 20" xfId="7897" xr:uid="{00000000-0005-0000-0000-0000C53A0000}"/>
    <cellStyle name="Heading 2 2 20 2" xfId="21216" xr:uid="{00000000-0005-0000-0000-0000C63A0000}"/>
    <cellStyle name="Heading 2 2 21" xfId="7898" xr:uid="{00000000-0005-0000-0000-0000C73A0000}"/>
    <cellStyle name="Heading 2 2 21 2" xfId="21217" xr:uid="{00000000-0005-0000-0000-0000C83A0000}"/>
    <cellStyle name="Heading 2 2 22" xfId="7899" xr:uid="{00000000-0005-0000-0000-0000C93A0000}"/>
    <cellStyle name="Heading 2 2 22 2" xfId="21218" xr:uid="{00000000-0005-0000-0000-0000CA3A0000}"/>
    <cellStyle name="Heading 2 2 23" xfId="7900" xr:uid="{00000000-0005-0000-0000-0000CB3A0000}"/>
    <cellStyle name="Heading 2 2 23 2" xfId="21219" xr:uid="{00000000-0005-0000-0000-0000CC3A0000}"/>
    <cellStyle name="Heading 2 2 24" xfId="7901" xr:uid="{00000000-0005-0000-0000-0000CD3A0000}"/>
    <cellStyle name="Heading 2 2 24 2" xfId="21220" xr:uid="{00000000-0005-0000-0000-0000CE3A0000}"/>
    <cellStyle name="Heading 2 2 25" xfId="7902" xr:uid="{00000000-0005-0000-0000-0000CF3A0000}"/>
    <cellStyle name="Heading 2 2 25 2" xfId="21221" xr:uid="{00000000-0005-0000-0000-0000D03A0000}"/>
    <cellStyle name="Heading 2 2 26" xfId="7903" xr:uid="{00000000-0005-0000-0000-0000D13A0000}"/>
    <cellStyle name="Heading 2 2 26 2" xfId="21222" xr:uid="{00000000-0005-0000-0000-0000D23A0000}"/>
    <cellStyle name="Heading 2 2 27" xfId="7904" xr:uid="{00000000-0005-0000-0000-0000D33A0000}"/>
    <cellStyle name="Heading 2 2 27 2" xfId="21223" xr:uid="{00000000-0005-0000-0000-0000D43A0000}"/>
    <cellStyle name="Heading 2 2 28" xfId="7905" xr:uid="{00000000-0005-0000-0000-0000D53A0000}"/>
    <cellStyle name="Heading 2 2 28 2" xfId="21224" xr:uid="{00000000-0005-0000-0000-0000D63A0000}"/>
    <cellStyle name="Heading 2 2 29" xfId="7906" xr:uid="{00000000-0005-0000-0000-0000D73A0000}"/>
    <cellStyle name="Heading 2 2 29 2" xfId="21225" xr:uid="{00000000-0005-0000-0000-0000D83A0000}"/>
    <cellStyle name="Heading 2 2 3" xfId="7907" xr:uid="{00000000-0005-0000-0000-0000D93A0000}"/>
    <cellStyle name="Heading 2 2 3 2" xfId="21226" xr:uid="{00000000-0005-0000-0000-0000DA3A0000}"/>
    <cellStyle name="Heading 2 2 3 2 2" xfId="31111" xr:uid="{00000000-0005-0000-0000-0000DB3A0000}"/>
    <cellStyle name="Heading 2 2 3 3" xfId="31112" xr:uid="{00000000-0005-0000-0000-0000DC3A0000}"/>
    <cellStyle name="Heading 2 2 3 4" xfId="31113" xr:uid="{00000000-0005-0000-0000-0000DD3A0000}"/>
    <cellStyle name="Heading 2 2 3 5" xfId="31114" xr:uid="{00000000-0005-0000-0000-0000DE3A0000}"/>
    <cellStyle name="Heading 2 2 30" xfId="7908" xr:uid="{00000000-0005-0000-0000-0000DF3A0000}"/>
    <cellStyle name="Heading 2 2 30 2" xfId="21227" xr:uid="{00000000-0005-0000-0000-0000E03A0000}"/>
    <cellStyle name="Heading 2 2 31" xfId="7909" xr:uid="{00000000-0005-0000-0000-0000E13A0000}"/>
    <cellStyle name="Heading 2 2 31 2" xfId="21228" xr:uid="{00000000-0005-0000-0000-0000E23A0000}"/>
    <cellStyle name="Heading 2 2 32" xfId="7910" xr:uid="{00000000-0005-0000-0000-0000E33A0000}"/>
    <cellStyle name="Heading 2 2 32 2" xfId="21229" xr:uid="{00000000-0005-0000-0000-0000E43A0000}"/>
    <cellStyle name="Heading 2 2 33" xfId="7911" xr:uid="{00000000-0005-0000-0000-0000E53A0000}"/>
    <cellStyle name="Heading 2 2 33 2" xfId="7912" xr:uid="{00000000-0005-0000-0000-0000E63A0000}"/>
    <cellStyle name="Heading 2 2 33 2 2" xfId="21231" xr:uid="{00000000-0005-0000-0000-0000E73A0000}"/>
    <cellStyle name="Heading 2 2 33 3" xfId="21230" xr:uid="{00000000-0005-0000-0000-0000E83A0000}"/>
    <cellStyle name="Heading 2 2 34" xfId="7913" xr:uid="{00000000-0005-0000-0000-0000E93A0000}"/>
    <cellStyle name="Heading 2 2 34 2" xfId="21232" xr:uid="{00000000-0005-0000-0000-0000EA3A0000}"/>
    <cellStyle name="Heading 2 2 35" xfId="7914" xr:uid="{00000000-0005-0000-0000-0000EB3A0000}"/>
    <cellStyle name="Heading 2 2 35 2" xfId="21233" xr:uid="{00000000-0005-0000-0000-0000EC3A0000}"/>
    <cellStyle name="Heading 2 2 36" xfId="7915" xr:uid="{00000000-0005-0000-0000-0000ED3A0000}"/>
    <cellStyle name="Heading 2 2 36 2" xfId="21234" xr:uid="{00000000-0005-0000-0000-0000EE3A0000}"/>
    <cellStyle name="Heading 2 2 37" xfId="7916" xr:uid="{00000000-0005-0000-0000-0000EF3A0000}"/>
    <cellStyle name="Heading 2 2 37 2" xfId="21235" xr:uid="{00000000-0005-0000-0000-0000F03A0000}"/>
    <cellStyle name="Heading 2 2 38" xfId="7917" xr:uid="{00000000-0005-0000-0000-0000F13A0000}"/>
    <cellStyle name="Heading 2 2 38 2" xfId="21236" xr:uid="{00000000-0005-0000-0000-0000F23A0000}"/>
    <cellStyle name="Heading 2 2 39" xfId="7918" xr:uid="{00000000-0005-0000-0000-0000F33A0000}"/>
    <cellStyle name="Heading 2 2 39 2" xfId="21237" xr:uid="{00000000-0005-0000-0000-0000F43A0000}"/>
    <cellStyle name="Heading 2 2 4" xfId="7919" xr:uid="{00000000-0005-0000-0000-0000F53A0000}"/>
    <cellStyle name="Heading 2 2 4 2" xfId="21238" xr:uid="{00000000-0005-0000-0000-0000F63A0000}"/>
    <cellStyle name="Heading 2 2 4 2 2" xfId="31115" xr:uid="{00000000-0005-0000-0000-0000F73A0000}"/>
    <cellStyle name="Heading 2 2 4 3" xfId="31116" xr:uid="{00000000-0005-0000-0000-0000F83A0000}"/>
    <cellStyle name="Heading 2 2 4 4" xfId="31117" xr:uid="{00000000-0005-0000-0000-0000F93A0000}"/>
    <cellStyle name="Heading 2 2 4 5" xfId="31118" xr:uid="{00000000-0005-0000-0000-0000FA3A0000}"/>
    <cellStyle name="Heading 2 2 40" xfId="7920" xr:uid="{00000000-0005-0000-0000-0000FB3A0000}"/>
    <cellStyle name="Heading 2 2 40 2" xfId="21239" xr:uid="{00000000-0005-0000-0000-0000FC3A0000}"/>
    <cellStyle name="Heading 2 2 41" xfId="7921" xr:uid="{00000000-0005-0000-0000-0000FD3A0000}"/>
    <cellStyle name="Heading 2 2 41 2" xfId="7922" xr:uid="{00000000-0005-0000-0000-0000FE3A0000}"/>
    <cellStyle name="Heading 2 2 41 2 2" xfId="21241" xr:uid="{00000000-0005-0000-0000-0000FF3A0000}"/>
    <cellStyle name="Heading 2 2 41 3" xfId="21240" xr:uid="{00000000-0005-0000-0000-0000003B0000}"/>
    <cellStyle name="Heading 2 2 42" xfId="21074" xr:uid="{00000000-0005-0000-0000-0000013B0000}"/>
    <cellStyle name="Heading 2 2 43" xfId="31119" xr:uid="{00000000-0005-0000-0000-0000023B0000}"/>
    <cellStyle name="Heading 2 2 44" xfId="31120" xr:uid="{00000000-0005-0000-0000-0000033B0000}"/>
    <cellStyle name="Heading 2 2 45" xfId="31121" xr:uid="{00000000-0005-0000-0000-0000043B0000}"/>
    <cellStyle name="Heading 2 2 46" xfId="31122" xr:uid="{00000000-0005-0000-0000-0000053B0000}"/>
    <cellStyle name="Heading 2 2 47" xfId="33171" xr:uid="{00000000-0005-0000-0000-0000063B0000}"/>
    <cellStyle name="Heading 2 2 48" xfId="33168" xr:uid="{00000000-0005-0000-0000-0000073B0000}"/>
    <cellStyle name="Heading 2 2 49" xfId="7755" xr:uid="{00000000-0005-0000-0000-0000083B0000}"/>
    <cellStyle name="Heading 2 2 5" xfId="7923" xr:uid="{00000000-0005-0000-0000-0000093B0000}"/>
    <cellStyle name="Heading 2 2 5 2" xfId="7924" xr:uid="{00000000-0005-0000-0000-00000A3B0000}"/>
    <cellStyle name="Heading 2 2 5 2 2" xfId="21243" xr:uid="{00000000-0005-0000-0000-00000B3B0000}"/>
    <cellStyle name="Heading 2 2 5 3" xfId="21242" xr:uid="{00000000-0005-0000-0000-00000C3B0000}"/>
    <cellStyle name="Heading 2 2 5 4" xfId="31123" xr:uid="{00000000-0005-0000-0000-00000D3B0000}"/>
    <cellStyle name="Heading 2 2 6" xfId="7925" xr:uid="{00000000-0005-0000-0000-00000E3B0000}"/>
    <cellStyle name="Heading 2 2 6 2" xfId="21244" xr:uid="{00000000-0005-0000-0000-00000F3B0000}"/>
    <cellStyle name="Heading 2 2 6 3" xfId="31124" xr:uid="{00000000-0005-0000-0000-0000103B0000}"/>
    <cellStyle name="Heading 2 2 7" xfId="7926" xr:uid="{00000000-0005-0000-0000-0000113B0000}"/>
    <cellStyle name="Heading 2 2 7 2" xfId="21245" xr:uid="{00000000-0005-0000-0000-0000123B0000}"/>
    <cellStyle name="Heading 2 2 8" xfId="7927" xr:uid="{00000000-0005-0000-0000-0000133B0000}"/>
    <cellStyle name="Heading 2 2 8 2" xfId="21246" xr:uid="{00000000-0005-0000-0000-0000143B0000}"/>
    <cellStyle name="Heading 2 2 9" xfId="7928" xr:uid="{00000000-0005-0000-0000-0000153B0000}"/>
    <cellStyle name="Heading 2 2 9 2" xfId="21247" xr:uid="{00000000-0005-0000-0000-0000163B0000}"/>
    <cellStyle name="Heading 2 2_Loan Classification" xfId="11455" xr:uid="{00000000-0005-0000-0000-0000173B0000}"/>
    <cellStyle name="Heading 2 20" xfId="7929" xr:uid="{00000000-0005-0000-0000-0000183B0000}"/>
    <cellStyle name="Heading 2 20 2" xfId="21248" xr:uid="{00000000-0005-0000-0000-0000193B0000}"/>
    <cellStyle name="Heading 2 21" xfId="7930" xr:uid="{00000000-0005-0000-0000-00001A3B0000}"/>
    <cellStyle name="Heading 2 21 2" xfId="21249" xr:uid="{00000000-0005-0000-0000-00001B3B0000}"/>
    <cellStyle name="Heading 2 22" xfId="7931" xr:uid="{00000000-0005-0000-0000-00001C3B0000}"/>
    <cellStyle name="Heading 2 22 2" xfId="21250" xr:uid="{00000000-0005-0000-0000-00001D3B0000}"/>
    <cellStyle name="Heading 2 23" xfId="7932" xr:uid="{00000000-0005-0000-0000-00001E3B0000}"/>
    <cellStyle name="Heading 2 23 2" xfId="21251" xr:uid="{00000000-0005-0000-0000-00001F3B0000}"/>
    <cellStyle name="Heading 2 24" xfId="7933" xr:uid="{00000000-0005-0000-0000-0000203B0000}"/>
    <cellStyle name="Heading 2 24 2" xfId="21252" xr:uid="{00000000-0005-0000-0000-0000213B0000}"/>
    <cellStyle name="Heading 2 25" xfId="7934" xr:uid="{00000000-0005-0000-0000-0000223B0000}"/>
    <cellStyle name="Heading 2 25 2" xfId="21253" xr:uid="{00000000-0005-0000-0000-0000233B0000}"/>
    <cellStyle name="Heading 2 26" xfId="7935" xr:uid="{00000000-0005-0000-0000-0000243B0000}"/>
    <cellStyle name="Heading 2 26 2" xfId="21254" xr:uid="{00000000-0005-0000-0000-0000253B0000}"/>
    <cellStyle name="Heading 2 27" xfId="7936" xr:uid="{00000000-0005-0000-0000-0000263B0000}"/>
    <cellStyle name="Heading 2 27 2" xfId="21255" xr:uid="{00000000-0005-0000-0000-0000273B0000}"/>
    <cellStyle name="Heading 2 28" xfId="7937" xr:uid="{00000000-0005-0000-0000-0000283B0000}"/>
    <cellStyle name="Heading 2 28 2" xfId="21256" xr:uid="{00000000-0005-0000-0000-0000293B0000}"/>
    <cellStyle name="Heading 2 29" xfId="7938" xr:uid="{00000000-0005-0000-0000-00002A3B0000}"/>
    <cellStyle name="Heading 2 29 2" xfId="21257" xr:uid="{00000000-0005-0000-0000-00002B3B0000}"/>
    <cellStyle name="Heading 2 3" xfId="160" xr:uid="{00000000-0005-0000-0000-00002C3B0000}"/>
    <cellStyle name="Heading 2 3 2" xfId="21258" xr:uid="{00000000-0005-0000-0000-00002D3B0000}"/>
    <cellStyle name="Heading 2 3 2 2" xfId="31125" xr:uid="{00000000-0005-0000-0000-00002E3B0000}"/>
    <cellStyle name="Heading 2 3 3" xfId="31126" xr:uid="{00000000-0005-0000-0000-00002F3B0000}"/>
    <cellStyle name="Heading 2 3 4" xfId="31127" xr:uid="{00000000-0005-0000-0000-0000303B0000}"/>
    <cellStyle name="Heading 2 3 5" xfId="7939" xr:uid="{00000000-0005-0000-0000-0000313B0000}"/>
    <cellStyle name="Heading 2 30" xfId="7940" xr:uid="{00000000-0005-0000-0000-0000323B0000}"/>
    <cellStyle name="Heading 2 30 2" xfId="21259" xr:uid="{00000000-0005-0000-0000-0000333B0000}"/>
    <cellStyle name="Heading 2 31" xfId="7941" xr:uid="{00000000-0005-0000-0000-0000343B0000}"/>
    <cellStyle name="Heading 2 31 2" xfId="21260" xr:uid="{00000000-0005-0000-0000-0000353B0000}"/>
    <cellStyle name="Heading 2 32" xfId="7942" xr:uid="{00000000-0005-0000-0000-0000363B0000}"/>
    <cellStyle name="Heading 2 32 2" xfId="21261" xr:uid="{00000000-0005-0000-0000-0000373B0000}"/>
    <cellStyle name="Heading 2 33" xfId="7943" xr:uid="{00000000-0005-0000-0000-0000383B0000}"/>
    <cellStyle name="Heading 2 33 2" xfId="21262" xr:uid="{00000000-0005-0000-0000-0000393B0000}"/>
    <cellStyle name="Heading 2 34" xfId="7944" xr:uid="{00000000-0005-0000-0000-00003A3B0000}"/>
    <cellStyle name="Heading 2 34 2" xfId="21263" xr:uid="{00000000-0005-0000-0000-00003B3B0000}"/>
    <cellStyle name="Heading 2 35" xfId="7945" xr:uid="{00000000-0005-0000-0000-00003C3B0000}"/>
    <cellStyle name="Heading 2 35 2" xfId="21264" xr:uid="{00000000-0005-0000-0000-00003D3B0000}"/>
    <cellStyle name="Heading 2 36" xfId="7946" xr:uid="{00000000-0005-0000-0000-00003E3B0000}"/>
    <cellStyle name="Heading 2 36 2" xfId="21265" xr:uid="{00000000-0005-0000-0000-00003F3B0000}"/>
    <cellStyle name="Heading 2 37" xfId="7947" xr:uid="{00000000-0005-0000-0000-0000403B0000}"/>
    <cellStyle name="Heading 2 37 2" xfId="21266" xr:uid="{00000000-0005-0000-0000-0000413B0000}"/>
    <cellStyle name="Heading 2 38" xfId="7948" xr:uid="{00000000-0005-0000-0000-0000423B0000}"/>
    <cellStyle name="Heading 2 38 2" xfId="21267" xr:uid="{00000000-0005-0000-0000-0000433B0000}"/>
    <cellStyle name="Heading 2 39" xfId="7949" xr:uid="{00000000-0005-0000-0000-0000443B0000}"/>
    <cellStyle name="Heading 2 39 2" xfId="21268" xr:uid="{00000000-0005-0000-0000-0000453B0000}"/>
    <cellStyle name="Heading 2 4" xfId="7950" xr:uid="{00000000-0005-0000-0000-0000463B0000}"/>
    <cellStyle name="Heading 2 4 2" xfId="21269" xr:uid="{00000000-0005-0000-0000-0000473B0000}"/>
    <cellStyle name="Heading 2 4 2 2" xfId="31128" xr:uid="{00000000-0005-0000-0000-0000483B0000}"/>
    <cellStyle name="Heading 2 4 3" xfId="31129" xr:uid="{00000000-0005-0000-0000-0000493B0000}"/>
    <cellStyle name="Heading 2 4 4" xfId="31130" xr:uid="{00000000-0005-0000-0000-00004A3B0000}"/>
    <cellStyle name="Heading 2 40" xfId="7951" xr:uid="{00000000-0005-0000-0000-00004B3B0000}"/>
    <cellStyle name="Heading 2 40 2" xfId="21270" xr:uid="{00000000-0005-0000-0000-00004C3B0000}"/>
    <cellStyle name="Heading 2 41" xfId="7952" xr:uid="{00000000-0005-0000-0000-00004D3B0000}"/>
    <cellStyle name="Heading 2 41 2" xfId="21271" xr:uid="{00000000-0005-0000-0000-00004E3B0000}"/>
    <cellStyle name="Heading 2 42" xfId="7953" xr:uid="{00000000-0005-0000-0000-00004F3B0000}"/>
    <cellStyle name="Heading 2 42 2" xfId="21272" xr:uid="{00000000-0005-0000-0000-0000503B0000}"/>
    <cellStyle name="Heading 2 43" xfId="11594" xr:uid="{00000000-0005-0000-0000-0000513B0000}"/>
    <cellStyle name="Heading 2 43 2" xfId="21273" xr:uid="{00000000-0005-0000-0000-0000523B0000}"/>
    <cellStyle name="Heading 2 44" xfId="11523" xr:uid="{00000000-0005-0000-0000-0000533B0000}"/>
    <cellStyle name="Heading 2 44 2" xfId="21274" xr:uid="{00000000-0005-0000-0000-0000543B0000}"/>
    <cellStyle name="Heading 2 45" xfId="21275" xr:uid="{00000000-0005-0000-0000-0000553B0000}"/>
    <cellStyle name="Heading 2 46" xfId="31131" xr:uid="{00000000-0005-0000-0000-0000563B0000}"/>
    <cellStyle name="Heading 2 47" xfId="531" xr:uid="{00000000-0005-0000-0000-0000573B0000}"/>
    <cellStyle name="Heading 2 5" xfId="7954" xr:uid="{00000000-0005-0000-0000-0000583B0000}"/>
    <cellStyle name="Heading 2 5 2" xfId="21276" xr:uid="{00000000-0005-0000-0000-0000593B0000}"/>
    <cellStyle name="Heading 2 5 2 2" xfId="31132" xr:uid="{00000000-0005-0000-0000-00005A3B0000}"/>
    <cellStyle name="Heading 2 5 3" xfId="31133" xr:uid="{00000000-0005-0000-0000-00005B3B0000}"/>
    <cellStyle name="Heading 2 5 4" xfId="31134" xr:uid="{00000000-0005-0000-0000-00005C3B0000}"/>
    <cellStyle name="Heading 2 6" xfId="7955" xr:uid="{00000000-0005-0000-0000-00005D3B0000}"/>
    <cellStyle name="Heading 2 6 2" xfId="21277" xr:uid="{00000000-0005-0000-0000-00005E3B0000}"/>
    <cellStyle name="Heading 2 6 3" xfId="31135" xr:uid="{00000000-0005-0000-0000-00005F3B0000}"/>
    <cellStyle name="Heading 2 7" xfId="7956" xr:uid="{00000000-0005-0000-0000-0000603B0000}"/>
    <cellStyle name="Heading 2 7 2" xfId="21278" xr:uid="{00000000-0005-0000-0000-0000613B0000}"/>
    <cellStyle name="Heading 2 7 3" xfId="31136" xr:uid="{00000000-0005-0000-0000-0000623B0000}"/>
    <cellStyle name="Heading 2 8" xfId="7957" xr:uid="{00000000-0005-0000-0000-0000633B0000}"/>
    <cellStyle name="Heading 2 8 2" xfId="21279" xr:uid="{00000000-0005-0000-0000-0000643B0000}"/>
    <cellStyle name="Heading 2 8 3" xfId="31137" xr:uid="{00000000-0005-0000-0000-0000653B0000}"/>
    <cellStyle name="Heading 2 9" xfId="7958" xr:uid="{00000000-0005-0000-0000-0000663B0000}"/>
    <cellStyle name="Heading 2 9 2" xfId="21280" xr:uid="{00000000-0005-0000-0000-0000673B0000}"/>
    <cellStyle name="Heading 2 9 3" xfId="31138" xr:uid="{00000000-0005-0000-0000-0000683B0000}"/>
    <cellStyle name="Heading 3" xfId="12" builtinId="18" customBuiltin="1"/>
    <cellStyle name="Heading 3 10" xfId="7959" xr:uid="{00000000-0005-0000-0000-00006A3B0000}"/>
    <cellStyle name="Heading 3 10 2" xfId="21281" xr:uid="{00000000-0005-0000-0000-00006B3B0000}"/>
    <cellStyle name="Heading 3 10 3" xfId="31139" xr:uid="{00000000-0005-0000-0000-00006C3B0000}"/>
    <cellStyle name="Heading 3 11" xfId="7960" xr:uid="{00000000-0005-0000-0000-00006D3B0000}"/>
    <cellStyle name="Heading 3 11 2" xfId="21282" xr:uid="{00000000-0005-0000-0000-00006E3B0000}"/>
    <cellStyle name="Heading 3 11 3" xfId="31140" xr:uid="{00000000-0005-0000-0000-00006F3B0000}"/>
    <cellStyle name="Heading 3 12" xfId="7961" xr:uid="{00000000-0005-0000-0000-0000703B0000}"/>
    <cellStyle name="Heading 3 12 2" xfId="21283" xr:uid="{00000000-0005-0000-0000-0000713B0000}"/>
    <cellStyle name="Heading 3 12 3" xfId="31141" xr:uid="{00000000-0005-0000-0000-0000723B0000}"/>
    <cellStyle name="Heading 3 13" xfId="7962" xr:uid="{00000000-0005-0000-0000-0000733B0000}"/>
    <cellStyle name="Heading 3 13 2" xfId="21284" xr:uid="{00000000-0005-0000-0000-0000743B0000}"/>
    <cellStyle name="Heading 3 13 3" xfId="31142" xr:uid="{00000000-0005-0000-0000-0000753B0000}"/>
    <cellStyle name="Heading 3 14" xfId="7963" xr:uid="{00000000-0005-0000-0000-0000763B0000}"/>
    <cellStyle name="Heading 3 14 2" xfId="21285" xr:uid="{00000000-0005-0000-0000-0000773B0000}"/>
    <cellStyle name="Heading 3 14 3" xfId="31143" xr:uid="{00000000-0005-0000-0000-0000783B0000}"/>
    <cellStyle name="Heading 3 15" xfId="7964" xr:uid="{00000000-0005-0000-0000-0000793B0000}"/>
    <cellStyle name="Heading 3 15 2" xfId="21286" xr:uid="{00000000-0005-0000-0000-00007A3B0000}"/>
    <cellStyle name="Heading 3 15 3" xfId="31144" xr:uid="{00000000-0005-0000-0000-00007B3B0000}"/>
    <cellStyle name="Heading 3 16" xfId="7965" xr:uid="{00000000-0005-0000-0000-00007C3B0000}"/>
    <cellStyle name="Heading 3 16 2" xfId="21287" xr:uid="{00000000-0005-0000-0000-00007D3B0000}"/>
    <cellStyle name="Heading 3 16 3" xfId="31145" xr:uid="{00000000-0005-0000-0000-00007E3B0000}"/>
    <cellStyle name="Heading 3 17" xfId="7966" xr:uid="{00000000-0005-0000-0000-00007F3B0000}"/>
    <cellStyle name="Heading 3 17 2" xfId="21288" xr:uid="{00000000-0005-0000-0000-0000803B0000}"/>
    <cellStyle name="Heading 3 17 3" xfId="31146" xr:uid="{00000000-0005-0000-0000-0000813B0000}"/>
    <cellStyle name="Heading 3 18" xfId="7967" xr:uid="{00000000-0005-0000-0000-0000823B0000}"/>
    <cellStyle name="Heading 3 18 2" xfId="21289" xr:uid="{00000000-0005-0000-0000-0000833B0000}"/>
    <cellStyle name="Heading 3 19" xfId="7968" xr:uid="{00000000-0005-0000-0000-0000843B0000}"/>
    <cellStyle name="Heading 3 19 2" xfId="21290" xr:uid="{00000000-0005-0000-0000-0000853B0000}"/>
    <cellStyle name="Heading 3 2" xfId="161" xr:uid="{00000000-0005-0000-0000-0000863B0000}"/>
    <cellStyle name="Heading 3 2 10" xfId="7970" xr:uid="{00000000-0005-0000-0000-0000873B0000}"/>
    <cellStyle name="Heading 3 2 10 2" xfId="21292" xr:uid="{00000000-0005-0000-0000-0000883B0000}"/>
    <cellStyle name="Heading 3 2 11" xfId="7971" xr:uid="{00000000-0005-0000-0000-0000893B0000}"/>
    <cellStyle name="Heading 3 2 11 2" xfId="21293" xr:uid="{00000000-0005-0000-0000-00008A3B0000}"/>
    <cellStyle name="Heading 3 2 12" xfId="7972" xr:uid="{00000000-0005-0000-0000-00008B3B0000}"/>
    <cellStyle name="Heading 3 2 12 2" xfId="21294" xr:uid="{00000000-0005-0000-0000-00008C3B0000}"/>
    <cellStyle name="Heading 3 2 13" xfId="7973" xr:uid="{00000000-0005-0000-0000-00008D3B0000}"/>
    <cellStyle name="Heading 3 2 13 2" xfId="21295" xr:uid="{00000000-0005-0000-0000-00008E3B0000}"/>
    <cellStyle name="Heading 3 2 14" xfId="7974" xr:uid="{00000000-0005-0000-0000-00008F3B0000}"/>
    <cellStyle name="Heading 3 2 14 2" xfId="21296" xr:uid="{00000000-0005-0000-0000-0000903B0000}"/>
    <cellStyle name="Heading 3 2 15" xfId="7975" xr:uid="{00000000-0005-0000-0000-0000913B0000}"/>
    <cellStyle name="Heading 3 2 15 2" xfId="21297" xr:uid="{00000000-0005-0000-0000-0000923B0000}"/>
    <cellStyle name="Heading 3 2 16" xfId="7976" xr:uid="{00000000-0005-0000-0000-0000933B0000}"/>
    <cellStyle name="Heading 3 2 16 2" xfId="7977" xr:uid="{00000000-0005-0000-0000-0000943B0000}"/>
    <cellStyle name="Heading 3 2 16 2 2" xfId="21299" xr:uid="{00000000-0005-0000-0000-0000953B0000}"/>
    <cellStyle name="Heading 3 2 16 3" xfId="21298" xr:uid="{00000000-0005-0000-0000-0000963B0000}"/>
    <cellStyle name="Heading 3 2 17" xfId="7978" xr:uid="{00000000-0005-0000-0000-0000973B0000}"/>
    <cellStyle name="Heading 3 2 17 2" xfId="21300" xr:uid="{00000000-0005-0000-0000-0000983B0000}"/>
    <cellStyle name="Heading 3 2 18" xfId="7979" xr:uid="{00000000-0005-0000-0000-0000993B0000}"/>
    <cellStyle name="Heading 3 2 18 2" xfId="21301" xr:uid="{00000000-0005-0000-0000-00009A3B0000}"/>
    <cellStyle name="Heading 3 2 19" xfId="7980" xr:uid="{00000000-0005-0000-0000-00009B3B0000}"/>
    <cellStyle name="Heading 3 2 19 2" xfId="21302" xr:uid="{00000000-0005-0000-0000-00009C3B0000}"/>
    <cellStyle name="Heading 3 2 2" xfId="7981" xr:uid="{00000000-0005-0000-0000-00009D3B0000}"/>
    <cellStyle name="Heading 3 2 2 10" xfId="7982" xr:uid="{00000000-0005-0000-0000-00009E3B0000}"/>
    <cellStyle name="Heading 3 2 2 10 2" xfId="21304" xr:uid="{00000000-0005-0000-0000-00009F3B0000}"/>
    <cellStyle name="Heading 3 2 2 11" xfId="7983" xr:uid="{00000000-0005-0000-0000-0000A03B0000}"/>
    <cellStyle name="Heading 3 2 2 11 2" xfId="21305" xr:uid="{00000000-0005-0000-0000-0000A13B0000}"/>
    <cellStyle name="Heading 3 2 2 12" xfId="7984" xr:uid="{00000000-0005-0000-0000-0000A23B0000}"/>
    <cellStyle name="Heading 3 2 2 12 2" xfId="21306" xr:uid="{00000000-0005-0000-0000-0000A33B0000}"/>
    <cellStyle name="Heading 3 2 2 13" xfId="7985" xr:uid="{00000000-0005-0000-0000-0000A43B0000}"/>
    <cellStyle name="Heading 3 2 2 13 2" xfId="21307" xr:uid="{00000000-0005-0000-0000-0000A53B0000}"/>
    <cellStyle name="Heading 3 2 2 14" xfId="7986" xr:uid="{00000000-0005-0000-0000-0000A63B0000}"/>
    <cellStyle name="Heading 3 2 2 14 2" xfId="7987" xr:uid="{00000000-0005-0000-0000-0000A73B0000}"/>
    <cellStyle name="Heading 3 2 2 14 2 2" xfId="21309" xr:uid="{00000000-0005-0000-0000-0000A83B0000}"/>
    <cellStyle name="Heading 3 2 2 14 3" xfId="21308" xr:uid="{00000000-0005-0000-0000-0000A93B0000}"/>
    <cellStyle name="Heading 3 2 2 15" xfId="7988" xr:uid="{00000000-0005-0000-0000-0000AA3B0000}"/>
    <cellStyle name="Heading 3 2 2 15 2" xfId="21310" xr:uid="{00000000-0005-0000-0000-0000AB3B0000}"/>
    <cellStyle name="Heading 3 2 2 16" xfId="7989" xr:uid="{00000000-0005-0000-0000-0000AC3B0000}"/>
    <cellStyle name="Heading 3 2 2 16 2" xfId="21311" xr:uid="{00000000-0005-0000-0000-0000AD3B0000}"/>
    <cellStyle name="Heading 3 2 2 17" xfId="7990" xr:uid="{00000000-0005-0000-0000-0000AE3B0000}"/>
    <cellStyle name="Heading 3 2 2 17 2" xfId="21312" xr:uid="{00000000-0005-0000-0000-0000AF3B0000}"/>
    <cellStyle name="Heading 3 2 2 18" xfId="7991" xr:uid="{00000000-0005-0000-0000-0000B03B0000}"/>
    <cellStyle name="Heading 3 2 2 18 2" xfId="21313" xr:uid="{00000000-0005-0000-0000-0000B13B0000}"/>
    <cellStyle name="Heading 3 2 2 19" xfId="7992" xr:uid="{00000000-0005-0000-0000-0000B23B0000}"/>
    <cellStyle name="Heading 3 2 2 19 2" xfId="21314" xr:uid="{00000000-0005-0000-0000-0000B33B0000}"/>
    <cellStyle name="Heading 3 2 2 2" xfId="7993" xr:uid="{00000000-0005-0000-0000-0000B43B0000}"/>
    <cellStyle name="Heading 3 2 2 2 10" xfId="7994" xr:uid="{00000000-0005-0000-0000-0000B53B0000}"/>
    <cellStyle name="Heading 3 2 2 2 10 2" xfId="21316" xr:uid="{00000000-0005-0000-0000-0000B63B0000}"/>
    <cellStyle name="Heading 3 2 2 2 11" xfId="7995" xr:uid="{00000000-0005-0000-0000-0000B73B0000}"/>
    <cellStyle name="Heading 3 2 2 2 11 2" xfId="21317" xr:uid="{00000000-0005-0000-0000-0000B83B0000}"/>
    <cellStyle name="Heading 3 2 2 2 12" xfId="7996" xr:uid="{00000000-0005-0000-0000-0000B93B0000}"/>
    <cellStyle name="Heading 3 2 2 2 12 2" xfId="21318" xr:uid="{00000000-0005-0000-0000-0000BA3B0000}"/>
    <cellStyle name="Heading 3 2 2 2 13" xfId="7997" xr:uid="{00000000-0005-0000-0000-0000BB3B0000}"/>
    <cellStyle name="Heading 3 2 2 2 13 2" xfId="21319" xr:uid="{00000000-0005-0000-0000-0000BC3B0000}"/>
    <cellStyle name="Heading 3 2 2 2 14" xfId="7998" xr:uid="{00000000-0005-0000-0000-0000BD3B0000}"/>
    <cellStyle name="Heading 3 2 2 2 14 2" xfId="21320" xr:uid="{00000000-0005-0000-0000-0000BE3B0000}"/>
    <cellStyle name="Heading 3 2 2 2 15" xfId="7999" xr:uid="{00000000-0005-0000-0000-0000BF3B0000}"/>
    <cellStyle name="Heading 3 2 2 2 15 2" xfId="21321" xr:uid="{00000000-0005-0000-0000-0000C03B0000}"/>
    <cellStyle name="Heading 3 2 2 2 16" xfId="8000" xr:uid="{00000000-0005-0000-0000-0000C13B0000}"/>
    <cellStyle name="Heading 3 2 2 2 16 2" xfId="21322" xr:uid="{00000000-0005-0000-0000-0000C23B0000}"/>
    <cellStyle name="Heading 3 2 2 2 17" xfId="8001" xr:uid="{00000000-0005-0000-0000-0000C33B0000}"/>
    <cellStyle name="Heading 3 2 2 2 17 2" xfId="21323" xr:uid="{00000000-0005-0000-0000-0000C43B0000}"/>
    <cellStyle name="Heading 3 2 2 2 18" xfId="8002" xr:uid="{00000000-0005-0000-0000-0000C53B0000}"/>
    <cellStyle name="Heading 3 2 2 2 18 2" xfId="21324" xr:uid="{00000000-0005-0000-0000-0000C63B0000}"/>
    <cellStyle name="Heading 3 2 2 2 19" xfId="8003" xr:uid="{00000000-0005-0000-0000-0000C73B0000}"/>
    <cellStyle name="Heading 3 2 2 2 19 2" xfId="21325" xr:uid="{00000000-0005-0000-0000-0000C83B0000}"/>
    <cellStyle name="Heading 3 2 2 2 2" xfId="8004" xr:uid="{00000000-0005-0000-0000-0000C93B0000}"/>
    <cellStyle name="Heading 3 2 2 2 2 10" xfId="8005" xr:uid="{00000000-0005-0000-0000-0000CA3B0000}"/>
    <cellStyle name="Heading 3 2 2 2 2 10 2" xfId="21327" xr:uid="{00000000-0005-0000-0000-0000CB3B0000}"/>
    <cellStyle name="Heading 3 2 2 2 2 11" xfId="8006" xr:uid="{00000000-0005-0000-0000-0000CC3B0000}"/>
    <cellStyle name="Heading 3 2 2 2 2 11 2" xfId="21328" xr:uid="{00000000-0005-0000-0000-0000CD3B0000}"/>
    <cellStyle name="Heading 3 2 2 2 2 12" xfId="8007" xr:uid="{00000000-0005-0000-0000-0000CE3B0000}"/>
    <cellStyle name="Heading 3 2 2 2 2 12 2" xfId="21329" xr:uid="{00000000-0005-0000-0000-0000CF3B0000}"/>
    <cellStyle name="Heading 3 2 2 2 2 13" xfId="8008" xr:uid="{00000000-0005-0000-0000-0000D03B0000}"/>
    <cellStyle name="Heading 3 2 2 2 2 13 2" xfId="21330" xr:uid="{00000000-0005-0000-0000-0000D13B0000}"/>
    <cellStyle name="Heading 3 2 2 2 2 14" xfId="8009" xr:uid="{00000000-0005-0000-0000-0000D23B0000}"/>
    <cellStyle name="Heading 3 2 2 2 2 14 2" xfId="21331" xr:uid="{00000000-0005-0000-0000-0000D33B0000}"/>
    <cellStyle name="Heading 3 2 2 2 2 15" xfId="8010" xr:uid="{00000000-0005-0000-0000-0000D43B0000}"/>
    <cellStyle name="Heading 3 2 2 2 2 15 2" xfId="21332" xr:uid="{00000000-0005-0000-0000-0000D53B0000}"/>
    <cellStyle name="Heading 3 2 2 2 2 16" xfId="8011" xr:uid="{00000000-0005-0000-0000-0000D63B0000}"/>
    <cellStyle name="Heading 3 2 2 2 2 16 2" xfId="21333" xr:uid="{00000000-0005-0000-0000-0000D73B0000}"/>
    <cellStyle name="Heading 3 2 2 2 2 17" xfId="8012" xr:uid="{00000000-0005-0000-0000-0000D83B0000}"/>
    <cellStyle name="Heading 3 2 2 2 2 17 2" xfId="21334" xr:uid="{00000000-0005-0000-0000-0000D93B0000}"/>
    <cellStyle name="Heading 3 2 2 2 2 18" xfId="8013" xr:uid="{00000000-0005-0000-0000-0000DA3B0000}"/>
    <cellStyle name="Heading 3 2 2 2 2 18 2" xfId="21335" xr:uid="{00000000-0005-0000-0000-0000DB3B0000}"/>
    <cellStyle name="Heading 3 2 2 2 2 19" xfId="8014" xr:uid="{00000000-0005-0000-0000-0000DC3B0000}"/>
    <cellStyle name="Heading 3 2 2 2 2 19 2" xfId="21336" xr:uid="{00000000-0005-0000-0000-0000DD3B0000}"/>
    <cellStyle name="Heading 3 2 2 2 2 2" xfId="8015" xr:uid="{00000000-0005-0000-0000-0000DE3B0000}"/>
    <cellStyle name="Heading 3 2 2 2 2 2 10" xfId="8016" xr:uid="{00000000-0005-0000-0000-0000DF3B0000}"/>
    <cellStyle name="Heading 3 2 2 2 2 2 10 2" xfId="21338" xr:uid="{00000000-0005-0000-0000-0000E03B0000}"/>
    <cellStyle name="Heading 3 2 2 2 2 2 11" xfId="8017" xr:uid="{00000000-0005-0000-0000-0000E13B0000}"/>
    <cellStyle name="Heading 3 2 2 2 2 2 11 2" xfId="8018" xr:uid="{00000000-0005-0000-0000-0000E23B0000}"/>
    <cellStyle name="Heading 3 2 2 2 2 2 11 2 2" xfId="21340" xr:uid="{00000000-0005-0000-0000-0000E33B0000}"/>
    <cellStyle name="Heading 3 2 2 2 2 2 11 3" xfId="21339" xr:uid="{00000000-0005-0000-0000-0000E43B0000}"/>
    <cellStyle name="Heading 3 2 2 2 2 2 12" xfId="21337" xr:uid="{00000000-0005-0000-0000-0000E53B0000}"/>
    <cellStyle name="Heading 3 2 2 2 2 2 2" xfId="8019" xr:uid="{00000000-0005-0000-0000-0000E63B0000}"/>
    <cellStyle name="Heading 3 2 2 2 2 2 2 10" xfId="8020" xr:uid="{00000000-0005-0000-0000-0000E73B0000}"/>
    <cellStyle name="Heading 3 2 2 2 2 2 2 10 2" xfId="21342" xr:uid="{00000000-0005-0000-0000-0000E83B0000}"/>
    <cellStyle name="Heading 3 2 2 2 2 2 2 11" xfId="8021" xr:uid="{00000000-0005-0000-0000-0000E93B0000}"/>
    <cellStyle name="Heading 3 2 2 2 2 2 2 11 2" xfId="8022" xr:uid="{00000000-0005-0000-0000-0000EA3B0000}"/>
    <cellStyle name="Heading 3 2 2 2 2 2 2 11 2 2" xfId="21344" xr:uid="{00000000-0005-0000-0000-0000EB3B0000}"/>
    <cellStyle name="Heading 3 2 2 2 2 2 2 11 3" xfId="21343" xr:uid="{00000000-0005-0000-0000-0000EC3B0000}"/>
    <cellStyle name="Heading 3 2 2 2 2 2 2 12" xfId="21341" xr:uid="{00000000-0005-0000-0000-0000ED3B0000}"/>
    <cellStyle name="Heading 3 2 2 2 2 2 2 2" xfId="8023" xr:uid="{00000000-0005-0000-0000-0000EE3B0000}"/>
    <cellStyle name="Heading 3 2 2 2 2 2 2 2 2" xfId="8024" xr:uid="{00000000-0005-0000-0000-0000EF3B0000}"/>
    <cellStyle name="Heading 3 2 2 2 2 2 2 2 2 2" xfId="8025" xr:uid="{00000000-0005-0000-0000-0000F03B0000}"/>
    <cellStyle name="Heading 3 2 2 2 2 2 2 2 2 2 2" xfId="8026" xr:uid="{00000000-0005-0000-0000-0000F13B0000}"/>
    <cellStyle name="Heading 3 2 2 2 2 2 2 2 2 2 2 2" xfId="21348" xr:uid="{00000000-0005-0000-0000-0000F23B0000}"/>
    <cellStyle name="Heading 3 2 2 2 2 2 2 2 2 2 3" xfId="21347" xr:uid="{00000000-0005-0000-0000-0000F33B0000}"/>
    <cellStyle name="Heading 3 2 2 2 2 2 2 2 2 3" xfId="8027" xr:uid="{00000000-0005-0000-0000-0000F43B0000}"/>
    <cellStyle name="Heading 3 2 2 2 2 2 2 2 2 3 2" xfId="21349" xr:uid="{00000000-0005-0000-0000-0000F53B0000}"/>
    <cellStyle name="Heading 3 2 2 2 2 2 2 2 2 4" xfId="21346" xr:uid="{00000000-0005-0000-0000-0000F63B0000}"/>
    <cellStyle name="Heading 3 2 2 2 2 2 2 2 3" xfId="8028" xr:uid="{00000000-0005-0000-0000-0000F73B0000}"/>
    <cellStyle name="Heading 3 2 2 2 2 2 2 2 3 2" xfId="8029" xr:uid="{00000000-0005-0000-0000-0000F83B0000}"/>
    <cellStyle name="Heading 3 2 2 2 2 2 2 2 3 2 2" xfId="21351" xr:uid="{00000000-0005-0000-0000-0000F93B0000}"/>
    <cellStyle name="Heading 3 2 2 2 2 2 2 2 3 3" xfId="21350" xr:uid="{00000000-0005-0000-0000-0000FA3B0000}"/>
    <cellStyle name="Heading 3 2 2 2 2 2 2 2 4" xfId="21345" xr:uid="{00000000-0005-0000-0000-0000FB3B0000}"/>
    <cellStyle name="Heading 3 2 2 2 2 2 2 3" xfId="8030" xr:uid="{00000000-0005-0000-0000-0000FC3B0000}"/>
    <cellStyle name="Heading 3 2 2 2 2 2 2 3 2" xfId="21352" xr:uid="{00000000-0005-0000-0000-0000FD3B0000}"/>
    <cellStyle name="Heading 3 2 2 2 2 2 2 4" xfId="8031" xr:uid="{00000000-0005-0000-0000-0000FE3B0000}"/>
    <cellStyle name="Heading 3 2 2 2 2 2 2 4 2" xfId="21353" xr:uid="{00000000-0005-0000-0000-0000FF3B0000}"/>
    <cellStyle name="Heading 3 2 2 2 2 2 2 5" xfId="8032" xr:uid="{00000000-0005-0000-0000-0000003C0000}"/>
    <cellStyle name="Heading 3 2 2 2 2 2 2 5 2" xfId="21354" xr:uid="{00000000-0005-0000-0000-0000013C0000}"/>
    <cellStyle name="Heading 3 2 2 2 2 2 2 6" xfId="8033" xr:uid="{00000000-0005-0000-0000-0000023C0000}"/>
    <cellStyle name="Heading 3 2 2 2 2 2 2 6 2" xfId="21355" xr:uid="{00000000-0005-0000-0000-0000033C0000}"/>
    <cellStyle name="Heading 3 2 2 2 2 2 2 7" xfId="8034" xr:uid="{00000000-0005-0000-0000-0000043C0000}"/>
    <cellStyle name="Heading 3 2 2 2 2 2 2 7 2" xfId="21356" xr:uid="{00000000-0005-0000-0000-0000053C0000}"/>
    <cellStyle name="Heading 3 2 2 2 2 2 2 8" xfId="8035" xr:uid="{00000000-0005-0000-0000-0000063C0000}"/>
    <cellStyle name="Heading 3 2 2 2 2 2 2 8 2" xfId="21357" xr:uid="{00000000-0005-0000-0000-0000073C0000}"/>
    <cellStyle name="Heading 3 2 2 2 2 2 2 9" xfId="8036" xr:uid="{00000000-0005-0000-0000-0000083C0000}"/>
    <cellStyle name="Heading 3 2 2 2 2 2 2 9 2" xfId="21358" xr:uid="{00000000-0005-0000-0000-0000093C0000}"/>
    <cellStyle name="Heading 3 2 2 2 2 2 3" xfId="8037" xr:uid="{00000000-0005-0000-0000-00000A3C0000}"/>
    <cellStyle name="Heading 3 2 2 2 2 2 3 2" xfId="8038" xr:uid="{00000000-0005-0000-0000-00000B3C0000}"/>
    <cellStyle name="Heading 3 2 2 2 2 2 3 2 2" xfId="21360" xr:uid="{00000000-0005-0000-0000-00000C3C0000}"/>
    <cellStyle name="Heading 3 2 2 2 2 2 3 3" xfId="21359" xr:uid="{00000000-0005-0000-0000-00000D3C0000}"/>
    <cellStyle name="Heading 3 2 2 2 2 2 4" xfId="8039" xr:uid="{00000000-0005-0000-0000-00000E3C0000}"/>
    <cellStyle name="Heading 3 2 2 2 2 2 4 2" xfId="21361" xr:uid="{00000000-0005-0000-0000-00000F3C0000}"/>
    <cellStyle name="Heading 3 2 2 2 2 2 5" xfId="8040" xr:uid="{00000000-0005-0000-0000-0000103C0000}"/>
    <cellStyle name="Heading 3 2 2 2 2 2 5 2" xfId="21362" xr:uid="{00000000-0005-0000-0000-0000113C0000}"/>
    <cellStyle name="Heading 3 2 2 2 2 2 6" xfId="8041" xr:uid="{00000000-0005-0000-0000-0000123C0000}"/>
    <cellStyle name="Heading 3 2 2 2 2 2 6 2" xfId="21363" xr:uid="{00000000-0005-0000-0000-0000133C0000}"/>
    <cellStyle name="Heading 3 2 2 2 2 2 7" xfId="8042" xr:uid="{00000000-0005-0000-0000-0000143C0000}"/>
    <cellStyle name="Heading 3 2 2 2 2 2 7 2" xfId="21364" xr:uid="{00000000-0005-0000-0000-0000153C0000}"/>
    <cellStyle name="Heading 3 2 2 2 2 2 8" xfId="8043" xr:uid="{00000000-0005-0000-0000-0000163C0000}"/>
    <cellStyle name="Heading 3 2 2 2 2 2 8 2" xfId="21365" xr:uid="{00000000-0005-0000-0000-0000173C0000}"/>
    <cellStyle name="Heading 3 2 2 2 2 2 9" xfId="8044" xr:uid="{00000000-0005-0000-0000-0000183C0000}"/>
    <cellStyle name="Heading 3 2 2 2 2 2 9 2" xfId="21366" xr:uid="{00000000-0005-0000-0000-0000193C0000}"/>
    <cellStyle name="Heading 3 2 2 2 2 20" xfId="8045" xr:uid="{00000000-0005-0000-0000-00001A3C0000}"/>
    <cellStyle name="Heading 3 2 2 2 2 20 2" xfId="8046" xr:uid="{00000000-0005-0000-0000-00001B3C0000}"/>
    <cellStyle name="Heading 3 2 2 2 2 20 2 2" xfId="21368" xr:uid="{00000000-0005-0000-0000-00001C3C0000}"/>
    <cellStyle name="Heading 3 2 2 2 2 20 3" xfId="21367" xr:uid="{00000000-0005-0000-0000-00001D3C0000}"/>
    <cellStyle name="Heading 3 2 2 2 2 21" xfId="8047" xr:uid="{00000000-0005-0000-0000-00001E3C0000}"/>
    <cellStyle name="Heading 3 2 2 2 2 21 2" xfId="21369" xr:uid="{00000000-0005-0000-0000-00001F3C0000}"/>
    <cellStyle name="Heading 3 2 2 2 2 22" xfId="8048" xr:uid="{00000000-0005-0000-0000-0000203C0000}"/>
    <cellStyle name="Heading 3 2 2 2 2 22 2" xfId="21370" xr:uid="{00000000-0005-0000-0000-0000213C0000}"/>
    <cellStyle name="Heading 3 2 2 2 2 23" xfId="8049" xr:uid="{00000000-0005-0000-0000-0000223C0000}"/>
    <cellStyle name="Heading 3 2 2 2 2 23 2" xfId="21371" xr:uid="{00000000-0005-0000-0000-0000233C0000}"/>
    <cellStyle name="Heading 3 2 2 2 2 24" xfId="8050" xr:uid="{00000000-0005-0000-0000-0000243C0000}"/>
    <cellStyle name="Heading 3 2 2 2 2 24 2" xfId="21372" xr:uid="{00000000-0005-0000-0000-0000253C0000}"/>
    <cellStyle name="Heading 3 2 2 2 2 25" xfId="8051" xr:uid="{00000000-0005-0000-0000-0000263C0000}"/>
    <cellStyle name="Heading 3 2 2 2 2 25 2" xfId="21373" xr:uid="{00000000-0005-0000-0000-0000273C0000}"/>
    <cellStyle name="Heading 3 2 2 2 2 26" xfId="8052" xr:uid="{00000000-0005-0000-0000-0000283C0000}"/>
    <cellStyle name="Heading 3 2 2 2 2 26 2" xfId="21374" xr:uid="{00000000-0005-0000-0000-0000293C0000}"/>
    <cellStyle name="Heading 3 2 2 2 2 27" xfId="8053" xr:uid="{00000000-0005-0000-0000-00002A3C0000}"/>
    <cellStyle name="Heading 3 2 2 2 2 27 2" xfId="21375" xr:uid="{00000000-0005-0000-0000-00002B3C0000}"/>
    <cellStyle name="Heading 3 2 2 2 2 28" xfId="8054" xr:uid="{00000000-0005-0000-0000-00002C3C0000}"/>
    <cellStyle name="Heading 3 2 2 2 2 28 2" xfId="8055" xr:uid="{00000000-0005-0000-0000-00002D3C0000}"/>
    <cellStyle name="Heading 3 2 2 2 2 28 2 2" xfId="21377" xr:uid="{00000000-0005-0000-0000-00002E3C0000}"/>
    <cellStyle name="Heading 3 2 2 2 2 28 3" xfId="21376" xr:uid="{00000000-0005-0000-0000-00002F3C0000}"/>
    <cellStyle name="Heading 3 2 2 2 2 29" xfId="21326" xr:uid="{00000000-0005-0000-0000-0000303C0000}"/>
    <cellStyle name="Heading 3 2 2 2 2 3" xfId="8056" xr:uid="{00000000-0005-0000-0000-0000313C0000}"/>
    <cellStyle name="Heading 3 2 2 2 2 3 2" xfId="21378" xr:uid="{00000000-0005-0000-0000-0000323C0000}"/>
    <cellStyle name="Heading 3 2 2 2 2 4" xfId="8057" xr:uid="{00000000-0005-0000-0000-0000333C0000}"/>
    <cellStyle name="Heading 3 2 2 2 2 4 2" xfId="21379" xr:uid="{00000000-0005-0000-0000-0000343C0000}"/>
    <cellStyle name="Heading 3 2 2 2 2 5" xfId="8058" xr:uid="{00000000-0005-0000-0000-0000353C0000}"/>
    <cellStyle name="Heading 3 2 2 2 2 5 2" xfId="21380" xr:uid="{00000000-0005-0000-0000-0000363C0000}"/>
    <cellStyle name="Heading 3 2 2 2 2 6" xfId="8059" xr:uid="{00000000-0005-0000-0000-0000373C0000}"/>
    <cellStyle name="Heading 3 2 2 2 2 6 2" xfId="21381" xr:uid="{00000000-0005-0000-0000-0000383C0000}"/>
    <cellStyle name="Heading 3 2 2 2 2 7" xfId="8060" xr:uid="{00000000-0005-0000-0000-0000393C0000}"/>
    <cellStyle name="Heading 3 2 2 2 2 7 2" xfId="21382" xr:uid="{00000000-0005-0000-0000-00003A3C0000}"/>
    <cellStyle name="Heading 3 2 2 2 2 8" xfId="8061" xr:uid="{00000000-0005-0000-0000-00003B3C0000}"/>
    <cellStyle name="Heading 3 2 2 2 2 8 2" xfId="21383" xr:uid="{00000000-0005-0000-0000-00003C3C0000}"/>
    <cellStyle name="Heading 3 2 2 2 2 9" xfId="8062" xr:uid="{00000000-0005-0000-0000-00003D3C0000}"/>
    <cellStyle name="Heading 3 2 2 2 2 9 2" xfId="21384" xr:uid="{00000000-0005-0000-0000-00003E3C0000}"/>
    <cellStyle name="Heading 3 2 2 2 20" xfId="8063" xr:uid="{00000000-0005-0000-0000-00003F3C0000}"/>
    <cellStyle name="Heading 3 2 2 2 20 2" xfId="8064" xr:uid="{00000000-0005-0000-0000-0000403C0000}"/>
    <cellStyle name="Heading 3 2 2 2 20 2 2" xfId="21386" xr:uid="{00000000-0005-0000-0000-0000413C0000}"/>
    <cellStyle name="Heading 3 2 2 2 20 3" xfId="21385" xr:uid="{00000000-0005-0000-0000-0000423C0000}"/>
    <cellStyle name="Heading 3 2 2 2 21" xfId="8065" xr:uid="{00000000-0005-0000-0000-0000433C0000}"/>
    <cellStyle name="Heading 3 2 2 2 21 2" xfId="21387" xr:uid="{00000000-0005-0000-0000-0000443C0000}"/>
    <cellStyle name="Heading 3 2 2 2 22" xfId="8066" xr:uid="{00000000-0005-0000-0000-0000453C0000}"/>
    <cellStyle name="Heading 3 2 2 2 22 2" xfId="21388" xr:uid="{00000000-0005-0000-0000-0000463C0000}"/>
    <cellStyle name="Heading 3 2 2 2 23" xfId="8067" xr:uid="{00000000-0005-0000-0000-0000473C0000}"/>
    <cellStyle name="Heading 3 2 2 2 23 2" xfId="21389" xr:uid="{00000000-0005-0000-0000-0000483C0000}"/>
    <cellStyle name="Heading 3 2 2 2 24" xfId="8068" xr:uid="{00000000-0005-0000-0000-0000493C0000}"/>
    <cellStyle name="Heading 3 2 2 2 24 2" xfId="21390" xr:uid="{00000000-0005-0000-0000-00004A3C0000}"/>
    <cellStyle name="Heading 3 2 2 2 25" xfId="8069" xr:uid="{00000000-0005-0000-0000-00004B3C0000}"/>
    <cellStyle name="Heading 3 2 2 2 25 2" xfId="21391" xr:uid="{00000000-0005-0000-0000-00004C3C0000}"/>
    <cellStyle name="Heading 3 2 2 2 26" xfId="8070" xr:uid="{00000000-0005-0000-0000-00004D3C0000}"/>
    <cellStyle name="Heading 3 2 2 2 26 2" xfId="21392" xr:uid="{00000000-0005-0000-0000-00004E3C0000}"/>
    <cellStyle name="Heading 3 2 2 2 27" xfId="8071" xr:uid="{00000000-0005-0000-0000-00004F3C0000}"/>
    <cellStyle name="Heading 3 2 2 2 27 2" xfId="21393" xr:uid="{00000000-0005-0000-0000-0000503C0000}"/>
    <cellStyle name="Heading 3 2 2 2 28" xfId="8072" xr:uid="{00000000-0005-0000-0000-0000513C0000}"/>
    <cellStyle name="Heading 3 2 2 2 28 2" xfId="8073" xr:uid="{00000000-0005-0000-0000-0000523C0000}"/>
    <cellStyle name="Heading 3 2 2 2 28 2 2" xfId="21395" xr:uid="{00000000-0005-0000-0000-0000533C0000}"/>
    <cellStyle name="Heading 3 2 2 2 28 3" xfId="21394" xr:uid="{00000000-0005-0000-0000-0000543C0000}"/>
    <cellStyle name="Heading 3 2 2 2 29" xfId="21315" xr:uid="{00000000-0005-0000-0000-0000553C0000}"/>
    <cellStyle name="Heading 3 2 2 2 3" xfId="8074" xr:uid="{00000000-0005-0000-0000-0000563C0000}"/>
    <cellStyle name="Heading 3 2 2 2 3 2" xfId="8075" xr:uid="{00000000-0005-0000-0000-0000573C0000}"/>
    <cellStyle name="Heading 3 2 2 2 3 2 2" xfId="21397" xr:uid="{00000000-0005-0000-0000-0000583C0000}"/>
    <cellStyle name="Heading 3 2 2 2 3 3" xfId="21396" xr:uid="{00000000-0005-0000-0000-0000593C0000}"/>
    <cellStyle name="Heading 3 2 2 2 30" xfId="31147" xr:uid="{00000000-0005-0000-0000-00005A3C0000}"/>
    <cellStyle name="Heading 3 2 2 2 4" xfId="8076" xr:uid="{00000000-0005-0000-0000-00005B3C0000}"/>
    <cellStyle name="Heading 3 2 2 2 4 2" xfId="21398" xr:uid="{00000000-0005-0000-0000-00005C3C0000}"/>
    <cellStyle name="Heading 3 2 2 2 5" xfId="8077" xr:uid="{00000000-0005-0000-0000-00005D3C0000}"/>
    <cellStyle name="Heading 3 2 2 2 5 2" xfId="21399" xr:uid="{00000000-0005-0000-0000-00005E3C0000}"/>
    <cellStyle name="Heading 3 2 2 2 6" xfId="8078" xr:uid="{00000000-0005-0000-0000-00005F3C0000}"/>
    <cellStyle name="Heading 3 2 2 2 6 2" xfId="21400" xr:uid="{00000000-0005-0000-0000-0000603C0000}"/>
    <cellStyle name="Heading 3 2 2 2 7" xfId="8079" xr:uid="{00000000-0005-0000-0000-0000613C0000}"/>
    <cellStyle name="Heading 3 2 2 2 7 2" xfId="21401" xr:uid="{00000000-0005-0000-0000-0000623C0000}"/>
    <cellStyle name="Heading 3 2 2 2 8" xfId="8080" xr:uid="{00000000-0005-0000-0000-0000633C0000}"/>
    <cellStyle name="Heading 3 2 2 2 8 2" xfId="21402" xr:uid="{00000000-0005-0000-0000-0000643C0000}"/>
    <cellStyle name="Heading 3 2 2 2 9" xfId="8081" xr:uid="{00000000-0005-0000-0000-0000653C0000}"/>
    <cellStyle name="Heading 3 2 2 2 9 2" xfId="21403" xr:uid="{00000000-0005-0000-0000-0000663C0000}"/>
    <cellStyle name="Heading 3 2 2 20" xfId="8082" xr:uid="{00000000-0005-0000-0000-0000673C0000}"/>
    <cellStyle name="Heading 3 2 2 20 2" xfId="21404" xr:uid="{00000000-0005-0000-0000-0000683C0000}"/>
    <cellStyle name="Heading 3 2 2 21" xfId="8083" xr:uid="{00000000-0005-0000-0000-0000693C0000}"/>
    <cellStyle name="Heading 3 2 2 21 2" xfId="21405" xr:uid="{00000000-0005-0000-0000-00006A3C0000}"/>
    <cellStyle name="Heading 3 2 2 22" xfId="8084" xr:uid="{00000000-0005-0000-0000-00006B3C0000}"/>
    <cellStyle name="Heading 3 2 2 22 2" xfId="21406" xr:uid="{00000000-0005-0000-0000-00006C3C0000}"/>
    <cellStyle name="Heading 3 2 2 23" xfId="8085" xr:uid="{00000000-0005-0000-0000-00006D3C0000}"/>
    <cellStyle name="Heading 3 2 2 23 2" xfId="21407" xr:uid="{00000000-0005-0000-0000-00006E3C0000}"/>
    <cellStyle name="Heading 3 2 2 24" xfId="8086" xr:uid="{00000000-0005-0000-0000-00006F3C0000}"/>
    <cellStyle name="Heading 3 2 2 24 2" xfId="21408" xr:uid="{00000000-0005-0000-0000-0000703C0000}"/>
    <cellStyle name="Heading 3 2 2 25" xfId="8087" xr:uid="{00000000-0005-0000-0000-0000713C0000}"/>
    <cellStyle name="Heading 3 2 2 25 2" xfId="21409" xr:uid="{00000000-0005-0000-0000-0000723C0000}"/>
    <cellStyle name="Heading 3 2 2 26" xfId="8088" xr:uid="{00000000-0005-0000-0000-0000733C0000}"/>
    <cellStyle name="Heading 3 2 2 26 2" xfId="21410" xr:uid="{00000000-0005-0000-0000-0000743C0000}"/>
    <cellStyle name="Heading 3 2 2 27" xfId="8089" xr:uid="{00000000-0005-0000-0000-0000753C0000}"/>
    <cellStyle name="Heading 3 2 2 27 2" xfId="21411" xr:uid="{00000000-0005-0000-0000-0000763C0000}"/>
    <cellStyle name="Heading 3 2 2 28" xfId="8090" xr:uid="{00000000-0005-0000-0000-0000773C0000}"/>
    <cellStyle name="Heading 3 2 2 28 2" xfId="21412" xr:uid="{00000000-0005-0000-0000-0000783C0000}"/>
    <cellStyle name="Heading 3 2 2 29" xfId="8091" xr:uid="{00000000-0005-0000-0000-0000793C0000}"/>
    <cellStyle name="Heading 3 2 2 29 2" xfId="21413" xr:uid="{00000000-0005-0000-0000-00007A3C0000}"/>
    <cellStyle name="Heading 3 2 2 3" xfId="8092" xr:uid="{00000000-0005-0000-0000-00007B3C0000}"/>
    <cellStyle name="Heading 3 2 2 3 2" xfId="21414" xr:uid="{00000000-0005-0000-0000-00007C3C0000}"/>
    <cellStyle name="Heading 3 2 2 30" xfId="8093" xr:uid="{00000000-0005-0000-0000-00007D3C0000}"/>
    <cellStyle name="Heading 3 2 2 30 2" xfId="21415" xr:uid="{00000000-0005-0000-0000-00007E3C0000}"/>
    <cellStyle name="Heading 3 2 2 31" xfId="8094" xr:uid="{00000000-0005-0000-0000-00007F3C0000}"/>
    <cellStyle name="Heading 3 2 2 31 2" xfId="8095" xr:uid="{00000000-0005-0000-0000-0000803C0000}"/>
    <cellStyle name="Heading 3 2 2 31 2 2" xfId="21417" xr:uid="{00000000-0005-0000-0000-0000813C0000}"/>
    <cellStyle name="Heading 3 2 2 31 3" xfId="21416" xr:uid="{00000000-0005-0000-0000-0000823C0000}"/>
    <cellStyle name="Heading 3 2 2 32" xfId="8096" xr:uid="{00000000-0005-0000-0000-0000833C0000}"/>
    <cellStyle name="Heading 3 2 2 32 2" xfId="21418" xr:uid="{00000000-0005-0000-0000-0000843C0000}"/>
    <cellStyle name="Heading 3 2 2 33" xfId="8097" xr:uid="{00000000-0005-0000-0000-0000853C0000}"/>
    <cellStyle name="Heading 3 2 2 33 2" xfId="21419" xr:uid="{00000000-0005-0000-0000-0000863C0000}"/>
    <cellStyle name="Heading 3 2 2 34" xfId="8098" xr:uid="{00000000-0005-0000-0000-0000873C0000}"/>
    <cellStyle name="Heading 3 2 2 34 2" xfId="21420" xr:uid="{00000000-0005-0000-0000-0000883C0000}"/>
    <cellStyle name="Heading 3 2 2 35" xfId="8099" xr:uid="{00000000-0005-0000-0000-0000893C0000}"/>
    <cellStyle name="Heading 3 2 2 35 2" xfId="21421" xr:uid="{00000000-0005-0000-0000-00008A3C0000}"/>
    <cellStyle name="Heading 3 2 2 36" xfId="8100" xr:uid="{00000000-0005-0000-0000-00008B3C0000}"/>
    <cellStyle name="Heading 3 2 2 36 2" xfId="21422" xr:uid="{00000000-0005-0000-0000-00008C3C0000}"/>
    <cellStyle name="Heading 3 2 2 37" xfId="8101" xr:uid="{00000000-0005-0000-0000-00008D3C0000}"/>
    <cellStyle name="Heading 3 2 2 37 2" xfId="21423" xr:uid="{00000000-0005-0000-0000-00008E3C0000}"/>
    <cellStyle name="Heading 3 2 2 38" xfId="8102" xr:uid="{00000000-0005-0000-0000-00008F3C0000}"/>
    <cellStyle name="Heading 3 2 2 38 2" xfId="21424" xr:uid="{00000000-0005-0000-0000-0000903C0000}"/>
    <cellStyle name="Heading 3 2 2 39" xfId="8103" xr:uid="{00000000-0005-0000-0000-0000913C0000}"/>
    <cellStyle name="Heading 3 2 2 39 2" xfId="8104" xr:uid="{00000000-0005-0000-0000-0000923C0000}"/>
    <cellStyle name="Heading 3 2 2 39 2 2" xfId="21426" xr:uid="{00000000-0005-0000-0000-0000933C0000}"/>
    <cellStyle name="Heading 3 2 2 39 3" xfId="21425" xr:uid="{00000000-0005-0000-0000-0000943C0000}"/>
    <cellStyle name="Heading 3 2 2 4" xfId="8105" xr:uid="{00000000-0005-0000-0000-0000953C0000}"/>
    <cellStyle name="Heading 3 2 2 4 2" xfId="21427" xr:uid="{00000000-0005-0000-0000-0000963C0000}"/>
    <cellStyle name="Heading 3 2 2 40" xfId="21303" xr:uid="{00000000-0005-0000-0000-0000973C0000}"/>
    <cellStyle name="Heading 3 2 2 41" xfId="31148" xr:uid="{00000000-0005-0000-0000-0000983C0000}"/>
    <cellStyle name="Heading 3 2 2 42" xfId="31149" xr:uid="{00000000-0005-0000-0000-0000993C0000}"/>
    <cellStyle name="Heading 3 2 2 5" xfId="8106" xr:uid="{00000000-0005-0000-0000-00009A3C0000}"/>
    <cellStyle name="Heading 3 2 2 5 2" xfId="21428" xr:uid="{00000000-0005-0000-0000-00009B3C0000}"/>
    <cellStyle name="Heading 3 2 2 6" xfId="8107" xr:uid="{00000000-0005-0000-0000-00009C3C0000}"/>
    <cellStyle name="Heading 3 2 2 6 2" xfId="21429" xr:uid="{00000000-0005-0000-0000-00009D3C0000}"/>
    <cellStyle name="Heading 3 2 2 7" xfId="8108" xr:uid="{00000000-0005-0000-0000-00009E3C0000}"/>
    <cellStyle name="Heading 3 2 2 7 2" xfId="21430" xr:uid="{00000000-0005-0000-0000-00009F3C0000}"/>
    <cellStyle name="Heading 3 2 2 8" xfId="8109" xr:uid="{00000000-0005-0000-0000-0000A03C0000}"/>
    <cellStyle name="Heading 3 2 2 8 2" xfId="21431" xr:uid="{00000000-0005-0000-0000-0000A13C0000}"/>
    <cellStyle name="Heading 3 2 2 9" xfId="8110" xr:uid="{00000000-0005-0000-0000-0000A23C0000}"/>
    <cellStyle name="Heading 3 2 2 9 2" xfId="21432" xr:uid="{00000000-0005-0000-0000-0000A33C0000}"/>
    <cellStyle name="Heading 3 2 2_Loan Classification" xfId="11458" xr:uid="{00000000-0005-0000-0000-0000A43C0000}"/>
    <cellStyle name="Heading 3 2 20" xfId="8111" xr:uid="{00000000-0005-0000-0000-0000A53C0000}"/>
    <cellStyle name="Heading 3 2 20 2" xfId="21433" xr:uid="{00000000-0005-0000-0000-0000A63C0000}"/>
    <cellStyle name="Heading 3 2 21" xfId="8112" xr:uid="{00000000-0005-0000-0000-0000A73C0000}"/>
    <cellStyle name="Heading 3 2 21 2" xfId="21434" xr:uid="{00000000-0005-0000-0000-0000A83C0000}"/>
    <cellStyle name="Heading 3 2 22" xfId="8113" xr:uid="{00000000-0005-0000-0000-0000A93C0000}"/>
    <cellStyle name="Heading 3 2 22 2" xfId="21435" xr:uid="{00000000-0005-0000-0000-0000AA3C0000}"/>
    <cellStyle name="Heading 3 2 23" xfId="8114" xr:uid="{00000000-0005-0000-0000-0000AB3C0000}"/>
    <cellStyle name="Heading 3 2 23 2" xfId="21436" xr:uid="{00000000-0005-0000-0000-0000AC3C0000}"/>
    <cellStyle name="Heading 3 2 24" xfId="8115" xr:uid="{00000000-0005-0000-0000-0000AD3C0000}"/>
    <cellStyle name="Heading 3 2 24 2" xfId="21437" xr:uid="{00000000-0005-0000-0000-0000AE3C0000}"/>
    <cellStyle name="Heading 3 2 25" xfId="8116" xr:uid="{00000000-0005-0000-0000-0000AF3C0000}"/>
    <cellStyle name="Heading 3 2 25 2" xfId="21438" xr:uid="{00000000-0005-0000-0000-0000B03C0000}"/>
    <cellStyle name="Heading 3 2 26" xfId="8117" xr:uid="{00000000-0005-0000-0000-0000B13C0000}"/>
    <cellStyle name="Heading 3 2 26 2" xfId="21439" xr:uid="{00000000-0005-0000-0000-0000B23C0000}"/>
    <cellStyle name="Heading 3 2 27" xfId="8118" xr:uid="{00000000-0005-0000-0000-0000B33C0000}"/>
    <cellStyle name="Heading 3 2 27 2" xfId="21440" xr:uid="{00000000-0005-0000-0000-0000B43C0000}"/>
    <cellStyle name="Heading 3 2 28" xfId="8119" xr:uid="{00000000-0005-0000-0000-0000B53C0000}"/>
    <cellStyle name="Heading 3 2 28 2" xfId="21441" xr:uid="{00000000-0005-0000-0000-0000B63C0000}"/>
    <cellStyle name="Heading 3 2 29" xfId="8120" xr:uid="{00000000-0005-0000-0000-0000B73C0000}"/>
    <cellStyle name="Heading 3 2 29 2" xfId="21442" xr:uid="{00000000-0005-0000-0000-0000B83C0000}"/>
    <cellStyle name="Heading 3 2 3" xfId="8121" xr:uid="{00000000-0005-0000-0000-0000B93C0000}"/>
    <cellStyle name="Heading 3 2 3 2" xfId="21443" xr:uid="{00000000-0005-0000-0000-0000BA3C0000}"/>
    <cellStyle name="Heading 3 2 3 2 2" xfId="31150" xr:uid="{00000000-0005-0000-0000-0000BB3C0000}"/>
    <cellStyle name="Heading 3 2 3 3" xfId="31151" xr:uid="{00000000-0005-0000-0000-0000BC3C0000}"/>
    <cellStyle name="Heading 3 2 3 4" xfId="31152" xr:uid="{00000000-0005-0000-0000-0000BD3C0000}"/>
    <cellStyle name="Heading 3 2 3 5" xfId="31153" xr:uid="{00000000-0005-0000-0000-0000BE3C0000}"/>
    <cellStyle name="Heading 3 2 30" xfId="8122" xr:uid="{00000000-0005-0000-0000-0000BF3C0000}"/>
    <cellStyle name="Heading 3 2 30 2" xfId="21444" xr:uid="{00000000-0005-0000-0000-0000C03C0000}"/>
    <cellStyle name="Heading 3 2 31" xfId="8123" xr:uid="{00000000-0005-0000-0000-0000C13C0000}"/>
    <cellStyle name="Heading 3 2 31 2" xfId="21445" xr:uid="{00000000-0005-0000-0000-0000C23C0000}"/>
    <cellStyle name="Heading 3 2 32" xfId="8124" xr:uid="{00000000-0005-0000-0000-0000C33C0000}"/>
    <cellStyle name="Heading 3 2 32 2" xfId="21446" xr:uid="{00000000-0005-0000-0000-0000C43C0000}"/>
    <cellStyle name="Heading 3 2 33" xfId="8125" xr:uid="{00000000-0005-0000-0000-0000C53C0000}"/>
    <cellStyle name="Heading 3 2 33 2" xfId="8126" xr:uid="{00000000-0005-0000-0000-0000C63C0000}"/>
    <cellStyle name="Heading 3 2 33 2 2" xfId="21448" xr:uid="{00000000-0005-0000-0000-0000C73C0000}"/>
    <cellStyle name="Heading 3 2 33 3" xfId="21447" xr:uid="{00000000-0005-0000-0000-0000C83C0000}"/>
    <cellStyle name="Heading 3 2 34" xfId="8127" xr:uid="{00000000-0005-0000-0000-0000C93C0000}"/>
    <cellStyle name="Heading 3 2 34 2" xfId="21449" xr:uid="{00000000-0005-0000-0000-0000CA3C0000}"/>
    <cellStyle name="Heading 3 2 35" xfId="8128" xr:uid="{00000000-0005-0000-0000-0000CB3C0000}"/>
    <cellStyle name="Heading 3 2 35 2" xfId="21450" xr:uid="{00000000-0005-0000-0000-0000CC3C0000}"/>
    <cellStyle name="Heading 3 2 36" xfId="8129" xr:uid="{00000000-0005-0000-0000-0000CD3C0000}"/>
    <cellStyle name="Heading 3 2 36 2" xfId="21451" xr:uid="{00000000-0005-0000-0000-0000CE3C0000}"/>
    <cellStyle name="Heading 3 2 37" xfId="8130" xr:uid="{00000000-0005-0000-0000-0000CF3C0000}"/>
    <cellStyle name="Heading 3 2 37 2" xfId="21452" xr:uid="{00000000-0005-0000-0000-0000D03C0000}"/>
    <cellStyle name="Heading 3 2 38" xfId="8131" xr:uid="{00000000-0005-0000-0000-0000D13C0000}"/>
    <cellStyle name="Heading 3 2 38 2" xfId="21453" xr:uid="{00000000-0005-0000-0000-0000D23C0000}"/>
    <cellStyle name="Heading 3 2 39" xfId="8132" xr:uid="{00000000-0005-0000-0000-0000D33C0000}"/>
    <cellStyle name="Heading 3 2 39 2" xfId="21454" xr:uid="{00000000-0005-0000-0000-0000D43C0000}"/>
    <cellStyle name="Heading 3 2 4" xfId="8133" xr:uid="{00000000-0005-0000-0000-0000D53C0000}"/>
    <cellStyle name="Heading 3 2 4 2" xfId="21455" xr:uid="{00000000-0005-0000-0000-0000D63C0000}"/>
    <cellStyle name="Heading 3 2 4 2 2" xfId="31154" xr:uid="{00000000-0005-0000-0000-0000D73C0000}"/>
    <cellStyle name="Heading 3 2 4 3" xfId="31155" xr:uid="{00000000-0005-0000-0000-0000D83C0000}"/>
    <cellStyle name="Heading 3 2 4 4" xfId="31156" xr:uid="{00000000-0005-0000-0000-0000D93C0000}"/>
    <cellStyle name="Heading 3 2 4 5" xfId="31157" xr:uid="{00000000-0005-0000-0000-0000DA3C0000}"/>
    <cellStyle name="Heading 3 2 40" xfId="8134" xr:uid="{00000000-0005-0000-0000-0000DB3C0000}"/>
    <cellStyle name="Heading 3 2 40 2" xfId="21456" xr:uid="{00000000-0005-0000-0000-0000DC3C0000}"/>
    <cellStyle name="Heading 3 2 41" xfId="8135" xr:uid="{00000000-0005-0000-0000-0000DD3C0000}"/>
    <cellStyle name="Heading 3 2 41 2" xfId="8136" xr:uid="{00000000-0005-0000-0000-0000DE3C0000}"/>
    <cellStyle name="Heading 3 2 41 2 2" xfId="21458" xr:uid="{00000000-0005-0000-0000-0000DF3C0000}"/>
    <cellStyle name="Heading 3 2 41 3" xfId="21457" xr:uid="{00000000-0005-0000-0000-0000E03C0000}"/>
    <cellStyle name="Heading 3 2 42" xfId="21291" xr:uid="{00000000-0005-0000-0000-0000E13C0000}"/>
    <cellStyle name="Heading 3 2 43" xfId="31158" xr:uid="{00000000-0005-0000-0000-0000E23C0000}"/>
    <cellStyle name="Heading 3 2 44" xfId="31159" xr:uid="{00000000-0005-0000-0000-0000E33C0000}"/>
    <cellStyle name="Heading 3 2 45" xfId="31160" xr:uid="{00000000-0005-0000-0000-0000E43C0000}"/>
    <cellStyle name="Heading 3 2 46" xfId="31161" xr:uid="{00000000-0005-0000-0000-0000E53C0000}"/>
    <cellStyle name="Heading 3 2 47" xfId="33172" xr:uid="{00000000-0005-0000-0000-0000E63C0000}"/>
    <cellStyle name="Heading 3 2 48" xfId="33166" xr:uid="{00000000-0005-0000-0000-0000E73C0000}"/>
    <cellStyle name="Heading 3 2 49" xfId="7969" xr:uid="{00000000-0005-0000-0000-0000E83C0000}"/>
    <cellStyle name="Heading 3 2 5" xfId="8137" xr:uid="{00000000-0005-0000-0000-0000E93C0000}"/>
    <cellStyle name="Heading 3 2 5 2" xfId="8138" xr:uid="{00000000-0005-0000-0000-0000EA3C0000}"/>
    <cellStyle name="Heading 3 2 5 2 2" xfId="21460" xr:uid="{00000000-0005-0000-0000-0000EB3C0000}"/>
    <cellStyle name="Heading 3 2 5 3" xfId="21459" xr:uid="{00000000-0005-0000-0000-0000EC3C0000}"/>
    <cellStyle name="Heading 3 2 5 4" xfId="31162" xr:uid="{00000000-0005-0000-0000-0000ED3C0000}"/>
    <cellStyle name="Heading 3 2 6" xfId="8139" xr:uid="{00000000-0005-0000-0000-0000EE3C0000}"/>
    <cellStyle name="Heading 3 2 6 2" xfId="21461" xr:uid="{00000000-0005-0000-0000-0000EF3C0000}"/>
    <cellStyle name="Heading 3 2 6 3" xfId="31163" xr:uid="{00000000-0005-0000-0000-0000F03C0000}"/>
    <cellStyle name="Heading 3 2 7" xfId="8140" xr:uid="{00000000-0005-0000-0000-0000F13C0000}"/>
    <cellStyle name="Heading 3 2 7 2" xfId="21462" xr:uid="{00000000-0005-0000-0000-0000F23C0000}"/>
    <cellStyle name="Heading 3 2 8" xfId="8141" xr:uid="{00000000-0005-0000-0000-0000F33C0000}"/>
    <cellStyle name="Heading 3 2 8 2" xfId="21463" xr:uid="{00000000-0005-0000-0000-0000F43C0000}"/>
    <cellStyle name="Heading 3 2 9" xfId="8142" xr:uid="{00000000-0005-0000-0000-0000F53C0000}"/>
    <cellStyle name="Heading 3 2 9 2" xfId="21464" xr:uid="{00000000-0005-0000-0000-0000F63C0000}"/>
    <cellStyle name="Heading 3 2_Loan Classification" xfId="11457" xr:uid="{00000000-0005-0000-0000-0000F73C0000}"/>
    <cellStyle name="Heading 3 20" xfId="8143" xr:uid="{00000000-0005-0000-0000-0000F83C0000}"/>
    <cellStyle name="Heading 3 20 2" xfId="21465" xr:uid="{00000000-0005-0000-0000-0000F93C0000}"/>
    <cellStyle name="Heading 3 21" xfId="8144" xr:uid="{00000000-0005-0000-0000-0000FA3C0000}"/>
    <cellStyle name="Heading 3 21 2" xfId="21466" xr:uid="{00000000-0005-0000-0000-0000FB3C0000}"/>
    <cellStyle name="Heading 3 22" xfId="8145" xr:uid="{00000000-0005-0000-0000-0000FC3C0000}"/>
    <cellStyle name="Heading 3 22 2" xfId="21467" xr:uid="{00000000-0005-0000-0000-0000FD3C0000}"/>
    <cellStyle name="Heading 3 23" xfId="8146" xr:uid="{00000000-0005-0000-0000-0000FE3C0000}"/>
    <cellStyle name="Heading 3 23 2" xfId="21468" xr:uid="{00000000-0005-0000-0000-0000FF3C0000}"/>
    <cellStyle name="Heading 3 24" xfId="8147" xr:uid="{00000000-0005-0000-0000-0000003D0000}"/>
    <cellStyle name="Heading 3 24 2" xfId="21469" xr:uid="{00000000-0005-0000-0000-0000013D0000}"/>
    <cellStyle name="Heading 3 25" xfId="8148" xr:uid="{00000000-0005-0000-0000-0000023D0000}"/>
    <cellStyle name="Heading 3 25 2" xfId="21470" xr:uid="{00000000-0005-0000-0000-0000033D0000}"/>
    <cellStyle name="Heading 3 26" xfId="8149" xr:uid="{00000000-0005-0000-0000-0000043D0000}"/>
    <cellStyle name="Heading 3 26 2" xfId="21471" xr:uid="{00000000-0005-0000-0000-0000053D0000}"/>
    <cellStyle name="Heading 3 27" xfId="8150" xr:uid="{00000000-0005-0000-0000-0000063D0000}"/>
    <cellStyle name="Heading 3 27 2" xfId="21472" xr:uid="{00000000-0005-0000-0000-0000073D0000}"/>
    <cellStyle name="Heading 3 28" xfId="8151" xr:uid="{00000000-0005-0000-0000-0000083D0000}"/>
    <cellStyle name="Heading 3 28 2" xfId="21473" xr:uid="{00000000-0005-0000-0000-0000093D0000}"/>
    <cellStyle name="Heading 3 29" xfId="8152" xr:uid="{00000000-0005-0000-0000-00000A3D0000}"/>
    <cellStyle name="Heading 3 29 2" xfId="21474" xr:uid="{00000000-0005-0000-0000-00000B3D0000}"/>
    <cellStyle name="Heading 3 3" xfId="162" xr:uid="{00000000-0005-0000-0000-00000C3D0000}"/>
    <cellStyle name="Heading 3 3 2" xfId="21475" xr:uid="{00000000-0005-0000-0000-00000D3D0000}"/>
    <cellStyle name="Heading 3 3 2 2" xfId="31164" xr:uid="{00000000-0005-0000-0000-00000E3D0000}"/>
    <cellStyle name="Heading 3 3 3" xfId="31165" xr:uid="{00000000-0005-0000-0000-00000F3D0000}"/>
    <cellStyle name="Heading 3 3 4" xfId="31166" xr:uid="{00000000-0005-0000-0000-0000103D0000}"/>
    <cellStyle name="Heading 3 3 5" xfId="8153" xr:uid="{00000000-0005-0000-0000-0000113D0000}"/>
    <cellStyle name="Heading 3 30" xfId="8154" xr:uid="{00000000-0005-0000-0000-0000123D0000}"/>
    <cellStyle name="Heading 3 30 2" xfId="21476" xr:uid="{00000000-0005-0000-0000-0000133D0000}"/>
    <cellStyle name="Heading 3 31" xfId="8155" xr:uid="{00000000-0005-0000-0000-0000143D0000}"/>
    <cellStyle name="Heading 3 31 2" xfId="21477" xr:uid="{00000000-0005-0000-0000-0000153D0000}"/>
    <cellStyle name="Heading 3 32" xfId="8156" xr:uid="{00000000-0005-0000-0000-0000163D0000}"/>
    <cellStyle name="Heading 3 32 2" xfId="21478" xr:uid="{00000000-0005-0000-0000-0000173D0000}"/>
    <cellStyle name="Heading 3 33" xfId="8157" xr:uid="{00000000-0005-0000-0000-0000183D0000}"/>
    <cellStyle name="Heading 3 33 2" xfId="21479" xr:uid="{00000000-0005-0000-0000-0000193D0000}"/>
    <cellStyle name="Heading 3 34" xfId="8158" xr:uid="{00000000-0005-0000-0000-00001A3D0000}"/>
    <cellStyle name="Heading 3 34 2" xfId="21480" xr:uid="{00000000-0005-0000-0000-00001B3D0000}"/>
    <cellStyle name="Heading 3 35" xfId="8159" xr:uid="{00000000-0005-0000-0000-00001C3D0000}"/>
    <cellStyle name="Heading 3 35 2" xfId="21481" xr:uid="{00000000-0005-0000-0000-00001D3D0000}"/>
    <cellStyle name="Heading 3 36" xfId="8160" xr:uid="{00000000-0005-0000-0000-00001E3D0000}"/>
    <cellStyle name="Heading 3 36 2" xfId="21482" xr:uid="{00000000-0005-0000-0000-00001F3D0000}"/>
    <cellStyle name="Heading 3 37" xfId="8161" xr:uid="{00000000-0005-0000-0000-0000203D0000}"/>
    <cellStyle name="Heading 3 37 2" xfId="21483" xr:uid="{00000000-0005-0000-0000-0000213D0000}"/>
    <cellStyle name="Heading 3 38" xfId="8162" xr:uid="{00000000-0005-0000-0000-0000223D0000}"/>
    <cellStyle name="Heading 3 38 2" xfId="21484" xr:uid="{00000000-0005-0000-0000-0000233D0000}"/>
    <cellStyle name="Heading 3 39" xfId="8163" xr:uid="{00000000-0005-0000-0000-0000243D0000}"/>
    <cellStyle name="Heading 3 39 2" xfId="21485" xr:uid="{00000000-0005-0000-0000-0000253D0000}"/>
    <cellStyle name="Heading 3 4" xfId="8164" xr:uid="{00000000-0005-0000-0000-0000263D0000}"/>
    <cellStyle name="Heading 3 4 2" xfId="21486" xr:uid="{00000000-0005-0000-0000-0000273D0000}"/>
    <cellStyle name="Heading 3 4 2 2" xfId="31167" xr:uid="{00000000-0005-0000-0000-0000283D0000}"/>
    <cellStyle name="Heading 3 4 3" xfId="31168" xr:uid="{00000000-0005-0000-0000-0000293D0000}"/>
    <cellStyle name="Heading 3 4 4" xfId="31169" xr:uid="{00000000-0005-0000-0000-00002A3D0000}"/>
    <cellStyle name="Heading 3 40" xfId="8165" xr:uid="{00000000-0005-0000-0000-00002B3D0000}"/>
    <cellStyle name="Heading 3 40 2" xfId="21487" xr:uid="{00000000-0005-0000-0000-00002C3D0000}"/>
    <cellStyle name="Heading 3 41" xfId="8166" xr:uid="{00000000-0005-0000-0000-00002D3D0000}"/>
    <cellStyle name="Heading 3 41 2" xfId="21488" xr:uid="{00000000-0005-0000-0000-00002E3D0000}"/>
    <cellStyle name="Heading 3 42" xfId="8167" xr:uid="{00000000-0005-0000-0000-00002F3D0000}"/>
    <cellStyle name="Heading 3 42 2" xfId="21489" xr:uid="{00000000-0005-0000-0000-0000303D0000}"/>
    <cellStyle name="Heading 3 43" xfId="11595" xr:uid="{00000000-0005-0000-0000-0000313D0000}"/>
    <cellStyle name="Heading 3 43 2" xfId="21490" xr:uid="{00000000-0005-0000-0000-0000323D0000}"/>
    <cellStyle name="Heading 3 44" xfId="11524" xr:uid="{00000000-0005-0000-0000-0000333D0000}"/>
    <cellStyle name="Heading 3 44 2" xfId="21491" xr:uid="{00000000-0005-0000-0000-0000343D0000}"/>
    <cellStyle name="Heading 3 45" xfId="21492" xr:uid="{00000000-0005-0000-0000-0000353D0000}"/>
    <cellStyle name="Heading 3 46" xfId="31170" xr:uid="{00000000-0005-0000-0000-0000363D0000}"/>
    <cellStyle name="Heading 3 47" xfId="532" xr:uid="{00000000-0005-0000-0000-0000373D0000}"/>
    <cellStyle name="Heading 3 5" xfId="8168" xr:uid="{00000000-0005-0000-0000-0000383D0000}"/>
    <cellStyle name="Heading 3 5 2" xfId="21493" xr:uid="{00000000-0005-0000-0000-0000393D0000}"/>
    <cellStyle name="Heading 3 5 2 2" xfId="31171" xr:uid="{00000000-0005-0000-0000-00003A3D0000}"/>
    <cellStyle name="Heading 3 5 3" xfId="31172" xr:uid="{00000000-0005-0000-0000-00003B3D0000}"/>
    <cellStyle name="Heading 3 5 4" xfId="31173" xr:uid="{00000000-0005-0000-0000-00003C3D0000}"/>
    <cellStyle name="Heading 3 6" xfId="8169" xr:uid="{00000000-0005-0000-0000-00003D3D0000}"/>
    <cellStyle name="Heading 3 6 2" xfId="21494" xr:uid="{00000000-0005-0000-0000-00003E3D0000}"/>
    <cellStyle name="Heading 3 6 3" xfId="31174" xr:uid="{00000000-0005-0000-0000-00003F3D0000}"/>
    <cellStyle name="Heading 3 7" xfId="8170" xr:uid="{00000000-0005-0000-0000-0000403D0000}"/>
    <cellStyle name="Heading 3 7 2" xfId="21495" xr:uid="{00000000-0005-0000-0000-0000413D0000}"/>
    <cellStyle name="Heading 3 7 3" xfId="31175" xr:uid="{00000000-0005-0000-0000-0000423D0000}"/>
    <cellStyle name="Heading 3 8" xfId="8171" xr:uid="{00000000-0005-0000-0000-0000433D0000}"/>
    <cellStyle name="Heading 3 8 2" xfId="21496" xr:uid="{00000000-0005-0000-0000-0000443D0000}"/>
    <cellStyle name="Heading 3 8 3" xfId="31176" xr:uid="{00000000-0005-0000-0000-0000453D0000}"/>
    <cellStyle name="Heading 3 9" xfId="8172" xr:uid="{00000000-0005-0000-0000-0000463D0000}"/>
    <cellStyle name="Heading 3 9 2" xfId="21497" xr:uid="{00000000-0005-0000-0000-0000473D0000}"/>
    <cellStyle name="Heading 3 9 3" xfId="31177" xr:uid="{00000000-0005-0000-0000-0000483D0000}"/>
    <cellStyle name="Heading 4" xfId="13" builtinId="19" customBuiltin="1"/>
    <cellStyle name="Heading 4 10" xfId="8173" xr:uid="{00000000-0005-0000-0000-00004A3D0000}"/>
    <cellStyle name="Heading 4 10 2" xfId="21498" xr:uid="{00000000-0005-0000-0000-00004B3D0000}"/>
    <cellStyle name="Heading 4 10 3" xfId="31178" xr:uid="{00000000-0005-0000-0000-00004C3D0000}"/>
    <cellStyle name="Heading 4 11" xfId="8174" xr:uid="{00000000-0005-0000-0000-00004D3D0000}"/>
    <cellStyle name="Heading 4 11 2" xfId="21499" xr:uid="{00000000-0005-0000-0000-00004E3D0000}"/>
    <cellStyle name="Heading 4 11 3" xfId="31179" xr:uid="{00000000-0005-0000-0000-00004F3D0000}"/>
    <cellStyle name="Heading 4 12" xfId="8175" xr:uid="{00000000-0005-0000-0000-0000503D0000}"/>
    <cellStyle name="Heading 4 12 2" xfId="21500" xr:uid="{00000000-0005-0000-0000-0000513D0000}"/>
    <cellStyle name="Heading 4 12 3" xfId="31180" xr:uid="{00000000-0005-0000-0000-0000523D0000}"/>
    <cellStyle name="Heading 4 13" xfId="8176" xr:uid="{00000000-0005-0000-0000-0000533D0000}"/>
    <cellStyle name="Heading 4 13 2" xfId="21501" xr:uid="{00000000-0005-0000-0000-0000543D0000}"/>
    <cellStyle name="Heading 4 13 3" xfId="31181" xr:uid="{00000000-0005-0000-0000-0000553D0000}"/>
    <cellStyle name="Heading 4 14" xfId="8177" xr:uid="{00000000-0005-0000-0000-0000563D0000}"/>
    <cellStyle name="Heading 4 14 2" xfId="21502" xr:uid="{00000000-0005-0000-0000-0000573D0000}"/>
    <cellStyle name="Heading 4 14 3" xfId="31182" xr:uid="{00000000-0005-0000-0000-0000583D0000}"/>
    <cellStyle name="Heading 4 15" xfId="8178" xr:uid="{00000000-0005-0000-0000-0000593D0000}"/>
    <cellStyle name="Heading 4 15 2" xfId="21503" xr:uid="{00000000-0005-0000-0000-00005A3D0000}"/>
    <cellStyle name="Heading 4 15 3" xfId="31183" xr:uid="{00000000-0005-0000-0000-00005B3D0000}"/>
    <cellStyle name="Heading 4 16" xfId="8179" xr:uid="{00000000-0005-0000-0000-00005C3D0000}"/>
    <cellStyle name="Heading 4 16 2" xfId="21504" xr:uid="{00000000-0005-0000-0000-00005D3D0000}"/>
    <cellStyle name="Heading 4 16 3" xfId="31184" xr:uid="{00000000-0005-0000-0000-00005E3D0000}"/>
    <cellStyle name="Heading 4 17" xfId="8180" xr:uid="{00000000-0005-0000-0000-00005F3D0000}"/>
    <cellStyle name="Heading 4 17 2" xfId="21505" xr:uid="{00000000-0005-0000-0000-0000603D0000}"/>
    <cellStyle name="Heading 4 17 3" xfId="31185" xr:uid="{00000000-0005-0000-0000-0000613D0000}"/>
    <cellStyle name="Heading 4 18" xfId="8181" xr:uid="{00000000-0005-0000-0000-0000623D0000}"/>
    <cellStyle name="Heading 4 18 2" xfId="21506" xr:uid="{00000000-0005-0000-0000-0000633D0000}"/>
    <cellStyle name="Heading 4 19" xfId="8182" xr:uid="{00000000-0005-0000-0000-0000643D0000}"/>
    <cellStyle name="Heading 4 19 2" xfId="21507" xr:uid="{00000000-0005-0000-0000-0000653D0000}"/>
    <cellStyle name="Heading 4 2" xfId="163" xr:uid="{00000000-0005-0000-0000-0000663D0000}"/>
    <cellStyle name="Heading 4 2 10" xfId="8184" xr:uid="{00000000-0005-0000-0000-0000673D0000}"/>
    <cellStyle name="Heading 4 2 10 2" xfId="21509" xr:uid="{00000000-0005-0000-0000-0000683D0000}"/>
    <cellStyle name="Heading 4 2 11" xfId="8185" xr:uid="{00000000-0005-0000-0000-0000693D0000}"/>
    <cellStyle name="Heading 4 2 11 2" xfId="21510" xr:uid="{00000000-0005-0000-0000-00006A3D0000}"/>
    <cellStyle name="Heading 4 2 12" xfId="8186" xr:uid="{00000000-0005-0000-0000-00006B3D0000}"/>
    <cellStyle name="Heading 4 2 12 2" xfId="21511" xr:uid="{00000000-0005-0000-0000-00006C3D0000}"/>
    <cellStyle name="Heading 4 2 13" xfId="8187" xr:uid="{00000000-0005-0000-0000-00006D3D0000}"/>
    <cellStyle name="Heading 4 2 13 2" xfId="21512" xr:uid="{00000000-0005-0000-0000-00006E3D0000}"/>
    <cellStyle name="Heading 4 2 14" xfId="8188" xr:uid="{00000000-0005-0000-0000-00006F3D0000}"/>
    <cellStyle name="Heading 4 2 14 2" xfId="21513" xr:uid="{00000000-0005-0000-0000-0000703D0000}"/>
    <cellStyle name="Heading 4 2 15" xfId="8189" xr:uid="{00000000-0005-0000-0000-0000713D0000}"/>
    <cellStyle name="Heading 4 2 15 2" xfId="21514" xr:uid="{00000000-0005-0000-0000-0000723D0000}"/>
    <cellStyle name="Heading 4 2 16" xfId="8190" xr:uid="{00000000-0005-0000-0000-0000733D0000}"/>
    <cellStyle name="Heading 4 2 16 2" xfId="8191" xr:uid="{00000000-0005-0000-0000-0000743D0000}"/>
    <cellStyle name="Heading 4 2 16 2 2" xfId="21516" xr:uid="{00000000-0005-0000-0000-0000753D0000}"/>
    <cellStyle name="Heading 4 2 16 3" xfId="21515" xr:uid="{00000000-0005-0000-0000-0000763D0000}"/>
    <cellStyle name="Heading 4 2 17" xfId="8192" xr:uid="{00000000-0005-0000-0000-0000773D0000}"/>
    <cellStyle name="Heading 4 2 17 2" xfId="21517" xr:uid="{00000000-0005-0000-0000-0000783D0000}"/>
    <cellStyle name="Heading 4 2 18" xfId="8193" xr:uid="{00000000-0005-0000-0000-0000793D0000}"/>
    <cellStyle name="Heading 4 2 18 2" xfId="21518" xr:uid="{00000000-0005-0000-0000-00007A3D0000}"/>
    <cellStyle name="Heading 4 2 19" xfId="8194" xr:uid="{00000000-0005-0000-0000-00007B3D0000}"/>
    <cellStyle name="Heading 4 2 19 2" xfId="21519" xr:uid="{00000000-0005-0000-0000-00007C3D0000}"/>
    <cellStyle name="Heading 4 2 2" xfId="8195" xr:uid="{00000000-0005-0000-0000-00007D3D0000}"/>
    <cellStyle name="Heading 4 2 2 10" xfId="8196" xr:uid="{00000000-0005-0000-0000-00007E3D0000}"/>
    <cellStyle name="Heading 4 2 2 10 2" xfId="21521" xr:uid="{00000000-0005-0000-0000-00007F3D0000}"/>
    <cellStyle name="Heading 4 2 2 11" xfId="8197" xr:uid="{00000000-0005-0000-0000-0000803D0000}"/>
    <cellStyle name="Heading 4 2 2 11 2" xfId="21522" xr:uid="{00000000-0005-0000-0000-0000813D0000}"/>
    <cellStyle name="Heading 4 2 2 12" xfId="8198" xr:uid="{00000000-0005-0000-0000-0000823D0000}"/>
    <cellStyle name="Heading 4 2 2 12 2" xfId="21523" xr:uid="{00000000-0005-0000-0000-0000833D0000}"/>
    <cellStyle name="Heading 4 2 2 13" xfId="8199" xr:uid="{00000000-0005-0000-0000-0000843D0000}"/>
    <cellStyle name="Heading 4 2 2 13 2" xfId="21524" xr:uid="{00000000-0005-0000-0000-0000853D0000}"/>
    <cellStyle name="Heading 4 2 2 14" xfId="8200" xr:uid="{00000000-0005-0000-0000-0000863D0000}"/>
    <cellStyle name="Heading 4 2 2 14 2" xfId="8201" xr:uid="{00000000-0005-0000-0000-0000873D0000}"/>
    <cellStyle name="Heading 4 2 2 14 2 2" xfId="21526" xr:uid="{00000000-0005-0000-0000-0000883D0000}"/>
    <cellStyle name="Heading 4 2 2 14 3" xfId="21525" xr:uid="{00000000-0005-0000-0000-0000893D0000}"/>
    <cellStyle name="Heading 4 2 2 15" xfId="8202" xr:uid="{00000000-0005-0000-0000-00008A3D0000}"/>
    <cellStyle name="Heading 4 2 2 15 2" xfId="21527" xr:uid="{00000000-0005-0000-0000-00008B3D0000}"/>
    <cellStyle name="Heading 4 2 2 16" xfId="8203" xr:uid="{00000000-0005-0000-0000-00008C3D0000}"/>
    <cellStyle name="Heading 4 2 2 16 2" xfId="21528" xr:uid="{00000000-0005-0000-0000-00008D3D0000}"/>
    <cellStyle name="Heading 4 2 2 17" xfId="8204" xr:uid="{00000000-0005-0000-0000-00008E3D0000}"/>
    <cellStyle name="Heading 4 2 2 17 2" xfId="21529" xr:uid="{00000000-0005-0000-0000-00008F3D0000}"/>
    <cellStyle name="Heading 4 2 2 18" xfId="8205" xr:uid="{00000000-0005-0000-0000-0000903D0000}"/>
    <cellStyle name="Heading 4 2 2 18 2" xfId="21530" xr:uid="{00000000-0005-0000-0000-0000913D0000}"/>
    <cellStyle name="Heading 4 2 2 19" xfId="8206" xr:uid="{00000000-0005-0000-0000-0000923D0000}"/>
    <cellStyle name="Heading 4 2 2 19 2" xfId="21531" xr:uid="{00000000-0005-0000-0000-0000933D0000}"/>
    <cellStyle name="Heading 4 2 2 2" xfId="8207" xr:uid="{00000000-0005-0000-0000-0000943D0000}"/>
    <cellStyle name="Heading 4 2 2 2 10" xfId="8208" xr:uid="{00000000-0005-0000-0000-0000953D0000}"/>
    <cellStyle name="Heading 4 2 2 2 10 2" xfId="21533" xr:uid="{00000000-0005-0000-0000-0000963D0000}"/>
    <cellStyle name="Heading 4 2 2 2 11" xfId="8209" xr:uid="{00000000-0005-0000-0000-0000973D0000}"/>
    <cellStyle name="Heading 4 2 2 2 11 2" xfId="21534" xr:uid="{00000000-0005-0000-0000-0000983D0000}"/>
    <cellStyle name="Heading 4 2 2 2 12" xfId="8210" xr:uid="{00000000-0005-0000-0000-0000993D0000}"/>
    <cellStyle name="Heading 4 2 2 2 12 2" xfId="21535" xr:uid="{00000000-0005-0000-0000-00009A3D0000}"/>
    <cellStyle name="Heading 4 2 2 2 13" xfId="8211" xr:uid="{00000000-0005-0000-0000-00009B3D0000}"/>
    <cellStyle name="Heading 4 2 2 2 13 2" xfId="21536" xr:uid="{00000000-0005-0000-0000-00009C3D0000}"/>
    <cellStyle name="Heading 4 2 2 2 14" xfId="8212" xr:uid="{00000000-0005-0000-0000-00009D3D0000}"/>
    <cellStyle name="Heading 4 2 2 2 14 2" xfId="21537" xr:uid="{00000000-0005-0000-0000-00009E3D0000}"/>
    <cellStyle name="Heading 4 2 2 2 15" xfId="8213" xr:uid="{00000000-0005-0000-0000-00009F3D0000}"/>
    <cellStyle name="Heading 4 2 2 2 15 2" xfId="21538" xr:uid="{00000000-0005-0000-0000-0000A03D0000}"/>
    <cellStyle name="Heading 4 2 2 2 16" xfId="8214" xr:uid="{00000000-0005-0000-0000-0000A13D0000}"/>
    <cellStyle name="Heading 4 2 2 2 16 2" xfId="21539" xr:uid="{00000000-0005-0000-0000-0000A23D0000}"/>
    <cellStyle name="Heading 4 2 2 2 17" xfId="8215" xr:uid="{00000000-0005-0000-0000-0000A33D0000}"/>
    <cellStyle name="Heading 4 2 2 2 17 2" xfId="21540" xr:uid="{00000000-0005-0000-0000-0000A43D0000}"/>
    <cellStyle name="Heading 4 2 2 2 18" xfId="8216" xr:uid="{00000000-0005-0000-0000-0000A53D0000}"/>
    <cellStyle name="Heading 4 2 2 2 18 2" xfId="21541" xr:uid="{00000000-0005-0000-0000-0000A63D0000}"/>
    <cellStyle name="Heading 4 2 2 2 19" xfId="8217" xr:uid="{00000000-0005-0000-0000-0000A73D0000}"/>
    <cellStyle name="Heading 4 2 2 2 19 2" xfId="21542" xr:uid="{00000000-0005-0000-0000-0000A83D0000}"/>
    <cellStyle name="Heading 4 2 2 2 2" xfId="8218" xr:uid="{00000000-0005-0000-0000-0000A93D0000}"/>
    <cellStyle name="Heading 4 2 2 2 2 10" xfId="8219" xr:uid="{00000000-0005-0000-0000-0000AA3D0000}"/>
    <cellStyle name="Heading 4 2 2 2 2 10 2" xfId="21544" xr:uid="{00000000-0005-0000-0000-0000AB3D0000}"/>
    <cellStyle name="Heading 4 2 2 2 2 11" xfId="8220" xr:uid="{00000000-0005-0000-0000-0000AC3D0000}"/>
    <cellStyle name="Heading 4 2 2 2 2 11 2" xfId="21545" xr:uid="{00000000-0005-0000-0000-0000AD3D0000}"/>
    <cellStyle name="Heading 4 2 2 2 2 12" xfId="8221" xr:uid="{00000000-0005-0000-0000-0000AE3D0000}"/>
    <cellStyle name="Heading 4 2 2 2 2 12 2" xfId="21546" xr:uid="{00000000-0005-0000-0000-0000AF3D0000}"/>
    <cellStyle name="Heading 4 2 2 2 2 13" xfId="8222" xr:uid="{00000000-0005-0000-0000-0000B03D0000}"/>
    <cellStyle name="Heading 4 2 2 2 2 13 2" xfId="21547" xr:uid="{00000000-0005-0000-0000-0000B13D0000}"/>
    <cellStyle name="Heading 4 2 2 2 2 14" xfId="8223" xr:uid="{00000000-0005-0000-0000-0000B23D0000}"/>
    <cellStyle name="Heading 4 2 2 2 2 14 2" xfId="21548" xr:uid="{00000000-0005-0000-0000-0000B33D0000}"/>
    <cellStyle name="Heading 4 2 2 2 2 15" xfId="8224" xr:uid="{00000000-0005-0000-0000-0000B43D0000}"/>
    <cellStyle name="Heading 4 2 2 2 2 15 2" xfId="21549" xr:uid="{00000000-0005-0000-0000-0000B53D0000}"/>
    <cellStyle name="Heading 4 2 2 2 2 16" xfId="8225" xr:uid="{00000000-0005-0000-0000-0000B63D0000}"/>
    <cellStyle name="Heading 4 2 2 2 2 16 2" xfId="21550" xr:uid="{00000000-0005-0000-0000-0000B73D0000}"/>
    <cellStyle name="Heading 4 2 2 2 2 17" xfId="8226" xr:uid="{00000000-0005-0000-0000-0000B83D0000}"/>
    <cellStyle name="Heading 4 2 2 2 2 17 2" xfId="21551" xr:uid="{00000000-0005-0000-0000-0000B93D0000}"/>
    <cellStyle name="Heading 4 2 2 2 2 18" xfId="8227" xr:uid="{00000000-0005-0000-0000-0000BA3D0000}"/>
    <cellStyle name="Heading 4 2 2 2 2 18 2" xfId="21552" xr:uid="{00000000-0005-0000-0000-0000BB3D0000}"/>
    <cellStyle name="Heading 4 2 2 2 2 19" xfId="8228" xr:uid="{00000000-0005-0000-0000-0000BC3D0000}"/>
    <cellStyle name="Heading 4 2 2 2 2 19 2" xfId="21553" xr:uid="{00000000-0005-0000-0000-0000BD3D0000}"/>
    <cellStyle name="Heading 4 2 2 2 2 2" xfId="8229" xr:uid="{00000000-0005-0000-0000-0000BE3D0000}"/>
    <cellStyle name="Heading 4 2 2 2 2 2 10" xfId="8230" xr:uid="{00000000-0005-0000-0000-0000BF3D0000}"/>
    <cellStyle name="Heading 4 2 2 2 2 2 10 2" xfId="21555" xr:uid="{00000000-0005-0000-0000-0000C03D0000}"/>
    <cellStyle name="Heading 4 2 2 2 2 2 11" xfId="8231" xr:uid="{00000000-0005-0000-0000-0000C13D0000}"/>
    <cellStyle name="Heading 4 2 2 2 2 2 11 2" xfId="8232" xr:uid="{00000000-0005-0000-0000-0000C23D0000}"/>
    <cellStyle name="Heading 4 2 2 2 2 2 11 2 2" xfId="21557" xr:uid="{00000000-0005-0000-0000-0000C33D0000}"/>
    <cellStyle name="Heading 4 2 2 2 2 2 11 3" xfId="21556" xr:uid="{00000000-0005-0000-0000-0000C43D0000}"/>
    <cellStyle name="Heading 4 2 2 2 2 2 12" xfId="21554" xr:uid="{00000000-0005-0000-0000-0000C53D0000}"/>
    <cellStyle name="Heading 4 2 2 2 2 2 2" xfId="8233" xr:uid="{00000000-0005-0000-0000-0000C63D0000}"/>
    <cellStyle name="Heading 4 2 2 2 2 2 2 10" xfId="8234" xr:uid="{00000000-0005-0000-0000-0000C73D0000}"/>
    <cellStyle name="Heading 4 2 2 2 2 2 2 10 2" xfId="21559" xr:uid="{00000000-0005-0000-0000-0000C83D0000}"/>
    <cellStyle name="Heading 4 2 2 2 2 2 2 11" xfId="8235" xr:uid="{00000000-0005-0000-0000-0000C93D0000}"/>
    <cellStyle name="Heading 4 2 2 2 2 2 2 11 2" xfId="8236" xr:uid="{00000000-0005-0000-0000-0000CA3D0000}"/>
    <cellStyle name="Heading 4 2 2 2 2 2 2 11 2 2" xfId="21561" xr:uid="{00000000-0005-0000-0000-0000CB3D0000}"/>
    <cellStyle name="Heading 4 2 2 2 2 2 2 11 3" xfId="21560" xr:uid="{00000000-0005-0000-0000-0000CC3D0000}"/>
    <cellStyle name="Heading 4 2 2 2 2 2 2 12" xfId="21558" xr:uid="{00000000-0005-0000-0000-0000CD3D0000}"/>
    <cellStyle name="Heading 4 2 2 2 2 2 2 2" xfId="8237" xr:uid="{00000000-0005-0000-0000-0000CE3D0000}"/>
    <cellStyle name="Heading 4 2 2 2 2 2 2 2 2" xfId="8238" xr:uid="{00000000-0005-0000-0000-0000CF3D0000}"/>
    <cellStyle name="Heading 4 2 2 2 2 2 2 2 2 2" xfId="8239" xr:uid="{00000000-0005-0000-0000-0000D03D0000}"/>
    <cellStyle name="Heading 4 2 2 2 2 2 2 2 2 2 2" xfId="8240" xr:uid="{00000000-0005-0000-0000-0000D13D0000}"/>
    <cellStyle name="Heading 4 2 2 2 2 2 2 2 2 2 2 2" xfId="21565" xr:uid="{00000000-0005-0000-0000-0000D23D0000}"/>
    <cellStyle name="Heading 4 2 2 2 2 2 2 2 2 2 3" xfId="21564" xr:uid="{00000000-0005-0000-0000-0000D33D0000}"/>
    <cellStyle name="Heading 4 2 2 2 2 2 2 2 2 3" xfId="8241" xr:uid="{00000000-0005-0000-0000-0000D43D0000}"/>
    <cellStyle name="Heading 4 2 2 2 2 2 2 2 2 3 2" xfId="21566" xr:uid="{00000000-0005-0000-0000-0000D53D0000}"/>
    <cellStyle name="Heading 4 2 2 2 2 2 2 2 2 4" xfId="21563" xr:uid="{00000000-0005-0000-0000-0000D63D0000}"/>
    <cellStyle name="Heading 4 2 2 2 2 2 2 2 3" xfId="8242" xr:uid="{00000000-0005-0000-0000-0000D73D0000}"/>
    <cellStyle name="Heading 4 2 2 2 2 2 2 2 3 2" xfId="8243" xr:uid="{00000000-0005-0000-0000-0000D83D0000}"/>
    <cellStyle name="Heading 4 2 2 2 2 2 2 2 3 2 2" xfId="21568" xr:uid="{00000000-0005-0000-0000-0000D93D0000}"/>
    <cellStyle name="Heading 4 2 2 2 2 2 2 2 3 3" xfId="21567" xr:uid="{00000000-0005-0000-0000-0000DA3D0000}"/>
    <cellStyle name="Heading 4 2 2 2 2 2 2 2 4" xfId="21562" xr:uid="{00000000-0005-0000-0000-0000DB3D0000}"/>
    <cellStyle name="Heading 4 2 2 2 2 2 2 3" xfId="8244" xr:uid="{00000000-0005-0000-0000-0000DC3D0000}"/>
    <cellStyle name="Heading 4 2 2 2 2 2 2 3 2" xfId="21569" xr:uid="{00000000-0005-0000-0000-0000DD3D0000}"/>
    <cellStyle name="Heading 4 2 2 2 2 2 2 4" xfId="8245" xr:uid="{00000000-0005-0000-0000-0000DE3D0000}"/>
    <cellStyle name="Heading 4 2 2 2 2 2 2 4 2" xfId="21570" xr:uid="{00000000-0005-0000-0000-0000DF3D0000}"/>
    <cellStyle name="Heading 4 2 2 2 2 2 2 5" xfId="8246" xr:uid="{00000000-0005-0000-0000-0000E03D0000}"/>
    <cellStyle name="Heading 4 2 2 2 2 2 2 5 2" xfId="21571" xr:uid="{00000000-0005-0000-0000-0000E13D0000}"/>
    <cellStyle name="Heading 4 2 2 2 2 2 2 6" xfId="8247" xr:uid="{00000000-0005-0000-0000-0000E23D0000}"/>
    <cellStyle name="Heading 4 2 2 2 2 2 2 6 2" xfId="21572" xr:uid="{00000000-0005-0000-0000-0000E33D0000}"/>
    <cellStyle name="Heading 4 2 2 2 2 2 2 7" xfId="8248" xr:uid="{00000000-0005-0000-0000-0000E43D0000}"/>
    <cellStyle name="Heading 4 2 2 2 2 2 2 7 2" xfId="21573" xr:uid="{00000000-0005-0000-0000-0000E53D0000}"/>
    <cellStyle name="Heading 4 2 2 2 2 2 2 8" xfId="8249" xr:uid="{00000000-0005-0000-0000-0000E63D0000}"/>
    <cellStyle name="Heading 4 2 2 2 2 2 2 8 2" xfId="21574" xr:uid="{00000000-0005-0000-0000-0000E73D0000}"/>
    <cellStyle name="Heading 4 2 2 2 2 2 2 9" xfId="8250" xr:uid="{00000000-0005-0000-0000-0000E83D0000}"/>
    <cellStyle name="Heading 4 2 2 2 2 2 2 9 2" xfId="21575" xr:uid="{00000000-0005-0000-0000-0000E93D0000}"/>
    <cellStyle name="Heading 4 2 2 2 2 2 3" xfId="8251" xr:uid="{00000000-0005-0000-0000-0000EA3D0000}"/>
    <cellStyle name="Heading 4 2 2 2 2 2 3 2" xfId="8252" xr:uid="{00000000-0005-0000-0000-0000EB3D0000}"/>
    <cellStyle name="Heading 4 2 2 2 2 2 3 2 2" xfId="21577" xr:uid="{00000000-0005-0000-0000-0000EC3D0000}"/>
    <cellStyle name="Heading 4 2 2 2 2 2 3 3" xfId="21576" xr:uid="{00000000-0005-0000-0000-0000ED3D0000}"/>
    <cellStyle name="Heading 4 2 2 2 2 2 4" xfId="8253" xr:uid="{00000000-0005-0000-0000-0000EE3D0000}"/>
    <cellStyle name="Heading 4 2 2 2 2 2 4 2" xfId="21578" xr:uid="{00000000-0005-0000-0000-0000EF3D0000}"/>
    <cellStyle name="Heading 4 2 2 2 2 2 5" xfId="8254" xr:uid="{00000000-0005-0000-0000-0000F03D0000}"/>
    <cellStyle name="Heading 4 2 2 2 2 2 5 2" xfId="21579" xr:uid="{00000000-0005-0000-0000-0000F13D0000}"/>
    <cellStyle name="Heading 4 2 2 2 2 2 6" xfId="8255" xr:uid="{00000000-0005-0000-0000-0000F23D0000}"/>
    <cellStyle name="Heading 4 2 2 2 2 2 6 2" xfId="21580" xr:uid="{00000000-0005-0000-0000-0000F33D0000}"/>
    <cellStyle name="Heading 4 2 2 2 2 2 7" xfId="8256" xr:uid="{00000000-0005-0000-0000-0000F43D0000}"/>
    <cellStyle name="Heading 4 2 2 2 2 2 7 2" xfId="21581" xr:uid="{00000000-0005-0000-0000-0000F53D0000}"/>
    <cellStyle name="Heading 4 2 2 2 2 2 8" xfId="8257" xr:uid="{00000000-0005-0000-0000-0000F63D0000}"/>
    <cellStyle name="Heading 4 2 2 2 2 2 8 2" xfId="21582" xr:uid="{00000000-0005-0000-0000-0000F73D0000}"/>
    <cellStyle name="Heading 4 2 2 2 2 2 9" xfId="8258" xr:uid="{00000000-0005-0000-0000-0000F83D0000}"/>
    <cellStyle name="Heading 4 2 2 2 2 2 9 2" xfId="21583" xr:uid="{00000000-0005-0000-0000-0000F93D0000}"/>
    <cellStyle name="Heading 4 2 2 2 2 20" xfId="8259" xr:uid="{00000000-0005-0000-0000-0000FA3D0000}"/>
    <cellStyle name="Heading 4 2 2 2 2 20 2" xfId="8260" xr:uid="{00000000-0005-0000-0000-0000FB3D0000}"/>
    <cellStyle name="Heading 4 2 2 2 2 20 2 2" xfId="21585" xr:uid="{00000000-0005-0000-0000-0000FC3D0000}"/>
    <cellStyle name="Heading 4 2 2 2 2 20 3" xfId="21584" xr:uid="{00000000-0005-0000-0000-0000FD3D0000}"/>
    <cellStyle name="Heading 4 2 2 2 2 21" xfId="8261" xr:uid="{00000000-0005-0000-0000-0000FE3D0000}"/>
    <cellStyle name="Heading 4 2 2 2 2 21 2" xfId="21586" xr:uid="{00000000-0005-0000-0000-0000FF3D0000}"/>
    <cellStyle name="Heading 4 2 2 2 2 22" xfId="8262" xr:uid="{00000000-0005-0000-0000-0000003E0000}"/>
    <cellStyle name="Heading 4 2 2 2 2 22 2" xfId="21587" xr:uid="{00000000-0005-0000-0000-0000013E0000}"/>
    <cellStyle name="Heading 4 2 2 2 2 23" xfId="8263" xr:uid="{00000000-0005-0000-0000-0000023E0000}"/>
    <cellStyle name="Heading 4 2 2 2 2 23 2" xfId="21588" xr:uid="{00000000-0005-0000-0000-0000033E0000}"/>
    <cellStyle name="Heading 4 2 2 2 2 24" xfId="8264" xr:uid="{00000000-0005-0000-0000-0000043E0000}"/>
    <cellStyle name="Heading 4 2 2 2 2 24 2" xfId="21589" xr:uid="{00000000-0005-0000-0000-0000053E0000}"/>
    <cellStyle name="Heading 4 2 2 2 2 25" xfId="8265" xr:uid="{00000000-0005-0000-0000-0000063E0000}"/>
    <cellStyle name="Heading 4 2 2 2 2 25 2" xfId="21590" xr:uid="{00000000-0005-0000-0000-0000073E0000}"/>
    <cellStyle name="Heading 4 2 2 2 2 26" xfId="8266" xr:uid="{00000000-0005-0000-0000-0000083E0000}"/>
    <cellStyle name="Heading 4 2 2 2 2 26 2" xfId="21591" xr:uid="{00000000-0005-0000-0000-0000093E0000}"/>
    <cellStyle name="Heading 4 2 2 2 2 27" xfId="8267" xr:uid="{00000000-0005-0000-0000-00000A3E0000}"/>
    <cellStyle name="Heading 4 2 2 2 2 27 2" xfId="21592" xr:uid="{00000000-0005-0000-0000-00000B3E0000}"/>
    <cellStyle name="Heading 4 2 2 2 2 28" xfId="8268" xr:uid="{00000000-0005-0000-0000-00000C3E0000}"/>
    <cellStyle name="Heading 4 2 2 2 2 28 2" xfId="8269" xr:uid="{00000000-0005-0000-0000-00000D3E0000}"/>
    <cellStyle name="Heading 4 2 2 2 2 28 2 2" xfId="21594" xr:uid="{00000000-0005-0000-0000-00000E3E0000}"/>
    <cellStyle name="Heading 4 2 2 2 2 28 3" xfId="21593" xr:uid="{00000000-0005-0000-0000-00000F3E0000}"/>
    <cellStyle name="Heading 4 2 2 2 2 29" xfId="21543" xr:uid="{00000000-0005-0000-0000-0000103E0000}"/>
    <cellStyle name="Heading 4 2 2 2 2 3" xfId="8270" xr:uid="{00000000-0005-0000-0000-0000113E0000}"/>
    <cellStyle name="Heading 4 2 2 2 2 3 2" xfId="21595" xr:uid="{00000000-0005-0000-0000-0000123E0000}"/>
    <cellStyle name="Heading 4 2 2 2 2 4" xfId="8271" xr:uid="{00000000-0005-0000-0000-0000133E0000}"/>
    <cellStyle name="Heading 4 2 2 2 2 4 2" xfId="21596" xr:uid="{00000000-0005-0000-0000-0000143E0000}"/>
    <cellStyle name="Heading 4 2 2 2 2 5" xfId="8272" xr:uid="{00000000-0005-0000-0000-0000153E0000}"/>
    <cellStyle name="Heading 4 2 2 2 2 5 2" xfId="21597" xr:uid="{00000000-0005-0000-0000-0000163E0000}"/>
    <cellStyle name="Heading 4 2 2 2 2 6" xfId="8273" xr:uid="{00000000-0005-0000-0000-0000173E0000}"/>
    <cellStyle name="Heading 4 2 2 2 2 6 2" xfId="21598" xr:uid="{00000000-0005-0000-0000-0000183E0000}"/>
    <cellStyle name="Heading 4 2 2 2 2 7" xfId="8274" xr:uid="{00000000-0005-0000-0000-0000193E0000}"/>
    <cellStyle name="Heading 4 2 2 2 2 7 2" xfId="21599" xr:uid="{00000000-0005-0000-0000-00001A3E0000}"/>
    <cellStyle name="Heading 4 2 2 2 2 8" xfId="8275" xr:uid="{00000000-0005-0000-0000-00001B3E0000}"/>
    <cellStyle name="Heading 4 2 2 2 2 8 2" xfId="21600" xr:uid="{00000000-0005-0000-0000-00001C3E0000}"/>
    <cellStyle name="Heading 4 2 2 2 2 9" xfId="8276" xr:uid="{00000000-0005-0000-0000-00001D3E0000}"/>
    <cellStyle name="Heading 4 2 2 2 2 9 2" xfId="21601" xr:uid="{00000000-0005-0000-0000-00001E3E0000}"/>
    <cellStyle name="Heading 4 2 2 2 20" xfId="8277" xr:uid="{00000000-0005-0000-0000-00001F3E0000}"/>
    <cellStyle name="Heading 4 2 2 2 20 2" xfId="8278" xr:uid="{00000000-0005-0000-0000-0000203E0000}"/>
    <cellStyle name="Heading 4 2 2 2 20 2 2" xfId="21603" xr:uid="{00000000-0005-0000-0000-0000213E0000}"/>
    <cellStyle name="Heading 4 2 2 2 20 3" xfId="21602" xr:uid="{00000000-0005-0000-0000-0000223E0000}"/>
    <cellStyle name="Heading 4 2 2 2 21" xfId="8279" xr:uid="{00000000-0005-0000-0000-0000233E0000}"/>
    <cellStyle name="Heading 4 2 2 2 21 2" xfId="21604" xr:uid="{00000000-0005-0000-0000-0000243E0000}"/>
    <cellStyle name="Heading 4 2 2 2 22" xfId="8280" xr:uid="{00000000-0005-0000-0000-0000253E0000}"/>
    <cellStyle name="Heading 4 2 2 2 22 2" xfId="21605" xr:uid="{00000000-0005-0000-0000-0000263E0000}"/>
    <cellStyle name="Heading 4 2 2 2 23" xfId="8281" xr:uid="{00000000-0005-0000-0000-0000273E0000}"/>
    <cellStyle name="Heading 4 2 2 2 23 2" xfId="21606" xr:uid="{00000000-0005-0000-0000-0000283E0000}"/>
    <cellStyle name="Heading 4 2 2 2 24" xfId="8282" xr:uid="{00000000-0005-0000-0000-0000293E0000}"/>
    <cellStyle name="Heading 4 2 2 2 24 2" xfId="21607" xr:uid="{00000000-0005-0000-0000-00002A3E0000}"/>
    <cellStyle name="Heading 4 2 2 2 25" xfId="8283" xr:uid="{00000000-0005-0000-0000-00002B3E0000}"/>
    <cellStyle name="Heading 4 2 2 2 25 2" xfId="21608" xr:uid="{00000000-0005-0000-0000-00002C3E0000}"/>
    <cellStyle name="Heading 4 2 2 2 26" xfId="8284" xr:uid="{00000000-0005-0000-0000-00002D3E0000}"/>
    <cellStyle name="Heading 4 2 2 2 26 2" xfId="21609" xr:uid="{00000000-0005-0000-0000-00002E3E0000}"/>
    <cellStyle name="Heading 4 2 2 2 27" xfId="8285" xr:uid="{00000000-0005-0000-0000-00002F3E0000}"/>
    <cellStyle name="Heading 4 2 2 2 27 2" xfId="21610" xr:uid="{00000000-0005-0000-0000-0000303E0000}"/>
    <cellStyle name="Heading 4 2 2 2 28" xfId="8286" xr:uid="{00000000-0005-0000-0000-0000313E0000}"/>
    <cellStyle name="Heading 4 2 2 2 28 2" xfId="8287" xr:uid="{00000000-0005-0000-0000-0000323E0000}"/>
    <cellStyle name="Heading 4 2 2 2 28 2 2" xfId="21612" xr:uid="{00000000-0005-0000-0000-0000333E0000}"/>
    <cellStyle name="Heading 4 2 2 2 28 3" xfId="21611" xr:uid="{00000000-0005-0000-0000-0000343E0000}"/>
    <cellStyle name="Heading 4 2 2 2 29" xfId="21532" xr:uid="{00000000-0005-0000-0000-0000353E0000}"/>
    <cellStyle name="Heading 4 2 2 2 3" xfId="8288" xr:uid="{00000000-0005-0000-0000-0000363E0000}"/>
    <cellStyle name="Heading 4 2 2 2 3 2" xfId="8289" xr:uid="{00000000-0005-0000-0000-0000373E0000}"/>
    <cellStyle name="Heading 4 2 2 2 3 2 2" xfId="21614" xr:uid="{00000000-0005-0000-0000-0000383E0000}"/>
    <cellStyle name="Heading 4 2 2 2 3 3" xfId="21613" xr:uid="{00000000-0005-0000-0000-0000393E0000}"/>
    <cellStyle name="Heading 4 2 2 2 30" xfId="31186" xr:uid="{00000000-0005-0000-0000-00003A3E0000}"/>
    <cellStyle name="Heading 4 2 2 2 4" xfId="8290" xr:uid="{00000000-0005-0000-0000-00003B3E0000}"/>
    <cellStyle name="Heading 4 2 2 2 4 2" xfId="21615" xr:uid="{00000000-0005-0000-0000-00003C3E0000}"/>
    <cellStyle name="Heading 4 2 2 2 5" xfId="8291" xr:uid="{00000000-0005-0000-0000-00003D3E0000}"/>
    <cellStyle name="Heading 4 2 2 2 5 2" xfId="21616" xr:uid="{00000000-0005-0000-0000-00003E3E0000}"/>
    <cellStyle name="Heading 4 2 2 2 6" xfId="8292" xr:uid="{00000000-0005-0000-0000-00003F3E0000}"/>
    <cellStyle name="Heading 4 2 2 2 6 2" xfId="21617" xr:uid="{00000000-0005-0000-0000-0000403E0000}"/>
    <cellStyle name="Heading 4 2 2 2 7" xfId="8293" xr:uid="{00000000-0005-0000-0000-0000413E0000}"/>
    <cellStyle name="Heading 4 2 2 2 7 2" xfId="21618" xr:uid="{00000000-0005-0000-0000-0000423E0000}"/>
    <cellStyle name="Heading 4 2 2 2 8" xfId="8294" xr:uid="{00000000-0005-0000-0000-0000433E0000}"/>
    <cellStyle name="Heading 4 2 2 2 8 2" xfId="21619" xr:uid="{00000000-0005-0000-0000-0000443E0000}"/>
    <cellStyle name="Heading 4 2 2 2 9" xfId="8295" xr:uid="{00000000-0005-0000-0000-0000453E0000}"/>
    <cellStyle name="Heading 4 2 2 2 9 2" xfId="21620" xr:uid="{00000000-0005-0000-0000-0000463E0000}"/>
    <cellStyle name="Heading 4 2 2 20" xfId="8296" xr:uid="{00000000-0005-0000-0000-0000473E0000}"/>
    <cellStyle name="Heading 4 2 2 20 2" xfId="21621" xr:uid="{00000000-0005-0000-0000-0000483E0000}"/>
    <cellStyle name="Heading 4 2 2 21" xfId="8297" xr:uid="{00000000-0005-0000-0000-0000493E0000}"/>
    <cellStyle name="Heading 4 2 2 21 2" xfId="21622" xr:uid="{00000000-0005-0000-0000-00004A3E0000}"/>
    <cellStyle name="Heading 4 2 2 22" xfId="8298" xr:uid="{00000000-0005-0000-0000-00004B3E0000}"/>
    <cellStyle name="Heading 4 2 2 22 2" xfId="21623" xr:uid="{00000000-0005-0000-0000-00004C3E0000}"/>
    <cellStyle name="Heading 4 2 2 23" xfId="8299" xr:uid="{00000000-0005-0000-0000-00004D3E0000}"/>
    <cellStyle name="Heading 4 2 2 23 2" xfId="21624" xr:uid="{00000000-0005-0000-0000-00004E3E0000}"/>
    <cellStyle name="Heading 4 2 2 24" xfId="8300" xr:uid="{00000000-0005-0000-0000-00004F3E0000}"/>
    <cellStyle name="Heading 4 2 2 24 2" xfId="21625" xr:uid="{00000000-0005-0000-0000-0000503E0000}"/>
    <cellStyle name="Heading 4 2 2 25" xfId="8301" xr:uid="{00000000-0005-0000-0000-0000513E0000}"/>
    <cellStyle name="Heading 4 2 2 25 2" xfId="21626" xr:uid="{00000000-0005-0000-0000-0000523E0000}"/>
    <cellStyle name="Heading 4 2 2 26" xfId="8302" xr:uid="{00000000-0005-0000-0000-0000533E0000}"/>
    <cellStyle name="Heading 4 2 2 26 2" xfId="21627" xr:uid="{00000000-0005-0000-0000-0000543E0000}"/>
    <cellStyle name="Heading 4 2 2 27" xfId="8303" xr:uid="{00000000-0005-0000-0000-0000553E0000}"/>
    <cellStyle name="Heading 4 2 2 27 2" xfId="21628" xr:uid="{00000000-0005-0000-0000-0000563E0000}"/>
    <cellStyle name="Heading 4 2 2 28" xfId="8304" xr:uid="{00000000-0005-0000-0000-0000573E0000}"/>
    <cellStyle name="Heading 4 2 2 28 2" xfId="21629" xr:uid="{00000000-0005-0000-0000-0000583E0000}"/>
    <cellStyle name="Heading 4 2 2 29" xfId="8305" xr:uid="{00000000-0005-0000-0000-0000593E0000}"/>
    <cellStyle name="Heading 4 2 2 29 2" xfId="21630" xr:uid="{00000000-0005-0000-0000-00005A3E0000}"/>
    <cellStyle name="Heading 4 2 2 3" xfId="8306" xr:uid="{00000000-0005-0000-0000-00005B3E0000}"/>
    <cellStyle name="Heading 4 2 2 3 2" xfId="21631" xr:uid="{00000000-0005-0000-0000-00005C3E0000}"/>
    <cellStyle name="Heading 4 2 2 30" xfId="8307" xr:uid="{00000000-0005-0000-0000-00005D3E0000}"/>
    <cellStyle name="Heading 4 2 2 30 2" xfId="21632" xr:uid="{00000000-0005-0000-0000-00005E3E0000}"/>
    <cellStyle name="Heading 4 2 2 31" xfId="8308" xr:uid="{00000000-0005-0000-0000-00005F3E0000}"/>
    <cellStyle name="Heading 4 2 2 31 2" xfId="8309" xr:uid="{00000000-0005-0000-0000-0000603E0000}"/>
    <cellStyle name="Heading 4 2 2 31 2 2" xfId="21634" xr:uid="{00000000-0005-0000-0000-0000613E0000}"/>
    <cellStyle name="Heading 4 2 2 31 3" xfId="21633" xr:uid="{00000000-0005-0000-0000-0000623E0000}"/>
    <cellStyle name="Heading 4 2 2 32" xfId="8310" xr:uid="{00000000-0005-0000-0000-0000633E0000}"/>
    <cellStyle name="Heading 4 2 2 32 2" xfId="21635" xr:uid="{00000000-0005-0000-0000-0000643E0000}"/>
    <cellStyle name="Heading 4 2 2 33" xfId="8311" xr:uid="{00000000-0005-0000-0000-0000653E0000}"/>
    <cellStyle name="Heading 4 2 2 33 2" xfId="21636" xr:uid="{00000000-0005-0000-0000-0000663E0000}"/>
    <cellStyle name="Heading 4 2 2 34" xfId="8312" xr:uid="{00000000-0005-0000-0000-0000673E0000}"/>
    <cellStyle name="Heading 4 2 2 34 2" xfId="21637" xr:uid="{00000000-0005-0000-0000-0000683E0000}"/>
    <cellStyle name="Heading 4 2 2 35" xfId="8313" xr:uid="{00000000-0005-0000-0000-0000693E0000}"/>
    <cellStyle name="Heading 4 2 2 35 2" xfId="21638" xr:uid="{00000000-0005-0000-0000-00006A3E0000}"/>
    <cellStyle name="Heading 4 2 2 36" xfId="8314" xr:uid="{00000000-0005-0000-0000-00006B3E0000}"/>
    <cellStyle name="Heading 4 2 2 36 2" xfId="21639" xr:uid="{00000000-0005-0000-0000-00006C3E0000}"/>
    <cellStyle name="Heading 4 2 2 37" xfId="8315" xr:uid="{00000000-0005-0000-0000-00006D3E0000}"/>
    <cellStyle name="Heading 4 2 2 37 2" xfId="21640" xr:uid="{00000000-0005-0000-0000-00006E3E0000}"/>
    <cellStyle name="Heading 4 2 2 38" xfId="8316" xr:uid="{00000000-0005-0000-0000-00006F3E0000}"/>
    <cellStyle name="Heading 4 2 2 38 2" xfId="21641" xr:uid="{00000000-0005-0000-0000-0000703E0000}"/>
    <cellStyle name="Heading 4 2 2 39" xfId="8317" xr:uid="{00000000-0005-0000-0000-0000713E0000}"/>
    <cellStyle name="Heading 4 2 2 39 2" xfId="8318" xr:uid="{00000000-0005-0000-0000-0000723E0000}"/>
    <cellStyle name="Heading 4 2 2 39 2 2" xfId="21643" xr:uid="{00000000-0005-0000-0000-0000733E0000}"/>
    <cellStyle name="Heading 4 2 2 39 3" xfId="21642" xr:uid="{00000000-0005-0000-0000-0000743E0000}"/>
    <cellStyle name="Heading 4 2 2 4" xfId="8319" xr:uid="{00000000-0005-0000-0000-0000753E0000}"/>
    <cellStyle name="Heading 4 2 2 4 2" xfId="21644" xr:uid="{00000000-0005-0000-0000-0000763E0000}"/>
    <cellStyle name="Heading 4 2 2 40" xfId="21520" xr:uid="{00000000-0005-0000-0000-0000773E0000}"/>
    <cellStyle name="Heading 4 2 2 41" xfId="31187" xr:uid="{00000000-0005-0000-0000-0000783E0000}"/>
    <cellStyle name="Heading 4 2 2 42" xfId="31188" xr:uid="{00000000-0005-0000-0000-0000793E0000}"/>
    <cellStyle name="Heading 4 2 2 5" xfId="8320" xr:uid="{00000000-0005-0000-0000-00007A3E0000}"/>
    <cellStyle name="Heading 4 2 2 5 2" xfId="21645" xr:uid="{00000000-0005-0000-0000-00007B3E0000}"/>
    <cellStyle name="Heading 4 2 2 6" xfId="8321" xr:uid="{00000000-0005-0000-0000-00007C3E0000}"/>
    <cellStyle name="Heading 4 2 2 6 2" xfId="21646" xr:uid="{00000000-0005-0000-0000-00007D3E0000}"/>
    <cellStyle name="Heading 4 2 2 7" xfId="8322" xr:uid="{00000000-0005-0000-0000-00007E3E0000}"/>
    <cellStyle name="Heading 4 2 2 7 2" xfId="21647" xr:uid="{00000000-0005-0000-0000-00007F3E0000}"/>
    <cellStyle name="Heading 4 2 2 8" xfId="8323" xr:uid="{00000000-0005-0000-0000-0000803E0000}"/>
    <cellStyle name="Heading 4 2 2 8 2" xfId="21648" xr:uid="{00000000-0005-0000-0000-0000813E0000}"/>
    <cellStyle name="Heading 4 2 2 9" xfId="8324" xr:uid="{00000000-0005-0000-0000-0000823E0000}"/>
    <cellStyle name="Heading 4 2 2 9 2" xfId="21649" xr:uid="{00000000-0005-0000-0000-0000833E0000}"/>
    <cellStyle name="Heading 4 2 2_Loan Classification" xfId="11460" xr:uid="{00000000-0005-0000-0000-0000843E0000}"/>
    <cellStyle name="Heading 4 2 20" xfId="8325" xr:uid="{00000000-0005-0000-0000-0000853E0000}"/>
    <cellStyle name="Heading 4 2 20 2" xfId="21650" xr:uid="{00000000-0005-0000-0000-0000863E0000}"/>
    <cellStyle name="Heading 4 2 21" xfId="8326" xr:uid="{00000000-0005-0000-0000-0000873E0000}"/>
    <cellStyle name="Heading 4 2 21 2" xfId="21651" xr:uid="{00000000-0005-0000-0000-0000883E0000}"/>
    <cellStyle name="Heading 4 2 22" xfId="8327" xr:uid="{00000000-0005-0000-0000-0000893E0000}"/>
    <cellStyle name="Heading 4 2 22 2" xfId="21652" xr:uid="{00000000-0005-0000-0000-00008A3E0000}"/>
    <cellStyle name="Heading 4 2 23" xfId="8328" xr:uid="{00000000-0005-0000-0000-00008B3E0000}"/>
    <cellStyle name="Heading 4 2 23 2" xfId="21653" xr:uid="{00000000-0005-0000-0000-00008C3E0000}"/>
    <cellStyle name="Heading 4 2 24" xfId="8329" xr:uid="{00000000-0005-0000-0000-00008D3E0000}"/>
    <cellStyle name="Heading 4 2 24 2" xfId="21654" xr:uid="{00000000-0005-0000-0000-00008E3E0000}"/>
    <cellStyle name="Heading 4 2 25" xfId="8330" xr:uid="{00000000-0005-0000-0000-00008F3E0000}"/>
    <cellStyle name="Heading 4 2 25 2" xfId="21655" xr:uid="{00000000-0005-0000-0000-0000903E0000}"/>
    <cellStyle name="Heading 4 2 26" xfId="8331" xr:uid="{00000000-0005-0000-0000-0000913E0000}"/>
    <cellStyle name="Heading 4 2 26 2" xfId="21656" xr:uid="{00000000-0005-0000-0000-0000923E0000}"/>
    <cellStyle name="Heading 4 2 27" xfId="8332" xr:uid="{00000000-0005-0000-0000-0000933E0000}"/>
    <cellStyle name="Heading 4 2 27 2" xfId="21657" xr:uid="{00000000-0005-0000-0000-0000943E0000}"/>
    <cellStyle name="Heading 4 2 28" xfId="8333" xr:uid="{00000000-0005-0000-0000-0000953E0000}"/>
    <cellStyle name="Heading 4 2 28 2" xfId="21658" xr:uid="{00000000-0005-0000-0000-0000963E0000}"/>
    <cellStyle name="Heading 4 2 29" xfId="8334" xr:uid="{00000000-0005-0000-0000-0000973E0000}"/>
    <cellStyle name="Heading 4 2 29 2" xfId="21659" xr:uid="{00000000-0005-0000-0000-0000983E0000}"/>
    <cellStyle name="Heading 4 2 3" xfId="8335" xr:uid="{00000000-0005-0000-0000-0000993E0000}"/>
    <cellStyle name="Heading 4 2 3 2" xfId="21660" xr:uid="{00000000-0005-0000-0000-00009A3E0000}"/>
    <cellStyle name="Heading 4 2 3 2 2" xfId="31189" xr:uid="{00000000-0005-0000-0000-00009B3E0000}"/>
    <cellStyle name="Heading 4 2 3 3" xfId="31190" xr:uid="{00000000-0005-0000-0000-00009C3E0000}"/>
    <cellStyle name="Heading 4 2 3 4" xfId="31191" xr:uid="{00000000-0005-0000-0000-00009D3E0000}"/>
    <cellStyle name="Heading 4 2 3 5" xfId="31192" xr:uid="{00000000-0005-0000-0000-00009E3E0000}"/>
    <cellStyle name="Heading 4 2 30" xfId="8336" xr:uid="{00000000-0005-0000-0000-00009F3E0000}"/>
    <cellStyle name="Heading 4 2 30 2" xfId="21661" xr:uid="{00000000-0005-0000-0000-0000A03E0000}"/>
    <cellStyle name="Heading 4 2 31" xfId="8337" xr:uid="{00000000-0005-0000-0000-0000A13E0000}"/>
    <cellStyle name="Heading 4 2 31 2" xfId="21662" xr:uid="{00000000-0005-0000-0000-0000A23E0000}"/>
    <cellStyle name="Heading 4 2 32" xfId="8338" xr:uid="{00000000-0005-0000-0000-0000A33E0000}"/>
    <cellStyle name="Heading 4 2 32 2" xfId="21663" xr:uid="{00000000-0005-0000-0000-0000A43E0000}"/>
    <cellStyle name="Heading 4 2 33" xfId="8339" xr:uid="{00000000-0005-0000-0000-0000A53E0000}"/>
    <cellStyle name="Heading 4 2 33 2" xfId="8340" xr:uid="{00000000-0005-0000-0000-0000A63E0000}"/>
    <cellStyle name="Heading 4 2 33 2 2" xfId="21665" xr:uid="{00000000-0005-0000-0000-0000A73E0000}"/>
    <cellStyle name="Heading 4 2 33 3" xfId="21664" xr:uid="{00000000-0005-0000-0000-0000A83E0000}"/>
    <cellStyle name="Heading 4 2 34" xfId="8341" xr:uid="{00000000-0005-0000-0000-0000A93E0000}"/>
    <cellStyle name="Heading 4 2 34 2" xfId="21666" xr:uid="{00000000-0005-0000-0000-0000AA3E0000}"/>
    <cellStyle name="Heading 4 2 35" xfId="8342" xr:uid="{00000000-0005-0000-0000-0000AB3E0000}"/>
    <cellStyle name="Heading 4 2 35 2" xfId="21667" xr:uid="{00000000-0005-0000-0000-0000AC3E0000}"/>
    <cellStyle name="Heading 4 2 36" xfId="8343" xr:uid="{00000000-0005-0000-0000-0000AD3E0000}"/>
    <cellStyle name="Heading 4 2 36 2" xfId="21668" xr:uid="{00000000-0005-0000-0000-0000AE3E0000}"/>
    <cellStyle name="Heading 4 2 37" xfId="8344" xr:uid="{00000000-0005-0000-0000-0000AF3E0000}"/>
    <cellStyle name="Heading 4 2 37 2" xfId="21669" xr:uid="{00000000-0005-0000-0000-0000B03E0000}"/>
    <cellStyle name="Heading 4 2 38" xfId="8345" xr:uid="{00000000-0005-0000-0000-0000B13E0000}"/>
    <cellStyle name="Heading 4 2 38 2" xfId="21670" xr:uid="{00000000-0005-0000-0000-0000B23E0000}"/>
    <cellStyle name="Heading 4 2 39" xfId="8346" xr:uid="{00000000-0005-0000-0000-0000B33E0000}"/>
    <cellStyle name="Heading 4 2 39 2" xfId="21671" xr:uid="{00000000-0005-0000-0000-0000B43E0000}"/>
    <cellStyle name="Heading 4 2 4" xfId="8347" xr:uid="{00000000-0005-0000-0000-0000B53E0000}"/>
    <cellStyle name="Heading 4 2 4 2" xfId="21672" xr:uid="{00000000-0005-0000-0000-0000B63E0000}"/>
    <cellStyle name="Heading 4 2 4 2 2" xfId="31193" xr:uid="{00000000-0005-0000-0000-0000B73E0000}"/>
    <cellStyle name="Heading 4 2 4 3" xfId="31194" xr:uid="{00000000-0005-0000-0000-0000B83E0000}"/>
    <cellStyle name="Heading 4 2 4 4" xfId="31195" xr:uid="{00000000-0005-0000-0000-0000B93E0000}"/>
    <cellStyle name="Heading 4 2 4 5" xfId="31196" xr:uid="{00000000-0005-0000-0000-0000BA3E0000}"/>
    <cellStyle name="Heading 4 2 40" xfId="8348" xr:uid="{00000000-0005-0000-0000-0000BB3E0000}"/>
    <cellStyle name="Heading 4 2 40 2" xfId="21673" xr:uid="{00000000-0005-0000-0000-0000BC3E0000}"/>
    <cellStyle name="Heading 4 2 41" xfId="8349" xr:uid="{00000000-0005-0000-0000-0000BD3E0000}"/>
    <cellStyle name="Heading 4 2 41 2" xfId="8350" xr:uid="{00000000-0005-0000-0000-0000BE3E0000}"/>
    <cellStyle name="Heading 4 2 41 2 2" xfId="21675" xr:uid="{00000000-0005-0000-0000-0000BF3E0000}"/>
    <cellStyle name="Heading 4 2 41 3" xfId="21674" xr:uid="{00000000-0005-0000-0000-0000C03E0000}"/>
    <cellStyle name="Heading 4 2 42" xfId="21508" xr:uid="{00000000-0005-0000-0000-0000C13E0000}"/>
    <cellStyle name="Heading 4 2 43" xfId="31197" xr:uid="{00000000-0005-0000-0000-0000C23E0000}"/>
    <cellStyle name="Heading 4 2 44" xfId="31198" xr:uid="{00000000-0005-0000-0000-0000C33E0000}"/>
    <cellStyle name="Heading 4 2 45" xfId="31199" xr:uid="{00000000-0005-0000-0000-0000C43E0000}"/>
    <cellStyle name="Heading 4 2 46" xfId="31200" xr:uid="{00000000-0005-0000-0000-0000C53E0000}"/>
    <cellStyle name="Heading 4 2 47" xfId="33173" xr:uid="{00000000-0005-0000-0000-0000C63E0000}"/>
    <cellStyle name="Heading 4 2 48" xfId="33237" xr:uid="{00000000-0005-0000-0000-0000C73E0000}"/>
    <cellStyle name="Heading 4 2 49" xfId="8183" xr:uid="{00000000-0005-0000-0000-0000C83E0000}"/>
    <cellStyle name="Heading 4 2 5" xfId="8351" xr:uid="{00000000-0005-0000-0000-0000C93E0000}"/>
    <cellStyle name="Heading 4 2 5 2" xfId="8352" xr:uid="{00000000-0005-0000-0000-0000CA3E0000}"/>
    <cellStyle name="Heading 4 2 5 2 2" xfId="21677" xr:uid="{00000000-0005-0000-0000-0000CB3E0000}"/>
    <cellStyle name="Heading 4 2 5 3" xfId="21676" xr:uid="{00000000-0005-0000-0000-0000CC3E0000}"/>
    <cellStyle name="Heading 4 2 5 4" xfId="31201" xr:uid="{00000000-0005-0000-0000-0000CD3E0000}"/>
    <cellStyle name="Heading 4 2 6" xfId="8353" xr:uid="{00000000-0005-0000-0000-0000CE3E0000}"/>
    <cellStyle name="Heading 4 2 6 2" xfId="21678" xr:uid="{00000000-0005-0000-0000-0000CF3E0000}"/>
    <cellStyle name="Heading 4 2 6 3" xfId="31202" xr:uid="{00000000-0005-0000-0000-0000D03E0000}"/>
    <cellStyle name="Heading 4 2 7" xfId="8354" xr:uid="{00000000-0005-0000-0000-0000D13E0000}"/>
    <cellStyle name="Heading 4 2 7 2" xfId="21679" xr:uid="{00000000-0005-0000-0000-0000D23E0000}"/>
    <cellStyle name="Heading 4 2 8" xfId="8355" xr:uid="{00000000-0005-0000-0000-0000D33E0000}"/>
    <cellStyle name="Heading 4 2 8 2" xfId="21680" xr:uid="{00000000-0005-0000-0000-0000D43E0000}"/>
    <cellStyle name="Heading 4 2 9" xfId="8356" xr:uid="{00000000-0005-0000-0000-0000D53E0000}"/>
    <cellStyle name="Heading 4 2 9 2" xfId="21681" xr:uid="{00000000-0005-0000-0000-0000D63E0000}"/>
    <cellStyle name="Heading 4 2_Loan Classification" xfId="11459" xr:uid="{00000000-0005-0000-0000-0000D73E0000}"/>
    <cellStyle name="Heading 4 20" xfId="8357" xr:uid="{00000000-0005-0000-0000-0000D83E0000}"/>
    <cellStyle name="Heading 4 20 2" xfId="21682" xr:uid="{00000000-0005-0000-0000-0000D93E0000}"/>
    <cellStyle name="Heading 4 21" xfId="8358" xr:uid="{00000000-0005-0000-0000-0000DA3E0000}"/>
    <cellStyle name="Heading 4 21 2" xfId="21683" xr:uid="{00000000-0005-0000-0000-0000DB3E0000}"/>
    <cellStyle name="Heading 4 22" xfId="8359" xr:uid="{00000000-0005-0000-0000-0000DC3E0000}"/>
    <cellStyle name="Heading 4 22 2" xfId="21684" xr:uid="{00000000-0005-0000-0000-0000DD3E0000}"/>
    <cellStyle name="Heading 4 23" xfId="8360" xr:uid="{00000000-0005-0000-0000-0000DE3E0000}"/>
    <cellStyle name="Heading 4 23 2" xfId="21685" xr:uid="{00000000-0005-0000-0000-0000DF3E0000}"/>
    <cellStyle name="Heading 4 24" xfId="8361" xr:uid="{00000000-0005-0000-0000-0000E03E0000}"/>
    <cellStyle name="Heading 4 24 2" xfId="21686" xr:uid="{00000000-0005-0000-0000-0000E13E0000}"/>
    <cellStyle name="Heading 4 25" xfId="8362" xr:uid="{00000000-0005-0000-0000-0000E23E0000}"/>
    <cellStyle name="Heading 4 25 2" xfId="21687" xr:uid="{00000000-0005-0000-0000-0000E33E0000}"/>
    <cellStyle name="Heading 4 26" xfId="8363" xr:uid="{00000000-0005-0000-0000-0000E43E0000}"/>
    <cellStyle name="Heading 4 26 2" xfId="21688" xr:uid="{00000000-0005-0000-0000-0000E53E0000}"/>
    <cellStyle name="Heading 4 27" xfId="8364" xr:uid="{00000000-0005-0000-0000-0000E63E0000}"/>
    <cellStyle name="Heading 4 27 2" xfId="21689" xr:uid="{00000000-0005-0000-0000-0000E73E0000}"/>
    <cellStyle name="Heading 4 28" xfId="8365" xr:uid="{00000000-0005-0000-0000-0000E83E0000}"/>
    <cellStyle name="Heading 4 28 2" xfId="21690" xr:uid="{00000000-0005-0000-0000-0000E93E0000}"/>
    <cellStyle name="Heading 4 29" xfId="8366" xr:uid="{00000000-0005-0000-0000-0000EA3E0000}"/>
    <cellStyle name="Heading 4 29 2" xfId="21691" xr:uid="{00000000-0005-0000-0000-0000EB3E0000}"/>
    <cellStyle name="Heading 4 3" xfId="164" xr:uid="{00000000-0005-0000-0000-0000EC3E0000}"/>
    <cellStyle name="Heading 4 3 2" xfId="21692" xr:uid="{00000000-0005-0000-0000-0000ED3E0000}"/>
    <cellStyle name="Heading 4 3 2 2" xfId="31203" xr:uid="{00000000-0005-0000-0000-0000EE3E0000}"/>
    <cellStyle name="Heading 4 3 3" xfId="31204" xr:uid="{00000000-0005-0000-0000-0000EF3E0000}"/>
    <cellStyle name="Heading 4 3 4" xfId="31205" xr:uid="{00000000-0005-0000-0000-0000F03E0000}"/>
    <cellStyle name="Heading 4 3 5" xfId="8367" xr:uid="{00000000-0005-0000-0000-0000F13E0000}"/>
    <cellStyle name="Heading 4 30" xfId="8368" xr:uid="{00000000-0005-0000-0000-0000F23E0000}"/>
    <cellStyle name="Heading 4 30 2" xfId="21693" xr:uid="{00000000-0005-0000-0000-0000F33E0000}"/>
    <cellStyle name="Heading 4 31" xfId="8369" xr:uid="{00000000-0005-0000-0000-0000F43E0000}"/>
    <cellStyle name="Heading 4 31 2" xfId="21694" xr:uid="{00000000-0005-0000-0000-0000F53E0000}"/>
    <cellStyle name="Heading 4 32" xfId="8370" xr:uid="{00000000-0005-0000-0000-0000F63E0000}"/>
    <cellStyle name="Heading 4 32 2" xfId="21695" xr:uid="{00000000-0005-0000-0000-0000F73E0000}"/>
    <cellStyle name="Heading 4 33" xfId="8371" xr:uid="{00000000-0005-0000-0000-0000F83E0000}"/>
    <cellStyle name="Heading 4 33 2" xfId="21696" xr:uid="{00000000-0005-0000-0000-0000F93E0000}"/>
    <cellStyle name="Heading 4 34" xfId="8372" xr:uid="{00000000-0005-0000-0000-0000FA3E0000}"/>
    <cellStyle name="Heading 4 34 2" xfId="21697" xr:uid="{00000000-0005-0000-0000-0000FB3E0000}"/>
    <cellStyle name="Heading 4 35" xfId="8373" xr:uid="{00000000-0005-0000-0000-0000FC3E0000}"/>
    <cellStyle name="Heading 4 35 2" xfId="21698" xr:uid="{00000000-0005-0000-0000-0000FD3E0000}"/>
    <cellStyle name="Heading 4 36" xfId="8374" xr:uid="{00000000-0005-0000-0000-0000FE3E0000}"/>
    <cellStyle name="Heading 4 36 2" xfId="21699" xr:uid="{00000000-0005-0000-0000-0000FF3E0000}"/>
    <cellStyle name="Heading 4 37" xfId="8375" xr:uid="{00000000-0005-0000-0000-0000003F0000}"/>
    <cellStyle name="Heading 4 37 2" xfId="21700" xr:uid="{00000000-0005-0000-0000-0000013F0000}"/>
    <cellStyle name="Heading 4 38" xfId="8376" xr:uid="{00000000-0005-0000-0000-0000023F0000}"/>
    <cellStyle name="Heading 4 38 2" xfId="21701" xr:uid="{00000000-0005-0000-0000-0000033F0000}"/>
    <cellStyle name="Heading 4 39" xfId="8377" xr:uid="{00000000-0005-0000-0000-0000043F0000}"/>
    <cellStyle name="Heading 4 39 2" xfId="21702" xr:uid="{00000000-0005-0000-0000-0000053F0000}"/>
    <cellStyle name="Heading 4 4" xfId="8378" xr:uid="{00000000-0005-0000-0000-0000063F0000}"/>
    <cellStyle name="Heading 4 4 2" xfId="21703" xr:uid="{00000000-0005-0000-0000-0000073F0000}"/>
    <cellStyle name="Heading 4 4 2 2" xfId="31206" xr:uid="{00000000-0005-0000-0000-0000083F0000}"/>
    <cellStyle name="Heading 4 4 3" xfId="31207" xr:uid="{00000000-0005-0000-0000-0000093F0000}"/>
    <cellStyle name="Heading 4 4 4" xfId="31208" xr:uid="{00000000-0005-0000-0000-00000A3F0000}"/>
    <cellStyle name="Heading 4 40" xfId="8379" xr:uid="{00000000-0005-0000-0000-00000B3F0000}"/>
    <cellStyle name="Heading 4 40 2" xfId="21704" xr:uid="{00000000-0005-0000-0000-00000C3F0000}"/>
    <cellStyle name="Heading 4 41" xfId="8380" xr:uid="{00000000-0005-0000-0000-00000D3F0000}"/>
    <cellStyle name="Heading 4 41 2" xfId="21705" xr:uid="{00000000-0005-0000-0000-00000E3F0000}"/>
    <cellStyle name="Heading 4 42" xfId="8381" xr:uid="{00000000-0005-0000-0000-00000F3F0000}"/>
    <cellStyle name="Heading 4 42 2" xfId="21706" xr:uid="{00000000-0005-0000-0000-0000103F0000}"/>
    <cellStyle name="Heading 4 43" xfId="11596" xr:uid="{00000000-0005-0000-0000-0000113F0000}"/>
    <cellStyle name="Heading 4 43 2" xfId="21707" xr:uid="{00000000-0005-0000-0000-0000123F0000}"/>
    <cellStyle name="Heading 4 44" xfId="11525" xr:uid="{00000000-0005-0000-0000-0000133F0000}"/>
    <cellStyle name="Heading 4 44 2" xfId="21708" xr:uid="{00000000-0005-0000-0000-0000143F0000}"/>
    <cellStyle name="Heading 4 45" xfId="21709" xr:uid="{00000000-0005-0000-0000-0000153F0000}"/>
    <cellStyle name="Heading 4 46" xfId="31209" xr:uid="{00000000-0005-0000-0000-0000163F0000}"/>
    <cellStyle name="Heading 4 47" xfId="533" xr:uid="{00000000-0005-0000-0000-0000173F0000}"/>
    <cellStyle name="Heading 4 5" xfId="8382" xr:uid="{00000000-0005-0000-0000-0000183F0000}"/>
    <cellStyle name="Heading 4 5 2" xfId="21710" xr:uid="{00000000-0005-0000-0000-0000193F0000}"/>
    <cellStyle name="Heading 4 5 2 2" xfId="31210" xr:uid="{00000000-0005-0000-0000-00001A3F0000}"/>
    <cellStyle name="Heading 4 5 3" xfId="31211" xr:uid="{00000000-0005-0000-0000-00001B3F0000}"/>
    <cellStyle name="Heading 4 5 4" xfId="31212" xr:uid="{00000000-0005-0000-0000-00001C3F0000}"/>
    <cellStyle name="Heading 4 6" xfId="8383" xr:uid="{00000000-0005-0000-0000-00001D3F0000}"/>
    <cellStyle name="Heading 4 6 2" xfId="21711" xr:uid="{00000000-0005-0000-0000-00001E3F0000}"/>
    <cellStyle name="Heading 4 6 3" xfId="31213" xr:uid="{00000000-0005-0000-0000-00001F3F0000}"/>
    <cellStyle name="Heading 4 7" xfId="8384" xr:uid="{00000000-0005-0000-0000-0000203F0000}"/>
    <cellStyle name="Heading 4 7 2" xfId="21712" xr:uid="{00000000-0005-0000-0000-0000213F0000}"/>
    <cellStyle name="Heading 4 7 3" xfId="31214" xr:uid="{00000000-0005-0000-0000-0000223F0000}"/>
    <cellStyle name="Heading 4 8" xfId="8385" xr:uid="{00000000-0005-0000-0000-0000233F0000}"/>
    <cellStyle name="Heading 4 8 2" xfId="21713" xr:uid="{00000000-0005-0000-0000-0000243F0000}"/>
    <cellStyle name="Heading 4 8 3" xfId="31215" xr:uid="{00000000-0005-0000-0000-0000253F0000}"/>
    <cellStyle name="Heading 4 9" xfId="8386" xr:uid="{00000000-0005-0000-0000-0000263F0000}"/>
    <cellStyle name="Heading 4 9 2" xfId="21714" xr:uid="{00000000-0005-0000-0000-0000273F0000}"/>
    <cellStyle name="Heading 4 9 3" xfId="31216" xr:uid="{00000000-0005-0000-0000-0000283F0000}"/>
    <cellStyle name="Heading1" xfId="31217" xr:uid="{00000000-0005-0000-0000-0000293F0000}"/>
    <cellStyle name="Headline" xfId="534" xr:uid="{00000000-0005-0000-0000-00002A3F0000}"/>
    <cellStyle name="Headline 2" xfId="21715" xr:uid="{00000000-0005-0000-0000-00002B3F0000}"/>
    <cellStyle name="Hide" xfId="535" xr:uid="{00000000-0005-0000-0000-00002C3F0000}"/>
    <cellStyle name="Hide 2" xfId="10842" xr:uid="{00000000-0005-0000-0000-00002D3F0000}"/>
    <cellStyle name="Hide 2 2" xfId="21717" xr:uid="{00000000-0005-0000-0000-00002E3F0000}"/>
    <cellStyle name="Hide 3" xfId="21716" xr:uid="{00000000-0005-0000-0000-00002F3F0000}"/>
    <cellStyle name="Hyperlink" xfId="34331" builtinId="8"/>
    <cellStyle name="Hyperlink 2" xfId="8387" xr:uid="{00000000-0005-0000-0000-0000313F0000}"/>
    <cellStyle name="Hyperlink 2 2" xfId="21718" xr:uid="{00000000-0005-0000-0000-0000323F0000}"/>
    <cellStyle name="IDLEditWorkbookLocalCurrency" xfId="470" xr:uid="{00000000-0005-0000-0000-0000333F0000}"/>
    <cellStyle name="Input" xfId="17" builtinId="20" customBuiltin="1"/>
    <cellStyle name="Input [yellow]" xfId="31218" xr:uid="{00000000-0005-0000-0000-0000353F0000}"/>
    <cellStyle name="Input 10" xfId="8388" xr:uid="{00000000-0005-0000-0000-0000363F0000}"/>
    <cellStyle name="Input 10 2" xfId="21719" xr:uid="{00000000-0005-0000-0000-0000373F0000}"/>
    <cellStyle name="Input 10 3" xfId="31219" xr:uid="{00000000-0005-0000-0000-0000383F0000}"/>
    <cellStyle name="Input 11" xfId="8389" xr:uid="{00000000-0005-0000-0000-0000393F0000}"/>
    <cellStyle name="Input 11 2" xfId="21720" xr:uid="{00000000-0005-0000-0000-00003A3F0000}"/>
    <cellStyle name="Input 11 3" xfId="31220" xr:uid="{00000000-0005-0000-0000-00003B3F0000}"/>
    <cellStyle name="Input 12" xfId="8390" xr:uid="{00000000-0005-0000-0000-00003C3F0000}"/>
    <cellStyle name="Input 12 2" xfId="21721" xr:uid="{00000000-0005-0000-0000-00003D3F0000}"/>
    <cellStyle name="Input 12 3" xfId="31221" xr:uid="{00000000-0005-0000-0000-00003E3F0000}"/>
    <cellStyle name="Input 13" xfId="8391" xr:uid="{00000000-0005-0000-0000-00003F3F0000}"/>
    <cellStyle name="Input 13 2" xfId="21722" xr:uid="{00000000-0005-0000-0000-0000403F0000}"/>
    <cellStyle name="Input 13 3" xfId="31222" xr:uid="{00000000-0005-0000-0000-0000413F0000}"/>
    <cellStyle name="Input 14" xfId="8392" xr:uid="{00000000-0005-0000-0000-0000423F0000}"/>
    <cellStyle name="Input 14 2" xfId="21723" xr:uid="{00000000-0005-0000-0000-0000433F0000}"/>
    <cellStyle name="Input 14 3" xfId="31223" xr:uid="{00000000-0005-0000-0000-0000443F0000}"/>
    <cellStyle name="Input 15" xfId="8393" xr:uid="{00000000-0005-0000-0000-0000453F0000}"/>
    <cellStyle name="Input 15 2" xfId="21724" xr:uid="{00000000-0005-0000-0000-0000463F0000}"/>
    <cellStyle name="Input 15 3" xfId="31224" xr:uid="{00000000-0005-0000-0000-0000473F0000}"/>
    <cellStyle name="Input 16" xfId="8394" xr:uid="{00000000-0005-0000-0000-0000483F0000}"/>
    <cellStyle name="Input 16 2" xfId="21725" xr:uid="{00000000-0005-0000-0000-0000493F0000}"/>
    <cellStyle name="Input 16 3" xfId="31225" xr:uid="{00000000-0005-0000-0000-00004A3F0000}"/>
    <cellStyle name="Input 17" xfId="8395" xr:uid="{00000000-0005-0000-0000-00004B3F0000}"/>
    <cellStyle name="Input 17 2" xfId="21726" xr:uid="{00000000-0005-0000-0000-00004C3F0000}"/>
    <cellStyle name="Input 17 3" xfId="31226" xr:uid="{00000000-0005-0000-0000-00004D3F0000}"/>
    <cellStyle name="Input 18" xfId="8396" xr:uid="{00000000-0005-0000-0000-00004E3F0000}"/>
    <cellStyle name="Input 18 2" xfId="21727" xr:uid="{00000000-0005-0000-0000-00004F3F0000}"/>
    <cellStyle name="Input 19" xfId="8397" xr:uid="{00000000-0005-0000-0000-0000503F0000}"/>
    <cellStyle name="Input 19 2" xfId="21728" xr:uid="{00000000-0005-0000-0000-0000513F0000}"/>
    <cellStyle name="Input 2" xfId="8398" xr:uid="{00000000-0005-0000-0000-0000523F0000}"/>
    <cellStyle name="Input 2 10" xfId="8399" xr:uid="{00000000-0005-0000-0000-0000533F0000}"/>
    <cellStyle name="Input 2 10 2" xfId="21730" xr:uid="{00000000-0005-0000-0000-0000543F0000}"/>
    <cellStyle name="Input 2 11" xfId="8400" xr:uid="{00000000-0005-0000-0000-0000553F0000}"/>
    <cellStyle name="Input 2 11 2" xfId="21731" xr:uid="{00000000-0005-0000-0000-0000563F0000}"/>
    <cellStyle name="Input 2 12" xfId="8401" xr:uid="{00000000-0005-0000-0000-0000573F0000}"/>
    <cellStyle name="Input 2 12 2" xfId="21732" xr:uid="{00000000-0005-0000-0000-0000583F0000}"/>
    <cellStyle name="Input 2 13" xfId="8402" xr:uid="{00000000-0005-0000-0000-0000593F0000}"/>
    <cellStyle name="Input 2 13 2" xfId="21733" xr:uid="{00000000-0005-0000-0000-00005A3F0000}"/>
    <cellStyle name="Input 2 14" xfId="8403" xr:uid="{00000000-0005-0000-0000-00005B3F0000}"/>
    <cellStyle name="Input 2 14 2" xfId="21734" xr:uid="{00000000-0005-0000-0000-00005C3F0000}"/>
    <cellStyle name="Input 2 15" xfId="8404" xr:uid="{00000000-0005-0000-0000-00005D3F0000}"/>
    <cellStyle name="Input 2 15 2" xfId="21735" xr:uid="{00000000-0005-0000-0000-00005E3F0000}"/>
    <cellStyle name="Input 2 16" xfId="8405" xr:uid="{00000000-0005-0000-0000-00005F3F0000}"/>
    <cellStyle name="Input 2 16 2" xfId="8406" xr:uid="{00000000-0005-0000-0000-0000603F0000}"/>
    <cellStyle name="Input 2 16 2 2" xfId="21737" xr:uid="{00000000-0005-0000-0000-0000613F0000}"/>
    <cellStyle name="Input 2 16 3" xfId="21736" xr:uid="{00000000-0005-0000-0000-0000623F0000}"/>
    <cellStyle name="Input 2 17" xfId="8407" xr:uid="{00000000-0005-0000-0000-0000633F0000}"/>
    <cellStyle name="Input 2 17 2" xfId="21738" xr:uid="{00000000-0005-0000-0000-0000643F0000}"/>
    <cellStyle name="Input 2 18" xfId="8408" xr:uid="{00000000-0005-0000-0000-0000653F0000}"/>
    <cellStyle name="Input 2 18 2" xfId="21739" xr:uid="{00000000-0005-0000-0000-0000663F0000}"/>
    <cellStyle name="Input 2 19" xfId="8409" xr:uid="{00000000-0005-0000-0000-0000673F0000}"/>
    <cellStyle name="Input 2 19 2" xfId="21740" xr:uid="{00000000-0005-0000-0000-0000683F0000}"/>
    <cellStyle name="Input 2 2" xfId="8410" xr:uid="{00000000-0005-0000-0000-0000693F0000}"/>
    <cellStyle name="Input 2 2 10" xfId="8411" xr:uid="{00000000-0005-0000-0000-00006A3F0000}"/>
    <cellStyle name="Input 2 2 10 2" xfId="21742" xr:uid="{00000000-0005-0000-0000-00006B3F0000}"/>
    <cellStyle name="Input 2 2 11" xfId="8412" xr:uid="{00000000-0005-0000-0000-00006C3F0000}"/>
    <cellStyle name="Input 2 2 11 2" xfId="21743" xr:uid="{00000000-0005-0000-0000-00006D3F0000}"/>
    <cellStyle name="Input 2 2 12" xfId="8413" xr:uid="{00000000-0005-0000-0000-00006E3F0000}"/>
    <cellStyle name="Input 2 2 12 2" xfId="21744" xr:uid="{00000000-0005-0000-0000-00006F3F0000}"/>
    <cellStyle name="Input 2 2 13" xfId="8414" xr:uid="{00000000-0005-0000-0000-0000703F0000}"/>
    <cellStyle name="Input 2 2 13 2" xfId="21745" xr:uid="{00000000-0005-0000-0000-0000713F0000}"/>
    <cellStyle name="Input 2 2 14" xfId="8415" xr:uid="{00000000-0005-0000-0000-0000723F0000}"/>
    <cellStyle name="Input 2 2 14 2" xfId="8416" xr:uid="{00000000-0005-0000-0000-0000733F0000}"/>
    <cellStyle name="Input 2 2 14 2 2" xfId="21747" xr:uid="{00000000-0005-0000-0000-0000743F0000}"/>
    <cellStyle name="Input 2 2 14 3" xfId="21746" xr:uid="{00000000-0005-0000-0000-0000753F0000}"/>
    <cellStyle name="Input 2 2 15" xfId="8417" xr:uid="{00000000-0005-0000-0000-0000763F0000}"/>
    <cellStyle name="Input 2 2 15 2" xfId="21748" xr:uid="{00000000-0005-0000-0000-0000773F0000}"/>
    <cellStyle name="Input 2 2 16" xfId="8418" xr:uid="{00000000-0005-0000-0000-0000783F0000}"/>
    <cellStyle name="Input 2 2 16 2" xfId="21749" xr:uid="{00000000-0005-0000-0000-0000793F0000}"/>
    <cellStyle name="Input 2 2 17" xfId="8419" xr:uid="{00000000-0005-0000-0000-00007A3F0000}"/>
    <cellStyle name="Input 2 2 17 2" xfId="21750" xr:uid="{00000000-0005-0000-0000-00007B3F0000}"/>
    <cellStyle name="Input 2 2 18" xfId="8420" xr:uid="{00000000-0005-0000-0000-00007C3F0000}"/>
    <cellStyle name="Input 2 2 18 2" xfId="21751" xr:uid="{00000000-0005-0000-0000-00007D3F0000}"/>
    <cellStyle name="Input 2 2 19" xfId="8421" xr:uid="{00000000-0005-0000-0000-00007E3F0000}"/>
    <cellStyle name="Input 2 2 19 2" xfId="21752" xr:uid="{00000000-0005-0000-0000-00007F3F0000}"/>
    <cellStyle name="Input 2 2 2" xfId="8422" xr:uid="{00000000-0005-0000-0000-0000803F0000}"/>
    <cellStyle name="Input 2 2 2 10" xfId="8423" xr:uid="{00000000-0005-0000-0000-0000813F0000}"/>
    <cellStyle name="Input 2 2 2 10 2" xfId="21754" xr:uid="{00000000-0005-0000-0000-0000823F0000}"/>
    <cellStyle name="Input 2 2 2 11" xfId="8424" xr:uid="{00000000-0005-0000-0000-0000833F0000}"/>
    <cellStyle name="Input 2 2 2 11 2" xfId="21755" xr:uid="{00000000-0005-0000-0000-0000843F0000}"/>
    <cellStyle name="Input 2 2 2 12" xfId="8425" xr:uid="{00000000-0005-0000-0000-0000853F0000}"/>
    <cellStyle name="Input 2 2 2 12 2" xfId="21756" xr:uid="{00000000-0005-0000-0000-0000863F0000}"/>
    <cellStyle name="Input 2 2 2 13" xfId="8426" xr:uid="{00000000-0005-0000-0000-0000873F0000}"/>
    <cellStyle name="Input 2 2 2 13 2" xfId="21757" xr:uid="{00000000-0005-0000-0000-0000883F0000}"/>
    <cellStyle name="Input 2 2 2 14" xfId="8427" xr:uid="{00000000-0005-0000-0000-0000893F0000}"/>
    <cellStyle name="Input 2 2 2 14 2" xfId="21758" xr:uid="{00000000-0005-0000-0000-00008A3F0000}"/>
    <cellStyle name="Input 2 2 2 15" xfId="8428" xr:uid="{00000000-0005-0000-0000-00008B3F0000}"/>
    <cellStyle name="Input 2 2 2 15 2" xfId="21759" xr:uid="{00000000-0005-0000-0000-00008C3F0000}"/>
    <cellStyle name="Input 2 2 2 16" xfId="8429" xr:uid="{00000000-0005-0000-0000-00008D3F0000}"/>
    <cellStyle name="Input 2 2 2 16 2" xfId="21760" xr:uid="{00000000-0005-0000-0000-00008E3F0000}"/>
    <cellStyle name="Input 2 2 2 17" xfId="8430" xr:uid="{00000000-0005-0000-0000-00008F3F0000}"/>
    <cellStyle name="Input 2 2 2 17 2" xfId="21761" xr:uid="{00000000-0005-0000-0000-0000903F0000}"/>
    <cellStyle name="Input 2 2 2 18" xfId="8431" xr:uid="{00000000-0005-0000-0000-0000913F0000}"/>
    <cellStyle name="Input 2 2 2 18 2" xfId="21762" xr:uid="{00000000-0005-0000-0000-0000923F0000}"/>
    <cellStyle name="Input 2 2 2 19" xfId="8432" xr:uid="{00000000-0005-0000-0000-0000933F0000}"/>
    <cellStyle name="Input 2 2 2 19 2" xfId="21763" xr:uid="{00000000-0005-0000-0000-0000943F0000}"/>
    <cellStyle name="Input 2 2 2 2" xfId="8433" xr:uid="{00000000-0005-0000-0000-0000953F0000}"/>
    <cellStyle name="Input 2 2 2 2 10" xfId="8434" xr:uid="{00000000-0005-0000-0000-0000963F0000}"/>
    <cellStyle name="Input 2 2 2 2 10 2" xfId="21765" xr:uid="{00000000-0005-0000-0000-0000973F0000}"/>
    <cellStyle name="Input 2 2 2 2 11" xfId="8435" xr:uid="{00000000-0005-0000-0000-0000983F0000}"/>
    <cellStyle name="Input 2 2 2 2 11 2" xfId="21766" xr:uid="{00000000-0005-0000-0000-0000993F0000}"/>
    <cellStyle name="Input 2 2 2 2 12" xfId="8436" xr:uid="{00000000-0005-0000-0000-00009A3F0000}"/>
    <cellStyle name="Input 2 2 2 2 12 2" xfId="21767" xr:uid="{00000000-0005-0000-0000-00009B3F0000}"/>
    <cellStyle name="Input 2 2 2 2 13" xfId="8437" xr:uid="{00000000-0005-0000-0000-00009C3F0000}"/>
    <cellStyle name="Input 2 2 2 2 13 2" xfId="21768" xr:uid="{00000000-0005-0000-0000-00009D3F0000}"/>
    <cellStyle name="Input 2 2 2 2 14" xfId="8438" xr:uid="{00000000-0005-0000-0000-00009E3F0000}"/>
    <cellStyle name="Input 2 2 2 2 14 2" xfId="21769" xr:uid="{00000000-0005-0000-0000-00009F3F0000}"/>
    <cellStyle name="Input 2 2 2 2 15" xfId="8439" xr:uid="{00000000-0005-0000-0000-0000A03F0000}"/>
    <cellStyle name="Input 2 2 2 2 15 2" xfId="21770" xr:uid="{00000000-0005-0000-0000-0000A13F0000}"/>
    <cellStyle name="Input 2 2 2 2 16" xfId="8440" xr:uid="{00000000-0005-0000-0000-0000A23F0000}"/>
    <cellStyle name="Input 2 2 2 2 16 2" xfId="21771" xr:uid="{00000000-0005-0000-0000-0000A33F0000}"/>
    <cellStyle name="Input 2 2 2 2 17" xfId="8441" xr:uid="{00000000-0005-0000-0000-0000A43F0000}"/>
    <cellStyle name="Input 2 2 2 2 17 2" xfId="21772" xr:uid="{00000000-0005-0000-0000-0000A53F0000}"/>
    <cellStyle name="Input 2 2 2 2 18" xfId="8442" xr:uid="{00000000-0005-0000-0000-0000A63F0000}"/>
    <cellStyle name="Input 2 2 2 2 18 2" xfId="21773" xr:uid="{00000000-0005-0000-0000-0000A73F0000}"/>
    <cellStyle name="Input 2 2 2 2 19" xfId="8443" xr:uid="{00000000-0005-0000-0000-0000A83F0000}"/>
    <cellStyle name="Input 2 2 2 2 19 2" xfId="21774" xr:uid="{00000000-0005-0000-0000-0000A93F0000}"/>
    <cellStyle name="Input 2 2 2 2 2" xfId="8444" xr:uid="{00000000-0005-0000-0000-0000AA3F0000}"/>
    <cellStyle name="Input 2 2 2 2 2 10" xfId="8445" xr:uid="{00000000-0005-0000-0000-0000AB3F0000}"/>
    <cellStyle name="Input 2 2 2 2 2 10 2" xfId="21776" xr:uid="{00000000-0005-0000-0000-0000AC3F0000}"/>
    <cellStyle name="Input 2 2 2 2 2 11" xfId="8446" xr:uid="{00000000-0005-0000-0000-0000AD3F0000}"/>
    <cellStyle name="Input 2 2 2 2 2 11 2" xfId="8447" xr:uid="{00000000-0005-0000-0000-0000AE3F0000}"/>
    <cellStyle name="Input 2 2 2 2 2 11 2 2" xfId="21778" xr:uid="{00000000-0005-0000-0000-0000AF3F0000}"/>
    <cellStyle name="Input 2 2 2 2 2 11 3" xfId="21777" xr:uid="{00000000-0005-0000-0000-0000B03F0000}"/>
    <cellStyle name="Input 2 2 2 2 2 12" xfId="21775" xr:uid="{00000000-0005-0000-0000-0000B13F0000}"/>
    <cellStyle name="Input 2 2 2 2 2 2" xfId="8448" xr:uid="{00000000-0005-0000-0000-0000B23F0000}"/>
    <cellStyle name="Input 2 2 2 2 2 2 10" xfId="8449" xr:uid="{00000000-0005-0000-0000-0000B33F0000}"/>
    <cellStyle name="Input 2 2 2 2 2 2 10 2" xfId="21780" xr:uid="{00000000-0005-0000-0000-0000B43F0000}"/>
    <cellStyle name="Input 2 2 2 2 2 2 11" xfId="8450" xr:uid="{00000000-0005-0000-0000-0000B53F0000}"/>
    <cellStyle name="Input 2 2 2 2 2 2 11 2" xfId="8451" xr:uid="{00000000-0005-0000-0000-0000B63F0000}"/>
    <cellStyle name="Input 2 2 2 2 2 2 11 2 2" xfId="21782" xr:uid="{00000000-0005-0000-0000-0000B73F0000}"/>
    <cellStyle name="Input 2 2 2 2 2 2 11 3" xfId="21781" xr:uid="{00000000-0005-0000-0000-0000B83F0000}"/>
    <cellStyle name="Input 2 2 2 2 2 2 12" xfId="21779" xr:uid="{00000000-0005-0000-0000-0000B93F0000}"/>
    <cellStyle name="Input 2 2 2 2 2 2 2" xfId="8452" xr:uid="{00000000-0005-0000-0000-0000BA3F0000}"/>
    <cellStyle name="Input 2 2 2 2 2 2 2 2" xfId="8453" xr:uid="{00000000-0005-0000-0000-0000BB3F0000}"/>
    <cellStyle name="Input 2 2 2 2 2 2 2 2 2" xfId="8454" xr:uid="{00000000-0005-0000-0000-0000BC3F0000}"/>
    <cellStyle name="Input 2 2 2 2 2 2 2 2 2 2" xfId="8455" xr:uid="{00000000-0005-0000-0000-0000BD3F0000}"/>
    <cellStyle name="Input 2 2 2 2 2 2 2 2 2 2 2" xfId="21786" xr:uid="{00000000-0005-0000-0000-0000BE3F0000}"/>
    <cellStyle name="Input 2 2 2 2 2 2 2 2 2 3" xfId="21785" xr:uid="{00000000-0005-0000-0000-0000BF3F0000}"/>
    <cellStyle name="Input 2 2 2 2 2 2 2 2 3" xfId="8456" xr:uid="{00000000-0005-0000-0000-0000C03F0000}"/>
    <cellStyle name="Input 2 2 2 2 2 2 2 2 3 2" xfId="21787" xr:uid="{00000000-0005-0000-0000-0000C13F0000}"/>
    <cellStyle name="Input 2 2 2 2 2 2 2 2 4" xfId="21784" xr:uid="{00000000-0005-0000-0000-0000C23F0000}"/>
    <cellStyle name="Input 2 2 2 2 2 2 2 3" xfId="8457" xr:uid="{00000000-0005-0000-0000-0000C33F0000}"/>
    <cellStyle name="Input 2 2 2 2 2 2 2 3 2" xfId="8458" xr:uid="{00000000-0005-0000-0000-0000C43F0000}"/>
    <cellStyle name="Input 2 2 2 2 2 2 2 3 2 2" xfId="21789" xr:uid="{00000000-0005-0000-0000-0000C53F0000}"/>
    <cellStyle name="Input 2 2 2 2 2 2 2 3 3" xfId="21788" xr:uid="{00000000-0005-0000-0000-0000C63F0000}"/>
    <cellStyle name="Input 2 2 2 2 2 2 2 4" xfId="21783" xr:uid="{00000000-0005-0000-0000-0000C73F0000}"/>
    <cellStyle name="Input 2 2 2 2 2 2 3" xfId="8459" xr:uid="{00000000-0005-0000-0000-0000C83F0000}"/>
    <cellStyle name="Input 2 2 2 2 2 2 3 2" xfId="21790" xr:uid="{00000000-0005-0000-0000-0000C93F0000}"/>
    <cellStyle name="Input 2 2 2 2 2 2 4" xfId="8460" xr:uid="{00000000-0005-0000-0000-0000CA3F0000}"/>
    <cellStyle name="Input 2 2 2 2 2 2 4 2" xfId="21791" xr:uid="{00000000-0005-0000-0000-0000CB3F0000}"/>
    <cellStyle name="Input 2 2 2 2 2 2 5" xfId="8461" xr:uid="{00000000-0005-0000-0000-0000CC3F0000}"/>
    <cellStyle name="Input 2 2 2 2 2 2 5 2" xfId="21792" xr:uid="{00000000-0005-0000-0000-0000CD3F0000}"/>
    <cellStyle name="Input 2 2 2 2 2 2 6" xfId="8462" xr:uid="{00000000-0005-0000-0000-0000CE3F0000}"/>
    <cellStyle name="Input 2 2 2 2 2 2 6 2" xfId="21793" xr:uid="{00000000-0005-0000-0000-0000CF3F0000}"/>
    <cellStyle name="Input 2 2 2 2 2 2 7" xfId="8463" xr:uid="{00000000-0005-0000-0000-0000D03F0000}"/>
    <cellStyle name="Input 2 2 2 2 2 2 7 2" xfId="21794" xr:uid="{00000000-0005-0000-0000-0000D13F0000}"/>
    <cellStyle name="Input 2 2 2 2 2 2 8" xfId="8464" xr:uid="{00000000-0005-0000-0000-0000D23F0000}"/>
    <cellStyle name="Input 2 2 2 2 2 2 8 2" xfId="21795" xr:uid="{00000000-0005-0000-0000-0000D33F0000}"/>
    <cellStyle name="Input 2 2 2 2 2 2 9" xfId="8465" xr:uid="{00000000-0005-0000-0000-0000D43F0000}"/>
    <cellStyle name="Input 2 2 2 2 2 2 9 2" xfId="21796" xr:uid="{00000000-0005-0000-0000-0000D53F0000}"/>
    <cellStyle name="Input 2 2 2 2 2 3" xfId="8466" xr:uid="{00000000-0005-0000-0000-0000D63F0000}"/>
    <cellStyle name="Input 2 2 2 2 2 3 2" xfId="8467" xr:uid="{00000000-0005-0000-0000-0000D73F0000}"/>
    <cellStyle name="Input 2 2 2 2 2 3 2 2" xfId="21798" xr:uid="{00000000-0005-0000-0000-0000D83F0000}"/>
    <cellStyle name="Input 2 2 2 2 2 3 3" xfId="21797" xr:uid="{00000000-0005-0000-0000-0000D93F0000}"/>
    <cellStyle name="Input 2 2 2 2 2 4" xfId="8468" xr:uid="{00000000-0005-0000-0000-0000DA3F0000}"/>
    <cellStyle name="Input 2 2 2 2 2 4 2" xfId="21799" xr:uid="{00000000-0005-0000-0000-0000DB3F0000}"/>
    <cellStyle name="Input 2 2 2 2 2 5" xfId="8469" xr:uid="{00000000-0005-0000-0000-0000DC3F0000}"/>
    <cellStyle name="Input 2 2 2 2 2 5 2" xfId="21800" xr:uid="{00000000-0005-0000-0000-0000DD3F0000}"/>
    <cellStyle name="Input 2 2 2 2 2 6" xfId="8470" xr:uid="{00000000-0005-0000-0000-0000DE3F0000}"/>
    <cellStyle name="Input 2 2 2 2 2 6 2" xfId="21801" xr:uid="{00000000-0005-0000-0000-0000DF3F0000}"/>
    <cellStyle name="Input 2 2 2 2 2 7" xfId="8471" xr:uid="{00000000-0005-0000-0000-0000E03F0000}"/>
    <cellStyle name="Input 2 2 2 2 2 7 2" xfId="21802" xr:uid="{00000000-0005-0000-0000-0000E13F0000}"/>
    <cellStyle name="Input 2 2 2 2 2 8" xfId="8472" xr:uid="{00000000-0005-0000-0000-0000E23F0000}"/>
    <cellStyle name="Input 2 2 2 2 2 8 2" xfId="21803" xr:uid="{00000000-0005-0000-0000-0000E33F0000}"/>
    <cellStyle name="Input 2 2 2 2 2 9" xfId="8473" xr:uid="{00000000-0005-0000-0000-0000E43F0000}"/>
    <cellStyle name="Input 2 2 2 2 2 9 2" xfId="21804" xr:uid="{00000000-0005-0000-0000-0000E53F0000}"/>
    <cellStyle name="Input 2 2 2 2 20" xfId="8474" xr:uid="{00000000-0005-0000-0000-0000E63F0000}"/>
    <cellStyle name="Input 2 2 2 2 20 2" xfId="8475" xr:uid="{00000000-0005-0000-0000-0000E73F0000}"/>
    <cellStyle name="Input 2 2 2 2 20 2 2" xfId="21806" xr:uid="{00000000-0005-0000-0000-0000E83F0000}"/>
    <cellStyle name="Input 2 2 2 2 20 3" xfId="21805" xr:uid="{00000000-0005-0000-0000-0000E93F0000}"/>
    <cellStyle name="Input 2 2 2 2 21" xfId="8476" xr:uid="{00000000-0005-0000-0000-0000EA3F0000}"/>
    <cellStyle name="Input 2 2 2 2 21 2" xfId="21807" xr:uid="{00000000-0005-0000-0000-0000EB3F0000}"/>
    <cellStyle name="Input 2 2 2 2 22" xfId="8477" xr:uid="{00000000-0005-0000-0000-0000EC3F0000}"/>
    <cellStyle name="Input 2 2 2 2 22 2" xfId="21808" xr:uid="{00000000-0005-0000-0000-0000ED3F0000}"/>
    <cellStyle name="Input 2 2 2 2 23" xfId="8478" xr:uid="{00000000-0005-0000-0000-0000EE3F0000}"/>
    <cellStyle name="Input 2 2 2 2 23 2" xfId="21809" xr:uid="{00000000-0005-0000-0000-0000EF3F0000}"/>
    <cellStyle name="Input 2 2 2 2 24" xfId="8479" xr:uid="{00000000-0005-0000-0000-0000F03F0000}"/>
    <cellStyle name="Input 2 2 2 2 24 2" xfId="21810" xr:uid="{00000000-0005-0000-0000-0000F13F0000}"/>
    <cellStyle name="Input 2 2 2 2 25" xfId="8480" xr:uid="{00000000-0005-0000-0000-0000F23F0000}"/>
    <cellStyle name="Input 2 2 2 2 25 2" xfId="21811" xr:uid="{00000000-0005-0000-0000-0000F33F0000}"/>
    <cellStyle name="Input 2 2 2 2 26" xfId="8481" xr:uid="{00000000-0005-0000-0000-0000F43F0000}"/>
    <cellStyle name="Input 2 2 2 2 26 2" xfId="21812" xr:uid="{00000000-0005-0000-0000-0000F53F0000}"/>
    <cellStyle name="Input 2 2 2 2 27" xfId="8482" xr:uid="{00000000-0005-0000-0000-0000F63F0000}"/>
    <cellStyle name="Input 2 2 2 2 27 2" xfId="21813" xr:uid="{00000000-0005-0000-0000-0000F73F0000}"/>
    <cellStyle name="Input 2 2 2 2 28" xfId="8483" xr:uid="{00000000-0005-0000-0000-0000F83F0000}"/>
    <cellStyle name="Input 2 2 2 2 28 2" xfId="8484" xr:uid="{00000000-0005-0000-0000-0000F93F0000}"/>
    <cellStyle name="Input 2 2 2 2 28 2 2" xfId="21815" xr:uid="{00000000-0005-0000-0000-0000FA3F0000}"/>
    <cellStyle name="Input 2 2 2 2 28 3" xfId="21814" xr:uid="{00000000-0005-0000-0000-0000FB3F0000}"/>
    <cellStyle name="Input 2 2 2 2 29" xfId="21764" xr:uid="{00000000-0005-0000-0000-0000FC3F0000}"/>
    <cellStyle name="Input 2 2 2 2 3" xfId="8485" xr:uid="{00000000-0005-0000-0000-0000FD3F0000}"/>
    <cellStyle name="Input 2 2 2 2 3 2" xfId="21816" xr:uid="{00000000-0005-0000-0000-0000FE3F0000}"/>
    <cellStyle name="Input 2 2 2 2 4" xfId="8486" xr:uid="{00000000-0005-0000-0000-0000FF3F0000}"/>
    <cellStyle name="Input 2 2 2 2 4 2" xfId="21817" xr:uid="{00000000-0005-0000-0000-000000400000}"/>
    <cellStyle name="Input 2 2 2 2 5" xfId="8487" xr:uid="{00000000-0005-0000-0000-000001400000}"/>
    <cellStyle name="Input 2 2 2 2 5 2" xfId="21818" xr:uid="{00000000-0005-0000-0000-000002400000}"/>
    <cellStyle name="Input 2 2 2 2 6" xfId="8488" xr:uid="{00000000-0005-0000-0000-000003400000}"/>
    <cellStyle name="Input 2 2 2 2 6 2" xfId="21819" xr:uid="{00000000-0005-0000-0000-000004400000}"/>
    <cellStyle name="Input 2 2 2 2 7" xfId="8489" xr:uid="{00000000-0005-0000-0000-000005400000}"/>
    <cellStyle name="Input 2 2 2 2 7 2" xfId="21820" xr:uid="{00000000-0005-0000-0000-000006400000}"/>
    <cellStyle name="Input 2 2 2 2 8" xfId="8490" xr:uid="{00000000-0005-0000-0000-000007400000}"/>
    <cellStyle name="Input 2 2 2 2 8 2" xfId="21821" xr:uid="{00000000-0005-0000-0000-000008400000}"/>
    <cellStyle name="Input 2 2 2 2 9" xfId="8491" xr:uid="{00000000-0005-0000-0000-000009400000}"/>
    <cellStyle name="Input 2 2 2 2 9 2" xfId="21822" xr:uid="{00000000-0005-0000-0000-00000A400000}"/>
    <cellStyle name="Input 2 2 2 20" xfId="8492" xr:uid="{00000000-0005-0000-0000-00000B400000}"/>
    <cellStyle name="Input 2 2 2 20 2" xfId="8493" xr:uid="{00000000-0005-0000-0000-00000C400000}"/>
    <cellStyle name="Input 2 2 2 20 2 2" xfId="21824" xr:uid="{00000000-0005-0000-0000-00000D400000}"/>
    <cellStyle name="Input 2 2 2 20 3" xfId="21823" xr:uid="{00000000-0005-0000-0000-00000E400000}"/>
    <cellStyle name="Input 2 2 2 21" xfId="8494" xr:uid="{00000000-0005-0000-0000-00000F400000}"/>
    <cellStyle name="Input 2 2 2 21 2" xfId="21825" xr:uid="{00000000-0005-0000-0000-000010400000}"/>
    <cellStyle name="Input 2 2 2 22" xfId="8495" xr:uid="{00000000-0005-0000-0000-000011400000}"/>
    <cellStyle name="Input 2 2 2 22 2" xfId="21826" xr:uid="{00000000-0005-0000-0000-000012400000}"/>
    <cellStyle name="Input 2 2 2 23" xfId="8496" xr:uid="{00000000-0005-0000-0000-000013400000}"/>
    <cellStyle name="Input 2 2 2 23 2" xfId="21827" xr:uid="{00000000-0005-0000-0000-000014400000}"/>
    <cellStyle name="Input 2 2 2 24" xfId="8497" xr:uid="{00000000-0005-0000-0000-000015400000}"/>
    <cellStyle name="Input 2 2 2 24 2" xfId="21828" xr:uid="{00000000-0005-0000-0000-000016400000}"/>
    <cellStyle name="Input 2 2 2 25" xfId="8498" xr:uid="{00000000-0005-0000-0000-000017400000}"/>
    <cellStyle name="Input 2 2 2 25 2" xfId="21829" xr:uid="{00000000-0005-0000-0000-000018400000}"/>
    <cellStyle name="Input 2 2 2 26" xfId="8499" xr:uid="{00000000-0005-0000-0000-000019400000}"/>
    <cellStyle name="Input 2 2 2 26 2" xfId="21830" xr:uid="{00000000-0005-0000-0000-00001A400000}"/>
    <cellStyle name="Input 2 2 2 27" xfId="8500" xr:uid="{00000000-0005-0000-0000-00001B400000}"/>
    <cellStyle name="Input 2 2 2 27 2" xfId="21831" xr:uid="{00000000-0005-0000-0000-00001C400000}"/>
    <cellStyle name="Input 2 2 2 28" xfId="8501" xr:uid="{00000000-0005-0000-0000-00001D400000}"/>
    <cellStyle name="Input 2 2 2 28 2" xfId="8502" xr:uid="{00000000-0005-0000-0000-00001E400000}"/>
    <cellStyle name="Input 2 2 2 28 2 2" xfId="21833" xr:uid="{00000000-0005-0000-0000-00001F400000}"/>
    <cellStyle name="Input 2 2 2 28 3" xfId="21832" xr:uid="{00000000-0005-0000-0000-000020400000}"/>
    <cellStyle name="Input 2 2 2 29" xfId="21753" xr:uid="{00000000-0005-0000-0000-000021400000}"/>
    <cellStyle name="Input 2 2 2 3" xfId="8503" xr:uid="{00000000-0005-0000-0000-000022400000}"/>
    <cellStyle name="Input 2 2 2 3 2" xfId="8504" xr:uid="{00000000-0005-0000-0000-000023400000}"/>
    <cellStyle name="Input 2 2 2 3 2 2" xfId="21835" xr:uid="{00000000-0005-0000-0000-000024400000}"/>
    <cellStyle name="Input 2 2 2 3 3" xfId="21834" xr:uid="{00000000-0005-0000-0000-000025400000}"/>
    <cellStyle name="Input 2 2 2 30" xfId="31227" xr:uid="{00000000-0005-0000-0000-000026400000}"/>
    <cellStyle name="Input 2 2 2 4" xfId="8505" xr:uid="{00000000-0005-0000-0000-000027400000}"/>
    <cellStyle name="Input 2 2 2 4 2" xfId="21836" xr:uid="{00000000-0005-0000-0000-000028400000}"/>
    <cellStyle name="Input 2 2 2 5" xfId="8506" xr:uid="{00000000-0005-0000-0000-000029400000}"/>
    <cellStyle name="Input 2 2 2 5 2" xfId="21837" xr:uid="{00000000-0005-0000-0000-00002A400000}"/>
    <cellStyle name="Input 2 2 2 6" xfId="8507" xr:uid="{00000000-0005-0000-0000-00002B400000}"/>
    <cellStyle name="Input 2 2 2 6 2" xfId="21838" xr:uid="{00000000-0005-0000-0000-00002C400000}"/>
    <cellStyle name="Input 2 2 2 7" xfId="8508" xr:uid="{00000000-0005-0000-0000-00002D400000}"/>
    <cellStyle name="Input 2 2 2 7 2" xfId="21839" xr:uid="{00000000-0005-0000-0000-00002E400000}"/>
    <cellStyle name="Input 2 2 2 8" xfId="8509" xr:uid="{00000000-0005-0000-0000-00002F400000}"/>
    <cellStyle name="Input 2 2 2 8 2" xfId="21840" xr:uid="{00000000-0005-0000-0000-000030400000}"/>
    <cellStyle name="Input 2 2 2 9" xfId="8510" xr:uid="{00000000-0005-0000-0000-000031400000}"/>
    <cellStyle name="Input 2 2 2 9 2" xfId="21841" xr:uid="{00000000-0005-0000-0000-000032400000}"/>
    <cellStyle name="Input 2 2 20" xfId="8511" xr:uid="{00000000-0005-0000-0000-000033400000}"/>
    <cellStyle name="Input 2 2 20 2" xfId="21842" xr:uid="{00000000-0005-0000-0000-000034400000}"/>
    <cellStyle name="Input 2 2 21" xfId="8512" xr:uid="{00000000-0005-0000-0000-000035400000}"/>
    <cellStyle name="Input 2 2 21 2" xfId="21843" xr:uid="{00000000-0005-0000-0000-000036400000}"/>
    <cellStyle name="Input 2 2 22" xfId="8513" xr:uid="{00000000-0005-0000-0000-000037400000}"/>
    <cellStyle name="Input 2 2 22 2" xfId="21844" xr:uid="{00000000-0005-0000-0000-000038400000}"/>
    <cellStyle name="Input 2 2 23" xfId="8514" xr:uid="{00000000-0005-0000-0000-000039400000}"/>
    <cellStyle name="Input 2 2 23 2" xfId="21845" xr:uid="{00000000-0005-0000-0000-00003A400000}"/>
    <cellStyle name="Input 2 2 24" xfId="8515" xr:uid="{00000000-0005-0000-0000-00003B400000}"/>
    <cellStyle name="Input 2 2 24 2" xfId="21846" xr:uid="{00000000-0005-0000-0000-00003C400000}"/>
    <cellStyle name="Input 2 2 25" xfId="8516" xr:uid="{00000000-0005-0000-0000-00003D400000}"/>
    <cellStyle name="Input 2 2 25 2" xfId="21847" xr:uid="{00000000-0005-0000-0000-00003E400000}"/>
    <cellStyle name="Input 2 2 26" xfId="8517" xr:uid="{00000000-0005-0000-0000-00003F400000}"/>
    <cellStyle name="Input 2 2 26 2" xfId="21848" xr:uid="{00000000-0005-0000-0000-000040400000}"/>
    <cellStyle name="Input 2 2 27" xfId="8518" xr:uid="{00000000-0005-0000-0000-000041400000}"/>
    <cellStyle name="Input 2 2 27 2" xfId="21849" xr:uid="{00000000-0005-0000-0000-000042400000}"/>
    <cellStyle name="Input 2 2 28" xfId="8519" xr:uid="{00000000-0005-0000-0000-000043400000}"/>
    <cellStyle name="Input 2 2 28 2" xfId="21850" xr:uid="{00000000-0005-0000-0000-000044400000}"/>
    <cellStyle name="Input 2 2 29" xfId="8520" xr:uid="{00000000-0005-0000-0000-000045400000}"/>
    <cellStyle name="Input 2 2 29 2" xfId="21851" xr:uid="{00000000-0005-0000-0000-000046400000}"/>
    <cellStyle name="Input 2 2 3" xfId="8521" xr:uid="{00000000-0005-0000-0000-000047400000}"/>
    <cellStyle name="Input 2 2 3 2" xfId="21852" xr:uid="{00000000-0005-0000-0000-000048400000}"/>
    <cellStyle name="Input 2 2 30" xfId="8522" xr:uid="{00000000-0005-0000-0000-000049400000}"/>
    <cellStyle name="Input 2 2 30 2" xfId="21853" xr:uid="{00000000-0005-0000-0000-00004A400000}"/>
    <cellStyle name="Input 2 2 31" xfId="8523" xr:uid="{00000000-0005-0000-0000-00004B400000}"/>
    <cellStyle name="Input 2 2 31 2" xfId="8524" xr:uid="{00000000-0005-0000-0000-00004C400000}"/>
    <cellStyle name="Input 2 2 31 2 2" xfId="21855" xr:uid="{00000000-0005-0000-0000-00004D400000}"/>
    <cellStyle name="Input 2 2 31 3" xfId="21854" xr:uid="{00000000-0005-0000-0000-00004E400000}"/>
    <cellStyle name="Input 2 2 32" xfId="8525" xr:uid="{00000000-0005-0000-0000-00004F400000}"/>
    <cellStyle name="Input 2 2 32 2" xfId="21856" xr:uid="{00000000-0005-0000-0000-000050400000}"/>
    <cellStyle name="Input 2 2 33" xfId="8526" xr:uid="{00000000-0005-0000-0000-000051400000}"/>
    <cellStyle name="Input 2 2 33 2" xfId="21857" xr:uid="{00000000-0005-0000-0000-000052400000}"/>
    <cellStyle name="Input 2 2 34" xfId="8527" xr:uid="{00000000-0005-0000-0000-000053400000}"/>
    <cellStyle name="Input 2 2 34 2" xfId="21858" xr:uid="{00000000-0005-0000-0000-000054400000}"/>
    <cellStyle name="Input 2 2 35" xfId="8528" xr:uid="{00000000-0005-0000-0000-000055400000}"/>
    <cellStyle name="Input 2 2 35 2" xfId="21859" xr:uid="{00000000-0005-0000-0000-000056400000}"/>
    <cellStyle name="Input 2 2 36" xfId="8529" xr:uid="{00000000-0005-0000-0000-000057400000}"/>
    <cellStyle name="Input 2 2 36 2" xfId="21860" xr:uid="{00000000-0005-0000-0000-000058400000}"/>
    <cellStyle name="Input 2 2 37" xfId="8530" xr:uid="{00000000-0005-0000-0000-000059400000}"/>
    <cellStyle name="Input 2 2 37 2" xfId="21861" xr:uid="{00000000-0005-0000-0000-00005A400000}"/>
    <cellStyle name="Input 2 2 38" xfId="8531" xr:uid="{00000000-0005-0000-0000-00005B400000}"/>
    <cellStyle name="Input 2 2 38 2" xfId="21862" xr:uid="{00000000-0005-0000-0000-00005C400000}"/>
    <cellStyle name="Input 2 2 39" xfId="8532" xr:uid="{00000000-0005-0000-0000-00005D400000}"/>
    <cellStyle name="Input 2 2 39 2" xfId="8533" xr:uid="{00000000-0005-0000-0000-00005E400000}"/>
    <cellStyle name="Input 2 2 39 2 2" xfId="21864" xr:uid="{00000000-0005-0000-0000-00005F400000}"/>
    <cellStyle name="Input 2 2 39 3" xfId="21863" xr:uid="{00000000-0005-0000-0000-000060400000}"/>
    <cellStyle name="Input 2 2 4" xfId="8534" xr:uid="{00000000-0005-0000-0000-000061400000}"/>
    <cellStyle name="Input 2 2 4 2" xfId="21865" xr:uid="{00000000-0005-0000-0000-000062400000}"/>
    <cellStyle name="Input 2 2 40" xfId="21741" xr:uid="{00000000-0005-0000-0000-000063400000}"/>
    <cellStyle name="Input 2 2 41" xfId="31228" xr:uid="{00000000-0005-0000-0000-000064400000}"/>
    <cellStyle name="Input 2 2 42" xfId="31229" xr:uid="{00000000-0005-0000-0000-000065400000}"/>
    <cellStyle name="Input 2 2 43" xfId="31230" xr:uid="{00000000-0005-0000-0000-000066400000}"/>
    <cellStyle name="Input 2 2 44" xfId="31231" xr:uid="{00000000-0005-0000-0000-000067400000}"/>
    <cellStyle name="Input 2 2 5" xfId="8535" xr:uid="{00000000-0005-0000-0000-000068400000}"/>
    <cellStyle name="Input 2 2 5 2" xfId="21866" xr:uid="{00000000-0005-0000-0000-000069400000}"/>
    <cellStyle name="Input 2 2 6" xfId="8536" xr:uid="{00000000-0005-0000-0000-00006A400000}"/>
    <cellStyle name="Input 2 2 6 2" xfId="21867" xr:uid="{00000000-0005-0000-0000-00006B400000}"/>
    <cellStyle name="Input 2 2 7" xfId="8537" xr:uid="{00000000-0005-0000-0000-00006C400000}"/>
    <cellStyle name="Input 2 2 7 2" xfId="21868" xr:uid="{00000000-0005-0000-0000-00006D400000}"/>
    <cellStyle name="Input 2 2 8" xfId="8538" xr:uid="{00000000-0005-0000-0000-00006E400000}"/>
    <cellStyle name="Input 2 2 8 2" xfId="21869" xr:uid="{00000000-0005-0000-0000-00006F400000}"/>
    <cellStyle name="Input 2 2 9" xfId="8539" xr:uid="{00000000-0005-0000-0000-000070400000}"/>
    <cellStyle name="Input 2 2 9 2" xfId="21870" xr:uid="{00000000-0005-0000-0000-000071400000}"/>
    <cellStyle name="Input 2 2_Loan Classification" xfId="11462" xr:uid="{00000000-0005-0000-0000-000072400000}"/>
    <cellStyle name="Input 2 20" xfId="8540" xr:uid="{00000000-0005-0000-0000-000073400000}"/>
    <cellStyle name="Input 2 20 2" xfId="21871" xr:uid="{00000000-0005-0000-0000-000074400000}"/>
    <cellStyle name="Input 2 21" xfId="8541" xr:uid="{00000000-0005-0000-0000-000075400000}"/>
    <cellStyle name="Input 2 21 2" xfId="21872" xr:uid="{00000000-0005-0000-0000-000076400000}"/>
    <cellStyle name="Input 2 22" xfId="8542" xr:uid="{00000000-0005-0000-0000-000077400000}"/>
    <cellStyle name="Input 2 22 2" xfId="21873" xr:uid="{00000000-0005-0000-0000-000078400000}"/>
    <cellStyle name="Input 2 23" xfId="8543" xr:uid="{00000000-0005-0000-0000-000079400000}"/>
    <cellStyle name="Input 2 23 2" xfId="21874" xr:uid="{00000000-0005-0000-0000-00007A400000}"/>
    <cellStyle name="Input 2 24" xfId="8544" xr:uid="{00000000-0005-0000-0000-00007B400000}"/>
    <cellStyle name="Input 2 24 2" xfId="21875" xr:uid="{00000000-0005-0000-0000-00007C400000}"/>
    <cellStyle name="Input 2 25" xfId="8545" xr:uid="{00000000-0005-0000-0000-00007D400000}"/>
    <cellStyle name="Input 2 25 2" xfId="21876" xr:uid="{00000000-0005-0000-0000-00007E400000}"/>
    <cellStyle name="Input 2 26" xfId="8546" xr:uid="{00000000-0005-0000-0000-00007F400000}"/>
    <cellStyle name="Input 2 26 2" xfId="21877" xr:uid="{00000000-0005-0000-0000-000080400000}"/>
    <cellStyle name="Input 2 27" xfId="8547" xr:uid="{00000000-0005-0000-0000-000081400000}"/>
    <cellStyle name="Input 2 27 2" xfId="21878" xr:uid="{00000000-0005-0000-0000-000082400000}"/>
    <cellStyle name="Input 2 28" xfId="8548" xr:uid="{00000000-0005-0000-0000-000083400000}"/>
    <cellStyle name="Input 2 28 2" xfId="21879" xr:uid="{00000000-0005-0000-0000-000084400000}"/>
    <cellStyle name="Input 2 29" xfId="8549" xr:uid="{00000000-0005-0000-0000-000085400000}"/>
    <cellStyle name="Input 2 29 2" xfId="21880" xr:uid="{00000000-0005-0000-0000-000086400000}"/>
    <cellStyle name="Input 2 3" xfId="8550" xr:uid="{00000000-0005-0000-0000-000087400000}"/>
    <cellStyle name="Input 2 3 2" xfId="21881" xr:uid="{00000000-0005-0000-0000-000088400000}"/>
    <cellStyle name="Input 2 3 2 2" xfId="31232" xr:uid="{00000000-0005-0000-0000-000089400000}"/>
    <cellStyle name="Input 2 3 3" xfId="31233" xr:uid="{00000000-0005-0000-0000-00008A400000}"/>
    <cellStyle name="Input 2 3 4" xfId="31234" xr:uid="{00000000-0005-0000-0000-00008B400000}"/>
    <cellStyle name="Input 2 3 5" xfId="31235" xr:uid="{00000000-0005-0000-0000-00008C400000}"/>
    <cellStyle name="Input 2 30" xfId="8551" xr:uid="{00000000-0005-0000-0000-00008D400000}"/>
    <cellStyle name="Input 2 30 2" xfId="21882" xr:uid="{00000000-0005-0000-0000-00008E400000}"/>
    <cellStyle name="Input 2 31" xfId="8552" xr:uid="{00000000-0005-0000-0000-00008F400000}"/>
    <cellStyle name="Input 2 31 2" xfId="21883" xr:uid="{00000000-0005-0000-0000-000090400000}"/>
    <cellStyle name="Input 2 32" xfId="8553" xr:uid="{00000000-0005-0000-0000-000091400000}"/>
    <cellStyle name="Input 2 32 2" xfId="21884" xr:uid="{00000000-0005-0000-0000-000092400000}"/>
    <cellStyle name="Input 2 33" xfId="8554" xr:uid="{00000000-0005-0000-0000-000093400000}"/>
    <cellStyle name="Input 2 33 2" xfId="8555" xr:uid="{00000000-0005-0000-0000-000094400000}"/>
    <cellStyle name="Input 2 33 2 2" xfId="21886" xr:uid="{00000000-0005-0000-0000-000095400000}"/>
    <cellStyle name="Input 2 33 3" xfId="21885" xr:uid="{00000000-0005-0000-0000-000096400000}"/>
    <cellStyle name="Input 2 34" xfId="8556" xr:uid="{00000000-0005-0000-0000-000097400000}"/>
    <cellStyle name="Input 2 34 2" xfId="21887" xr:uid="{00000000-0005-0000-0000-000098400000}"/>
    <cellStyle name="Input 2 35" xfId="8557" xr:uid="{00000000-0005-0000-0000-000099400000}"/>
    <cellStyle name="Input 2 35 2" xfId="21888" xr:uid="{00000000-0005-0000-0000-00009A400000}"/>
    <cellStyle name="Input 2 36" xfId="8558" xr:uid="{00000000-0005-0000-0000-00009B400000}"/>
    <cellStyle name="Input 2 36 2" xfId="21889" xr:uid="{00000000-0005-0000-0000-00009C400000}"/>
    <cellStyle name="Input 2 37" xfId="8559" xr:uid="{00000000-0005-0000-0000-00009D400000}"/>
    <cellStyle name="Input 2 37 2" xfId="21890" xr:uid="{00000000-0005-0000-0000-00009E400000}"/>
    <cellStyle name="Input 2 38" xfId="8560" xr:uid="{00000000-0005-0000-0000-00009F400000}"/>
    <cellStyle name="Input 2 38 2" xfId="21891" xr:uid="{00000000-0005-0000-0000-0000A0400000}"/>
    <cellStyle name="Input 2 39" xfId="8561" xr:uid="{00000000-0005-0000-0000-0000A1400000}"/>
    <cellStyle name="Input 2 39 2" xfId="21892" xr:uid="{00000000-0005-0000-0000-0000A2400000}"/>
    <cellStyle name="Input 2 4" xfId="8562" xr:uid="{00000000-0005-0000-0000-0000A3400000}"/>
    <cellStyle name="Input 2 4 2" xfId="21893" xr:uid="{00000000-0005-0000-0000-0000A4400000}"/>
    <cellStyle name="Input 2 4 2 2" xfId="31236" xr:uid="{00000000-0005-0000-0000-0000A5400000}"/>
    <cellStyle name="Input 2 4 3" xfId="31237" xr:uid="{00000000-0005-0000-0000-0000A6400000}"/>
    <cellStyle name="Input 2 4 4" xfId="31238" xr:uid="{00000000-0005-0000-0000-0000A7400000}"/>
    <cellStyle name="Input 2 4 5" xfId="31239" xr:uid="{00000000-0005-0000-0000-0000A8400000}"/>
    <cellStyle name="Input 2 40" xfId="8563" xr:uid="{00000000-0005-0000-0000-0000A9400000}"/>
    <cellStyle name="Input 2 40 2" xfId="21894" xr:uid="{00000000-0005-0000-0000-0000AA400000}"/>
    <cellStyle name="Input 2 41" xfId="8564" xr:uid="{00000000-0005-0000-0000-0000AB400000}"/>
    <cellStyle name="Input 2 41 2" xfId="8565" xr:uid="{00000000-0005-0000-0000-0000AC400000}"/>
    <cellStyle name="Input 2 41 2 2" xfId="21896" xr:uid="{00000000-0005-0000-0000-0000AD400000}"/>
    <cellStyle name="Input 2 41 3" xfId="21895" xr:uid="{00000000-0005-0000-0000-0000AE400000}"/>
    <cellStyle name="Input 2 42" xfId="21729" xr:uid="{00000000-0005-0000-0000-0000AF400000}"/>
    <cellStyle name="Input 2 43" xfId="31240" xr:uid="{00000000-0005-0000-0000-0000B0400000}"/>
    <cellStyle name="Input 2 44" xfId="31241" xr:uid="{00000000-0005-0000-0000-0000B1400000}"/>
    <cellStyle name="Input 2 45" xfId="31242" xr:uid="{00000000-0005-0000-0000-0000B2400000}"/>
    <cellStyle name="Input 2 46" xfId="31243" xr:uid="{00000000-0005-0000-0000-0000B3400000}"/>
    <cellStyle name="Input 2 47" xfId="33174" xr:uid="{00000000-0005-0000-0000-0000B4400000}"/>
    <cellStyle name="Input 2 48" xfId="33165" xr:uid="{00000000-0005-0000-0000-0000B5400000}"/>
    <cellStyle name="Input 2 5" xfId="8566" xr:uid="{00000000-0005-0000-0000-0000B6400000}"/>
    <cellStyle name="Input 2 5 2" xfId="8567" xr:uid="{00000000-0005-0000-0000-0000B7400000}"/>
    <cellStyle name="Input 2 5 2 2" xfId="21898" xr:uid="{00000000-0005-0000-0000-0000B8400000}"/>
    <cellStyle name="Input 2 5 3" xfId="21897" xr:uid="{00000000-0005-0000-0000-0000B9400000}"/>
    <cellStyle name="Input 2 5 4" xfId="31244" xr:uid="{00000000-0005-0000-0000-0000BA400000}"/>
    <cellStyle name="Input 2 6" xfId="8568" xr:uid="{00000000-0005-0000-0000-0000BB400000}"/>
    <cellStyle name="Input 2 6 2" xfId="21899" xr:uid="{00000000-0005-0000-0000-0000BC400000}"/>
    <cellStyle name="Input 2 6 3" xfId="31245" xr:uid="{00000000-0005-0000-0000-0000BD400000}"/>
    <cellStyle name="Input 2 7" xfId="8569" xr:uid="{00000000-0005-0000-0000-0000BE400000}"/>
    <cellStyle name="Input 2 7 2" xfId="21900" xr:uid="{00000000-0005-0000-0000-0000BF400000}"/>
    <cellStyle name="Input 2 8" xfId="8570" xr:uid="{00000000-0005-0000-0000-0000C0400000}"/>
    <cellStyle name="Input 2 8 2" xfId="21901" xr:uid="{00000000-0005-0000-0000-0000C1400000}"/>
    <cellStyle name="Input 2 9" xfId="8571" xr:uid="{00000000-0005-0000-0000-0000C2400000}"/>
    <cellStyle name="Input 2 9 2" xfId="21902" xr:uid="{00000000-0005-0000-0000-0000C3400000}"/>
    <cellStyle name="Input 2_Loan Classification" xfId="11461" xr:uid="{00000000-0005-0000-0000-0000C4400000}"/>
    <cellStyle name="Input 20" xfId="8572" xr:uid="{00000000-0005-0000-0000-0000C5400000}"/>
    <cellStyle name="Input 20 2" xfId="21903" xr:uid="{00000000-0005-0000-0000-0000C6400000}"/>
    <cellStyle name="Input 21" xfId="8573" xr:uid="{00000000-0005-0000-0000-0000C7400000}"/>
    <cellStyle name="Input 21 2" xfId="21904" xr:uid="{00000000-0005-0000-0000-0000C8400000}"/>
    <cellStyle name="Input 22" xfId="8574" xr:uid="{00000000-0005-0000-0000-0000C9400000}"/>
    <cellStyle name="Input 22 2" xfId="21905" xr:uid="{00000000-0005-0000-0000-0000CA400000}"/>
    <cellStyle name="Input 23" xfId="8575" xr:uid="{00000000-0005-0000-0000-0000CB400000}"/>
    <cellStyle name="Input 23 2" xfId="21906" xr:uid="{00000000-0005-0000-0000-0000CC400000}"/>
    <cellStyle name="Input 24" xfId="8576" xr:uid="{00000000-0005-0000-0000-0000CD400000}"/>
    <cellStyle name="Input 24 2" xfId="21907" xr:uid="{00000000-0005-0000-0000-0000CE400000}"/>
    <cellStyle name="Input 25" xfId="8577" xr:uid="{00000000-0005-0000-0000-0000CF400000}"/>
    <cellStyle name="Input 25 2" xfId="21908" xr:uid="{00000000-0005-0000-0000-0000D0400000}"/>
    <cellStyle name="Input 26" xfId="8578" xr:uid="{00000000-0005-0000-0000-0000D1400000}"/>
    <cellStyle name="Input 26 2" xfId="21909" xr:uid="{00000000-0005-0000-0000-0000D2400000}"/>
    <cellStyle name="Input 27" xfId="8579" xr:uid="{00000000-0005-0000-0000-0000D3400000}"/>
    <cellStyle name="Input 27 2" xfId="21910" xr:uid="{00000000-0005-0000-0000-0000D4400000}"/>
    <cellStyle name="Input 28" xfId="8580" xr:uid="{00000000-0005-0000-0000-0000D5400000}"/>
    <cellStyle name="Input 28 2" xfId="21911" xr:uid="{00000000-0005-0000-0000-0000D6400000}"/>
    <cellStyle name="Input 29" xfId="8581" xr:uid="{00000000-0005-0000-0000-0000D7400000}"/>
    <cellStyle name="Input 29 2" xfId="21912" xr:uid="{00000000-0005-0000-0000-0000D8400000}"/>
    <cellStyle name="Input 3" xfId="8582" xr:uid="{00000000-0005-0000-0000-0000D9400000}"/>
    <cellStyle name="Input 3 2" xfId="21913" xr:uid="{00000000-0005-0000-0000-0000DA400000}"/>
    <cellStyle name="Input 3 2 2" xfId="31246" xr:uid="{00000000-0005-0000-0000-0000DB400000}"/>
    <cellStyle name="Input 3 3" xfId="31247" xr:uid="{00000000-0005-0000-0000-0000DC400000}"/>
    <cellStyle name="Input 3 4" xfId="31248" xr:uid="{00000000-0005-0000-0000-0000DD400000}"/>
    <cellStyle name="Input 30" xfId="8583" xr:uid="{00000000-0005-0000-0000-0000DE400000}"/>
    <cellStyle name="Input 30 2" xfId="21914" xr:uid="{00000000-0005-0000-0000-0000DF400000}"/>
    <cellStyle name="Input 31" xfId="8584" xr:uid="{00000000-0005-0000-0000-0000E0400000}"/>
    <cellStyle name="Input 31 2" xfId="21915" xr:uid="{00000000-0005-0000-0000-0000E1400000}"/>
    <cellStyle name="Input 32" xfId="8585" xr:uid="{00000000-0005-0000-0000-0000E2400000}"/>
    <cellStyle name="Input 32 2" xfId="21916" xr:uid="{00000000-0005-0000-0000-0000E3400000}"/>
    <cellStyle name="Input 33" xfId="8586" xr:uid="{00000000-0005-0000-0000-0000E4400000}"/>
    <cellStyle name="Input 33 2" xfId="21917" xr:uid="{00000000-0005-0000-0000-0000E5400000}"/>
    <cellStyle name="Input 34" xfId="8587" xr:uid="{00000000-0005-0000-0000-0000E6400000}"/>
    <cellStyle name="Input 34 2" xfId="21918" xr:uid="{00000000-0005-0000-0000-0000E7400000}"/>
    <cellStyle name="Input 35" xfId="8588" xr:uid="{00000000-0005-0000-0000-0000E8400000}"/>
    <cellStyle name="Input 35 2" xfId="21919" xr:uid="{00000000-0005-0000-0000-0000E9400000}"/>
    <cellStyle name="Input 36" xfId="8589" xr:uid="{00000000-0005-0000-0000-0000EA400000}"/>
    <cellStyle name="Input 36 2" xfId="21920" xr:uid="{00000000-0005-0000-0000-0000EB400000}"/>
    <cellStyle name="Input 37" xfId="8590" xr:uid="{00000000-0005-0000-0000-0000EC400000}"/>
    <cellStyle name="Input 37 2" xfId="21921" xr:uid="{00000000-0005-0000-0000-0000ED400000}"/>
    <cellStyle name="Input 38" xfId="8591" xr:uid="{00000000-0005-0000-0000-0000EE400000}"/>
    <cellStyle name="Input 38 2" xfId="21922" xr:uid="{00000000-0005-0000-0000-0000EF400000}"/>
    <cellStyle name="Input 39" xfId="8592" xr:uid="{00000000-0005-0000-0000-0000F0400000}"/>
    <cellStyle name="Input 39 2" xfId="21923" xr:uid="{00000000-0005-0000-0000-0000F1400000}"/>
    <cellStyle name="Input 4" xfId="8593" xr:uid="{00000000-0005-0000-0000-0000F2400000}"/>
    <cellStyle name="Input 4 2" xfId="21924" xr:uid="{00000000-0005-0000-0000-0000F3400000}"/>
    <cellStyle name="Input 4 2 2" xfId="31249" xr:uid="{00000000-0005-0000-0000-0000F4400000}"/>
    <cellStyle name="Input 4 3" xfId="31250" xr:uid="{00000000-0005-0000-0000-0000F5400000}"/>
    <cellStyle name="Input 4 4" xfId="31251" xr:uid="{00000000-0005-0000-0000-0000F6400000}"/>
    <cellStyle name="Input 40" xfId="8594" xr:uid="{00000000-0005-0000-0000-0000F7400000}"/>
    <cellStyle name="Input 40 2" xfId="21925" xr:uid="{00000000-0005-0000-0000-0000F8400000}"/>
    <cellStyle name="Input 41" xfId="8595" xr:uid="{00000000-0005-0000-0000-0000F9400000}"/>
    <cellStyle name="Input 41 2" xfId="21926" xr:uid="{00000000-0005-0000-0000-0000FA400000}"/>
    <cellStyle name="Input 42" xfId="8596" xr:uid="{00000000-0005-0000-0000-0000FB400000}"/>
    <cellStyle name="Input 42 2" xfId="21927" xr:uid="{00000000-0005-0000-0000-0000FC400000}"/>
    <cellStyle name="Input 43" xfId="11597" xr:uid="{00000000-0005-0000-0000-0000FD400000}"/>
    <cellStyle name="Input 43 2" xfId="21928" xr:uid="{00000000-0005-0000-0000-0000FE400000}"/>
    <cellStyle name="Input 44" xfId="11529" xr:uid="{00000000-0005-0000-0000-0000FF400000}"/>
    <cellStyle name="Input 44 2" xfId="21929" xr:uid="{00000000-0005-0000-0000-000000410000}"/>
    <cellStyle name="Input 45" xfId="21930" xr:uid="{00000000-0005-0000-0000-000001410000}"/>
    <cellStyle name="Input 46" xfId="31252" xr:uid="{00000000-0005-0000-0000-000002410000}"/>
    <cellStyle name="Input 47" xfId="31253" xr:uid="{00000000-0005-0000-0000-000003410000}"/>
    <cellStyle name="Input 48" xfId="31254" xr:uid="{00000000-0005-0000-0000-000004410000}"/>
    <cellStyle name="Input 49" xfId="31255" xr:uid="{00000000-0005-0000-0000-000005410000}"/>
    <cellStyle name="Input 5" xfId="8597" xr:uid="{00000000-0005-0000-0000-000006410000}"/>
    <cellStyle name="Input 5 2" xfId="21931" xr:uid="{00000000-0005-0000-0000-000007410000}"/>
    <cellStyle name="Input 5 2 2" xfId="31256" xr:uid="{00000000-0005-0000-0000-000008410000}"/>
    <cellStyle name="Input 5 3" xfId="31257" xr:uid="{00000000-0005-0000-0000-000009410000}"/>
    <cellStyle name="Input 5 4" xfId="31258" xr:uid="{00000000-0005-0000-0000-00000A410000}"/>
    <cellStyle name="Input 50" xfId="34256" xr:uid="{00000000-0005-0000-0000-00000B410000}"/>
    <cellStyle name="Input 51" xfId="34323" xr:uid="{00000000-0005-0000-0000-00000C410000}"/>
    <cellStyle name="Input 52" xfId="536" xr:uid="{00000000-0005-0000-0000-00000D410000}"/>
    <cellStyle name="Input 6" xfId="8598" xr:uid="{00000000-0005-0000-0000-00000E410000}"/>
    <cellStyle name="Input 6 2" xfId="21932" xr:uid="{00000000-0005-0000-0000-00000F410000}"/>
    <cellStyle name="Input 6 3" xfId="31259" xr:uid="{00000000-0005-0000-0000-000010410000}"/>
    <cellStyle name="Input 7" xfId="8599" xr:uid="{00000000-0005-0000-0000-000011410000}"/>
    <cellStyle name="Input 7 2" xfId="21933" xr:uid="{00000000-0005-0000-0000-000012410000}"/>
    <cellStyle name="Input 7 3" xfId="31260" xr:uid="{00000000-0005-0000-0000-000013410000}"/>
    <cellStyle name="Input 8" xfId="8600" xr:uid="{00000000-0005-0000-0000-000014410000}"/>
    <cellStyle name="Input 8 2" xfId="21934" xr:uid="{00000000-0005-0000-0000-000015410000}"/>
    <cellStyle name="Input 8 3" xfId="31261" xr:uid="{00000000-0005-0000-0000-000016410000}"/>
    <cellStyle name="Input 9" xfId="8601" xr:uid="{00000000-0005-0000-0000-000017410000}"/>
    <cellStyle name="Input 9 2" xfId="21935" xr:uid="{00000000-0005-0000-0000-000018410000}"/>
    <cellStyle name="Input 9 3" xfId="31262" xr:uid="{00000000-0005-0000-0000-000019410000}"/>
    <cellStyle name="Insatisfaisant" xfId="31263" xr:uid="{00000000-0005-0000-0000-00001A410000}"/>
    <cellStyle name="Linked Cell" xfId="20" builtinId="24" customBuiltin="1"/>
    <cellStyle name="Linked Cell 10" xfId="8602" xr:uid="{00000000-0005-0000-0000-00001C410000}"/>
    <cellStyle name="Linked Cell 10 2" xfId="21936" xr:uid="{00000000-0005-0000-0000-00001D410000}"/>
    <cellStyle name="Linked Cell 10 3" xfId="31264" xr:uid="{00000000-0005-0000-0000-00001E410000}"/>
    <cellStyle name="Linked Cell 11" xfId="8603" xr:uid="{00000000-0005-0000-0000-00001F410000}"/>
    <cellStyle name="Linked Cell 11 2" xfId="21937" xr:uid="{00000000-0005-0000-0000-000020410000}"/>
    <cellStyle name="Linked Cell 11 3" xfId="31265" xr:uid="{00000000-0005-0000-0000-000021410000}"/>
    <cellStyle name="Linked Cell 12" xfId="8604" xr:uid="{00000000-0005-0000-0000-000022410000}"/>
    <cellStyle name="Linked Cell 12 2" xfId="21938" xr:uid="{00000000-0005-0000-0000-000023410000}"/>
    <cellStyle name="Linked Cell 12 3" xfId="31266" xr:uid="{00000000-0005-0000-0000-000024410000}"/>
    <cellStyle name="Linked Cell 13" xfId="8605" xr:uid="{00000000-0005-0000-0000-000025410000}"/>
    <cellStyle name="Linked Cell 13 2" xfId="21939" xr:uid="{00000000-0005-0000-0000-000026410000}"/>
    <cellStyle name="Linked Cell 13 3" xfId="31267" xr:uid="{00000000-0005-0000-0000-000027410000}"/>
    <cellStyle name="Linked Cell 14" xfId="8606" xr:uid="{00000000-0005-0000-0000-000028410000}"/>
    <cellStyle name="Linked Cell 14 2" xfId="21940" xr:uid="{00000000-0005-0000-0000-000029410000}"/>
    <cellStyle name="Linked Cell 14 3" xfId="31268" xr:uid="{00000000-0005-0000-0000-00002A410000}"/>
    <cellStyle name="Linked Cell 15" xfId="8607" xr:uid="{00000000-0005-0000-0000-00002B410000}"/>
    <cellStyle name="Linked Cell 15 2" xfId="21941" xr:uid="{00000000-0005-0000-0000-00002C410000}"/>
    <cellStyle name="Linked Cell 15 3" xfId="31269" xr:uid="{00000000-0005-0000-0000-00002D410000}"/>
    <cellStyle name="Linked Cell 16" xfId="8608" xr:uid="{00000000-0005-0000-0000-00002E410000}"/>
    <cellStyle name="Linked Cell 16 2" xfId="21942" xr:uid="{00000000-0005-0000-0000-00002F410000}"/>
    <cellStyle name="Linked Cell 16 3" xfId="31270" xr:uid="{00000000-0005-0000-0000-000030410000}"/>
    <cellStyle name="Linked Cell 17" xfId="8609" xr:uid="{00000000-0005-0000-0000-000031410000}"/>
    <cellStyle name="Linked Cell 17 2" xfId="21943" xr:uid="{00000000-0005-0000-0000-000032410000}"/>
    <cellStyle name="Linked Cell 17 3" xfId="31271" xr:uid="{00000000-0005-0000-0000-000033410000}"/>
    <cellStyle name="Linked Cell 18" xfId="8610" xr:uid="{00000000-0005-0000-0000-000034410000}"/>
    <cellStyle name="Linked Cell 18 2" xfId="21944" xr:uid="{00000000-0005-0000-0000-000035410000}"/>
    <cellStyle name="Linked Cell 19" xfId="8611" xr:uid="{00000000-0005-0000-0000-000036410000}"/>
    <cellStyle name="Linked Cell 19 2" xfId="21945" xr:uid="{00000000-0005-0000-0000-000037410000}"/>
    <cellStyle name="Linked Cell 2" xfId="8612" xr:uid="{00000000-0005-0000-0000-000038410000}"/>
    <cellStyle name="Linked Cell 2 10" xfId="8613" xr:uid="{00000000-0005-0000-0000-000039410000}"/>
    <cellStyle name="Linked Cell 2 10 2" xfId="21947" xr:uid="{00000000-0005-0000-0000-00003A410000}"/>
    <cellStyle name="Linked Cell 2 11" xfId="8614" xr:uid="{00000000-0005-0000-0000-00003B410000}"/>
    <cellStyle name="Linked Cell 2 11 2" xfId="21948" xr:uid="{00000000-0005-0000-0000-00003C410000}"/>
    <cellStyle name="Linked Cell 2 12" xfId="8615" xr:uid="{00000000-0005-0000-0000-00003D410000}"/>
    <cellStyle name="Linked Cell 2 12 2" xfId="21949" xr:uid="{00000000-0005-0000-0000-00003E410000}"/>
    <cellStyle name="Linked Cell 2 13" xfId="8616" xr:uid="{00000000-0005-0000-0000-00003F410000}"/>
    <cellStyle name="Linked Cell 2 13 2" xfId="21950" xr:uid="{00000000-0005-0000-0000-000040410000}"/>
    <cellStyle name="Linked Cell 2 14" xfId="8617" xr:uid="{00000000-0005-0000-0000-000041410000}"/>
    <cellStyle name="Linked Cell 2 14 2" xfId="21951" xr:uid="{00000000-0005-0000-0000-000042410000}"/>
    <cellStyle name="Linked Cell 2 15" xfId="8618" xr:uid="{00000000-0005-0000-0000-000043410000}"/>
    <cellStyle name="Linked Cell 2 15 2" xfId="21952" xr:uid="{00000000-0005-0000-0000-000044410000}"/>
    <cellStyle name="Linked Cell 2 16" xfId="8619" xr:uid="{00000000-0005-0000-0000-000045410000}"/>
    <cellStyle name="Linked Cell 2 16 2" xfId="8620" xr:uid="{00000000-0005-0000-0000-000046410000}"/>
    <cellStyle name="Linked Cell 2 16 2 2" xfId="21954" xr:uid="{00000000-0005-0000-0000-000047410000}"/>
    <cellStyle name="Linked Cell 2 16 3" xfId="21953" xr:uid="{00000000-0005-0000-0000-000048410000}"/>
    <cellStyle name="Linked Cell 2 17" xfId="8621" xr:uid="{00000000-0005-0000-0000-000049410000}"/>
    <cellStyle name="Linked Cell 2 17 2" xfId="21955" xr:uid="{00000000-0005-0000-0000-00004A410000}"/>
    <cellStyle name="Linked Cell 2 18" xfId="8622" xr:uid="{00000000-0005-0000-0000-00004B410000}"/>
    <cellStyle name="Linked Cell 2 18 2" xfId="21956" xr:uid="{00000000-0005-0000-0000-00004C410000}"/>
    <cellStyle name="Linked Cell 2 19" xfId="8623" xr:uid="{00000000-0005-0000-0000-00004D410000}"/>
    <cellStyle name="Linked Cell 2 19 2" xfId="21957" xr:uid="{00000000-0005-0000-0000-00004E410000}"/>
    <cellStyle name="Linked Cell 2 2" xfId="8624" xr:uid="{00000000-0005-0000-0000-00004F410000}"/>
    <cellStyle name="Linked Cell 2 2 10" xfId="8625" xr:uid="{00000000-0005-0000-0000-000050410000}"/>
    <cellStyle name="Linked Cell 2 2 10 2" xfId="21959" xr:uid="{00000000-0005-0000-0000-000051410000}"/>
    <cellStyle name="Linked Cell 2 2 11" xfId="8626" xr:uid="{00000000-0005-0000-0000-000052410000}"/>
    <cellStyle name="Linked Cell 2 2 11 2" xfId="21960" xr:uid="{00000000-0005-0000-0000-000053410000}"/>
    <cellStyle name="Linked Cell 2 2 12" xfId="8627" xr:uid="{00000000-0005-0000-0000-000054410000}"/>
    <cellStyle name="Linked Cell 2 2 12 2" xfId="21961" xr:uid="{00000000-0005-0000-0000-000055410000}"/>
    <cellStyle name="Linked Cell 2 2 13" xfId="8628" xr:uid="{00000000-0005-0000-0000-000056410000}"/>
    <cellStyle name="Linked Cell 2 2 13 2" xfId="21962" xr:uid="{00000000-0005-0000-0000-000057410000}"/>
    <cellStyle name="Linked Cell 2 2 14" xfId="8629" xr:uid="{00000000-0005-0000-0000-000058410000}"/>
    <cellStyle name="Linked Cell 2 2 14 2" xfId="8630" xr:uid="{00000000-0005-0000-0000-000059410000}"/>
    <cellStyle name="Linked Cell 2 2 14 2 2" xfId="21964" xr:uid="{00000000-0005-0000-0000-00005A410000}"/>
    <cellStyle name="Linked Cell 2 2 14 3" xfId="21963" xr:uid="{00000000-0005-0000-0000-00005B410000}"/>
    <cellStyle name="Linked Cell 2 2 15" xfId="8631" xr:uid="{00000000-0005-0000-0000-00005C410000}"/>
    <cellStyle name="Linked Cell 2 2 15 2" xfId="21965" xr:uid="{00000000-0005-0000-0000-00005D410000}"/>
    <cellStyle name="Linked Cell 2 2 16" xfId="8632" xr:uid="{00000000-0005-0000-0000-00005E410000}"/>
    <cellStyle name="Linked Cell 2 2 16 2" xfId="21966" xr:uid="{00000000-0005-0000-0000-00005F410000}"/>
    <cellStyle name="Linked Cell 2 2 17" xfId="8633" xr:uid="{00000000-0005-0000-0000-000060410000}"/>
    <cellStyle name="Linked Cell 2 2 17 2" xfId="21967" xr:uid="{00000000-0005-0000-0000-000061410000}"/>
    <cellStyle name="Linked Cell 2 2 18" xfId="8634" xr:uid="{00000000-0005-0000-0000-000062410000}"/>
    <cellStyle name="Linked Cell 2 2 18 2" xfId="21968" xr:uid="{00000000-0005-0000-0000-000063410000}"/>
    <cellStyle name="Linked Cell 2 2 19" xfId="8635" xr:uid="{00000000-0005-0000-0000-000064410000}"/>
    <cellStyle name="Linked Cell 2 2 19 2" xfId="21969" xr:uid="{00000000-0005-0000-0000-000065410000}"/>
    <cellStyle name="Linked Cell 2 2 2" xfId="8636" xr:uid="{00000000-0005-0000-0000-000066410000}"/>
    <cellStyle name="Linked Cell 2 2 2 10" xfId="8637" xr:uid="{00000000-0005-0000-0000-000067410000}"/>
    <cellStyle name="Linked Cell 2 2 2 10 2" xfId="21971" xr:uid="{00000000-0005-0000-0000-000068410000}"/>
    <cellStyle name="Linked Cell 2 2 2 11" xfId="8638" xr:uid="{00000000-0005-0000-0000-000069410000}"/>
    <cellStyle name="Linked Cell 2 2 2 11 2" xfId="21972" xr:uid="{00000000-0005-0000-0000-00006A410000}"/>
    <cellStyle name="Linked Cell 2 2 2 12" xfId="8639" xr:uid="{00000000-0005-0000-0000-00006B410000}"/>
    <cellStyle name="Linked Cell 2 2 2 12 2" xfId="21973" xr:uid="{00000000-0005-0000-0000-00006C410000}"/>
    <cellStyle name="Linked Cell 2 2 2 13" xfId="8640" xr:uid="{00000000-0005-0000-0000-00006D410000}"/>
    <cellStyle name="Linked Cell 2 2 2 13 2" xfId="21974" xr:uid="{00000000-0005-0000-0000-00006E410000}"/>
    <cellStyle name="Linked Cell 2 2 2 14" xfId="8641" xr:uid="{00000000-0005-0000-0000-00006F410000}"/>
    <cellStyle name="Linked Cell 2 2 2 14 2" xfId="21975" xr:uid="{00000000-0005-0000-0000-000070410000}"/>
    <cellStyle name="Linked Cell 2 2 2 15" xfId="8642" xr:uid="{00000000-0005-0000-0000-000071410000}"/>
    <cellStyle name="Linked Cell 2 2 2 15 2" xfId="21976" xr:uid="{00000000-0005-0000-0000-000072410000}"/>
    <cellStyle name="Linked Cell 2 2 2 16" xfId="8643" xr:uid="{00000000-0005-0000-0000-000073410000}"/>
    <cellStyle name="Linked Cell 2 2 2 16 2" xfId="21977" xr:uid="{00000000-0005-0000-0000-000074410000}"/>
    <cellStyle name="Linked Cell 2 2 2 17" xfId="8644" xr:uid="{00000000-0005-0000-0000-000075410000}"/>
    <cellStyle name="Linked Cell 2 2 2 17 2" xfId="21978" xr:uid="{00000000-0005-0000-0000-000076410000}"/>
    <cellStyle name="Linked Cell 2 2 2 18" xfId="8645" xr:uid="{00000000-0005-0000-0000-000077410000}"/>
    <cellStyle name="Linked Cell 2 2 2 18 2" xfId="21979" xr:uid="{00000000-0005-0000-0000-000078410000}"/>
    <cellStyle name="Linked Cell 2 2 2 19" xfId="8646" xr:uid="{00000000-0005-0000-0000-000079410000}"/>
    <cellStyle name="Linked Cell 2 2 2 19 2" xfId="21980" xr:uid="{00000000-0005-0000-0000-00007A410000}"/>
    <cellStyle name="Linked Cell 2 2 2 2" xfId="8647" xr:uid="{00000000-0005-0000-0000-00007B410000}"/>
    <cellStyle name="Linked Cell 2 2 2 2 10" xfId="8648" xr:uid="{00000000-0005-0000-0000-00007C410000}"/>
    <cellStyle name="Linked Cell 2 2 2 2 10 2" xfId="21982" xr:uid="{00000000-0005-0000-0000-00007D410000}"/>
    <cellStyle name="Linked Cell 2 2 2 2 11" xfId="8649" xr:uid="{00000000-0005-0000-0000-00007E410000}"/>
    <cellStyle name="Linked Cell 2 2 2 2 11 2" xfId="21983" xr:uid="{00000000-0005-0000-0000-00007F410000}"/>
    <cellStyle name="Linked Cell 2 2 2 2 12" xfId="8650" xr:uid="{00000000-0005-0000-0000-000080410000}"/>
    <cellStyle name="Linked Cell 2 2 2 2 12 2" xfId="21984" xr:uid="{00000000-0005-0000-0000-000081410000}"/>
    <cellStyle name="Linked Cell 2 2 2 2 13" xfId="8651" xr:uid="{00000000-0005-0000-0000-000082410000}"/>
    <cellStyle name="Linked Cell 2 2 2 2 13 2" xfId="21985" xr:uid="{00000000-0005-0000-0000-000083410000}"/>
    <cellStyle name="Linked Cell 2 2 2 2 14" xfId="8652" xr:uid="{00000000-0005-0000-0000-000084410000}"/>
    <cellStyle name="Linked Cell 2 2 2 2 14 2" xfId="21986" xr:uid="{00000000-0005-0000-0000-000085410000}"/>
    <cellStyle name="Linked Cell 2 2 2 2 15" xfId="8653" xr:uid="{00000000-0005-0000-0000-000086410000}"/>
    <cellStyle name="Linked Cell 2 2 2 2 15 2" xfId="21987" xr:uid="{00000000-0005-0000-0000-000087410000}"/>
    <cellStyle name="Linked Cell 2 2 2 2 16" xfId="8654" xr:uid="{00000000-0005-0000-0000-000088410000}"/>
    <cellStyle name="Linked Cell 2 2 2 2 16 2" xfId="21988" xr:uid="{00000000-0005-0000-0000-000089410000}"/>
    <cellStyle name="Linked Cell 2 2 2 2 17" xfId="8655" xr:uid="{00000000-0005-0000-0000-00008A410000}"/>
    <cellStyle name="Linked Cell 2 2 2 2 17 2" xfId="21989" xr:uid="{00000000-0005-0000-0000-00008B410000}"/>
    <cellStyle name="Linked Cell 2 2 2 2 18" xfId="8656" xr:uid="{00000000-0005-0000-0000-00008C410000}"/>
    <cellStyle name="Linked Cell 2 2 2 2 18 2" xfId="21990" xr:uid="{00000000-0005-0000-0000-00008D410000}"/>
    <cellStyle name="Linked Cell 2 2 2 2 19" xfId="8657" xr:uid="{00000000-0005-0000-0000-00008E410000}"/>
    <cellStyle name="Linked Cell 2 2 2 2 19 2" xfId="21991" xr:uid="{00000000-0005-0000-0000-00008F410000}"/>
    <cellStyle name="Linked Cell 2 2 2 2 2" xfId="8658" xr:uid="{00000000-0005-0000-0000-000090410000}"/>
    <cellStyle name="Linked Cell 2 2 2 2 2 10" xfId="8659" xr:uid="{00000000-0005-0000-0000-000091410000}"/>
    <cellStyle name="Linked Cell 2 2 2 2 2 10 2" xfId="21993" xr:uid="{00000000-0005-0000-0000-000092410000}"/>
    <cellStyle name="Linked Cell 2 2 2 2 2 11" xfId="8660" xr:uid="{00000000-0005-0000-0000-000093410000}"/>
    <cellStyle name="Linked Cell 2 2 2 2 2 11 2" xfId="8661" xr:uid="{00000000-0005-0000-0000-000094410000}"/>
    <cellStyle name="Linked Cell 2 2 2 2 2 11 2 2" xfId="21995" xr:uid="{00000000-0005-0000-0000-000095410000}"/>
    <cellStyle name="Linked Cell 2 2 2 2 2 11 3" xfId="21994" xr:uid="{00000000-0005-0000-0000-000096410000}"/>
    <cellStyle name="Linked Cell 2 2 2 2 2 12" xfId="21992" xr:uid="{00000000-0005-0000-0000-000097410000}"/>
    <cellStyle name="Linked Cell 2 2 2 2 2 2" xfId="8662" xr:uid="{00000000-0005-0000-0000-000098410000}"/>
    <cellStyle name="Linked Cell 2 2 2 2 2 2 10" xfId="8663" xr:uid="{00000000-0005-0000-0000-000099410000}"/>
    <cellStyle name="Linked Cell 2 2 2 2 2 2 10 2" xfId="21997" xr:uid="{00000000-0005-0000-0000-00009A410000}"/>
    <cellStyle name="Linked Cell 2 2 2 2 2 2 11" xfId="8664" xr:uid="{00000000-0005-0000-0000-00009B410000}"/>
    <cellStyle name="Linked Cell 2 2 2 2 2 2 11 2" xfId="8665" xr:uid="{00000000-0005-0000-0000-00009C410000}"/>
    <cellStyle name="Linked Cell 2 2 2 2 2 2 11 2 2" xfId="21999" xr:uid="{00000000-0005-0000-0000-00009D410000}"/>
    <cellStyle name="Linked Cell 2 2 2 2 2 2 11 3" xfId="21998" xr:uid="{00000000-0005-0000-0000-00009E410000}"/>
    <cellStyle name="Linked Cell 2 2 2 2 2 2 12" xfId="21996" xr:uid="{00000000-0005-0000-0000-00009F410000}"/>
    <cellStyle name="Linked Cell 2 2 2 2 2 2 2" xfId="8666" xr:uid="{00000000-0005-0000-0000-0000A0410000}"/>
    <cellStyle name="Linked Cell 2 2 2 2 2 2 2 2" xfId="8667" xr:uid="{00000000-0005-0000-0000-0000A1410000}"/>
    <cellStyle name="Linked Cell 2 2 2 2 2 2 2 2 2" xfId="8668" xr:uid="{00000000-0005-0000-0000-0000A2410000}"/>
    <cellStyle name="Linked Cell 2 2 2 2 2 2 2 2 2 2" xfId="8669" xr:uid="{00000000-0005-0000-0000-0000A3410000}"/>
    <cellStyle name="Linked Cell 2 2 2 2 2 2 2 2 2 2 2" xfId="22003" xr:uid="{00000000-0005-0000-0000-0000A4410000}"/>
    <cellStyle name="Linked Cell 2 2 2 2 2 2 2 2 2 3" xfId="22002" xr:uid="{00000000-0005-0000-0000-0000A5410000}"/>
    <cellStyle name="Linked Cell 2 2 2 2 2 2 2 2 3" xfId="8670" xr:uid="{00000000-0005-0000-0000-0000A6410000}"/>
    <cellStyle name="Linked Cell 2 2 2 2 2 2 2 2 3 2" xfId="22004" xr:uid="{00000000-0005-0000-0000-0000A7410000}"/>
    <cellStyle name="Linked Cell 2 2 2 2 2 2 2 2 4" xfId="22001" xr:uid="{00000000-0005-0000-0000-0000A8410000}"/>
    <cellStyle name="Linked Cell 2 2 2 2 2 2 2 3" xfId="8671" xr:uid="{00000000-0005-0000-0000-0000A9410000}"/>
    <cellStyle name="Linked Cell 2 2 2 2 2 2 2 3 2" xfId="8672" xr:uid="{00000000-0005-0000-0000-0000AA410000}"/>
    <cellStyle name="Linked Cell 2 2 2 2 2 2 2 3 2 2" xfId="22006" xr:uid="{00000000-0005-0000-0000-0000AB410000}"/>
    <cellStyle name="Linked Cell 2 2 2 2 2 2 2 3 3" xfId="22005" xr:uid="{00000000-0005-0000-0000-0000AC410000}"/>
    <cellStyle name="Linked Cell 2 2 2 2 2 2 2 4" xfId="22000" xr:uid="{00000000-0005-0000-0000-0000AD410000}"/>
    <cellStyle name="Linked Cell 2 2 2 2 2 2 3" xfId="8673" xr:uid="{00000000-0005-0000-0000-0000AE410000}"/>
    <cellStyle name="Linked Cell 2 2 2 2 2 2 3 2" xfId="22007" xr:uid="{00000000-0005-0000-0000-0000AF410000}"/>
    <cellStyle name="Linked Cell 2 2 2 2 2 2 4" xfId="8674" xr:uid="{00000000-0005-0000-0000-0000B0410000}"/>
    <cellStyle name="Linked Cell 2 2 2 2 2 2 4 2" xfId="22008" xr:uid="{00000000-0005-0000-0000-0000B1410000}"/>
    <cellStyle name="Linked Cell 2 2 2 2 2 2 5" xfId="8675" xr:uid="{00000000-0005-0000-0000-0000B2410000}"/>
    <cellStyle name="Linked Cell 2 2 2 2 2 2 5 2" xfId="22009" xr:uid="{00000000-0005-0000-0000-0000B3410000}"/>
    <cellStyle name="Linked Cell 2 2 2 2 2 2 6" xfId="8676" xr:uid="{00000000-0005-0000-0000-0000B4410000}"/>
    <cellStyle name="Linked Cell 2 2 2 2 2 2 6 2" xfId="22010" xr:uid="{00000000-0005-0000-0000-0000B5410000}"/>
    <cellStyle name="Linked Cell 2 2 2 2 2 2 7" xfId="8677" xr:uid="{00000000-0005-0000-0000-0000B6410000}"/>
    <cellStyle name="Linked Cell 2 2 2 2 2 2 7 2" xfId="22011" xr:uid="{00000000-0005-0000-0000-0000B7410000}"/>
    <cellStyle name="Linked Cell 2 2 2 2 2 2 8" xfId="8678" xr:uid="{00000000-0005-0000-0000-0000B8410000}"/>
    <cellStyle name="Linked Cell 2 2 2 2 2 2 8 2" xfId="22012" xr:uid="{00000000-0005-0000-0000-0000B9410000}"/>
    <cellStyle name="Linked Cell 2 2 2 2 2 2 9" xfId="8679" xr:uid="{00000000-0005-0000-0000-0000BA410000}"/>
    <cellStyle name="Linked Cell 2 2 2 2 2 2 9 2" xfId="22013" xr:uid="{00000000-0005-0000-0000-0000BB410000}"/>
    <cellStyle name="Linked Cell 2 2 2 2 2 3" xfId="8680" xr:uid="{00000000-0005-0000-0000-0000BC410000}"/>
    <cellStyle name="Linked Cell 2 2 2 2 2 3 2" xfId="8681" xr:uid="{00000000-0005-0000-0000-0000BD410000}"/>
    <cellStyle name="Linked Cell 2 2 2 2 2 3 2 2" xfId="22015" xr:uid="{00000000-0005-0000-0000-0000BE410000}"/>
    <cellStyle name="Linked Cell 2 2 2 2 2 3 3" xfId="22014" xr:uid="{00000000-0005-0000-0000-0000BF410000}"/>
    <cellStyle name="Linked Cell 2 2 2 2 2 4" xfId="8682" xr:uid="{00000000-0005-0000-0000-0000C0410000}"/>
    <cellStyle name="Linked Cell 2 2 2 2 2 4 2" xfId="22016" xr:uid="{00000000-0005-0000-0000-0000C1410000}"/>
    <cellStyle name="Linked Cell 2 2 2 2 2 5" xfId="8683" xr:uid="{00000000-0005-0000-0000-0000C2410000}"/>
    <cellStyle name="Linked Cell 2 2 2 2 2 5 2" xfId="22017" xr:uid="{00000000-0005-0000-0000-0000C3410000}"/>
    <cellStyle name="Linked Cell 2 2 2 2 2 6" xfId="8684" xr:uid="{00000000-0005-0000-0000-0000C4410000}"/>
    <cellStyle name="Linked Cell 2 2 2 2 2 6 2" xfId="22018" xr:uid="{00000000-0005-0000-0000-0000C5410000}"/>
    <cellStyle name="Linked Cell 2 2 2 2 2 7" xfId="8685" xr:uid="{00000000-0005-0000-0000-0000C6410000}"/>
    <cellStyle name="Linked Cell 2 2 2 2 2 7 2" xfId="22019" xr:uid="{00000000-0005-0000-0000-0000C7410000}"/>
    <cellStyle name="Linked Cell 2 2 2 2 2 8" xfId="8686" xr:uid="{00000000-0005-0000-0000-0000C8410000}"/>
    <cellStyle name="Linked Cell 2 2 2 2 2 8 2" xfId="22020" xr:uid="{00000000-0005-0000-0000-0000C9410000}"/>
    <cellStyle name="Linked Cell 2 2 2 2 2 9" xfId="8687" xr:uid="{00000000-0005-0000-0000-0000CA410000}"/>
    <cellStyle name="Linked Cell 2 2 2 2 2 9 2" xfId="22021" xr:uid="{00000000-0005-0000-0000-0000CB410000}"/>
    <cellStyle name="Linked Cell 2 2 2 2 20" xfId="8688" xr:uid="{00000000-0005-0000-0000-0000CC410000}"/>
    <cellStyle name="Linked Cell 2 2 2 2 20 2" xfId="8689" xr:uid="{00000000-0005-0000-0000-0000CD410000}"/>
    <cellStyle name="Linked Cell 2 2 2 2 20 2 2" xfId="22023" xr:uid="{00000000-0005-0000-0000-0000CE410000}"/>
    <cellStyle name="Linked Cell 2 2 2 2 20 3" xfId="22022" xr:uid="{00000000-0005-0000-0000-0000CF410000}"/>
    <cellStyle name="Linked Cell 2 2 2 2 21" xfId="8690" xr:uid="{00000000-0005-0000-0000-0000D0410000}"/>
    <cellStyle name="Linked Cell 2 2 2 2 21 2" xfId="22024" xr:uid="{00000000-0005-0000-0000-0000D1410000}"/>
    <cellStyle name="Linked Cell 2 2 2 2 22" xfId="8691" xr:uid="{00000000-0005-0000-0000-0000D2410000}"/>
    <cellStyle name="Linked Cell 2 2 2 2 22 2" xfId="22025" xr:uid="{00000000-0005-0000-0000-0000D3410000}"/>
    <cellStyle name="Linked Cell 2 2 2 2 23" xfId="8692" xr:uid="{00000000-0005-0000-0000-0000D4410000}"/>
    <cellStyle name="Linked Cell 2 2 2 2 23 2" xfId="22026" xr:uid="{00000000-0005-0000-0000-0000D5410000}"/>
    <cellStyle name="Linked Cell 2 2 2 2 24" xfId="8693" xr:uid="{00000000-0005-0000-0000-0000D6410000}"/>
    <cellStyle name="Linked Cell 2 2 2 2 24 2" xfId="22027" xr:uid="{00000000-0005-0000-0000-0000D7410000}"/>
    <cellStyle name="Linked Cell 2 2 2 2 25" xfId="8694" xr:uid="{00000000-0005-0000-0000-0000D8410000}"/>
    <cellStyle name="Linked Cell 2 2 2 2 25 2" xfId="22028" xr:uid="{00000000-0005-0000-0000-0000D9410000}"/>
    <cellStyle name="Linked Cell 2 2 2 2 26" xfId="8695" xr:uid="{00000000-0005-0000-0000-0000DA410000}"/>
    <cellStyle name="Linked Cell 2 2 2 2 26 2" xfId="22029" xr:uid="{00000000-0005-0000-0000-0000DB410000}"/>
    <cellStyle name="Linked Cell 2 2 2 2 27" xfId="8696" xr:uid="{00000000-0005-0000-0000-0000DC410000}"/>
    <cellStyle name="Linked Cell 2 2 2 2 27 2" xfId="22030" xr:uid="{00000000-0005-0000-0000-0000DD410000}"/>
    <cellStyle name="Linked Cell 2 2 2 2 28" xfId="8697" xr:uid="{00000000-0005-0000-0000-0000DE410000}"/>
    <cellStyle name="Linked Cell 2 2 2 2 28 2" xfId="8698" xr:uid="{00000000-0005-0000-0000-0000DF410000}"/>
    <cellStyle name="Linked Cell 2 2 2 2 28 2 2" xfId="22032" xr:uid="{00000000-0005-0000-0000-0000E0410000}"/>
    <cellStyle name="Linked Cell 2 2 2 2 28 3" xfId="22031" xr:uid="{00000000-0005-0000-0000-0000E1410000}"/>
    <cellStyle name="Linked Cell 2 2 2 2 29" xfId="21981" xr:uid="{00000000-0005-0000-0000-0000E2410000}"/>
    <cellStyle name="Linked Cell 2 2 2 2 3" xfId="8699" xr:uid="{00000000-0005-0000-0000-0000E3410000}"/>
    <cellStyle name="Linked Cell 2 2 2 2 3 2" xfId="22033" xr:uid="{00000000-0005-0000-0000-0000E4410000}"/>
    <cellStyle name="Linked Cell 2 2 2 2 4" xfId="8700" xr:uid="{00000000-0005-0000-0000-0000E5410000}"/>
    <cellStyle name="Linked Cell 2 2 2 2 4 2" xfId="22034" xr:uid="{00000000-0005-0000-0000-0000E6410000}"/>
    <cellStyle name="Linked Cell 2 2 2 2 5" xfId="8701" xr:uid="{00000000-0005-0000-0000-0000E7410000}"/>
    <cellStyle name="Linked Cell 2 2 2 2 5 2" xfId="22035" xr:uid="{00000000-0005-0000-0000-0000E8410000}"/>
    <cellStyle name="Linked Cell 2 2 2 2 6" xfId="8702" xr:uid="{00000000-0005-0000-0000-0000E9410000}"/>
    <cellStyle name="Linked Cell 2 2 2 2 6 2" xfId="22036" xr:uid="{00000000-0005-0000-0000-0000EA410000}"/>
    <cellStyle name="Linked Cell 2 2 2 2 7" xfId="8703" xr:uid="{00000000-0005-0000-0000-0000EB410000}"/>
    <cellStyle name="Linked Cell 2 2 2 2 7 2" xfId="22037" xr:uid="{00000000-0005-0000-0000-0000EC410000}"/>
    <cellStyle name="Linked Cell 2 2 2 2 8" xfId="8704" xr:uid="{00000000-0005-0000-0000-0000ED410000}"/>
    <cellStyle name="Linked Cell 2 2 2 2 8 2" xfId="22038" xr:uid="{00000000-0005-0000-0000-0000EE410000}"/>
    <cellStyle name="Linked Cell 2 2 2 2 9" xfId="8705" xr:uid="{00000000-0005-0000-0000-0000EF410000}"/>
    <cellStyle name="Linked Cell 2 2 2 2 9 2" xfId="22039" xr:uid="{00000000-0005-0000-0000-0000F0410000}"/>
    <cellStyle name="Linked Cell 2 2 2 20" xfId="8706" xr:uid="{00000000-0005-0000-0000-0000F1410000}"/>
    <cellStyle name="Linked Cell 2 2 2 20 2" xfId="8707" xr:uid="{00000000-0005-0000-0000-0000F2410000}"/>
    <cellStyle name="Linked Cell 2 2 2 20 2 2" xfId="22041" xr:uid="{00000000-0005-0000-0000-0000F3410000}"/>
    <cellStyle name="Linked Cell 2 2 2 20 3" xfId="22040" xr:uid="{00000000-0005-0000-0000-0000F4410000}"/>
    <cellStyle name="Linked Cell 2 2 2 21" xfId="8708" xr:uid="{00000000-0005-0000-0000-0000F5410000}"/>
    <cellStyle name="Linked Cell 2 2 2 21 2" xfId="22042" xr:uid="{00000000-0005-0000-0000-0000F6410000}"/>
    <cellStyle name="Linked Cell 2 2 2 22" xfId="8709" xr:uid="{00000000-0005-0000-0000-0000F7410000}"/>
    <cellStyle name="Linked Cell 2 2 2 22 2" xfId="22043" xr:uid="{00000000-0005-0000-0000-0000F8410000}"/>
    <cellStyle name="Linked Cell 2 2 2 23" xfId="8710" xr:uid="{00000000-0005-0000-0000-0000F9410000}"/>
    <cellStyle name="Linked Cell 2 2 2 23 2" xfId="22044" xr:uid="{00000000-0005-0000-0000-0000FA410000}"/>
    <cellStyle name="Linked Cell 2 2 2 24" xfId="8711" xr:uid="{00000000-0005-0000-0000-0000FB410000}"/>
    <cellStyle name="Linked Cell 2 2 2 24 2" xfId="22045" xr:uid="{00000000-0005-0000-0000-0000FC410000}"/>
    <cellStyle name="Linked Cell 2 2 2 25" xfId="8712" xr:uid="{00000000-0005-0000-0000-0000FD410000}"/>
    <cellStyle name="Linked Cell 2 2 2 25 2" xfId="22046" xr:uid="{00000000-0005-0000-0000-0000FE410000}"/>
    <cellStyle name="Linked Cell 2 2 2 26" xfId="8713" xr:uid="{00000000-0005-0000-0000-0000FF410000}"/>
    <cellStyle name="Linked Cell 2 2 2 26 2" xfId="22047" xr:uid="{00000000-0005-0000-0000-000000420000}"/>
    <cellStyle name="Linked Cell 2 2 2 27" xfId="8714" xr:uid="{00000000-0005-0000-0000-000001420000}"/>
    <cellStyle name="Linked Cell 2 2 2 27 2" xfId="22048" xr:uid="{00000000-0005-0000-0000-000002420000}"/>
    <cellStyle name="Linked Cell 2 2 2 28" xfId="8715" xr:uid="{00000000-0005-0000-0000-000003420000}"/>
    <cellStyle name="Linked Cell 2 2 2 28 2" xfId="8716" xr:uid="{00000000-0005-0000-0000-000004420000}"/>
    <cellStyle name="Linked Cell 2 2 2 28 2 2" xfId="22050" xr:uid="{00000000-0005-0000-0000-000005420000}"/>
    <cellStyle name="Linked Cell 2 2 2 28 3" xfId="22049" xr:uid="{00000000-0005-0000-0000-000006420000}"/>
    <cellStyle name="Linked Cell 2 2 2 29" xfId="21970" xr:uid="{00000000-0005-0000-0000-000007420000}"/>
    <cellStyle name="Linked Cell 2 2 2 3" xfId="8717" xr:uid="{00000000-0005-0000-0000-000008420000}"/>
    <cellStyle name="Linked Cell 2 2 2 3 2" xfId="8718" xr:uid="{00000000-0005-0000-0000-000009420000}"/>
    <cellStyle name="Linked Cell 2 2 2 3 2 2" xfId="22052" xr:uid="{00000000-0005-0000-0000-00000A420000}"/>
    <cellStyle name="Linked Cell 2 2 2 3 3" xfId="22051" xr:uid="{00000000-0005-0000-0000-00000B420000}"/>
    <cellStyle name="Linked Cell 2 2 2 30" xfId="31272" xr:uid="{00000000-0005-0000-0000-00000C420000}"/>
    <cellStyle name="Linked Cell 2 2 2 4" xfId="8719" xr:uid="{00000000-0005-0000-0000-00000D420000}"/>
    <cellStyle name="Linked Cell 2 2 2 4 2" xfId="22053" xr:uid="{00000000-0005-0000-0000-00000E420000}"/>
    <cellStyle name="Linked Cell 2 2 2 5" xfId="8720" xr:uid="{00000000-0005-0000-0000-00000F420000}"/>
    <cellStyle name="Linked Cell 2 2 2 5 2" xfId="22054" xr:uid="{00000000-0005-0000-0000-000010420000}"/>
    <cellStyle name="Linked Cell 2 2 2 6" xfId="8721" xr:uid="{00000000-0005-0000-0000-000011420000}"/>
    <cellStyle name="Linked Cell 2 2 2 6 2" xfId="22055" xr:uid="{00000000-0005-0000-0000-000012420000}"/>
    <cellStyle name="Linked Cell 2 2 2 7" xfId="8722" xr:uid="{00000000-0005-0000-0000-000013420000}"/>
    <cellStyle name="Linked Cell 2 2 2 7 2" xfId="22056" xr:uid="{00000000-0005-0000-0000-000014420000}"/>
    <cellStyle name="Linked Cell 2 2 2 8" xfId="8723" xr:uid="{00000000-0005-0000-0000-000015420000}"/>
    <cellStyle name="Linked Cell 2 2 2 8 2" xfId="22057" xr:uid="{00000000-0005-0000-0000-000016420000}"/>
    <cellStyle name="Linked Cell 2 2 2 9" xfId="8724" xr:uid="{00000000-0005-0000-0000-000017420000}"/>
    <cellStyle name="Linked Cell 2 2 2 9 2" xfId="22058" xr:uid="{00000000-0005-0000-0000-000018420000}"/>
    <cellStyle name="Linked Cell 2 2 20" xfId="8725" xr:uid="{00000000-0005-0000-0000-000019420000}"/>
    <cellStyle name="Linked Cell 2 2 20 2" xfId="22059" xr:uid="{00000000-0005-0000-0000-00001A420000}"/>
    <cellStyle name="Linked Cell 2 2 21" xfId="8726" xr:uid="{00000000-0005-0000-0000-00001B420000}"/>
    <cellStyle name="Linked Cell 2 2 21 2" xfId="22060" xr:uid="{00000000-0005-0000-0000-00001C420000}"/>
    <cellStyle name="Linked Cell 2 2 22" xfId="8727" xr:uid="{00000000-0005-0000-0000-00001D420000}"/>
    <cellStyle name="Linked Cell 2 2 22 2" xfId="22061" xr:uid="{00000000-0005-0000-0000-00001E420000}"/>
    <cellStyle name="Linked Cell 2 2 23" xfId="8728" xr:uid="{00000000-0005-0000-0000-00001F420000}"/>
    <cellStyle name="Linked Cell 2 2 23 2" xfId="22062" xr:uid="{00000000-0005-0000-0000-000020420000}"/>
    <cellStyle name="Linked Cell 2 2 24" xfId="8729" xr:uid="{00000000-0005-0000-0000-000021420000}"/>
    <cellStyle name="Linked Cell 2 2 24 2" xfId="22063" xr:uid="{00000000-0005-0000-0000-000022420000}"/>
    <cellStyle name="Linked Cell 2 2 25" xfId="8730" xr:uid="{00000000-0005-0000-0000-000023420000}"/>
    <cellStyle name="Linked Cell 2 2 25 2" xfId="22064" xr:uid="{00000000-0005-0000-0000-000024420000}"/>
    <cellStyle name="Linked Cell 2 2 26" xfId="8731" xr:uid="{00000000-0005-0000-0000-000025420000}"/>
    <cellStyle name="Linked Cell 2 2 26 2" xfId="22065" xr:uid="{00000000-0005-0000-0000-000026420000}"/>
    <cellStyle name="Linked Cell 2 2 27" xfId="8732" xr:uid="{00000000-0005-0000-0000-000027420000}"/>
    <cellStyle name="Linked Cell 2 2 27 2" xfId="22066" xr:uid="{00000000-0005-0000-0000-000028420000}"/>
    <cellStyle name="Linked Cell 2 2 28" xfId="8733" xr:uid="{00000000-0005-0000-0000-000029420000}"/>
    <cellStyle name="Linked Cell 2 2 28 2" xfId="22067" xr:uid="{00000000-0005-0000-0000-00002A420000}"/>
    <cellStyle name="Linked Cell 2 2 29" xfId="8734" xr:uid="{00000000-0005-0000-0000-00002B420000}"/>
    <cellStyle name="Linked Cell 2 2 29 2" xfId="22068" xr:uid="{00000000-0005-0000-0000-00002C420000}"/>
    <cellStyle name="Linked Cell 2 2 3" xfId="8735" xr:uid="{00000000-0005-0000-0000-00002D420000}"/>
    <cellStyle name="Linked Cell 2 2 3 2" xfId="22069" xr:uid="{00000000-0005-0000-0000-00002E420000}"/>
    <cellStyle name="Linked Cell 2 2 30" xfId="8736" xr:uid="{00000000-0005-0000-0000-00002F420000}"/>
    <cellStyle name="Linked Cell 2 2 30 2" xfId="22070" xr:uid="{00000000-0005-0000-0000-000030420000}"/>
    <cellStyle name="Linked Cell 2 2 31" xfId="8737" xr:uid="{00000000-0005-0000-0000-000031420000}"/>
    <cellStyle name="Linked Cell 2 2 31 2" xfId="8738" xr:uid="{00000000-0005-0000-0000-000032420000}"/>
    <cellStyle name="Linked Cell 2 2 31 2 2" xfId="22072" xr:uid="{00000000-0005-0000-0000-000033420000}"/>
    <cellStyle name="Linked Cell 2 2 31 3" xfId="22071" xr:uid="{00000000-0005-0000-0000-000034420000}"/>
    <cellStyle name="Linked Cell 2 2 32" xfId="8739" xr:uid="{00000000-0005-0000-0000-000035420000}"/>
    <cellStyle name="Linked Cell 2 2 32 2" xfId="22073" xr:uid="{00000000-0005-0000-0000-000036420000}"/>
    <cellStyle name="Linked Cell 2 2 33" xfId="8740" xr:uid="{00000000-0005-0000-0000-000037420000}"/>
    <cellStyle name="Linked Cell 2 2 33 2" xfId="22074" xr:uid="{00000000-0005-0000-0000-000038420000}"/>
    <cellStyle name="Linked Cell 2 2 34" xfId="8741" xr:uid="{00000000-0005-0000-0000-000039420000}"/>
    <cellStyle name="Linked Cell 2 2 34 2" xfId="22075" xr:uid="{00000000-0005-0000-0000-00003A420000}"/>
    <cellStyle name="Linked Cell 2 2 35" xfId="8742" xr:uid="{00000000-0005-0000-0000-00003B420000}"/>
    <cellStyle name="Linked Cell 2 2 35 2" xfId="22076" xr:uid="{00000000-0005-0000-0000-00003C420000}"/>
    <cellStyle name="Linked Cell 2 2 36" xfId="8743" xr:uid="{00000000-0005-0000-0000-00003D420000}"/>
    <cellStyle name="Linked Cell 2 2 36 2" xfId="22077" xr:uid="{00000000-0005-0000-0000-00003E420000}"/>
    <cellStyle name="Linked Cell 2 2 37" xfId="8744" xr:uid="{00000000-0005-0000-0000-00003F420000}"/>
    <cellStyle name="Linked Cell 2 2 37 2" xfId="22078" xr:uid="{00000000-0005-0000-0000-000040420000}"/>
    <cellStyle name="Linked Cell 2 2 38" xfId="8745" xr:uid="{00000000-0005-0000-0000-000041420000}"/>
    <cellStyle name="Linked Cell 2 2 38 2" xfId="22079" xr:uid="{00000000-0005-0000-0000-000042420000}"/>
    <cellStyle name="Linked Cell 2 2 39" xfId="8746" xr:uid="{00000000-0005-0000-0000-000043420000}"/>
    <cellStyle name="Linked Cell 2 2 39 2" xfId="8747" xr:uid="{00000000-0005-0000-0000-000044420000}"/>
    <cellStyle name="Linked Cell 2 2 39 2 2" xfId="22081" xr:uid="{00000000-0005-0000-0000-000045420000}"/>
    <cellStyle name="Linked Cell 2 2 39 3" xfId="22080" xr:uid="{00000000-0005-0000-0000-000046420000}"/>
    <cellStyle name="Linked Cell 2 2 4" xfId="8748" xr:uid="{00000000-0005-0000-0000-000047420000}"/>
    <cellStyle name="Linked Cell 2 2 4 2" xfId="22082" xr:uid="{00000000-0005-0000-0000-000048420000}"/>
    <cellStyle name="Linked Cell 2 2 40" xfId="21958" xr:uid="{00000000-0005-0000-0000-000049420000}"/>
    <cellStyle name="Linked Cell 2 2 41" xfId="31273" xr:uid="{00000000-0005-0000-0000-00004A420000}"/>
    <cellStyle name="Linked Cell 2 2 42" xfId="31274" xr:uid="{00000000-0005-0000-0000-00004B420000}"/>
    <cellStyle name="Linked Cell 2 2 5" xfId="8749" xr:uid="{00000000-0005-0000-0000-00004C420000}"/>
    <cellStyle name="Linked Cell 2 2 5 2" xfId="22083" xr:uid="{00000000-0005-0000-0000-00004D420000}"/>
    <cellStyle name="Linked Cell 2 2 6" xfId="8750" xr:uid="{00000000-0005-0000-0000-00004E420000}"/>
    <cellStyle name="Linked Cell 2 2 6 2" xfId="22084" xr:uid="{00000000-0005-0000-0000-00004F420000}"/>
    <cellStyle name="Linked Cell 2 2 7" xfId="8751" xr:uid="{00000000-0005-0000-0000-000050420000}"/>
    <cellStyle name="Linked Cell 2 2 7 2" xfId="22085" xr:uid="{00000000-0005-0000-0000-000051420000}"/>
    <cellStyle name="Linked Cell 2 2 8" xfId="8752" xr:uid="{00000000-0005-0000-0000-000052420000}"/>
    <cellStyle name="Linked Cell 2 2 8 2" xfId="22086" xr:uid="{00000000-0005-0000-0000-000053420000}"/>
    <cellStyle name="Linked Cell 2 2 9" xfId="8753" xr:uid="{00000000-0005-0000-0000-000054420000}"/>
    <cellStyle name="Linked Cell 2 2 9 2" xfId="22087" xr:uid="{00000000-0005-0000-0000-000055420000}"/>
    <cellStyle name="Linked Cell 2 2_Loan Classification" xfId="11464" xr:uid="{00000000-0005-0000-0000-000056420000}"/>
    <cellStyle name="Linked Cell 2 20" xfId="8754" xr:uid="{00000000-0005-0000-0000-000057420000}"/>
    <cellStyle name="Linked Cell 2 20 2" xfId="22088" xr:uid="{00000000-0005-0000-0000-000058420000}"/>
    <cellStyle name="Linked Cell 2 21" xfId="8755" xr:uid="{00000000-0005-0000-0000-000059420000}"/>
    <cellStyle name="Linked Cell 2 21 2" xfId="22089" xr:uid="{00000000-0005-0000-0000-00005A420000}"/>
    <cellStyle name="Linked Cell 2 22" xfId="8756" xr:uid="{00000000-0005-0000-0000-00005B420000}"/>
    <cellStyle name="Linked Cell 2 22 2" xfId="22090" xr:uid="{00000000-0005-0000-0000-00005C420000}"/>
    <cellStyle name="Linked Cell 2 23" xfId="8757" xr:uid="{00000000-0005-0000-0000-00005D420000}"/>
    <cellStyle name="Linked Cell 2 23 2" xfId="22091" xr:uid="{00000000-0005-0000-0000-00005E420000}"/>
    <cellStyle name="Linked Cell 2 24" xfId="8758" xr:uid="{00000000-0005-0000-0000-00005F420000}"/>
    <cellStyle name="Linked Cell 2 24 2" xfId="22092" xr:uid="{00000000-0005-0000-0000-000060420000}"/>
    <cellStyle name="Linked Cell 2 25" xfId="8759" xr:uid="{00000000-0005-0000-0000-000061420000}"/>
    <cellStyle name="Linked Cell 2 25 2" xfId="22093" xr:uid="{00000000-0005-0000-0000-000062420000}"/>
    <cellStyle name="Linked Cell 2 26" xfId="8760" xr:uid="{00000000-0005-0000-0000-000063420000}"/>
    <cellStyle name="Linked Cell 2 26 2" xfId="22094" xr:uid="{00000000-0005-0000-0000-000064420000}"/>
    <cellStyle name="Linked Cell 2 27" xfId="8761" xr:uid="{00000000-0005-0000-0000-000065420000}"/>
    <cellStyle name="Linked Cell 2 27 2" xfId="22095" xr:uid="{00000000-0005-0000-0000-000066420000}"/>
    <cellStyle name="Linked Cell 2 28" xfId="8762" xr:uid="{00000000-0005-0000-0000-000067420000}"/>
    <cellStyle name="Linked Cell 2 28 2" xfId="22096" xr:uid="{00000000-0005-0000-0000-000068420000}"/>
    <cellStyle name="Linked Cell 2 29" xfId="8763" xr:uid="{00000000-0005-0000-0000-000069420000}"/>
    <cellStyle name="Linked Cell 2 29 2" xfId="22097" xr:uid="{00000000-0005-0000-0000-00006A420000}"/>
    <cellStyle name="Linked Cell 2 3" xfId="8764" xr:uid="{00000000-0005-0000-0000-00006B420000}"/>
    <cellStyle name="Linked Cell 2 3 2" xfId="22098" xr:uid="{00000000-0005-0000-0000-00006C420000}"/>
    <cellStyle name="Linked Cell 2 3 2 2" xfId="31275" xr:uid="{00000000-0005-0000-0000-00006D420000}"/>
    <cellStyle name="Linked Cell 2 3 3" xfId="31276" xr:uid="{00000000-0005-0000-0000-00006E420000}"/>
    <cellStyle name="Linked Cell 2 3 4" xfId="31277" xr:uid="{00000000-0005-0000-0000-00006F420000}"/>
    <cellStyle name="Linked Cell 2 3 5" xfId="31278" xr:uid="{00000000-0005-0000-0000-000070420000}"/>
    <cellStyle name="Linked Cell 2 30" xfId="8765" xr:uid="{00000000-0005-0000-0000-000071420000}"/>
    <cellStyle name="Linked Cell 2 30 2" xfId="22099" xr:uid="{00000000-0005-0000-0000-000072420000}"/>
    <cellStyle name="Linked Cell 2 31" xfId="8766" xr:uid="{00000000-0005-0000-0000-000073420000}"/>
    <cellStyle name="Linked Cell 2 31 2" xfId="22100" xr:uid="{00000000-0005-0000-0000-000074420000}"/>
    <cellStyle name="Linked Cell 2 32" xfId="8767" xr:uid="{00000000-0005-0000-0000-000075420000}"/>
    <cellStyle name="Linked Cell 2 32 2" xfId="22101" xr:uid="{00000000-0005-0000-0000-000076420000}"/>
    <cellStyle name="Linked Cell 2 33" xfId="8768" xr:uid="{00000000-0005-0000-0000-000077420000}"/>
    <cellStyle name="Linked Cell 2 33 2" xfId="8769" xr:uid="{00000000-0005-0000-0000-000078420000}"/>
    <cellStyle name="Linked Cell 2 33 2 2" xfId="22103" xr:uid="{00000000-0005-0000-0000-000079420000}"/>
    <cellStyle name="Linked Cell 2 33 3" xfId="22102" xr:uid="{00000000-0005-0000-0000-00007A420000}"/>
    <cellStyle name="Linked Cell 2 34" xfId="8770" xr:uid="{00000000-0005-0000-0000-00007B420000}"/>
    <cellStyle name="Linked Cell 2 34 2" xfId="22104" xr:uid="{00000000-0005-0000-0000-00007C420000}"/>
    <cellStyle name="Linked Cell 2 35" xfId="8771" xr:uid="{00000000-0005-0000-0000-00007D420000}"/>
    <cellStyle name="Linked Cell 2 35 2" xfId="22105" xr:uid="{00000000-0005-0000-0000-00007E420000}"/>
    <cellStyle name="Linked Cell 2 36" xfId="8772" xr:uid="{00000000-0005-0000-0000-00007F420000}"/>
    <cellStyle name="Linked Cell 2 36 2" xfId="22106" xr:uid="{00000000-0005-0000-0000-000080420000}"/>
    <cellStyle name="Linked Cell 2 37" xfId="8773" xr:uid="{00000000-0005-0000-0000-000081420000}"/>
    <cellStyle name="Linked Cell 2 37 2" xfId="22107" xr:uid="{00000000-0005-0000-0000-000082420000}"/>
    <cellStyle name="Linked Cell 2 38" xfId="8774" xr:uid="{00000000-0005-0000-0000-000083420000}"/>
    <cellStyle name="Linked Cell 2 38 2" xfId="22108" xr:uid="{00000000-0005-0000-0000-000084420000}"/>
    <cellStyle name="Linked Cell 2 39" xfId="8775" xr:uid="{00000000-0005-0000-0000-000085420000}"/>
    <cellStyle name="Linked Cell 2 39 2" xfId="22109" xr:uid="{00000000-0005-0000-0000-000086420000}"/>
    <cellStyle name="Linked Cell 2 4" xfId="8776" xr:uid="{00000000-0005-0000-0000-000087420000}"/>
    <cellStyle name="Linked Cell 2 4 2" xfId="22110" xr:uid="{00000000-0005-0000-0000-000088420000}"/>
    <cellStyle name="Linked Cell 2 4 2 2" xfId="31279" xr:uid="{00000000-0005-0000-0000-000089420000}"/>
    <cellStyle name="Linked Cell 2 4 3" xfId="31280" xr:uid="{00000000-0005-0000-0000-00008A420000}"/>
    <cellStyle name="Linked Cell 2 4 4" xfId="31281" xr:uid="{00000000-0005-0000-0000-00008B420000}"/>
    <cellStyle name="Linked Cell 2 4 5" xfId="31282" xr:uid="{00000000-0005-0000-0000-00008C420000}"/>
    <cellStyle name="Linked Cell 2 40" xfId="8777" xr:uid="{00000000-0005-0000-0000-00008D420000}"/>
    <cellStyle name="Linked Cell 2 40 2" xfId="22111" xr:uid="{00000000-0005-0000-0000-00008E420000}"/>
    <cellStyle name="Linked Cell 2 41" xfId="8778" xr:uid="{00000000-0005-0000-0000-00008F420000}"/>
    <cellStyle name="Linked Cell 2 41 2" xfId="8779" xr:uid="{00000000-0005-0000-0000-000090420000}"/>
    <cellStyle name="Linked Cell 2 41 2 2" xfId="22113" xr:uid="{00000000-0005-0000-0000-000091420000}"/>
    <cellStyle name="Linked Cell 2 41 3" xfId="22112" xr:uid="{00000000-0005-0000-0000-000092420000}"/>
    <cellStyle name="Linked Cell 2 42" xfId="21946" xr:uid="{00000000-0005-0000-0000-000093420000}"/>
    <cellStyle name="Linked Cell 2 43" xfId="31283" xr:uid="{00000000-0005-0000-0000-000094420000}"/>
    <cellStyle name="Linked Cell 2 5" xfId="8780" xr:uid="{00000000-0005-0000-0000-000095420000}"/>
    <cellStyle name="Linked Cell 2 5 2" xfId="8781" xr:uid="{00000000-0005-0000-0000-000096420000}"/>
    <cellStyle name="Linked Cell 2 5 2 2" xfId="22115" xr:uid="{00000000-0005-0000-0000-000097420000}"/>
    <cellStyle name="Linked Cell 2 5 3" xfId="22114" xr:uid="{00000000-0005-0000-0000-000098420000}"/>
    <cellStyle name="Linked Cell 2 5 4" xfId="31284" xr:uid="{00000000-0005-0000-0000-000099420000}"/>
    <cellStyle name="Linked Cell 2 6" xfId="8782" xr:uid="{00000000-0005-0000-0000-00009A420000}"/>
    <cellStyle name="Linked Cell 2 6 2" xfId="22116" xr:uid="{00000000-0005-0000-0000-00009B420000}"/>
    <cellStyle name="Linked Cell 2 6 3" xfId="31285" xr:uid="{00000000-0005-0000-0000-00009C420000}"/>
    <cellStyle name="Linked Cell 2 7" xfId="8783" xr:uid="{00000000-0005-0000-0000-00009D420000}"/>
    <cellStyle name="Linked Cell 2 7 2" xfId="22117" xr:uid="{00000000-0005-0000-0000-00009E420000}"/>
    <cellStyle name="Linked Cell 2 8" xfId="8784" xr:uid="{00000000-0005-0000-0000-00009F420000}"/>
    <cellStyle name="Linked Cell 2 8 2" xfId="22118" xr:uid="{00000000-0005-0000-0000-0000A0420000}"/>
    <cellStyle name="Linked Cell 2 9" xfId="8785" xr:uid="{00000000-0005-0000-0000-0000A1420000}"/>
    <cellStyle name="Linked Cell 2 9 2" xfId="22119" xr:uid="{00000000-0005-0000-0000-0000A2420000}"/>
    <cellStyle name="Linked Cell 2_Loan Classification" xfId="11463" xr:uid="{00000000-0005-0000-0000-0000A3420000}"/>
    <cellStyle name="Linked Cell 20" xfId="8786" xr:uid="{00000000-0005-0000-0000-0000A4420000}"/>
    <cellStyle name="Linked Cell 20 2" xfId="22120" xr:uid="{00000000-0005-0000-0000-0000A5420000}"/>
    <cellStyle name="Linked Cell 21" xfId="8787" xr:uid="{00000000-0005-0000-0000-0000A6420000}"/>
    <cellStyle name="Linked Cell 21 2" xfId="22121" xr:uid="{00000000-0005-0000-0000-0000A7420000}"/>
    <cellStyle name="Linked Cell 22" xfId="8788" xr:uid="{00000000-0005-0000-0000-0000A8420000}"/>
    <cellStyle name="Linked Cell 22 2" xfId="22122" xr:uid="{00000000-0005-0000-0000-0000A9420000}"/>
    <cellStyle name="Linked Cell 23" xfId="8789" xr:uid="{00000000-0005-0000-0000-0000AA420000}"/>
    <cellStyle name="Linked Cell 23 2" xfId="22123" xr:uid="{00000000-0005-0000-0000-0000AB420000}"/>
    <cellStyle name="Linked Cell 24" xfId="8790" xr:uid="{00000000-0005-0000-0000-0000AC420000}"/>
    <cellStyle name="Linked Cell 24 2" xfId="22124" xr:uid="{00000000-0005-0000-0000-0000AD420000}"/>
    <cellStyle name="Linked Cell 25" xfId="8791" xr:uid="{00000000-0005-0000-0000-0000AE420000}"/>
    <cellStyle name="Linked Cell 25 2" xfId="22125" xr:uid="{00000000-0005-0000-0000-0000AF420000}"/>
    <cellStyle name="Linked Cell 26" xfId="8792" xr:uid="{00000000-0005-0000-0000-0000B0420000}"/>
    <cellStyle name="Linked Cell 26 2" xfId="22126" xr:uid="{00000000-0005-0000-0000-0000B1420000}"/>
    <cellStyle name="Linked Cell 27" xfId="8793" xr:uid="{00000000-0005-0000-0000-0000B2420000}"/>
    <cellStyle name="Linked Cell 27 2" xfId="22127" xr:uid="{00000000-0005-0000-0000-0000B3420000}"/>
    <cellStyle name="Linked Cell 28" xfId="8794" xr:uid="{00000000-0005-0000-0000-0000B4420000}"/>
    <cellStyle name="Linked Cell 28 2" xfId="22128" xr:uid="{00000000-0005-0000-0000-0000B5420000}"/>
    <cellStyle name="Linked Cell 29" xfId="8795" xr:uid="{00000000-0005-0000-0000-0000B6420000}"/>
    <cellStyle name="Linked Cell 29 2" xfId="22129" xr:uid="{00000000-0005-0000-0000-0000B7420000}"/>
    <cellStyle name="Linked Cell 3" xfId="8796" xr:uid="{00000000-0005-0000-0000-0000B8420000}"/>
    <cellStyle name="Linked Cell 3 2" xfId="22130" xr:uid="{00000000-0005-0000-0000-0000B9420000}"/>
    <cellStyle name="Linked Cell 3 2 2" xfId="31286" xr:uid="{00000000-0005-0000-0000-0000BA420000}"/>
    <cellStyle name="Linked Cell 3 3" xfId="31287" xr:uid="{00000000-0005-0000-0000-0000BB420000}"/>
    <cellStyle name="Linked Cell 3 4" xfId="31288" xr:uid="{00000000-0005-0000-0000-0000BC420000}"/>
    <cellStyle name="Linked Cell 30" xfId="8797" xr:uid="{00000000-0005-0000-0000-0000BD420000}"/>
    <cellStyle name="Linked Cell 30 2" xfId="22131" xr:uid="{00000000-0005-0000-0000-0000BE420000}"/>
    <cellStyle name="Linked Cell 31" xfId="8798" xr:uid="{00000000-0005-0000-0000-0000BF420000}"/>
    <cellStyle name="Linked Cell 31 2" xfId="22132" xr:uid="{00000000-0005-0000-0000-0000C0420000}"/>
    <cellStyle name="Linked Cell 32" xfId="8799" xr:uid="{00000000-0005-0000-0000-0000C1420000}"/>
    <cellStyle name="Linked Cell 32 2" xfId="22133" xr:uid="{00000000-0005-0000-0000-0000C2420000}"/>
    <cellStyle name="Linked Cell 33" xfId="8800" xr:uid="{00000000-0005-0000-0000-0000C3420000}"/>
    <cellStyle name="Linked Cell 33 2" xfId="22134" xr:uid="{00000000-0005-0000-0000-0000C4420000}"/>
    <cellStyle name="Linked Cell 34" xfId="8801" xr:uid="{00000000-0005-0000-0000-0000C5420000}"/>
    <cellStyle name="Linked Cell 34 2" xfId="22135" xr:uid="{00000000-0005-0000-0000-0000C6420000}"/>
    <cellStyle name="Linked Cell 35" xfId="8802" xr:uid="{00000000-0005-0000-0000-0000C7420000}"/>
    <cellStyle name="Linked Cell 35 2" xfId="22136" xr:uid="{00000000-0005-0000-0000-0000C8420000}"/>
    <cellStyle name="Linked Cell 36" xfId="8803" xr:uid="{00000000-0005-0000-0000-0000C9420000}"/>
    <cellStyle name="Linked Cell 36 2" xfId="22137" xr:uid="{00000000-0005-0000-0000-0000CA420000}"/>
    <cellStyle name="Linked Cell 37" xfId="8804" xr:uid="{00000000-0005-0000-0000-0000CB420000}"/>
    <cellStyle name="Linked Cell 37 2" xfId="22138" xr:uid="{00000000-0005-0000-0000-0000CC420000}"/>
    <cellStyle name="Linked Cell 38" xfId="8805" xr:uid="{00000000-0005-0000-0000-0000CD420000}"/>
    <cellStyle name="Linked Cell 38 2" xfId="22139" xr:uid="{00000000-0005-0000-0000-0000CE420000}"/>
    <cellStyle name="Linked Cell 39" xfId="8806" xr:uid="{00000000-0005-0000-0000-0000CF420000}"/>
    <cellStyle name="Linked Cell 39 2" xfId="22140" xr:uid="{00000000-0005-0000-0000-0000D0420000}"/>
    <cellStyle name="Linked Cell 4" xfId="8807" xr:uid="{00000000-0005-0000-0000-0000D1420000}"/>
    <cellStyle name="Linked Cell 4 2" xfId="22141" xr:uid="{00000000-0005-0000-0000-0000D2420000}"/>
    <cellStyle name="Linked Cell 4 2 2" xfId="31289" xr:uid="{00000000-0005-0000-0000-0000D3420000}"/>
    <cellStyle name="Linked Cell 4 3" xfId="31290" xr:uid="{00000000-0005-0000-0000-0000D4420000}"/>
    <cellStyle name="Linked Cell 4 4" xfId="31291" xr:uid="{00000000-0005-0000-0000-0000D5420000}"/>
    <cellStyle name="Linked Cell 40" xfId="8808" xr:uid="{00000000-0005-0000-0000-0000D6420000}"/>
    <cellStyle name="Linked Cell 40 2" xfId="22142" xr:uid="{00000000-0005-0000-0000-0000D7420000}"/>
    <cellStyle name="Linked Cell 41" xfId="8809" xr:uid="{00000000-0005-0000-0000-0000D8420000}"/>
    <cellStyle name="Linked Cell 41 2" xfId="22143" xr:uid="{00000000-0005-0000-0000-0000D9420000}"/>
    <cellStyle name="Linked Cell 42" xfId="8810" xr:uid="{00000000-0005-0000-0000-0000DA420000}"/>
    <cellStyle name="Linked Cell 42 2" xfId="22144" xr:uid="{00000000-0005-0000-0000-0000DB420000}"/>
    <cellStyle name="Linked Cell 43" xfId="11598" xr:uid="{00000000-0005-0000-0000-0000DC420000}"/>
    <cellStyle name="Linked Cell 43 2" xfId="22145" xr:uid="{00000000-0005-0000-0000-0000DD420000}"/>
    <cellStyle name="Linked Cell 44" xfId="11532" xr:uid="{00000000-0005-0000-0000-0000DE420000}"/>
    <cellStyle name="Linked Cell 45" xfId="22146" xr:uid="{00000000-0005-0000-0000-0000DF420000}"/>
    <cellStyle name="Linked Cell 46" xfId="31292" xr:uid="{00000000-0005-0000-0000-0000E0420000}"/>
    <cellStyle name="Linked Cell 47" xfId="537" xr:uid="{00000000-0005-0000-0000-0000E1420000}"/>
    <cellStyle name="Linked Cell 5" xfId="8811" xr:uid="{00000000-0005-0000-0000-0000E2420000}"/>
    <cellStyle name="Linked Cell 5 2" xfId="22147" xr:uid="{00000000-0005-0000-0000-0000E3420000}"/>
    <cellStyle name="Linked Cell 5 2 2" xfId="31293" xr:uid="{00000000-0005-0000-0000-0000E4420000}"/>
    <cellStyle name="Linked Cell 5 3" xfId="31294" xr:uid="{00000000-0005-0000-0000-0000E5420000}"/>
    <cellStyle name="Linked Cell 6" xfId="8812" xr:uid="{00000000-0005-0000-0000-0000E6420000}"/>
    <cellStyle name="Linked Cell 6 2" xfId="22148" xr:uid="{00000000-0005-0000-0000-0000E7420000}"/>
    <cellStyle name="Linked Cell 6 3" xfId="31295" xr:uid="{00000000-0005-0000-0000-0000E8420000}"/>
    <cellStyle name="Linked Cell 7" xfId="8813" xr:uid="{00000000-0005-0000-0000-0000E9420000}"/>
    <cellStyle name="Linked Cell 7 2" xfId="22149" xr:uid="{00000000-0005-0000-0000-0000EA420000}"/>
    <cellStyle name="Linked Cell 7 3" xfId="31296" xr:uid="{00000000-0005-0000-0000-0000EB420000}"/>
    <cellStyle name="Linked Cell 8" xfId="8814" xr:uid="{00000000-0005-0000-0000-0000EC420000}"/>
    <cellStyle name="Linked Cell 8 2" xfId="22150" xr:uid="{00000000-0005-0000-0000-0000ED420000}"/>
    <cellStyle name="Linked Cell 8 3" xfId="31297" xr:uid="{00000000-0005-0000-0000-0000EE420000}"/>
    <cellStyle name="Linked Cell 9" xfId="8815" xr:uid="{00000000-0005-0000-0000-0000EF420000}"/>
    <cellStyle name="Linked Cell 9 2" xfId="22151" xr:uid="{00000000-0005-0000-0000-0000F0420000}"/>
    <cellStyle name="Linked Cell 9 3" xfId="31298" xr:uid="{00000000-0005-0000-0000-0000F1420000}"/>
    <cellStyle name="Neutral" xfId="16" builtinId="28" customBuiltin="1"/>
    <cellStyle name="Neutral 10" xfId="8816" xr:uid="{00000000-0005-0000-0000-0000F3420000}"/>
    <cellStyle name="Neutral 10 2" xfId="22152" xr:uid="{00000000-0005-0000-0000-0000F4420000}"/>
    <cellStyle name="Neutral 10 3" xfId="31299" xr:uid="{00000000-0005-0000-0000-0000F5420000}"/>
    <cellStyle name="Neutral 11" xfId="8817" xr:uid="{00000000-0005-0000-0000-0000F6420000}"/>
    <cellStyle name="Neutral 11 2" xfId="22153" xr:uid="{00000000-0005-0000-0000-0000F7420000}"/>
    <cellStyle name="Neutral 11 3" xfId="31300" xr:uid="{00000000-0005-0000-0000-0000F8420000}"/>
    <cellStyle name="Neutral 12" xfId="8818" xr:uid="{00000000-0005-0000-0000-0000F9420000}"/>
    <cellStyle name="Neutral 12 2" xfId="22154" xr:uid="{00000000-0005-0000-0000-0000FA420000}"/>
    <cellStyle name="Neutral 12 3" xfId="31301" xr:uid="{00000000-0005-0000-0000-0000FB420000}"/>
    <cellStyle name="Neutral 13" xfId="8819" xr:uid="{00000000-0005-0000-0000-0000FC420000}"/>
    <cellStyle name="Neutral 13 2" xfId="22155" xr:uid="{00000000-0005-0000-0000-0000FD420000}"/>
    <cellStyle name="Neutral 13 3" xfId="31302" xr:uid="{00000000-0005-0000-0000-0000FE420000}"/>
    <cellStyle name="Neutral 14" xfId="8820" xr:uid="{00000000-0005-0000-0000-0000FF420000}"/>
    <cellStyle name="Neutral 14 2" xfId="22156" xr:uid="{00000000-0005-0000-0000-000000430000}"/>
    <cellStyle name="Neutral 14 3" xfId="31303" xr:uid="{00000000-0005-0000-0000-000001430000}"/>
    <cellStyle name="Neutral 15" xfId="8821" xr:uid="{00000000-0005-0000-0000-000002430000}"/>
    <cellStyle name="Neutral 15 2" xfId="22157" xr:uid="{00000000-0005-0000-0000-000003430000}"/>
    <cellStyle name="Neutral 15 3" xfId="31304" xr:uid="{00000000-0005-0000-0000-000004430000}"/>
    <cellStyle name="Neutral 16" xfId="8822" xr:uid="{00000000-0005-0000-0000-000005430000}"/>
    <cellStyle name="Neutral 16 2" xfId="22158" xr:uid="{00000000-0005-0000-0000-000006430000}"/>
    <cellStyle name="Neutral 16 3" xfId="31305" xr:uid="{00000000-0005-0000-0000-000007430000}"/>
    <cellStyle name="Neutral 17" xfId="8823" xr:uid="{00000000-0005-0000-0000-000008430000}"/>
    <cellStyle name="Neutral 17 2" xfId="22159" xr:uid="{00000000-0005-0000-0000-000009430000}"/>
    <cellStyle name="Neutral 17 3" xfId="31306" xr:uid="{00000000-0005-0000-0000-00000A430000}"/>
    <cellStyle name="Neutral 18" xfId="8824" xr:uid="{00000000-0005-0000-0000-00000B430000}"/>
    <cellStyle name="Neutral 18 2" xfId="22160" xr:uid="{00000000-0005-0000-0000-00000C430000}"/>
    <cellStyle name="Neutral 19" xfId="8825" xr:uid="{00000000-0005-0000-0000-00000D430000}"/>
    <cellStyle name="Neutral 19 2" xfId="22161" xr:uid="{00000000-0005-0000-0000-00000E430000}"/>
    <cellStyle name="Neutral 2" xfId="8826" xr:uid="{00000000-0005-0000-0000-00000F430000}"/>
    <cellStyle name="Neutral 2 10" xfId="8827" xr:uid="{00000000-0005-0000-0000-000010430000}"/>
    <cellStyle name="Neutral 2 10 2" xfId="22163" xr:uid="{00000000-0005-0000-0000-000011430000}"/>
    <cellStyle name="Neutral 2 11" xfId="8828" xr:uid="{00000000-0005-0000-0000-000012430000}"/>
    <cellStyle name="Neutral 2 11 2" xfId="22164" xr:uid="{00000000-0005-0000-0000-000013430000}"/>
    <cellStyle name="Neutral 2 12" xfId="8829" xr:uid="{00000000-0005-0000-0000-000014430000}"/>
    <cellStyle name="Neutral 2 12 2" xfId="22165" xr:uid="{00000000-0005-0000-0000-000015430000}"/>
    <cellStyle name="Neutral 2 13" xfId="8830" xr:uid="{00000000-0005-0000-0000-000016430000}"/>
    <cellStyle name="Neutral 2 13 2" xfId="22166" xr:uid="{00000000-0005-0000-0000-000017430000}"/>
    <cellStyle name="Neutral 2 14" xfId="8831" xr:uid="{00000000-0005-0000-0000-000018430000}"/>
    <cellStyle name="Neutral 2 14 2" xfId="22167" xr:uid="{00000000-0005-0000-0000-000019430000}"/>
    <cellStyle name="Neutral 2 15" xfId="8832" xr:uid="{00000000-0005-0000-0000-00001A430000}"/>
    <cellStyle name="Neutral 2 15 2" xfId="22168" xr:uid="{00000000-0005-0000-0000-00001B430000}"/>
    <cellStyle name="Neutral 2 16" xfId="8833" xr:uid="{00000000-0005-0000-0000-00001C430000}"/>
    <cellStyle name="Neutral 2 16 2" xfId="8834" xr:uid="{00000000-0005-0000-0000-00001D430000}"/>
    <cellStyle name="Neutral 2 16 2 2" xfId="22170" xr:uid="{00000000-0005-0000-0000-00001E430000}"/>
    <cellStyle name="Neutral 2 16 3" xfId="22169" xr:uid="{00000000-0005-0000-0000-00001F430000}"/>
    <cellStyle name="Neutral 2 17" xfId="8835" xr:uid="{00000000-0005-0000-0000-000020430000}"/>
    <cellStyle name="Neutral 2 17 2" xfId="22171" xr:uid="{00000000-0005-0000-0000-000021430000}"/>
    <cellStyle name="Neutral 2 18" xfId="8836" xr:uid="{00000000-0005-0000-0000-000022430000}"/>
    <cellStyle name="Neutral 2 18 2" xfId="22172" xr:uid="{00000000-0005-0000-0000-000023430000}"/>
    <cellStyle name="Neutral 2 19" xfId="8837" xr:uid="{00000000-0005-0000-0000-000024430000}"/>
    <cellStyle name="Neutral 2 19 2" xfId="22173" xr:uid="{00000000-0005-0000-0000-000025430000}"/>
    <cellStyle name="Neutral 2 2" xfId="8838" xr:uid="{00000000-0005-0000-0000-000026430000}"/>
    <cellStyle name="Neutral 2 2 10" xfId="8839" xr:uid="{00000000-0005-0000-0000-000027430000}"/>
    <cellStyle name="Neutral 2 2 10 2" xfId="22175" xr:uid="{00000000-0005-0000-0000-000028430000}"/>
    <cellStyle name="Neutral 2 2 11" xfId="8840" xr:uid="{00000000-0005-0000-0000-000029430000}"/>
    <cellStyle name="Neutral 2 2 11 2" xfId="22176" xr:uid="{00000000-0005-0000-0000-00002A430000}"/>
    <cellStyle name="Neutral 2 2 12" xfId="8841" xr:uid="{00000000-0005-0000-0000-00002B430000}"/>
    <cellStyle name="Neutral 2 2 12 2" xfId="22177" xr:uid="{00000000-0005-0000-0000-00002C430000}"/>
    <cellStyle name="Neutral 2 2 13" xfId="8842" xr:uid="{00000000-0005-0000-0000-00002D430000}"/>
    <cellStyle name="Neutral 2 2 13 2" xfId="22178" xr:uid="{00000000-0005-0000-0000-00002E430000}"/>
    <cellStyle name="Neutral 2 2 14" xfId="8843" xr:uid="{00000000-0005-0000-0000-00002F430000}"/>
    <cellStyle name="Neutral 2 2 14 2" xfId="8844" xr:uid="{00000000-0005-0000-0000-000030430000}"/>
    <cellStyle name="Neutral 2 2 14 2 2" xfId="22180" xr:uid="{00000000-0005-0000-0000-000031430000}"/>
    <cellStyle name="Neutral 2 2 14 3" xfId="22179" xr:uid="{00000000-0005-0000-0000-000032430000}"/>
    <cellStyle name="Neutral 2 2 15" xfId="8845" xr:uid="{00000000-0005-0000-0000-000033430000}"/>
    <cellStyle name="Neutral 2 2 15 2" xfId="22181" xr:uid="{00000000-0005-0000-0000-000034430000}"/>
    <cellStyle name="Neutral 2 2 16" xfId="8846" xr:uid="{00000000-0005-0000-0000-000035430000}"/>
    <cellStyle name="Neutral 2 2 16 2" xfId="22182" xr:uid="{00000000-0005-0000-0000-000036430000}"/>
    <cellStyle name="Neutral 2 2 17" xfId="8847" xr:uid="{00000000-0005-0000-0000-000037430000}"/>
    <cellStyle name="Neutral 2 2 17 2" xfId="22183" xr:uid="{00000000-0005-0000-0000-000038430000}"/>
    <cellStyle name="Neutral 2 2 18" xfId="8848" xr:uid="{00000000-0005-0000-0000-000039430000}"/>
    <cellStyle name="Neutral 2 2 18 2" xfId="22184" xr:uid="{00000000-0005-0000-0000-00003A430000}"/>
    <cellStyle name="Neutral 2 2 19" xfId="8849" xr:uid="{00000000-0005-0000-0000-00003B430000}"/>
    <cellStyle name="Neutral 2 2 19 2" xfId="22185" xr:uid="{00000000-0005-0000-0000-00003C430000}"/>
    <cellStyle name="Neutral 2 2 2" xfId="8850" xr:uid="{00000000-0005-0000-0000-00003D430000}"/>
    <cellStyle name="Neutral 2 2 2 10" xfId="8851" xr:uid="{00000000-0005-0000-0000-00003E430000}"/>
    <cellStyle name="Neutral 2 2 2 10 2" xfId="22187" xr:uid="{00000000-0005-0000-0000-00003F430000}"/>
    <cellStyle name="Neutral 2 2 2 11" xfId="8852" xr:uid="{00000000-0005-0000-0000-000040430000}"/>
    <cellStyle name="Neutral 2 2 2 11 2" xfId="22188" xr:uid="{00000000-0005-0000-0000-000041430000}"/>
    <cellStyle name="Neutral 2 2 2 12" xfId="8853" xr:uid="{00000000-0005-0000-0000-000042430000}"/>
    <cellStyle name="Neutral 2 2 2 12 2" xfId="22189" xr:uid="{00000000-0005-0000-0000-000043430000}"/>
    <cellStyle name="Neutral 2 2 2 13" xfId="8854" xr:uid="{00000000-0005-0000-0000-000044430000}"/>
    <cellStyle name="Neutral 2 2 2 13 2" xfId="22190" xr:uid="{00000000-0005-0000-0000-000045430000}"/>
    <cellStyle name="Neutral 2 2 2 14" xfId="8855" xr:uid="{00000000-0005-0000-0000-000046430000}"/>
    <cellStyle name="Neutral 2 2 2 14 2" xfId="22191" xr:uid="{00000000-0005-0000-0000-000047430000}"/>
    <cellStyle name="Neutral 2 2 2 15" xfId="8856" xr:uid="{00000000-0005-0000-0000-000048430000}"/>
    <cellStyle name="Neutral 2 2 2 15 2" xfId="22192" xr:uid="{00000000-0005-0000-0000-000049430000}"/>
    <cellStyle name="Neutral 2 2 2 16" xfId="8857" xr:uid="{00000000-0005-0000-0000-00004A430000}"/>
    <cellStyle name="Neutral 2 2 2 16 2" xfId="22193" xr:uid="{00000000-0005-0000-0000-00004B430000}"/>
    <cellStyle name="Neutral 2 2 2 17" xfId="8858" xr:uid="{00000000-0005-0000-0000-00004C430000}"/>
    <cellStyle name="Neutral 2 2 2 17 2" xfId="22194" xr:uid="{00000000-0005-0000-0000-00004D430000}"/>
    <cellStyle name="Neutral 2 2 2 18" xfId="8859" xr:uid="{00000000-0005-0000-0000-00004E430000}"/>
    <cellStyle name="Neutral 2 2 2 18 2" xfId="22195" xr:uid="{00000000-0005-0000-0000-00004F430000}"/>
    <cellStyle name="Neutral 2 2 2 19" xfId="8860" xr:uid="{00000000-0005-0000-0000-000050430000}"/>
    <cellStyle name="Neutral 2 2 2 19 2" xfId="22196" xr:uid="{00000000-0005-0000-0000-000051430000}"/>
    <cellStyle name="Neutral 2 2 2 2" xfId="8861" xr:uid="{00000000-0005-0000-0000-000052430000}"/>
    <cellStyle name="Neutral 2 2 2 2 10" xfId="8862" xr:uid="{00000000-0005-0000-0000-000053430000}"/>
    <cellStyle name="Neutral 2 2 2 2 10 2" xfId="22198" xr:uid="{00000000-0005-0000-0000-000054430000}"/>
    <cellStyle name="Neutral 2 2 2 2 11" xfId="8863" xr:uid="{00000000-0005-0000-0000-000055430000}"/>
    <cellStyle name="Neutral 2 2 2 2 11 2" xfId="22199" xr:uid="{00000000-0005-0000-0000-000056430000}"/>
    <cellStyle name="Neutral 2 2 2 2 12" xfId="8864" xr:uid="{00000000-0005-0000-0000-000057430000}"/>
    <cellStyle name="Neutral 2 2 2 2 12 2" xfId="22200" xr:uid="{00000000-0005-0000-0000-000058430000}"/>
    <cellStyle name="Neutral 2 2 2 2 13" xfId="8865" xr:uid="{00000000-0005-0000-0000-000059430000}"/>
    <cellStyle name="Neutral 2 2 2 2 13 2" xfId="22201" xr:uid="{00000000-0005-0000-0000-00005A430000}"/>
    <cellStyle name="Neutral 2 2 2 2 14" xfId="8866" xr:uid="{00000000-0005-0000-0000-00005B430000}"/>
    <cellStyle name="Neutral 2 2 2 2 14 2" xfId="22202" xr:uid="{00000000-0005-0000-0000-00005C430000}"/>
    <cellStyle name="Neutral 2 2 2 2 15" xfId="8867" xr:uid="{00000000-0005-0000-0000-00005D430000}"/>
    <cellStyle name="Neutral 2 2 2 2 15 2" xfId="22203" xr:uid="{00000000-0005-0000-0000-00005E430000}"/>
    <cellStyle name="Neutral 2 2 2 2 16" xfId="8868" xr:uid="{00000000-0005-0000-0000-00005F430000}"/>
    <cellStyle name="Neutral 2 2 2 2 16 2" xfId="22204" xr:uid="{00000000-0005-0000-0000-000060430000}"/>
    <cellStyle name="Neutral 2 2 2 2 17" xfId="8869" xr:uid="{00000000-0005-0000-0000-000061430000}"/>
    <cellStyle name="Neutral 2 2 2 2 17 2" xfId="22205" xr:uid="{00000000-0005-0000-0000-000062430000}"/>
    <cellStyle name="Neutral 2 2 2 2 18" xfId="8870" xr:uid="{00000000-0005-0000-0000-000063430000}"/>
    <cellStyle name="Neutral 2 2 2 2 18 2" xfId="22206" xr:uid="{00000000-0005-0000-0000-000064430000}"/>
    <cellStyle name="Neutral 2 2 2 2 19" xfId="8871" xr:uid="{00000000-0005-0000-0000-000065430000}"/>
    <cellStyle name="Neutral 2 2 2 2 19 2" xfId="22207" xr:uid="{00000000-0005-0000-0000-000066430000}"/>
    <cellStyle name="Neutral 2 2 2 2 2" xfId="8872" xr:uid="{00000000-0005-0000-0000-000067430000}"/>
    <cellStyle name="Neutral 2 2 2 2 2 10" xfId="8873" xr:uid="{00000000-0005-0000-0000-000068430000}"/>
    <cellStyle name="Neutral 2 2 2 2 2 10 2" xfId="22209" xr:uid="{00000000-0005-0000-0000-000069430000}"/>
    <cellStyle name="Neutral 2 2 2 2 2 11" xfId="8874" xr:uid="{00000000-0005-0000-0000-00006A430000}"/>
    <cellStyle name="Neutral 2 2 2 2 2 11 2" xfId="8875" xr:uid="{00000000-0005-0000-0000-00006B430000}"/>
    <cellStyle name="Neutral 2 2 2 2 2 11 2 2" xfId="22211" xr:uid="{00000000-0005-0000-0000-00006C430000}"/>
    <cellStyle name="Neutral 2 2 2 2 2 11 3" xfId="22210" xr:uid="{00000000-0005-0000-0000-00006D430000}"/>
    <cellStyle name="Neutral 2 2 2 2 2 12" xfId="22208" xr:uid="{00000000-0005-0000-0000-00006E430000}"/>
    <cellStyle name="Neutral 2 2 2 2 2 2" xfId="8876" xr:uid="{00000000-0005-0000-0000-00006F430000}"/>
    <cellStyle name="Neutral 2 2 2 2 2 2 10" xfId="8877" xr:uid="{00000000-0005-0000-0000-000070430000}"/>
    <cellStyle name="Neutral 2 2 2 2 2 2 10 2" xfId="22213" xr:uid="{00000000-0005-0000-0000-000071430000}"/>
    <cellStyle name="Neutral 2 2 2 2 2 2 11" xfId="8878" xr:uid="{00000000-0005-0000-0000-000072430000}"/>
    <cellStyle name="Neutral 2 2 2 2 2 2 11 2" xfId="8879" xr:uid="{00000000-0005-0000-0000-000073430000}"/>
    <cellStyle name="Neutral 2 2 2 2 2 2 11 2 2" xfId="22215" xr:uid="{00000000-0005-0000-0000-000074430000}"/>
    <cellStyle name="Neutral 2 2 2 2 2 2 11 3" xfId="22214" xr:uid="{00000000-0005-0000-0000-000075430000}"/>
    <cellStyle name="Neutral 2 2 2 2 2 2 12" xfId="22212" xr:uid="{00000000-0005-0000-0000-000076430000}"/>
    <cellStyle name="Neutral 2 2 2 2 2 2 2" xfId="8880" xr:uid="{00000000-0005-0000-0000-000077430000}"/>
    <cellStyle name="Neutral 2 2 2 2 2 2 2 2" xfId="8881" xr:uid="{00000000-0005-0000-0000-000078430000}"/>
    <cellStyle name="Neutral 2 2 2 2 2 2 2 2 2" xfId="8882" xr:uid="{00000000-0005-0000-0000-000079430000}"/>
    <cellStyle name="Neutral 2 2 2 2 2 2 2 2 2 2" xfId="8883" xr:uid="{00000000-0005-0000-0000-00007A430000}"/>
    <cellStyle name="Neutral 2 2 2 2 2 2 2 2 2 2 2" xfId="22219" xr:uid="{00000000-0005-0000-0000-00007B430000}"/>
    <cellStyle name="Neutral 2 2 2 2 2 2 2 2 2 3" xfId="22218" xr:uid="{00000000-0005-0000-0000-00007C430000}"/>
    <cellStyle name="Neutral 2 2 2 2 2 2 2 2 3" xfId="8884" xr:uid="{00000000-0005-0000-0000-00007D430000}"/>
    <cellStyle name="Neutral 2 2 2 2 2 2 2 2 3 2" xfId="22220" xr:uid="{00000000-0005-0000-0000-00007E430000}"/>
    <cellStyle name="Neutral 2 2 2 2 2 2 2 2 4" xfId="22217" xr:uid="{00000000-0005-0000-0000-00007F430000}"/>
    <cellStyle name="Neutral 2 2 2 2 2 2 2 3" xfId="8885" xr:uid="{00000000-0005-0000-0000-000080430000}"/>
    <cellStyle name="Neutral 2 2 2 2 2 2 2 3 2" xfId="8886" xr:uid="{00000000-0005-0000-0000-000081430000}"/>
    <cellStyle name="Neutral 2 2 2 2 2 2 2 3 2 2" xfId="22222" xr:uid="{00000000-0005-0000-0000-000082430000}"/>
    <cellStyle name="Neutral 2 2 2 2 2 2 2 3 3" xfId="22221" xr:uid="{00000000-0005-0000-0000-000083430000}"/>
    <cellStyle name="Neutral 2 2 2 2 2 2 2 4" xfId="22216" xr:uid="{00000000-0005-0000-0000-000084430000}"/>
    <cellStyle name="Neutral 2 2 2 2 2 2 3" xfId="8887" xr:uid="{00000000-0005-0000-0000-000085430000}"/>
    <cellStyle name="Neutral 2 2 2 2 2 2 3 2" xfId="22223" xr:uid="{00000000-0005-0000-0000-000086430000}"/>
    <cellStyle name="Neutral 2 2 2 2 2 2 4" xfId="8888" xr:uid="{00000000-0005-0000-0000-000087430000}"/>
    <cellStyle name="Neutral 2 2 2 2 2 2 4 2" xfId="22224" xr:uid="{00000000-0005-0000-0000-000088430000}"/>
    <cellStyle name="Neutral 2 2 2 2 2 2 5" xfId="8889" xr:uid="{00000000-0005-0000-0000-000089430000}"/>
    <cellStyle name="Neutral 2 2 2 2 2 2 5 2" xfId="22225" xr:uid="{00000000-0005-0000-0000-00008A430000}"/>
    <cellStyle name="Neutral 2 2 2 2 2 2 6" xfId="8890" xr:uid="{00000000-0005-0000-0000-00008B430000}"/>
    <cellStyle name="Neutral 2 2 2 2 2 2 6 2" xfId="22226" xr:uid="{00000000-0005-0000-0000-00008C430000}"/>
    <cellStyle name="Neutral 2 2 2 2 2 2 7" xfId="8891" xr:uid="{00000000-0005-0000-0000-00008D430000}"/>
    <cellStyle name="Neutral 2 2 2 2 2 2 7 2" xfId="22227" xr:uid="{00000000-0005-0000-0000-00008E430000}"/>
    <cellStyle name="Neutral 2 2 2 2 2 2 8" xfId="8892" xr:uid="{00000000-0005-0000-0000-00008F430000}"/>
    <cellStyle name="Neutral 2 2 2 2 2 2 8 2" xfId="22228" xr:uid="{00000000-0005-0000-0000-000090430000}"/>
    <cellStyle name="Neutral 2 2 2 2 2 2 9" xfId="8893" xr:uid="{00000000-0005-0000-0000-000091430000}"/>
    <cellStyle name="Neutral 2 2 2 2 2 2 9 2" xfId="22229" xr:uid="{00000000-0005-0000-0000-000092430000}"/>
    <cellStyle name="Neutral 2 2 2 2 2 3" xfId="8894" xr:uid="{00000000-0005-0000-0000-000093430000}"/>
    <cellStyle name="Neutral 2 2 2 2 2 3 2" xfId="8895" xr:uid="{00000000-0005-0000-0000-000094430000}"/>
    <cellStyle name="Neutral 2 2 2 2 2 3 2 2" xfId="22231" xr:uid="{00000000-0005-0000-0000-000095430000}"/>
    <cellStyle name="Neutral 2 2 2 2 2 3 3" xfId="22230" xr:uid="{00000000-0005-0000-0000-000096430000}"/>
    <cellStyle name="Neutral 2 2 2 2 2 4" xfId="8896" xr:uid="{00000000-0005-0000-0000-000097430000}"/>
    <cellStyle name="Neutral 2 2 2 2 2 4 2" xfId="22232" xr:uid="{00000000-0005-0000-0000-000098430000}"/>
    <cellStyle name="Neutral 2 2 2 2 2 5" xfId="8897" xr:uid="{00000000-0005-0000-0000-000099430000}"/>
    <cellStyle name="Neutral 2 2 2 2 2 5 2" xfId="22233" xr:uid="{00000000-0005-0000-0000-00009A430000}"/>
    <cellStyle name="Neutral 2 2 2 2 2 6" xfId="8898" xr:uid="{00000000-0005-0000-0000-00009B430000}"/>
    <cellStyle name="Neutral 2 2 2 2 2 6 2" xfId="22234" xr:uid="{00000000-0005-0000-0000-00009C430000}"/>
    <cellStyle name="Neutral 2 2 2 2 2 7" xfId="8899" xr:uid="{00000000-0005-0000-0000-00009D430000}"/>
    <cellStyle name="Neutral 2 2 2 2 2 7 2" xfId="22235" xr:uid="{00000000-0005-0000-0000-00009E430000}"/>
    <cellStyle name="Neutral 2 2 2 2 2 8" xfId="8900" xr:uid="{00000000-0005-0000-0000-00009F430000}"/>
    <cellStyle name="Neutral 2 2 2 2 2 8 2" xfId="22236" xr:uid="{00000000-0005-0000-0000-0000A0430000}"/>
    <cellStyle name="Neutral 2 2 2 2 2 9" xfId="8901" xr:uid="{00000000-0005-0000-0000-0000A1430000}"/>
    <cellStyle name="Neutral 2 2 2 2 2 9 2" xfId="22237" xr:uid="{00000000-0005-0000-0000-0000A2430000}"/>
    <cellStyle name="Neutral 2 2 2 2 20" xfId="8902" xr:uid="{00000000-0005-0000-0000-0000A3430000}"/>
    <cellStyle name="Neutral 2 2 2 2 20 2" xfId="8903" xr:uid="{00000000-0005-0000-0000-0000A4430000}"/>
    <cellStyle name="Neutral 2 2 2 2 20 2 2" xfId="22239" xr:uid="{00000000-0005-0000-0000-0000A5430000}"/>
    <cellStyle name="Neutral 2 2 2 2 20 3" xfId="22238" xr:uid="{00000000-0005-0000-0000-0000A6430000}"/>
    <cellStyle name="Neutral 2 2 2 2 21" xfId="8904" xr:uid="{00000000-0005-0000-0000-0000A7430000}"/>
    <cellStyle name="Neutral 2 2 2 2 21 2" xfId="22240" xr:uid="{00000000-0005-0000-0000-0000A8430000}"/>
    <cellStyle name="Neutral 2 2 2 2 22" xfId="8905" xr:uid="{00000000-0005-0000-0000-0000A9430000}"/>
    <cellStyle name="Neutral 2 2 2 2 22 2" xfId="22241" xr:uid="{00000000-0005-0000-0000-0000AA430000}"/>
    <cellStyle name="Neutral 2 2 2 2 23" xfId="8906" xr:uid="{00000000-0005-0000-0000-0000AB430000}"/>
    <cellStyle name="Neutral 2 2 2 2 23 2" xfId="22242" xr:uid="{00000000-0005-0000-0000-0000AC430000}"/>
    <cellStyle name="Neutral 2 2 2 2 24" xfId="8907" xr:uid="{00000000-0005-0000-0000-0000AD430000}"/>
    <cellStyle name="Neutral 2 2 2 2 24 2" xfId="22243" xr:uid="{00000000-0005-0000-0000-0000AE430000}"/>
    <cellStyle name="Neutral 2 2 2 2 25" xfId="8908" xr:uid="{00000000-0005-0000-0000-0000AF430000}"/>
    <cellStyle name="Neutral 2 2 2 2 25 2" xfId="22244" xr:uid="{00000000-0005-0000-0000-0000B0430000}"/>
    <cellStyle name="Neutral 2 2 2 2 26" xfId="8909" xr:uid="{00000000-0005-0000-0000-0000B1430000}"/>
    <cellStyle name="Neutral 2 2 2 2 26 2" xfId="22245" xr:uid="{00000000-0005-0000-0000-0000B2430000}"/>
    <cellStyle name="Neutral 2 2 2 2 27" xfId="8910" xr:uid="{00000000-0005-0000-0000-0000B3430000}"/>
    <cellStyle name="Neutral 2 2 2 2 27 2" xfId="22246" xr:uid="{00000000-0005-0000-0000-0000B4430000}"/>
    <cellStyle name="Neutral 2 2 2 2 28" xfId="8911" xr:uid="{00000000-0005-0000-0000-0000B5430000}"/>
    <cellStyle name="Neutral 2 2 2 2 28 2" xfId="8912" xr:uid="{00000000-0005-0000-0000-0000B6430000}"/>
    <cellStyle name="Neutral 2 2 2 2 28 2 2" xfId="22248" xr:uid="{00000000-0005-0000-0000-0000B7430000}"/>
    <cellStyle name="Neutral 2 2 2 2 28 3" xfId="22247" xr:uid="{00000000-0005-0000-0000-0000B8430000}"/>
    <cellStyle name="Neutral 2 2 2 2 29" xfId="22197" xr:uid="{00000000-0005-0000-0000-0000B9430000}"/>
    <cellStyle name="Neutral 2 2 2 2 3" xfId="8913" xr:uid="{00000000-0005-0000-0000-0000BA430000}"/>
    <cellStyle name="Neutral 2 2 2 2 3 2" xfId="22249" xr:uid="{00000000-0005-0000-0000-0000BB430000}"/>
    <cellStyle name="Neutral 2 2 2 2 4" xfId="8914" xr:uid="{00000000-0005-0000-0000-0000BC430000}"/>
    <cellStyle name="Neutral 2 2 2 2 4 2" xfId="22250" xr:uid="{00000000-0005-0000-0000-0000BD430000}"/>
    <cellStyle name="Neutral 2 2 2 2 5" xfId="8915" xr:uid="{00000000-0005-0000-0000-0000BE430000}"/>
    <cellStyle name="Neutral 2 2 2 2 5 2" xfId="22251" xr:uid="{00000000-0005-0000-0000-0000BF430000}"/>
    <cellStyle name="Neutral 2 2 2 2 6" xfId="8916" xr:uid="{00000000-0005-0000-0000-0000C0430000}"/>
    <cellStyle name="Neutral 2 2 2 2 6 2" xfId="22252" xr:uid="{00000000-0005-0000-0000-0000C1430000}"/>
    <cellStyle name="Neutral 2 2 2 2 7" xfId="8917" xr:uid="{00000000-0005-0000-0000-0000C2430000}"/>
    <cellStyle name="Neutral 2 2 2 2 7 2" xfId="22253" xr:uid="{00000000-0005-0000-0000-0000C3430000}"/>
    <cellStyle name="Neutral 2 2 2 2 8" xfId="8918" xr:uid="{00000000-0005-0000-0000-0000C4430000}"/>
    <cellStyle name="Neutral 2 2 2 2 8 2" xfId="22254" xr:uid="{00000000-0005-0000-0000-0000C5430000}"/>
    <cellStyle name="Neutral 2 2 2 2 9" xfId="8919" xr:uid="{00000000-0005-0000-0000-0000C6430000}"/>
    <cellStyle name="Neutral 2 2 2 2 9 2" xfId="22255" xr:uid="{00000000-0005-0000-0000-0000C7430000}"/>
    <cellStyle name="Neutral 2 2 2 20" xfId="8920" xr:uid="{00000000-0005-0000-0000-0000C8430000}"/>
    <cellStyle name="Neutral 2 2 2 20 2" xfId="8921" xr:uid="{00000000-0005-0000-0000-0000C9430000}"/>
    <cellStyle name="Neutral 2 2 2 20 2 2" xfId="22257" xr:uid="{00000000-0005-0000-0000-0000CA430000}"/>
    <cellStyle name="Neutral 2 2 2 20 3" xfId="22256" xr:uid="{00000000-0005-0000-0000-0000CB430000}"/>
    <cellStyle name="Neutral 2 2 2 21" xfId="8922" xr:uid="{00000000-0005-0000-0000-0000CC430000}"/>
    <cellStyle name="Neutral 2 2 2 21 2" xfId="22258" xr:uid="{00000000-0005-0000-0000-0000CD430000}"/>
    <cellStyle name="Neutral 2 2 2 22" xfId="8923" xr:uid="{00000000-0005-0000-0000-0000CE430000}"/>
    <cellStyle name="Neutral 2 2 2 22 2" xfId="22259" xr:uid="{00000000-0005-0000-0000-0000CF430000}"/>
    <cellStyle name="Neutral 2 2 2 23" xfId="8924" xr:uid="{00000000-0005-0000-0000-0000D0430000}"/>
    <cellStyle name="Neutral 2 2 2 23 2" xfId="22260" xr:uid="{00000000-0005-0000-0000-0000D1430000}"/>
    <cellStyle name="Neutral 2 2 2 24" xfId="8925" xr:uid="{00000000-0005-0000-0000-0000D2430000}"/>
    <cellStyle name="Neutral 2 2 2 24 2" xfId="22261" xr:uid="{00000000-0005-0000-0000-0000D3430000}"/>
    <cellStyle name="Neutral 2 2 2 25" xfId="8926" xr:uid="{00000000-0005-0000-0000-0000D4430000}"/>
    <cellStyle name="Neutral 2 2 2 25 2" xfId="22262" xr:uid="{00000000-0005-0000-0000-0000D5430000}"/>
    <cellStyle name="Neutral 2 2 2 26" xfId="8927" xr:uid="{00000000-0005-0000-0000-0000D6430000}"/>
    <cellStyle name="Neutral 2 2 2 26 2" xfId="22263" xr:uid="{00000000-0005-0000-0000-0000D7430000}"/>
    <cellStyle name="Neutral 2 2 2 27" xfId="8928" xr:uid="{00000000-0005-0000-0000-0000D8430000}"/>
    <cellStyle name="Neutral 2 2 2 27 2" xfId="22264" xr:uid="{00000000-0005-0000-0000-0000D9430000}"/>
    <cellStyle name="Neutral 2 2 2 28" xfId="8929" xr:uid="{00000000-0005-0000-0000-0000DA430000}"/>
    <cellStyle name="Neutral 2 2 2 28 2" xfId="8930" xr:uid="{00000000-0005-0000-0000-0000DB430000}"/>
    <cellStyle name="Neutral 2 2 2 28 2 2" xfId="22266" xr:uid="{00000000-0005-0000-0000-0000DC430000}"/>
    <cellStyle name="Neutral 2 2 2 28 3" xfId="22265" xr:uid="{00000000-0005-0000-0000-0000DD430000}"/>
    <cellStyle name="Neutral 2 2 2 29" xfId="22186" xr:uid="{00000000-0005-0000-0000-0000DE430000}"/>
    <cellStyle name="Neutral 2 2 2 3" xfId="8931" xr:uid="{00000000-0005-0000-0000-0000DF430000}"/>
    <cellStyle name="Neutral 2 2 2 3 2" xfId="8932" xr:uid="{00000000-0005-0000-0000-0000E0430000}"/>
    <cellStyle name="Neutral 2 2 2 3 2 2" xfId="22268" xr:uid="{00000000-0005-0000-0000-0000E1430000}"/>
    <cellStyle name="Neutral 2 2 2 3 3" xfId="22267" xr:uid="{00000000-0005-0000-0000-0000E2430000}"/>
    <cellStyle name="Neutral 2 2 2 30" xfId="31307" xr:uid="{00000000-0005-0000-0000-0000E3430000}"/>
    <cellStyle name="Neutral 2 2 2 4" xfId="8933" xr:uid="{00000000-0005-0000-0000-0000E4430000}"/>
    <cellStyle name="Neutral 2 2 2 4 2" xfId="22269" xr:uid="{00000000-0005-0000-0000-0000E5430000}"/>
    <cellStyle name="Neutral 2 2 2 5" xfId="8934" xr:uid="{00000000-0005-0000-0000-0000E6430000}"/>
    <cellStyle name="Neutral 2 2 2 5 2" xfId="22270" xr:uid="{00000000-0005-0000-0000-0000E7430000}"/>
    <cellStyle name="Neutral 2 2 2 6" xfId="8935" xr:uid="{00000000-0005-0000-0000-0000E8430000}"/>
    <cellStyle name="Neutral 2 2 2 6 2" xfId="22271" xr:uid="{00000000-0005-0000-0000-0000E9430000}"/>
    <cellStyle name="Neutral 2 2 2 7" xfId="8936" xr:uid="{00000000-0005-0000-0000-0000EA430000}"/>
    <cellStyle name="Neutral 2 2 2 7 2" xfId="22272" xr:uid="{00000000-0005-0000-0000-0000EB430000}"/>
    <cellStyle name="Neutral 2 2 2 8" xfId="8937" xr:uid="{00000000-0005-0000-0000-0000EC430000}"/>
    <cellStyle name="Neutral 2 2 2 8 2" xfId="22273" xr:uid="{00000000-0005-0000-0000-0000ED430000}"/>
    <cellStyle name="Neutral 2 2 2 9" xfId="8938" xr:uid="{00000000-0005-0000-0000-0000EE430000}"/>
    <cellStyle name="Neutral 2 2 2 9 2" xfId="22274" xr:uid="{00000000-0005-0000-0000-0000EF430000}"/>
    <cellStyle name="Neutral 2 2 20" xfId="8939" xr:uid="{00000000-0005-0000-0000-0000F0430000}"/>
    <cellStyle name="Neutral 2 2 20 2" xfId="22275" xr:uid="{00000000-0005-0000-0000-0000F1430000}"/>
    <cellStyle name="Neutral 2 2 21" xfId="8940" xr:uid="{00000000-0005-0000-0000-0000F2430000}"/>
    <cellStyle name="Neutral 2 2 21 2" xfId="22276" xr:uid="{00000000-0005-0000-0000-0000F3430000}"/>
    <cellStyle name="Neutral 2 2 22" xfId="8941" xr:uid="{00000000-0005-0000-0000-0000F4430000}"/>
    <cellStyle name="Neutral 2 2 22 2" xfId="22277" xr:uid="{00000000-0005-0000-0000-0000F5430000}"/>
    <cellStyle name="Neutral 2 2 23" xfId="8942" xr:uid="{00000000-0005-0000-0000-0000F6430000}"/>
    <cellStyle name="Neutral 2 2 23 2" xfId="22278" xr:uid="{00000000-0005-0000-0000-0000F7430000}"/>
    <cellStyle name="Neutral 2 2 24" xfId="8943" xr:uid="{00000000-0005-0000-0000-0000F8430000}"/>
    <cellStyle name="Neutral 2 2 24 2" xfId="22279" xr:uid="{00000000-0005-0000-0000-0000F9430000}"/>
    <cellStyle name="Neutral 2 2 25" xfId="8944" xr:uid="{00000000-0005-0000-0000-0000FA430000}"/>
    <cellStyle name="Neutral 2 2 25 2" xfId="22280" xr:uid="{00000000-0005-0000-0000-0000FB430000}"/>
    <cellStyle name="Neutral 2 2 26" xfId="8945" xr:uid="{00000000-0005-0000-0000-0000FC430000}"/>
    <cellStyle name="Neutral 2 2 26 2" xfId="22281" xr:uid="{00000000-0005-0000-0000-0000FD430000}"/>
    <cellStyle name="Neutral 2 2 27" xfId="8946" xr:uid="{00000000-0005-0000-0000-0000FE430000}"/>
    <cellStyle name="Neutral 2 2 27 2" xfId="22282" xr:uid="{00000000-0005-0000-0000-0000FF430000}"/>
    <cellStyle name="Neutral 2 2 28" xfId="8947" xr:uid="{00000000-0005-0000-0000-000000440000}"/>
    <cellStyle name="Neutral 2 2 28 2" xfId="22283" xr:uid="{00000000-0005-0000-0000-000001440000}"/>
    <cellStyle name="Neutral 2 2 29" xfId="8948" xr:uid="{00000000-0005-0000-0000-000002440000}"/>
    <cellStyle name="Neutral 2 2 29 2" xfId="22284" xr:uid="{00000000-0005-0000-0000-000003440000}"/>
    <cellStyle name="Neutral 2 2 3" xfId="8949" xr:uid="{00000000-0005-0000-0000-000004440000}"/>
    <cellStyle name="Neutral 2 2 3 2" xfId="22285" xr:uid="{00000000-0005-0000-0000-000005440000}"/>
    <cellStyle name="Neutral 2 2 30" xfId="8950" xr:uid="{00000000-0005-0000-0000-000006440000}"/>
    <cellStyle name="Neutral 2 2 30 2" xfId="22286" xr:uid="{00000000-0005-0000-0000-000007440000}"/>
    <cellStyle name="Neutral 2 2 31" xfId="8951" xr:uid="{00000000-0005-0000-0000-000008440000}"/>
    <cellStyle name="Neutral 2 2 31 2" xfId="8952" xr:uid="{00000000-0005-0000-0000-000009440000}"/>
    <cellStyle name="Neutral 2 2 31 2 2" xfId="22288" xr:uid="{00000000-0005-0000-0000-00000A440000}"/>
    <cellStyle name="Neutral 2 2 31 3" xfId="22287" xr:uid="{00000000-0005-0000-0000-00000B440000}"/>
    <cellStyle name="Neutral 2 2 32" xfId="8953" xr:uid="{00000000-0005-0000-0000-00000C440000}"/>
    <cellStyle name="Neutral 2 2 32 2" xfId="22289" xr:uid="{00000000-0005-0000-0000-00000D440000}"/>
    <cellStyle name="Neutral 2 2 33" xfId="8954" xr:uid="{00000000-0005-0000-0000-00000E440000}"/>
    <cellStyle name="Neutral 2 2 33 2" xfId="22290" xr:uid="{00000000-0005-0000-0000-00000F440000}"/>
    <cellStyle name="Neutral 2 2 34" xfId="8955" xr:uid="{00000000-0005-0000-0000-000010440000}"/>
    <cellStyle name="Neutral 2 2 34 2" xfId="22291" xr:uid="{00000000-0005-0000-0000-000011440000}"/>
    <cellStyle name="Neutral 2 2 35" xfId="8956" xr:uid="{00000000-0005-0000-0000-000012440000}"/>
    <cellStyle name="Neutral 2 2 35 2" xfId="22292" xr:uid="{00000000-0005-0000-0000-000013440000}"/>
    <cellStyle name="Neutral 2 2 36" xfId="8957" xr:uid="{00000000-0005-0000-0000-000014440000}"/>
    <cellStyle name="Neutral 2 2 36 2" xfId="22293" xr:uid="{00000000-0005-0000-0000-000015440000}"/>
    <cellStyle name="Neutral 2 2 37" xfId="8958" xr:uid="{00000000-0005-0000-0000-000016440000}"/>
    <cellStyle name="Neutral 2 2 37 2" xfId="22294" xr:uid="{00000000-0005-0000-0000-000017440000}"/>
    <cellStyle name="Neutral 2 2 38" xfId="8959" xr:uid="{00000000-0005-0000-0000-000018440000}"/>
    <cellStyle name="Neutral 2 2 38 2" xfId="22295" xr:uid="{00000000-0005-0000-0000-000019440000}"/>
    <cellStyle name="Neutral 2 2 39" xfId="8960" xr:uid="{00000000-0005-0000-0000-00001A440000}"/>
    <cellStyle name="Neutral 2 2 39 2" xfId="8961" xr:uid="{00000000-0005-0000-0000-00001B440000}"/>
    <cellStyle name="Neutral 2 2 39 2 2" xfId="22297" xr:uid="{00000000-0005-0000-0000-00001C440000}"/>
    <cellStyle name="Neutral 2 2 39 3" xfId="22296" xr:uid="{00000000-0005-0000-0000-00001D440000}"/>
    <cellStyle name="Neutral 2 2 4" xfId="8962" xr:uid="{00000000-0005-0000-0000-00001E440000}"/>
    <cellStyle name="Neutral 2 2 4 2" xfId="22298" xr:uid="{00000000-0005-0000-0000-00001F440000}"/>
    <cellStyle name="Neutral 2 2 40" xfId="22174" xr:uid="{00000000-0005-0000-0000-000020440000}"/>
    <cellStyle name="Neutral 2 2 41" xfId="31308" xr:uid="{00000000-0005-0000-0000-000021440000}"/>
    <cellStyle name="Neutral 2 2 42" xfId="31309" xr:uid="{00000000-0005-0000-0000-000022440000}"/>
    <cellStyle name="Neutral 2 2 43" xfId="31310" xr:uid="{00000000-0005-0000-0000-000023440000}"/>
    <cellStyle name="Neutral 2 2 44" xfId="31311" xr:uid="{00000000-0005-0000-0000-000024440000}"/>
    <cellStyle name="Neutral 2 2 5" xfId="8963" xr:uid="{00000000-0005-0000-0000-000025440000}"/>
    <cellStyle name="Neutral 2 2 5 2" xfId="22299" xr:uid="{00000000-0005-0000-0000-000026440000}"/>
    <cellStyle name="Neutral 2 2 6" xfId="8964" xr:uid="{00000000-0005-0000-0000-000027440000}"/>
    <cellStyle name="Neutral 2 2 6 2" xfId="22300" xr:uid="{00000000-0005-0000-0000-000028440000}"/>
    <cellStyle name="Neutral 2 2 7" xfId="8965" xr:uid="{00000000-0005-0000-0000-000029440000}"/>
    <cellStyle name="Neutral 2 2 7 2" xfId="22301" xr:uid="{00000000-0005-0000-0000-00002A440000}"/>
    <cellStyle name="Neutral 2 2 8" xfId="8966" xr:uid="{00000000-0005-0000-0000-00002B440000}"/>
    <cellStyle name="Neutral 2 2 8 2" xfId="22302" xr:uid="{00000000-0005-0000-0000-00002C440000}"/>
    <cellStyle name="Neutral 2 2 9" xfId="8967" xr:uid="{00000000-0005-0000-0000-00002D440000}"/>
    <cellStyle name="Neutral 2 2 9 2" xfId="22303" xr:uid="{00000000-0005-0000-0000-00002E440000}"/>
    <cellStyle name="Neutral 2 2_Loan Classification" xfId="11466" xr:uid="{00000000-0005-0000-0000-00002F440000}"/>
    <cellStyle name="Neutral 2 20" xfId="8968" xr:uid="{00000000-0005-0000-0000-000030440000}"/>
    <cellStyle name="Neutral 2 20 2" xfId="22304" xr:uid="{00000000-0005-0000-0000-000031440000}"/>
    <cellStyle name="Neutral 2 21" xfId="8969" xr:uid="{00000000-0005-0000-0000-000032440000}"/>
    <cellStyle name="Neutral 2 21 2" xfId="22305" xr:uid="{00000000-0005-0000-0000-000033440000}"/>
    <cellStyle name="Neutral 2 22" xfId="8970" xr:uid="{00000000-0005-0000-0000-000034440000}"/>
    <cellStyle name="Neutral 2 22 2" xfId="22306" xr:uid="{00000000-0005-0000-0000-000035440000}"/>
    <cellStyle name="Neutral 2 23" xfId="8971" xr:uid="{00000000-0005-0000-0000-000036440000}"/>
    <cellStyle name="Neutral 2 23 2" xfId="22307" xr:uid="{00000000-0005-0000-0000-000037440000}"/>
    <cellStyle name="Neutral 2 24" xfId="8972" xr:uid="{00000000-0005-0000-0000-000038440000}"/>
    <cellStyle name="Neutral 2 24 2" xfId="22308" xr:uid="{00000000-0005-0000-0000-000039440000}"/>
    <cellStyle name="Neutral 2 25" xfId="8973" xr:uid="{00000000-0005-0000-0000-00003A440000}"/>
    <cellStyle name="Neutral 2 25 2" xfId="22309" xr:uid="{00000000-0005-0000-0000-00003B440000}"/>
    <cellStyle name="Neutral 2 26" xfId="8974" xr:uid="{00000000-0005-0000-0000-00003C440000}"/>
    <cellStyle name="Neutral 2 26 2" xfId="22310" xr:uid="{00000000-0005-0000-0000-00003D440000}"/>
    <cellStyle name="Neutral 2 27" xfId="8975" xr:uid="{00000000-0005-0000-0000-00003E440000}"/>
    <cellStyle name="Neutral 2 27 2" xfId="22311" xr:uid="{00000000-0005-0000-0000-00003F440000}"/>
    <cellStyle name="Neutral 2 28" xfId="8976" xr:uid="{00000000-0005-0000-0000-000040440000}"/>
    <cellStyle name="Neutral 2 28 2" xfId="22312" xr:uid="{00000000-0005-0000-0000-000041440000}"/>
    <cellStyle name="Neutral 2 29" xfId="8977" xr:uid="{00000000-0005-0000-0000-000042440000}"/>
    <cellStyle name="Neutral 2 29 2" xfId="22313" xr:uid="{00000000-0005-0000-0000-000043440000}"/>
    <cellStyle name="Neutral 2 3" xfId="8978" xr:uid="{00000000-0005-0000-0000-000044440000}"/>
    <cellStyle name="Neutral 2 3 2" xfId="22314" xr:uid="{00000000-0005-0000-0000-000045440000}"/>
    <cellStyle name="Neutral 2 3 2 2" xfId="31312" xr:uid="{00000000-0005-0000-0000-000046440000}"/>
    <cellStyle name="Neutral 2 3 3" xfId="31313" xr:uid="{00000000-0005-0000-0000-000047440000}"/>
    <cellStyle name="Neutral 2 3 4" xfId="31314" xr:uid="{00000000-0005-0000-0000-000048440000}"/>
    <cellStyle name="Neutral 2 3 5" xfId="31315" xr:uid="{00000000-0005-0000-0000-000049440000}"/>
    <cellStyle name="Neutral 2 30" xfId="8979" xr:uid="{00000000-0005-0000-0000-00004A440000}"/>
    <cellStyle name="Neutral 2 30 2" xfId="22315" xr:uid="{00000000-0005-0000-0000-00004B440000}"/>
    <cellStyle name="Neutral 2 31" xfId="8980" xr:uid="{00000000-0005-0000-0000-00004C440000}"/>
    <cellStyle name="Neutral 2 31 2" xfId="22316" xr:uid="{00000000-0005-0000-0000-00004D440000}"/>
    <cellStyle name="Neutral 2 32" xfId="8981" xr:uid="{00000000-0005-0000-0000-00004E440000}"/>
    <cellStyle name="Neutral 2 32 2" xfId="22317" xr:uid="{00000000-0005-0000-0000-00004F440000}"/>
    <cellStyle name="Neutral 2 33" xfId="8982" xr:uid="{00000000-0005-0000-0000-000050440000}"/>
    <cellStyle name="Neutral 2 33 2" xfId="8983" xr:uid="{00000000-0005-0000-0000-000051440000}"/>
    <cellStyle name="Neutral 2 33 2 2" xfId="22319" xr:uid="{00000000-0005-0000-0000-000052440000}"/>
    <cellStyle name="Neutral 2 33 3" xfId="22318" xr:uid="{00000000-0005-0000-0000-000053440000}"/>
    <cellStyle name="Neutral 2 34" xfId="8984" xr:uid="{00000000-0005-0000-0000-000054440000}"/>
    <cellStyle name="Neutral 2 34 2" xfId="22320" xr:uid="{00000000-0005-0000-0000-000055440000}"/>
    <cellStyle name="Neutral 2 35" xfId="8985" xr:uid="{00000000-0005-0000-0000-000056440000}"/>
    <cellStyle name="Neutral 2 35 2" xfId="22321" xr:uid="{00000000-0005-0000-0000-000057440000}"/>
    <cellStyle name="Neutral 2 36" xfId="8986" xr:uid="{00000000-0005-0000-0000-000058440000}"/>
    <cellStyle name="Neutral 2 36 2" xfId="22322" xr:uid="{00000000-0005-0000-0000-000059440000}"/>
    <cellStyle name="Neutral 2 37" xfId="8987" xr:uid="{00000000-0005-0000-0000-00005A440000}"/>
    <cellStyle name="Neutral 2 37 2" xfId="22323" xr:uid="{00000000-0005-0000-0000-00005B440000}"/>
    <cellStyle name="Neutral 2 38" xfId="8988" xr:uid="{00000000-0005-0000-0000-00005C440000}"/>
    <cellStyle name="Neutral 2 38 2" xfId="22324" xr:uid="{00000000-0005-0000-0000-00005D440000}"/>
    <cellStyle name="Neutral 2 39" xfId="8989" xr:uid="{00000000-0005-0000-0000-00005E440000}"/>
    <cellStyle name="Neutral 2 39 2" xfId="22325" xr:uid="{00000000-0005-0000-0000-00005F440000}"/>
    <cellStyle name="Neutral 2 4" xfId="8990" xr:uid="{00000000-0005-0000-0000-000060440000}"/>
    <cellStyle name="Neutral 2 4 2" xfId="22326" xr:uid="{00000000-0005-0000-0000-000061440000}"/>
    <cellStyle name="Neutral 2 4 2 2" xfId="31316" xr:uid="{00000000-0005-0000-0000-000062440000}"/>
    <cellStyle name="Neutral 2 4 3" xfId="31317" xr:uid="{00000000-0005-0000-0000-000063440000}"/>
    <cellStyle name="Neutral 2 4 4" xfId="31318" xr:uid="{00000000-0005-0000-0000-000064440000}"/>
    <cellStyle name="Neutral 2 4 5" xfId="31319" xr:uid="{00000000-0005-0000-0000-000065440000}"/>
    <cellStyle name="Neutral 2 40" xfId="8991" xr:uid="{00000000-0005-0000-0000-000066440000}"/>
    <cellStyle name="Neutral 2 40 2" xfId="22327" xr:uid="{00000000-0005-0000-0000-000067440000}"/>
    <cellStyle name="Neutral 2 41" xfId="8992" xr:uid="{00000000-0005-0000-0000-000068440000}"/>
    <cellStyle name="Neutral 2 41 2" xfId="8993" xr:uid="{00000000-0005-0000-0000-000069440000}"/>
    <cellStyle name="Neutral 2 41 2 2" xfId="22329" xr:uid="{00000000-0005-0000-0000-00006A440000}"/>
    <cellStyle name="Neutral 2 41 3" xfId="22328" xr:uid="{00000000-0005-0000-0000-00006B440000}"/>
    <cellStyle name="Neutral 2 42" xfId="22162" xr:uid="{00000000-0005-0000-0000-00006C440000}"/>
    <cellStyle name="Neutral 2 43" xfId="31320" xr:uid="{00000000-0005-0000-0000-00006D440000}"/>
    <cellStyle name="Neutral 2 5" xfId="8994" xr:uid="{00000000-0005-0000-0000-00006E440000}"/>
    <cellStyle name="Neutral 2 5 2" xfId="8995" xr:uid="{00000000-0005-0000-0000-00006F440000}"/>
    <cellStyle name="Neutral 2 5 2 2" xfId="22331" xr:uid="{00000000-0005-0000-0000-000070440000}"/>
    <cellStyle name="Neutral 2 5 3" xfId="22330" xr:uid="{00000000-0005-0000-0000-000071440000}"/>
    <cellStyle name="Neutral 2 5 4" xfId="31321" xr:uid="{00000000-0005-0000-0000-000072440000}"/>
    <cellStyle name="Neutral 2 6" xfId="8996" xr:uid="{00000000-0005-0000-0000-000073440000}"/>
    <cellStyle name="Neutral 2 6 2" xfId="22332" xr:uid="{00000000-0005-0000-0000-000074440000}"/>
    <cellStyle name="Neutral 2 6 3" xfId="31322" xr:uid="{00000000-0005-0000-0000-000075440000}"/>
    <cellStyle name="Neutral 2 7" xfId="8997" xr:uid="{00000000-0005-0000-0000-000076440000}"/>
    <cellStyle name="Neutral 2 7 2" xfId="22333" xr:uid="{00000000-0005-0000-0000-000077440000}"/>
    <cellStyle name="Neutral 2 8" xfId="8998" xr:uid="{00000000-0005-0000-0000-000078440000}"/>
    <cellStyle name="Neutral 2 8 2" xfId="22334" xr:uid="{00000000-0005-0000-0000-000079440000}"/>
    <cellStyle name="Neutral 2 9" xfId="8999" xr:uid="{00000000-0005-0000-0000-00007A440000}"/>
    <cellStyle name="Neutral 2 9 2" xfId="22335" xr:uid="{00000000-0005-0000-0000-00007B440000}"/>
    <cellStyle name="Neutral 2_Loan Classification" xfId="11465" xr:uid="{00000000-0005-0000-0000-00007C440000}"/>
    <cellStyle name="Neutral 20" xfId="9000" xr:uid="{00000000-0005-0000-0000-00007D440000}"/>
    <cellStyle name="Neutral 20 2" xfId="22336" xr:uid="{00000000-0005-0000-0000-00007E440000}"/>
    <cellStyle name="Neutral 21" xfId="9001" xr:uid="{00000000-0005-0000-0000-00007F440000}"/>
    <cellStyle name="Neutral 21 2" xfId="22337" xr:uid="{00000000-0005-0000-0000-000080440000}"/>
    <cellStyle name="Neutral 22" xfId="9002" xr:uid="{00000000-0005-0000-0000-000081440000}"/>
    <cellStyle name="Neutral 22 2" xfId="22338" xr:uid="{00000000-0005-0000-0000-000082440000}"/>
    <cellStyle name="Neutral 23" xfId="9003" xr:uid="{00000000-0005-0000-0000-000083440000}"/>
    <cellStyle name="Neutral 23 2" xfId="22339" xr:uid="{00000000-0005-0000-0000-000084440000}"/>
    <cellStyle name="Neutral 24" xfId="9004" xr:uid="{00000000-0005-0000-0000-000085440000}"/>
    <cellStyle name="Neutral 24 2" xfId="22340" xr:uid="{00000000-0005-0000-0000-000086440000}"/>
    <cellStyle name="Neutral 25" xfId="9005" xr:uid="{00000000-0005-0000-0000-000087440000}"/>
    <cellStyle name="Neutral 25 2" xfId="22341" xr:uid="{00000000-0005-0000-0000-000088440000}"/>
    <cellStyle name="Neutral 26" xfId="9006" xr:uid="{00000000-0005-0000-0000-000089440000}"/>
    <cellStyle name="Neutral 26 2" xfId="22342" xr:uid="{00000000-0005-0000-0000-00008A440000}"/>
    <cellStyle name="Neutral 27" xfId="9007" xr:uid="{00000000-0005-0000-0000-00008B440000}"/>
    <cellStyle name="Neutral 27 2" xfId="22343" xr:uid="{00000000-0005-0000-0000-00008C440000}"/>
    <cellStyle name="Neutral 28" xfId="9008" xr:uid="{00000000-0005-0000-0000-00008D440000}"/>
    <cellStyle name="Neutral 28 2" xfId="22344" xr:uid="{00000000-0005-0000-0000-00008E440000}"/>
    <cellStyle name="Neutral 29" xfId="9009" xr:uid="{00000000-0005-0000-0000-00008F440000}"/>
    <cellStyle name="Neutral 29 2" xfId="22345" xr:uid="{00000000-0005-0000-0000-000090440000}"/>
    <cellStyle name="Neutral 3" xfId="9010" xr:uid="{00000000-0005-0000-0000-000091440000}"/>
    <cellStyle name="Neutral 3 2" xfId="22346" xr:uid="{00000000-0005-0000-0000-000092440000}"/>
    <cellStyle name="Neutral 3 2 2" xfId="31323" xr:uid="{00000000-0005-0000-0000-000093440000}"/>
    <cellStyle name="Neutral 3 3" xfId="31324" xr:uid="{00000000-0005-0000-0000-000094440000}"/>
    <cellStyle name="Neutral 3 4" xfId="31325" xr:uid="{00000000-0005-0000-0000-000095440000}"/>
    <cellStyle name="Neutral 30" xfId="9011" xr:uid="{00000000-0005-0000-0000-000096440000}"/>
    <cellStyle name="Neutral 30 2" xfId="22347" xr:uid="{00000000-0005-0000-0000-000097440000}"/>
    <cellStyle name="Neutral 31" xfId="9012" xr:uid="{00000000-0005-0000-0000-000098440000}"/>
    <cellStyle name="Neutral 31 2" xfId="22348" xr:uid="{00000000-0005-0000-0000-000099440000}"/>
    <cellStyle name="Neutral 32" xfId="9013" xr:uid="{00000000-0005-0000-0000-00009A440000}"/>
    <cellStyle name="Neutral 32 2" xfId="22349" xr:uid="{00000000-0005-0000-0000-00009B440000}"/>
    <cellStyle name="Neutral 33" xfId="9014" xr:uid="{00000000-0005-0000-0000-00009C440000}"/>
    <cellStyle name="Neutral 33 2" xfId="22350" xr:uid="{00000000-0005-0000-0000-00009D440000}"/>
    <cellStyle name="Neutral 34" xfId="9015" xr:uid="{00000000-0005-0000-0000-00009E440000}"/>
    <cellStyle name="Neutral 34 2" xfId="22351" xr:uid="{00000000-0005-0000-0000-00009F440000}"/>
    <cellStyle name="Neutral 35" xfId="9016" xr:uid="{00000000-0005-0000-0000-0000A0440000}"/>
    <cellStyle name="Neutral 35 2" xfId="22352" xr:uid="{00000000-0005-0000-0000-0000A1440000}"/>
    <cellStyle name="Neutral 36" xfId="9017" xr:uid="{00000000-0005-0000-0000-0000A2440000}"/>
    <cellStyle name="Neutral 36 2" xfId="22353" xr:uid="{00000000-0005-0000-0000-0000A3440000}"/>
    <cellStyle name="Neutral 37" xfId="9018" xr:uid="{00000000-0005-0000-0000-0000A4440000}"/>
    <cellStyle name="Neutral 37 2" xfId="22354" xr:uid="{00000000-0005-0000-0000-0000A5440000}"/>
    <cellStyle name="Neutral 38" xfId="9019" xr:uid="{00000000-0005-0000-0000-0000A6440000}"/>
    <cellStyle name="Neutral 38 2" xfId="22355" xr:uid="{00000000-0005-0000-0000-0000A7440000}"/>
    <cellStyle name="Neutral 39" xfId="9020" xr:uid="{00000000-0005-0000-0000-0000A8440000}"/>
    <cellStyle name="Neutral 39 2" xfId="22356" xr:uid="{00000000-0005-0000-0000-0000A9440000}"/>
    <cellStyle name="Neutral 4" xfId="9021" xr:uid="{00000000-0005-0000-0000-0000AA440000}"/>
    <cellStyle name="Neutral 4 2" xfId="22357" xr:uid="{00000000-0005-0000-0000-0000AB440000}"/>
    <cellStyle name="Neutral 4 2 2" xfId="31326" xr:uid="{00000000-0005-0000-0000-0000AC440000}"/>
    <cellStyle name="Neutral 4 3" xfId="31327" xr:uid="{00000000-0005-0000-0000-0000AD440000}"/>
    <cellStyle name="Neutral 4 4" xfId="31328" xr:uid="{00000000-0005-0000-0000-0000AE440000}"/>
    <cellStyle name="Neutral 40" xfId="9022" xr:uid="{00000000-0005-0000-0000-0000AF440000}"/>
    <cellStyle name="Neutral 40 2" xfId="22358" xr:uid="{00000000-0005-0000-0000-0000B0440000}"/>
    <cellStyle name="Neutral 41" xfId="9023" xr:uid="{00000000-0005-0000-0000-0000B1440000}"/>
    <cellStyle name="Neutral 41 2" xfId="22359" xr:uid="{00000000-0005-0000-0000-0000B2440000}"/>
    <cellStyle name="Neutral 42" xfId="9024" xr:uid="{00000000-0005-0000-0000-0000B3440000}"/>
    <cellStyle name="Neutral 42 2" xfId="22360" xr:uid="{00000000-0005-0000-0000-0000B4440000}"/>
    <cellStyle name="Neutral 43" xfId="11599" xr:uid="{00000000-0005-0000-0000-0000B5440000}"/>
    <cellStyle name="Neutral 43 2" xfId="22361" xr:uid="{00000000-0005-0000-0000-0000B6440000}"/>
    <cellStyle name="Neutral 44" xfId="11528" xr:uid="{00000000-0005-0000-0000-0000B7440000}"/>
    <cellStyle name="Neutral 44 2" xfId="22362" xr:uid="{00000000-0005-0000-0000-0000B8440000}"/>
    <cellStyle name="Neutral 45" xfId="22363" xr:uid="{00000000-0005-0000-0000-0000B9440000}"/>
    <cellStyle name="Neutral 46" xfId="31329" xr:uid="{00000000-0005-0000-0000-0000BA440000}"/>
    <cellStyle name="Neutral 47" xfId="538" xr:uid="{00000000-0005-0000-0000-0000BB440000}"/>
    <cellStyle name="Neutral 5" xfId="9025" xr:uid="{00000000-0005-0000-0000-0000BC440000}"/>
    <cellStyle name="Neutral 5 2" xfId="22364" xr:uid="{00000000-0005-0000-0000-0000BD440000}"/>
    <cellStyle name="Neutral 5 2 2" xfId="31330" xr:uid="{00000000-0005-0000-0000-0000BE440000}"/>
    <cellStyle name="Neutral 5 3" xfId="31331" xr:uid="{00000000-0005-0000-0000-0000BF440000}"/>
    <cellStyle name="Neutral 5 4" xfId="31332" xr:uid="{00000000-0005-0000-0000-0000C0440000}"/>
    <cellStyle name="Neutral 6" xfId="9026" xr:uid="{00000000-0005-0000-0000-0000C1440000}"/>
    <cellStyle name="Neutral 6 2" xfId="22365" xr:uid="{00000000-0005-0000-0000-0000C2440000}"/>
    <cellStyle name="Neutral 6 3" xfId="31333" xr:uid="{00000000-0005-0000-0000-0000C3440000}"/>
    <cellStyle name="Neutral 7" xfId="9027" xr:uid="{00000000-0005-0000-0000-0000C4440000}"/>
    <cellStyle name="Neutral 7 2" xfId="22366" xr:uid="{00000000-0005-0000-0000-0000C5440000}"/>
    <cellStyle name="Neutral 7 3" xfId="31334" xr:uid="{00000000-0005-0000-0000-0000C6440000}"/>
    <cellStyle name="Neutral 8" xfId="9028" xr:uid="{00000000-0005-0000-0000-0000C7440000}"/>
    <cellStyle name="Neutral 8 2" xfId="22367" xr:uid="{00000000-0005-0000-0000-0000C8440000}"/>
    <cellStyle name="Neutral 8 3" xfId="31335" xr:uid="{00000000-0005-0000-0000-0000C9440000}"/>
    <cellStyle name="Neutral 9" xfId="9029" xr:uid="{00000000-0005-0000-0000-0000CA440000}"/>
    <cellStyle name="Neutral 9 2" xfId="22368" xr:uid="{00000000-0005-0000-0000-0000CB440000}"/>
    <cellStyle name="Neutral 9 3" xfId="31336" xr:uid="{00000000-0005-0000-0000-0000CC440000}"/>
    <cellStyle name="Neutre" xfId="31337" xr:uid="{00000000-0005-0000-0000-0000CD440000}"/>
    <cellStyle name="Nick's Standard" xfId="539" xr:uid="{00000000-0005-0000-0000-0000CE440000}"/>
    <cellStyle name="Nick's Standard 2" xfId="22369" xr:uid="{00000000-0005-0000-0000-0000CF440000}"/>
    <cellStyle name="Normal" xfId="0" builtinId="0"/>
    <cellStyle name="Normal - Style1" xfId="31338" xr:uid="{00000000-0005-0000-0000-0000D1440000}"/>
    <cellStyle name="Normal 10" xfId="479" xr:uid="{00000000-0005-0000-0000-0000D2440000}"/>
    <cellStyle name="Normal 10 10" xfId="28767" xr:uid="{00000000-0005-0000-0000-0000D3440000}"/>
    <cellStyle name="Normal 10 11" xfId="31339" xr:uid="{00000000-0005-0000-0000-0000D4440000}"/>
    <cellStyle name="Normal 10 12" xfId="31340" xr:uid="{00000000-0005-0000-0000-0000D5440000}"/>
    <cellStyle name="Normal 10 13" xfId="31341" xr:uid="{00000000-0005-0000-0000-0000D6440000}"/>
    <cellStyle name="Normal 10 14" xfId="540" xr:uid="{00000000-0005-0000-0000-0000D7440000}"/>
    <cellStyle name="Normal 10 14 2 2" xfId="12848" xr:uid="{00000000-0005-0000-0000-0000D8440000}"/>
    <cellStyle name="Normal 10 14 2 2 2" xfId="22371" xr:uid="{00000000-0005-0000-0000-0000D9440000}"/>
    <cellStyle name="Normal 10 2" xfId="9030" xr:uid="{00000000-0005-0000-0000-0000DA440000}"/>
    <cellStyle name="Normal 10 2 10" xfId="31342" xr:uid="{00000000-0005-0000-0000-0000DB440000}"/>
    <cellStyle name="Normal 10 2 2" xfId="10855" xr:uid="{00000000-0005-0000-0000-0000DC440000}"/>
    <cellStyle name="Normal 10 2 2 10" xfId="34273" xr:uid="{00000000-0005-0000-0000-0000DD440000}"/>
    <cellStyle name="Normal 10 2 2 2" xfId="12275" xr:uid="{00000000-0005-0000-0000-0000DE440000}"/>
    <cellStyle name="Normal 10 2 2 2 2" xfId="22374" xr:uid="{00000000-0005-0000-0000-0000DF440000}"/>
    <cellStyle name="Normal 10 2 2 2 2 2" xfId="12250" xr:uid="{00000000-0005-0000-0000-0000E0440000}"/>
    <cellStyle name="Normal 10 2 2 2 2 2 2" xfId="12249" xr:uid="{00000000-0005-0000-0000-0000E1440000}"/>
    <cellStyle name="Normal 10 2 2 2 2 2 2 2" xfId="12248" xr:uid="{00000000-0005-0000-0000-0000E2440000}"/>
    <cellStyle name="Normal 10 2 2 2 2 2 2 2 2" xfId="14157" xr:uid="{00000000-0005-0000-0000-0000E3440000}"/>
    <cellStyle name="Normal 10 2 2 2 2 2 2 2 2 2" xfId="15301" xr:uid="{00000000-0005-0000-0000-0000E4440000}"/>
    <cellStyle name="Normal 10 2 2 2 2 2 2 2 2 2 2" xfId="22379" xr:uid="{00000000-0005-0000-0000-0000E5440000}"/>
    <cellStyle name="Normal 10 2 2 2 2 2 2 2 2 3" xfId="22378" xr:uid="{00000000-0005-0000-0000-0000E6440000}"/>
    <cellStyle name="Normal 10 2 2 2 2 2 2 2 2_Additional Disclosures" xfId="15831" xr:uid="{00000000-0005-0000-0000-0000E7440000}"/>
    <cellStyle name="Normal 10 2 2 2 2 2 2 2 3" xfId="13646" xr:uid="{00000000-0005-0000-0000-0000E8440000}"/>
    <cellStyle name="Normal 10 2 2 2 2 2 2 2 3 2" xfId="22380" xr:uid="{00000000-0005-0000-0000-0000E9440000}"/>
    <cellStyle name="Normal 10 2 2 2 2 2 2 2 4" xfId="14791" xr:uid="{00000000-0005-0000-0000-0000EA440000}"/>
    <cellStyle name="Normal 10 2 2 2 2 2 2 2 4 2" xfId="22381" xr:uid="{00000000-0005-0000-0000-0000EB440000}"/>
    <cellStyle name="Normal 10 2 2 2 2 2 2 2 5" xfId="22377" xr:uid="{00000000-0005-0000-0000-0000EC440000}"/>
    <cellStyle name="Normal 10 2 2 2 2 2 2 2_Additional Disclosures" xfId="15830" xr:uid="{00000000-0005-0000-0000-0000ED440000}"/>
    <cellStyle name="Normal 10 2 2 2 2 2 2 3" xfId="13902" xr:uid="{00000000-0005-0000-0000-0000EE440000}"/>
    <cellStyle name="Normal 10 2 2 2 2 2 2 3 2" xfId="15047" xr:uid="{00000000-0005-0000-0000-0000EF440000}"/>
    <cellStyle name="Normal 10 2 2 2 2 2 2 3 2 2" xfId="22383" xr:uid="{00000000-0005-0000-0000-0000F0440000}"/>
    <cellStyle name="Normal 10 2 2 2 2 2 2 3 3" xfId="22382" xr:uid="{00000000-0005-0000-0000-0000F1440000}"/>
    <cellStyle name="Normal 10 2 2 2 2 2 2 3_Additional Disclosures" xfId="15832" xr:uid="{00000000-0005-0000-0000-0000F2440000}"/>
    <cellStyle name="Normal 10 2 2 2 2 2 2 4" xfId="13391" xr:uid="{00000000-0005-0000-0000-0000F3440000}"/>
    <cellStyle name="Normal 10 2 2 2 2 2 2 4 2" xfId="22384" xr:uid="{00000000-0005-0000-0000-0000F4440000}"/>
    <cellStyle name="Normal 10 2 2 2 2 2 2 5" xfId="14535" xr:uid="{00000000-0005-0000-0000-0000F5440000}"/>
    <cellStyle name="Normal 10 2 2 2 2 2 2 5 2" xfId="22385" xr:uid="{00000000-0005-0000-0000-0000F6440000}"/>
    <cellStyle name="Normal 10 2 2 2 2 2 2 6" xfId="22376" xr:uid="{00000000-0005-0000-0000-0000F7440000}"/>
    <cellStyle name="Normal 10 2 2 2 2 2 2 7" xfId="33755" xr:uid="{00000000-0005-0000-0000-0000F8440000}"/>
    <cellStyle name="Normal 10 2 2 2 2 2 2 8" xfId="34293" xr:uid="{00000000-0005-0000-0000-0000F9440000}"/>
    <cellStyle name="Normal 10 2 2 2 2 2 2_Additional Disclosures" xfId="15829" xr:uid="{00000000-0005-0000-0000-0000FA440000}"/>
    <cellStyle name="Normal 10 2 2 2 2 2 3" xfId="12247" xr:uid="{00000000-0005-0000-0000-0000FB440000}"/>
    <cellStyle name="Normal 10 2 2 2 2 2 3 2" xfId="14117" xr:uid="{00000000-0005-0000-0000-0000FC440000}"/>
    <cellStyle name="Normal 10 2 2 2 2 2 3 2 2" xfId="15261" xr:uid="{00000000-0005-0000-0000-0000FD440000}"/>
    <cellStyle name="Normal 10 2 2 2 2 2 3 2 2 2" xfId="22388" xr:uid="{00000000-0005-0000-0000-0000FE440000}"/>
    <cellStyle name="Normal 10 2 2 2 2 2 3 2 3" xfId="22387" xr:uid="{00000000-0005-0000-0000-0000FF440000}"/>
    <cellStyle name="Normal 10 2 2 2 2 2 3 2_Additional Disclosures" xfId="15834" xr:uid="{00000000-0005-0000-0000-000000450000}"/>
    <cellStyle name="Normal 10 2 2 2 2 2 3 3" xfId="13606" xr:uid="{00000000-0005-0000-0000-000001450000}"/>
    <cellStyle name="Normal 10 2 2 2 2 2 3 3 2" xfId="22389" xr:uid="{00000000-0005-0000-0000-000002450000}"/>
    <cellStyle name="Normal 10 2 2 2 2 2 3 4" xfId="14751" xr:uid="{00000000-0005-0000-0000-000003450000}"/>
    <cellStyle name="Normal 10 2 2 2 2 2 3 4 2" xfId="22390" xr:uid="{00000000-0005-0000-0000-000004450000}"/>
    <cellStyle name="Normal 10 2 2 2 2 2 3 5" xfId="22386" xr:uid="{00000000-0005-0000-0000-000005450000}"/>
    <cellStyle name="Normal 10 2 2 2 2 2 3 6" xfId="33983" xr:uid="{00000000-0005-0000-0000-000006450000}"/>
    <cellStyle name="Normal 10 2 2 2 2 2 3 7" xfId="34312" xr:uid="{00000000-0005-0000-0000-000007450000}"/>
    <cellStyle name="Normal 10 2 2 2 2 2 3_Additional Disclosures" xfId="15833" xr:uid="{00000000-0005-0000-0000-000008450000}"/>
    <cellStyle name="Normal 10 2 2 2 2 2 4" xfId="13862" xr:uid="{00000000-0005-0000-0000-000009450000}"/>
    <cellStyle name="Normal 10 2 2 2 2 2 4 2" xfId="15007" xr:uid="{00000000-0005-0000-0000-00000A450000}"/>
    <cellStyle name="Normal 10 2 2 2 2 2 4 2 2" xfId="22392" xr:uid="{00000000-0005-0000-0000-00000B450000}"/>
    <cellStyle name="Normal 10 2 2 2 2 2 4 3" xfId="22391" xr:uid="{00000000-0005-0000-0000-00000C450000}"/>
    <cellStyle name="Normal 10 2 2 2 2 2 4 4" xfId="34197" xr:uid="{00000000-0005-0000-0000-00000D450000}"/>
    <cellStyle name="Normal 10 2 2 2 2 2 4_Additional Disclosures" xfId="15835" xr:uid="{00000000-0005-0000-0000-00000E450000}"/>
    <cellStyle name="Normal 10 2 2 2 2 2 5" xfId="13351" xr:uid="{00000000-0005-0000-0000-00000F450000}"/>
    <cellStyle name="Normal 10 2 2 2 2 2 5 2" xfId="22393" xr:uid="{00000000-0005-0000-0000-000010450000}"/>
    <cellStyle name="Normal 10 2 2 2 2 2 6" xfId="14494" xr:uid="{00000000-0005-0000-0000-000011450000}"/>
    <cellStyle name="Normal 10 2 2 2 2 2 6 2" xfId="22394" xr:uid="{00000000-0005-0000-0000-000012450000}"/>
    <cellStyle name="Normal 10 2 2 2 2 2 7" xfId="22375" xr:uid="{00000000-0005-0000-0000-000013450000}"/>
    <cellStyle name="Normal 10 2 2 2 2 2 8" xfId="33372" xr:uid="{00000000-0005-0000-0000-000014450000}"/>
    <cellStyle name="Normal 10 2 2 2 2 2 9" xfId="34279" xr:uid="{00000000-0005-0000-0000-000015450000}"/>
    <cellStyle name="Normal 10 2 2 2 2 2_Additional Disclosures" xfId="15828" xr:uid="{00000000-0005-0000-0000-000016450000}"/>
    <cellStyle name="Normal 10 2 2 2 2 3" xfId="31343" xr:uid="{00000000-0005-0000-0000-000017450000}"/>
    <cellStyle name="Normal 10 2 2 2 2 4" xfId="31344" xr:uid="{00000000-0005-0000-0000-000018450000}"/>
    <cellStyle name="Normal 10 2 2 2 2 5" xfId="31345" xr:uid="{00000000-0005-0000-0000-000019450000}"/>
    <cellStyle name="Normal 10 2 2 2 2 6" xfId="31346" xr:uid="{00000000-0005-0000-0000-00001A450000}"/>
    <cellStyle name="Normal 10 2 2 2 2 7" xfId="31347" xr:uid="{00000000-0005-0000-0000-00001B450000}"/>
    <cellStyle name="Normal 10 2 2 2 2 8" xfId="31348" xr:uid="{00000000-0005-0000-0000-00001C450000}"/>
    <cellStyle name="Normal 10 2 2 2 3" xfId="31349" xr:uid="{00000000-0005-0000-0000-00001D450000}"/>
    <cellStyle name="Normal 10 2 2 2 3 2" xfId="31350" xr:uid="{00000000-0005-0000-0000-00001E450000}"/>
    <cellStyle name="Normal 10 2 2 2 4" xfId="31351" xr:uid="{00000000-0005-0000-0000-00001F450000}"/>
    <cellStyle name="Normal 10 2 2 2 5" xfId="31352" xr:uid="{00000000-0005-0000-0000-000020450000}"/>
    <cellStyle name="Normal 10 2 2 2 6" xfId="31353" xr:uid="{00000000-0005-0000-0000-000021450000}"/>
    <cellStyle name="Normal 10 2 2 2 7" xfId="31354" xr:uid="{00000000-0005-0000-0000-000022450000}"/>
    <cellStyle name="Normal 10 2 2 2 8" xfId="31355" xr:uid="{00000000-0005-0000-0000-000023450000}"/>
    <cellStyle name="Normal 10 2 2 3" xfId="14178" xr:uid="{00000000-0005-0000-0000-000024450000}"/>
    <cellStyle name="Normal 10 2 2 3 2" xfId="22395" xr:uid="{00000000-0005-0000-0000-000025450000}"/>
    <cellStyle name="Normal 10 2 2 4" xfId="15322" xr:uid="{00000000-0005-0000-0000-000026450000}"/>
    <cellStyle name="Normal 10 2 2 4 2" xfId="22396" xr:uid="{00000000-0005-0000-0000-000027450000}"/>
    <cellStyle name="Normal 10 2 2 5" xfId="22373" xr:uid="{00000000-0005-0000-0000-000028450000}"/>
    <cellStyle name="Normal 10 2 2 6" xfId="31356" xr:uid="{00000000-0005-0000-0000-000029450000}"/>
    <cellStyle name="Normal 10 2 2 7" xfId="31357" xr:uid="{00000000-0005-0000-0000-00002A450000}"/>
    <cellStyle name="Normal 10 2 2 8" xfId="31358" xr:uid="{00000000-0005-0000-0000-00002B450000}"/>
    <cellStyle name="Normal 10 2 2 9" xfId="33239" xr:uid="{00000000-0005-0000-0000-00002C450000}"/>
    <cellStyle name="Normal 10 2 2_Additional Disclosures" xfId="15827" xr:uid="{00000000-0005-0000-0000-00002D450000}"/>
    <cellStyle name="Normal 10 2 3" xfId="11623" xr:uid="{00000000-0005-0000-0000-00002E450000}"/>
    <cellStyle name="Normal 10 2 3 2" xfId="22397" xr:uid="{00000000-0005-0000-0000-00002F450000}"/>
    <cellStyle name="Normal 10 2 3 3" xfId="31359" xr:uid="{00000000-0005-0000-0000-000030450000}"/>
    <cellStyle name="Normal 10 2 3 4" xfId="31360" xr:uid="{00000000-0005-0000-0000-000031450000}"/>
    <cellStyle name="Normal 10 2 3 5" xfId="31361" xr:uid="{00000000-0005-0000-0000-000032450000}"/>
    <cellStyle name="Normal 10 2 4" xfId="13667" xr:uid="{00000000-0005-0000-0000-000033450000}"/>
    <cellStyle name="Normal 10 2 4 2" xfId="22398" xr:uid="{00000000-0005-0000-0000-000034450000}"/>
    <cellStyle name="Normal 10 2 4 3" xfId="33502" xr:uid="{00000000-0005-0000-0000-000035450000}"/>
    <cellStyle name="Normal 10 2 5" xfId="14812" xr:uid="{00000000-0005-0000-0000-000036450000}"/>
    <cellStyle name="Normal 10 2 5 2" xfId="22399" xr:uid="{00000000-0005-0000-0000-000037450000}"/>
    <cellStyle name="Normal 10 2 5 3" xfId="33426" xr:uid="{00000000-0005-0000-0000-000038450000}"/>
    <cellStyle name="Normal 10 2 6" xfId="22372" xr:uid="{00000000-0005-0000-0000-000039450000}"/>
    <cellStyle name="Normal 10 2 7" xfId="31362" xr:uid="{00000000-0005-0000-0000-00003A450000}"/>
    <cellStyle name="Normal 10 2 8" xfId="31363" xr:uid="{00000000-0005-0000-0000-00003B450000}"/>
    <cellStyle name="Normal 10 2 9" xfId="31364" xr:uid="{00000000-0005-0000-0000-00003C450000}"/>
    <cellStyle name="Normal 10 2_Additional Disclosures" xfId="15826" xr:uid="{00000000-0005-0000-0000-00003D450000}"/>
    <cellStyle name="Normal 10 3" xfId="9031" xr:uid="{00000000-0005-0000-0000-00003E450000}"/>
    <cellStyle name="Normal 10 3 10" xfId="31365" xr:uid="{00000000-0005-0000-0000-00003F450000}"/>
    <cellStyle name="Normal 10 3 2" xfId="10856" xr:uid="{00000000-0005-0000-0000-000040450000}"/>
    <cellStyle name="Normal 10 3 2 2" xfId="12276" xr:uid="{00000000-0005-0000-0000-000041450000}"/>
    <cellStyle name="Normal 10 3 2 2 2" xfId="22402" xr:uid="{00000000-0005-0000-0000-000042450000}"/>
    <cellStyle name="Normal 10 3 2 3" xfId="22401" xr:uid="{00000000-0005-0000-0000-000043450000}"/>
    <cellStyle name="Normal 10 3 2 4" xfId="31366" xr:uid="{00000000-0005-0000-0000-000044450000}"/>
    <cellStyle name="Normal 10 3 2 5" xfId="31367" xr:uid="{00000000-0005-0000-0000-000045450000}"/>
    <cellStyle name="Normal 10 3 2 6" xfId="31368" xr:uid="{00000000-0005-0000-0000-000046450000}"/>
    <cellStyle name="Normal 10 3 3" xfId="11624" xr:uid="{00000000-0005-0000-0000-000047450000}"/>
    <cellStyle name="Normal 10 3 3 2" xfId="22403" xr:uid="{00000000-0005-0000-0000-000048450000}"/>
    <cellStyle name="Normal 10 3 4" xfId="13923" xr:uid="{00000000-0005-0000-0000-000049450000}"/>
    <cellStyle name="Normal 10 3 4 2" xfId="22404" xr:uid="{00000000-0005-0000-0000-00004A450000}"/>
    <cellStyle name="Normal 10 3 5" xfId="15068" xr:uid="{00000000-0005-0000-0000-00004B450000}"/>
    <cellStyle name="Normal 10 3 5 2" xfId="22405" xr:uid="{00000000-0005-0000-0000-00004C450000}"/>
    <cellStyle name="Normal 10 3 6" xfId="22400" xr:uid="{00000000-0005-0000-0000-00004D450000}"/>
    <cellStyle name="Normal 10 3 7" xfId="31369" xr:uid="{00000000-0005-0000-0000-00004E450000}"/>
    <cellStyle name="Normal 10 3 8" xfId="31370" xr:uid="{00000000-0005-0000-0000-00004F450000}"/>
    <cellStyle name="Normal 10 3 9" xfId="31371" xr:uid="{00000000-0005-0000-0000-000050450000}"/>
    <cellStyle name="Normal 10 3_Additional Disclosures" xfId="15836" xr:uid="{00000000-0005-0000-0000-000051450000}"/>
    <cellStyle name="Normal 10 4" xfId="11467" xr:uid="{00000000-0005-0000-0000-000052450000}"/>
    <cellStyle name="Normal 10 4 2" xfId="22406" xr:uid="{00000000-0005-0000-0000-000053450000}"/>
    <cellStyle name="Normal 10 4 2 2" xfId="31372" xr:uid="{00000000-0005-0000-0000-000054450000}"/>
    <cellStyle name="Normal 10 4 3" xfId="31373" xr:uid="{00000000-0005-0000-0000-000055450000}"/>
    <cellStyle name="Normal 10 5" xfId="12849" xr:uid="{00000000-0005-0000-0000-000056450000}"/>
    <cellStyle name="Normal 10 5 2" xfId="22407" xr:uid="{00000000-0005-0000-0000-000057450000}"/>
    <cellStyle name="Normal 10 5 2 2" xfId="33784" xr:uid="{00000000-0005-0000-0000-000058450000}"/>
    <cellStyle name="Normal 10 5 3" xfId="31374" xr:uid="{00000000-0005-0000-0000-000059450000}"/>
    <cellStyle name="Normal 10 5 3 2" xfId="34012" xr:uid="{00000000-0005-0000-0000-00005A450000}"/>
    <cellStyle name="Normal 10 5 4" xfId="31375" xr:uid="{00000000-0005-0000-0000-00005B450000}"/>
    <cellStyle name="Normal 10 5 4 2" xfId="34226" xr:uid="{00000000-0005-0000-0000-00005C450000}"/>
    <cellStyle name="Normal 10 5 5" xfId="33403" xr:uid="{00000000-0005-0000-0000-00005D450000}"/>
    <cellStyle name="Normal 10 6" xfId="13412" xr:uid="{00000000-0005-0000-0000-00005E450000}"/>
    <cellStyle name="Normal 10 6 2" xfId="22408" xr:uid="{00000000-0005-0000-0000-00005F450000}"/>
    <cellStyle name="Normal 10 6 3" xfId="31376" xr:uid="{00000000-0005-0000-0000-000060450000}"/>
    <cellStyle name="Normal 10 6 4" xfId="31377" xr:uid="{00000000-0005-0000-0000-000061450000}"/>
    <cellStyle name="Normal 10 7" xfId="14556" xr:uid="{00000000-0005-0000-0000-000062450000}"/>
    <cellStyle name="Normal 10 7 2" xfId="22409" xr:uid="{00000000-0005-0000-0000-000063450000}"/>
    <cellStyle name="Normal 10 8" xfId="22370" xr:uid="{00000000-0005-0000-0000-000064450000}"/>
    <cellStyle name="Normal 10 9" xfId="28768" xr:uid="{00000000-0005-0000-0000-000065450000}"/>
    <cellStyle name="Normal 10_Additional Disclosures" xfId="15825" xr:uid="{00000000-0005-0000-0000-000066450000}"/>
    <cellStyle name="Normal 100" xfId="165" xr:uid="{00000000-0005-0000-0000-000067450000}"/>
    <cellStyle name="Normal 100 10" xfId="9033" xr:uid="{00000000-0005-0000-0000-000068450000}"/>
    <cellStyle name="Normal 100 10 2" xfId="10857" xr:uid="{00000000-0005-0000-0000-000069450000}"/>
    <cellStyle name="Normal 100 10 2 2" xfId="12277" xr:uid="{00000000-0005-0000-0000-00006A450000}"/>
    <cellStyle name="Normal 100 10 2 2 2" xfId="22413" xr:uid="{00000000-0005-0000-0000-00006B450000}"/>
    <cellStyle name="Normal 100 10 2 3" xfId="22412" xr:uid="{00000000-0005-0000-0000-00006C450000}"/>
    <cellStyle name="Normal 100 10 3" xfId="11625" xr:uid="{00000000-0005-0000-0000-00006D450000}"/>
    <cellStyle name="Normal 100 10 3 2" xfId="22414" xr:uid="{00000000-0005-0000-0000-00006E450000}"/>
    <cellStyle name="Normal 100 10 4" xfId="22411" xr:uid="{00000000-0005-0000-0000-00006F450000}"/>
    <cellStyle name="Normal 100 11" xfId="13493" xr:uid="{00000000-0005-0000-0000-000070450000}"/>
    <cellStyle name="Normal 100 11 2" xfId="22415" xr:uid="{00000000-0005-0000-0000-000071450000}"/>
    <cellStyle name="Normal 100 12" xfId="14638" xr:uid="{00000000-0005-0000-0000-000072450000}"/>
    <cellStyle name="Normal 100 12 2" xfId="22416" xr:uid="{00000000-0005-0000-0000-000073450000}"/>
    <cellStyle name="Normal 100 13" xfId="22410" xr:uid="{00000000-0005-0000-0000-000074450000}"/>
    <cellStyle name="Normal 100 14" xfId="31378" xr:uid="{00000000-0005-0000-0000-000075450000}"/>
    <cellStyle name="Normal 100 15" xfId="31379" xr:uid="{00000000-0005-0000-0000-000076450000}"/>
    <cellStyle name="Normal 100 16" xfId="9032" xr:uid="{00000000-0005-0000-0000-000077450000}"/>
    <cellStyle name="Normal 100 2" xfId="370" xr:uid="{00000000-0005-0000-0000-000078450000}"/>
    <cellStyle name="Normal 100 2 10" xfId="31380" xr:uid="{00000000-0005-0000-0000-000079450000}"/>
    <cellStyle name="Normal 100 2 11" xfId="31381" xr:uid="{00000000-0005-0000-0000-00007A450000}"/>
    <cellStyle name="Normal 100 2 12" xfId="9034" xr:uid="{00000000-0005-0000-0000-00007B450000}"/>
    <cellStyle name="Normal 100 2 2" xfId="14258" xr:uid="{00000000-0005-0000-0000-00007C450000}"/>
    <cellStyle name="Normal 100 2 2 2" xfId="15402" xr:uid="{00000000-0005-0000-0000-00007D450000}"/>
    <cellStyle name="Normal 100 2 2 2 2" xfId="22419" xr:uid="{00000000-0005-0000-0000-00007E450000}"/>
    <cellStyle name="Normal 100 2 2 3" xfId="22418" xr:uid="{00000000-0005-0000-0000-00007F450000}"/>
    <cellStyle name="Normal 100 2 2_Additional Disclosures" xfId="15839" xr:uid="{00000000-0005-0000-0000-000080450000}"/>
    <cellStyle name="Normal 100 2 3" xfId="13748" xr:uid="{00000000-0005-0000-0000-000081450000}"/>
    <cellStyle name="Normal 100 2 3 2" xfId="22420" xr:uid="{00000000-0005-0000-0000-000082450000}"/>
    <cellStyle name="Normal 100 2 4" xfId="14892" xr:uid="{00000000-0005-0000-0000-000083450000}"/>
    <cellStyle name="Normal 100 2 4 2" xfId="22421" xr:uid="{00000000-0005-0000-0000-000084450000}"/>
    <cellStyle name="Normal 100 2 5" xfId="22417" xr:uid="{00000000-0005-0000-0000-000085450000}"/>
    <cellStyle name="Normal 100 2 6" xfId="28770" xr:uid="{00000000-0005-0000-0000-000086450000}"/>
    <cellStyle name="Normal 100 2 7" xfId="28765" xr:uid="{00000000-0005-0000-0000-000087450000}"/>
    <cellStyle name="Normal 100 2 8" xfId="28769" xr:uid="{00000000-0005-0000-0000-000088450000}"/>
    <cellStyle name="Normal 100 2 9" xfId="28766" xr:uid="{00000000-0005-0000-0000-000089450000}"/>
    <cellStyle name="Normal 100 2_Additional Disclosures" xfId="15838" xr:uid="{00000000-0005-0000-0000-00008A450000}"/>
    <cellStyle name="Normal 100 3" xfId="9035" xr:uid="{00000000-0005-0000-0000-00008B450000}"/>
    <cellStyle name="Normal 100 3 2" xfId="14004" xr:uid="{00000000-0005-0000-0000-00008C450000}"/>
    <cellStyle name="Normal 100 3 2 2" xfId="22423" xr:uid="{00000000-0005-0000-0000-00008D450000}"/>
    <cellStyle name="Normal 100 3 3" xfId="15148" xr:uid="{00000000-0005-0000-0000-00008E450000}"/>
    <cellStyle name="Normal 100 3 3 2" xfId="22424" xr:uid="{00000000-0005-0000-0000-00008F450000}"/>
    <cellStyle name="Normal 100 3 4" xfId="22422" xr:uid="{00000000-0005-0000-0000-000090450000}"/>
    <cellStyle name="Normal 100 3 5" xfId="31382" xr:uid="{00000000-0005-0000-0000-000091450000}"/>
    <cellStyle name="Normal 100 3_Additional Disclosures" xfId="15840" xr:uid="{00000000-0005-0000-0000-000092450000}"/>
    <cellStyle name="Normal 100 4" xfId="9036" xr:uid="{00000000-0005-0000-0000-000093450000}"/>
    <cellStyle name="Normal 100 4 2" xfId="22425" xr:uid="{00000000-0005-0000-0000-000094450000}"/>
    <cellStyle name="Normal 100 4 3" xfId="31383" xr:uid="{00000000-0005-0000-0000-000095450000}"/>
    <cellStyle name="Normal 100 5" xfId="9037" xr:uid="{00000000-0005-0000-0000-000096450000}"/>
    <cellStyle name="Normal 100 5 2" xfId="22426" xr:uid="{00000000-0005-0000-0000-000097450000}"/>
    <cellStyle name="Normal 100 5 3" xfId="31384" xr:uid="{00000000-0005-0000-0000-000098450000}"/>
    <cellStyle name="Normal 100 6" xfId="9038" xr:uid="{00000000-0005-0000-0000-000099450000}"/>
    <cellStyle name="Normal 100 6 2" xfId="22427" xr:uid="{00000000-0005-0000-0000-00009A450000}"/>
    <cellStyle name="Normal 100 6 3" xfId="31385" xr:uid="{00000000-0005-0000-0000-00009B450000}"/>
    <cellStyle name="Normal 100 7" xfId="9039" xr:uid="{00000000-0005-0000-0000-00009C450000}"/>
    <cellStyle name="Normal 100 7 2" xfId="22428" xr:uid="{00000000-0005-0000-0000-00009D450000}"/>
    <cellStyle name="Normal 100 7 3" xfId="31386" xr:uid="{00000000-0005-0000-0000-00009E450000}"/>
    <cellStyle name="Normal 100 8" xfId="9040" xr:uid="{00000000-0005-0000-0000-00009F450000}"/>
    <cellStyle name="Normal 100 8 2" xfId="22429" xr:uid="{00000000-0005-0000-0000-0000A0450000}"/>
    <cellStyle name="Normal 100 8 3" xfId="31387" xr:uid="{00000000-0005-0000-0000-0000A1450000}"/>
    <cellStyle name="Normal 100 9" xfId="9041" xr:uid="{00000000-0005-0000-0000-0000A2450000}"/>
    <cellStyle name="Normal 100 9 2" xfId="10858" xr:uid="{00000000-0005-0000-0000-0000A3450000}"/>
    <cellStyle name="Normal 100 9 2 2" xfId="12278" xr:uid="{00000000-0005-0000-0000-0000A4450000}"/>
    <cellStyle name="Normal 100 9 2 2 2" xfId="22432" xr:uid="{00000000-0005-0000-0000-0000A5450000}"/>
    <cellStyle name="Normal 100 9 2 3" xfId="22431" xr:uid="{00000000-0005-0000-0000-0000A6450000}"/>
    <cellStyle name="Normal 100 9 3" xfId="11626" xr:uid="{00000000-0005-0000-0000-0000A7450000}"/>
    <cellStyle name="Normal 100 9 3 2" xfId="22433" xr:uid="{00000000-0005-0000-0000-0000A8450000}"/>
    <cellStyle name="Normal 100 9 4" xfId="22430" xr:uid="{00000000-0005-0000-0000-0000A9450000}"/>
    <cellStyle name="Normal 100 9 5" xfId="31388" xr:uid="{00000000-0005-0000-0000-0000AA450000}"/>
    <cellStyle name="Normal 100_Additional Disclosures" xfId="15837" xr:uid="{00000000-0005-0000-0000-0000AB450000}"/>
    <cellStyle name="Normal 101" xfId="9042" xr:uid="{00000000-0005-0000-0000-0000AC450000}"/>
    <cellStyle name="Normal 101 10" xfId="28764" xr:uid="{00000000-0005-0000-0000-0000AD450000}"/>
    <cellStyle name="Normal 101 11" xfId="31389" xr:uid="{00000000-0005-0000-0000-0000AE450000}"/>
    <cellStyle name="Normal 101 12" xfId="31390" xr:uid="{00000000-0005-0000-0000-0000AF450000}"/>
    <cellStyle name="Normal 101 2" xfId="9043" xr:uid="{00000000-0005-0000-0000-0000B0450000}"/>
    <cellStyle name="Normal 101 2 10" xfId="31391" xr:uid="{00000000-0005-0000-0000-0000B1450000}"/>
    <cellStyle name="Normal 101 2 11" xfId="31392" xr:uid="{00000000-0005-0000-0000-0000B2450000}"/>
    <cellStyle name="Normal 101 2 2" xfId="14259" xr:uid="{00000000-0005-0000-0000-0000B3450000}"/>
    <cellStyle name="Normal 101 2 2 2" xfId="15403" xr:uid="{00000000-0005-0000-0000-0000B4450000}"/>
    <cellStyle name="Normal 101 2 2 2 2" xfId="22437" xr:uid="{00000000-0005-0000-0000-0000B5450000}"/>
    <cellStyle name="Normal 101 2 2 3" xfId="22436" xr:uid="{00000000-0005-0000-0000-0000B6450000}"/>
    <cellStyle name="Normal 101 2 2_Additional Disclosures" xfId="15843" xr:uid="{00000000-0005-0000-0000-0000B7450000}"/>
    <cellStyle name="Normal 101 2 3" xfId="13749" xr:uid="{00000000-0005-0000-0000-0000B8450000}"/>
    <cellStyle name="Normal 101 2 3 2" xfId="22438" xr:uid="{00000000-0005-0000-0000-0000B9450000}"/>
    <cellStyle name="Normal 101 2 4" xfId="14893" xr:uid="{00000000-0005-0000-0000-0000BA450000}"/>
    <cellStyle name="Normal 101 2 4 2" xfId="22439" xr:uid="{00000000-0005-0000-0000-0000BB450000}"/>
    <cellStyle name="Normal 101 2 5" xfId="22435" xr:uid="{00000000-0005-0000-0000-0000BC450000}"/>
    <cellStyle name="Normal 101 2 6" xfId="28774" xr:uid="{00000000-0005-0000-0000-0000BD450000}"/>
    <cellStyle name="Normal 101 2 7" xfId="28761" xr:uid="{00000000-0005-0000-0000-0000BE450000}"/>
    <cellStyle name="Normal 101 2 8" xfId="28772" xr:uid="{00000000-0005-0000-0000-0000BF450000}"/>
    <cellStyle name="Normal 101 2 9" xfId="28763" xr:uid="{00000000-0005-0000-0000-0000C0450000}"/>
    <cellStyle name="Normal 101 2_Additional Disclosures" xfId="15842" xr:uid="{00000000-0005-0000-0000-0000C1450000}"/>
    <cellStyle name="Normal 101 3" xfId="14005" xr:uid="{00000000-0005-0000-0000-0000C2450000}"/>
    <cellStyle name="Normal 101 3 2" xfId="15149" xr:uid="{00000000-0005-0000-0000-0000C3450000}"/>
    <cellStyle name="Normal 101 3 2 2" xfId="22441" xr:uid="{00000000-0005-0000-0000-0000C4450000}"/>
    <cellStyle name="Normal 101 3 3" xfId="22440" xr:uid="{00000000-0005-0000-0000-0000C5450000}"/>
    <cellStyle name="Normal 101 3_Additional Disclosures" xfId="15844" xr:uid="{00000000-0005-0000-0000-0000C6450000}"/>
    <cellStyle name="Normal 101 4" xfId="13494" xr:uid="{00000000-0005-0000-0000-0000C7450000}"/>
    <cellStyle name="Normal 101 4 2" xfId="22442" xr:uid="{00000000-0005-0000-0000-0000C8450000}"/>
    <cellStyle name="Normal 101 5" xfId="14639" xr:uid="{00000000-0005-0000-0000-0000C9450000}"/>
    <cellStyle name="Normal 101 5 2" xfId="22443" xr:uid="{00000000-0005-0000-0000-0000CA450000}"/>
    <cellStyle name="Normal 101 6" xfId="22434" xr:uid="{00000000-0005-0000-0000-0000CB450000}"/>
    <cellStyle name="Normal 101 7" xfId="28773" xr:uid="{00000000-0005-0000-0000-0000CC450000}"/>
    <cellStyle name="Normal 101 8" xfId="28762" xr:uid="{00000000-0005-0000-0000-0000CD450000}"/>
    <cellStyle name="Normal 101 9" xfId="28771" xr:uid="{00000000-0005-0000-0000-0000CE450000}"/>
    <cellStyle name="Normal 101_Additional Disclosures" xfId="15841" xr:uid="{00000000-0005-0000-0000-0000CF450000}"/>
    <cellStyle name="Normal 102" xfId="9044" xr:uid="{00000000-0005-0000-0000-0000D0450000}"/>
    <cellStyle name="Normal 102 10" xfId="28760" xr:uid="{00000000-0005-0000-0000-0000D1450000}"/>
    <cellStyle name="Normal 102 11" xfId="31393" xr:uid="{00000000-0005-0000-0000-0000D2450000}"/>
    <cellStyle name="Normal 102 12" xfId="31394" xr:uid="{00000000-0005-0000-0000-0000D3450000}"/>
    <cellStyle name="Normal 102 2" xfId="9045" xr:uid="{00000000-0005-0000-0000-0000D4450000}"/>
    <cellStyle name="Normal 102 2 2" xfId="10859" xr:uid="{00000000-0005-0000-0000-0000D5450000}"/>
    <cellStyle name="Normal 102 2 2 2" xfId="12279" xr:uid="{00000000-0005-0000-0000-0000D6450000}"/>
    <cellStyle name="Normal 102 2 2 2 2" xfId="22447" xr:uid="{00000000-0005-0000-0000-0000D7450000}"/>
    <cellStyle name="Normal 102 2 2 3" xfId="14260" xr:uid="{00000000-0005-0000-0000-0000D8450000}"/>
    <cellStyle name="Normal 102 2 2 3 2" xfId="22448" xr:uid="{00000000-0005-0000-0000-0000D9450000}"/>
    <cellStyle name="Normal 102 2 2 4" xfId="15404" xr:uid="{00000000-0005-0000-0000-0000DA450000}"/>
    <cellStyle name="Normal 102 2 2 4 2" xfId="22449" xr:uid="{00000000-0005-0000-0000-0000DB450000}"/>
    <cellStyle name="Normal 102 2 2 5" xfId="22446" xr:uid="{00000000-0005-0000-0000-0000DC450000}"/>
    <cellStyle name="Normal 102 2 2_Additional Disclosures" xfId="15847" xr:uid="{00000000-0005-0000-0000-0000DD450000}"/>
    <cellStyle name="Normal 102 2 3" xfId="11627" xr:uid="{00000000-0005-0000-0000-0000DE450000}"/>
    <cellStyle name="Normal 102 2 3 2" xfId="22450" xr:uid="{00000000-0005-0000-0000-0000DF450000}"/>
    <cellStyle name="Normal 102 2 4" xfId="13750" xr:uid="{00000000-0005-0000-0000-0000E0450000}"/>
    <cellStyle name="Normal 102 2 4 2" xfId="22451" xr:uid="{00000000-0005-0000-0000-0000E1450000}"/>
    <cellStyle name="Normal 102 2 5" xfId="14894" xr:uid="{00000000-0005-0000-0000-0000E2450000}"/>
    <cellStyle name="Normal 102 2 5 2" xfId="22452" xr:uid="{00000000-0005-0000-0000-0000E3450000}"/>
    <cellStyle name="Normal 102 2 6" xfId="22445" xr:uid="{00000000-0005-0000-0000-0000E4450000}"/>
    <cellStyle name="Normal 102 2 7" xfId="31395" xr:uid="{00000000-0005-0000-0000-0000E5450000}"/>
    <cellStyle name="Normal 102 2_Additional Disclosures" xfId="15846" xr:uid="{00000000-0005-0000-0000-0000E6450000}"/>
    <cellStyle name="Normal 102 3" xfId="9046" xr:uid="{00000000-0005-0000-0000-0000E7450000}"/>
    <cellStyle name="Normal 102 3 2" xfId="10860" xr:uid="{00000000-0005-0000-0000-0000E8450000}"/>
    <cellStyle name="Normal 102 3 2 2" xfId="12280" xr:uid="{00000000-0005-0000-0000-0000E9450000}"/>
    <cellStyle name="Normal 102 3 2 2 2" xfId="22455" xr:uid="{00000000-0005-0000-0000-0000EA450000}"/>
    <cellStyle name="Normal 102 3 2 3" xfId="22454" xr:uid="{00000000-0005-0000-0000-0000EB450000}"/>
    <cellStyle name="Normal 102 3 3" xfId="11628" xr:uid="{00000000-0005-0000-0000-0000EC450000}"/>
    <cellStyle name="Normal 102 3 3 2" xfId="22456" xr:uid="{00000000-0005-0000-0000-0000ED450000}"/>
    <cellStyle name="Normal 102 3 4" xfId="14006" xr:uid="{00000000-0005-0000-0000-0000EE450000}"/>
    <cellStyle name="Normal 102 3 4 2" xfId="22457" xr:uid="{00000000-0005-0000-0000-0000EF450000}"/>
    <cellStyle name="Normal 102 3 5" xfId="15150" xr:uid="{00000000-0005-0000-0000-0000F0450000}"/>
    <cellStyle name="Normal 102 3 5 2" xfId="22458" xr:uid="{00000000-0005-0000-0000-0000F1450000}"/>
    <cellStyle name="Normal 102 3 6" xfId="22453" xr:uid="{00000000-0005-0000-0000-0000F2450000}"/>
    <cellStyle name="Normal 102 3_Additional Disclosures" xfId="15848" xr:uid="{00000000-0005-0000-0000-0000F3450000}"/>
    <cellStyle name="Normal 102 4" xfId="13495" xr:uid="{00000000-0005-0000-0000-0000F4450000}"/>
    <cellStyle name="Normal 102 4 2" xfId="22459" xr:uid="{00000000-0005-0000-0000-0000F5450000}"/>
    <cellStyle name="Normal 102 5" xfId="14640" xr:uid="{00000000-0005-0000-0000-0000F6450000}"/>
    <cellStyle name="Normal 102 5 2" xfId="22460" xr:uid="{00000000-0005-0000-0000-0000F7450000}"/>
    <cellStyle name="Normal 102 6" xfId="22444" xr:uid="{00000000-0005-0000-0000-0000F8450000}"/>
    <cellStyle name="Normal 102 7" xfId="28775" xr:uid="{00000000-0005-0000-0000-0000F9450000}"/>
    <cellStyle name="Normal 102 8" xfId="28759" xr:uid="{00000000-0005-0000-0000-0000FA450000}"/>
    <cellStyle name="Normal 102 9" xfId="28776" xr:uid="{00000000-0005-0000-0000-0000FB450000}"/>
    <cellStyle name="Normal 102_Additional Disclosures" xfId="15845" xr:uid="{00000000-0005-0000-0000-0000FC450000}"/>
    <cellStyle name="Normal 103" xfId="9047" xr:uid="{00000000-0005-0000-0000-0000FD450000}"/>
    <cellStyle name="Normal 103 10" xfId="28779" xr:uid="{00000000-0005-0000-0000-0000FE450000}"/>
    <cellStyle name="Normal 103 11" xfId="31396" xr:uid="{00000000-0005-0000-0000-0000FF450000}"/>
    <cellStyle name="Normal 103 12" xfId="31397" xr:uid="{00000000-0005-0000-0000-000000460000}"/>
    <cellStyle name="Normal 103 2" xfId="9048" xr:uid="{00000000-0005-0000-0000-000001460000}"/>
    <cellStyle name="Normal 103 2 10" xfId="28758" xr:uid="{00000000-0005-0000-0000-000002460000}"/>
    <cellStyle name="Normal 103 2 11" xfId="31398" xr:uid="{00000000-0005-0000-0000-000003460000}"/>
    <cellStyle name="Normal 103 2 12" xfId="31399" xr:uid="{00000000-0005-0000-0000-000004460000}"/>
    <cellStyle name="Normal 103 2 2" xfId="12244" xr:uid="{00000000-0005-0000-0000-000005460000}"/>
    <cellStyle name="Normal 103 2 2 2" xfId="14261" xr:uid="{00000000-0005-0000-0000-000006460000}"/>
    <cellStyle name="Normal 103 2 2 2 2" xfId="22464" xr:uid="{00000000-0005-0000-0000-000007460000}"/>
    <cellStyle name="Normal 103 2 2 3" xfId="15405" xr:uid="{00000000-0005-0000-0000-000008460000}"/>
    <cellStyle name="Normal 103 2 2 3 2" xfId="22465" xr:uid="{00000000-0005-0000-0000-000009460000}"/>
    <cellStyle name="Normal 103 2 2 4" xfId="22463" xr:uid="{00000000-0005-0000-0000-00000A460000}"/>
    <cellStyle name="Normal 103 2 2_Additional Disclosures" xfId="15851" xr:uid="{00000000-0005-0000-0000-00000B460000}"/>
    <cellStyle name="Normal 103 2 3" xfId="12245" xr:uid="{00000000-0005-0000-0000-00000C460000}"/>
    <cellStyle name="Normal 103 2 3 2" xfId="22466" xr:uid="{00000000-0005-0000-0000-00000D460000}"/>
    <cellStyle name="Normal 103 2 4" xfId="13751" xr:uid="{00000000-0005-0000-0000-00000E460000}"/>
    <cellStyle name="Normal 103 2 4 2" xfId="22467" xr:uid="{00000000-0005-0000-0000-00000F460000}"/>
    <cellStyle name="Normal 103 2 5" xfId="14895" xr:uid="{00000000-0005-0000-0000-000010460000}"/>
    <cellStyle name="Normal 103 2 5 2" xfId="22468" xr:uid="{00000000-0005-0000-0000-000011460000}"/>
    <cellStyle name="Normal 103 2 6" xfId="22462" xr:uid="{00000000-0005-0000-0000-000012460000}"/>
    <cellStyle name="Normal 103 2 7" xfId="28778" xr:uid="{00000000-0005-0000-0000-000013460000}"/>
    <cellStyle name="Normal 103 2 8" xfId="28756" xr:uid="{00000000-0005-0000-0000-000014460000}"/>
    <cellStyle name="Normal 103 2 9" xfId="28780" xr:uid="{00000000-0005-0000-0000-000015460000}"/>
    <cellStyle name="Normal 103 2_Additional Disclosures" xfId="15850" xr:uid="{00000000-0005-0000-0000-000016460000}"/>
    <cellStyle name="Normal 103 3" xfId="12243" xr:uid="{00000000-0005-0000-0000-000017460000}"/>
    <cellStyle name="Normal 103 3 2" xfId="14007" xr:uid="{00000000-0005-0000-0000-000018460000}"/>
    <cellStyle name="Normal 103 3 2 2" xfId="22470" xr:uid="{00000000-0005-0000-0000-000019460000}"/>
    <cellStyle name="Normal 103 3 3" xfId="15151" xr:uid="{00000000-0005-0000-0000-00001A460000}"/>
    <cellStyle name="Normal 103 3 3 2" xfId="22471" xr:uid="{00000000-0005-0000-0000-00001B460000}"/>
    <cellStyle name="Normal 103 3 4" xfId="22469" xr:uid="{00000000-0005-0000-0000-00001C460000}"/>
    <cellStyle name="Normal 103 3_Additional Disclosures" xfId="15852" xr:uid="{00000000-0005-0000-0000-00001D460000}"/>
    <cellStyle name="Normal 103 4" xfId="12246" xr:uid="{00000000-0005-0000-0000-00001E460000}"/>
    <cellStyle name="Normal 103 4 2" xfId="22472" xr:uid="{00000000-0005-0000-0000-00001F460000}"/>
    <cellStyle name="Normal 103 5" xfId="13496" xr:uid="{00000000-0005-0000-0000-000020460000}"/>
    <cellStyle name="Normal 103 5 2" xfId="22473" xr:uid="{00000000-0005-0000-0000-000021460000}"/>
    <cellStyle name="Normal 103 6" xfId="14641" xr:uid="{00000000-0005-0000-0000-000022460000}"/>
    <cellStyle name="Normal 103 6 2" xfId="22474" xr:uid="{00000000-0005-0000-0000-000023460000}"/>
    <cellStyle name="Normal 103 7" xfId="22461" xr:uid="{00000000-0005-0000-0000-000024460000}"/>
    <cellStyle name="Normal 103 8" xfId="28777" xr:uid="{00000000-0005-0000-0000-000025460000}"/>
    <cellStyle name="Normal 103 9" xfId="28757" xr:uid="{00000000-0005-0000-0000-000026460000}"/>
    <cellStyle name="Normal 103_Additional Disclosures" xfId="15849" xr:uid="{00000000-0005-0000-0000-000027460000}"/>
    <cellStyle name="Normal 104" xfId="9049" xr:uid="{00000000-0005-0000-0000-000028460000}"/>
    <cellStyle name="Normal 104 10" xfId="28754" xr:uid="{00000000-0005-0000-0000-000029460000}"/>
    <cellStyle name="Normal 104 11" xfId="31400" xr:uid="{00000000-0005-0000-0000-00002A460000}"/>
    <cellStyle name="Normal 104 12" xfId="31401" xr:uid="{00000000-0005-0000-0000-00002B460000}"/>
    <cellStyle name="Normal 104 2" xfId="9050" xr:uid="{00000000-0005-0000-0000-00002C460000}"/>
    <cellStyle name="Normal 104 2 2" xfId="10861" xr:uid="{00000000-0005-0000-0000-00002D460000}"/>
    <cellStyle name="Normal 104 2 2 2" xfId="12281" xr:uid="{00000000-0005-0000-0000-00002E460000}"/>
    <cellStyle name="Normal 104 2 2 2 2" xfId="22478" xr:uid="{00000000-0005-0000-0000-00002F460000}"/>
    <cellStyle name="Normal 104 2 2 3" xfId="14262" xr:uid="{00000000-0005-0000-0000-000030460000}"/>
    <cellStyle name="Normal 104 2 2 3 2" xfId="22479" xr:uid="{00000000-0005-0000-0000-000031460000}"/>
    <cellStyle name="Normal 104 2 2 4" xfId="15406" xr:uid="{00000000-0005-0000-0000-000032460000}"/>
    <cellStyle name="Normal 104 2 2 4 2" xfId="22480" xr:uid="{00000000-0005-0000-0000-000033460000}"/>
    <cellStyle name="Normal 104 2 2 5" xfId="22477" xr:uid="{00000000-0005-0000-0000-000034460000}"/>
    <cellStyle name="Normal 104 2 2_Additional Disclosures" xfId="15855" xr:uid="{00000000-0005-0000-0000-000035460000}"/>
    <cellStyle name="Normal 104 2 3" xfId="11629" xr:uid="{00000000-0005-0000-0000-000036460000}"/>
    <cellStyle name="Normal 104 2 3 2" xfId="22481" xr:uid="{00000000-0005-0000-0000-000037460000}"/>
    <cellStyle name="Normal 104 2 4" xfId="13752" xr:uid="{00000000-0005-0000-0000-000038460000}"/>
    <cellStyle name="Normal 104 2 4 2" xfId="22482" xr:uid="{00000000-0005-0000-0000-000039460000}"/>
    <cellStyle name="Normal 104 2 5" xfId="14896" xr:uid="{00000000-0005-0000-0000-00003A460000}"/>
    <cellStyle name="Normal 104 2 5 2" xfId="22483" xr:uid="{00000000-0005-0000-0000-00003B460000}"/>
    <cellStyle name="Normal 104 2 6" xfId="22476" xr:uid="{00000000-0005-0000-0000-00003C460000}"/>
    <cellStyle name="Normal 104 2 7" xfId="31402" xr:uid="{00000000-0005-0000-0000-00003D460000}"/>
    <cellStyle name="Normal 104 2_Additional Disclosures" xfId="15854" xr:uid="{00000000-0005-0000-0000-00003E460000}"/>
    <cellStyle name="Normal 104 3" xfId="9051" xr:uid="{00000000-0005-0000-0000-00003F460000}"/>
    <cellStyle name="Normal 104 3 2" xfId="10862" xr:uid="{00000000-0005-0000-0000-000040460000}"/>
    <cellStyle name="Normal 104 3 2 2" xfId="12282" xr:uid="{00000000-0005-0000-0000-000041460000}"/>
    <cellStyle name="Normal 104 3 2 2 2" xfId="22486" xr:uid="{00000000-0005-0000-0000-000042460000}"/>
    <cellStyle name="Normal 104 3 2 3" xfId="22485" xr:uid="{00000000-0005-0000-0000-000043460000}"/>
    <cellStyle name="Normal 104 3 3" xfId="11630" xr:uid="{00000000-0005-0000-0000-000044460000}"/>
    <cellStyle name="Normal 104 3 3 2" xfId="22487" xr:uid="{00000000-0005-0000-0000-000045460000}"/>
    <cellStyle name="Normal 104 3 4" xfId="14008" xr:uid="{00000000-0005-0000-0000-000046460000}"/>
    <cellStyle name="Normal 104 3 4 2" xfId="22488" xr:uid="{00000000-0005-0000-0000-000047460000}"/>
    <cellStyle name="Normal 104 3 5" xfId="15152" xr:uid="{00000000-0005-0000-0000-000048460000}"/>
    <cellStyle name="Normal 104 3 5 2" xfId="22489" xr:uid="{00000000-0005-0000-0000-000049460000}"/>
    <cellStyle name="Normal 104 3 6" xfId="22484" xr:uid="{00000000-0005-0000-0000-00004A460000}"/>
    <cellStyle name="Normal 104 3 7" xfId="31403" xr:uid="{00000000-0005-0000-0000-00004B460000}"/>
    <cellStyle name="Normal 104 3_Additional Disclosures" xfId="15856" xr:uid="{00000000-0005-0000-0000-00004C460000}"/>
    <cellStyle name="Normal 104 4" xfId="13497" xr:uid="{00000000-0005-0000-0000-00004D460000}"/>
    <cellStyle name="Normal 104 4 2" xfId="22490" xr:uid="{00000000-0005-0000-0000-00004E460000}"/>
    <cellStyle name="Normal 104 5" xfId="14642" xr:uid="{00000000-0005-0000-0000-00004F460000}"/>
    <cellStyle name="Normal 104 5 2" xfId="22491" xr:uid="{00000000-0005-0000-0000-000050460000}"/>
    <cellStyle name="Normal 104 6" xfId="22475" xr:uid="{00000000-0005-0000-0000-000051460000}"/>
    <cellStyle name="Normal 104 7" xfId="28781" xr:uid="{00000000-0005-0000-0000-000052460000}"/>
    <cellStyle name="Normal 104 8" xfId="28755" xr:uid="{00000000-0005-0000-0000-000053460000}"/>
    <cellStyle name="Normal 104 9" xfId="28782" xr:uid="{00000000-0005-0000-0000-000054460000}"/>
    <cellStyle name="Normal 104_Additional Disclosures" xfId="15853" xr:uid="{00000000-0005-0000-0000-000055460000}"/>
    <cellStyle name="Normal 105" xfId="9052" xr:uid="{00000000-0005-0000-0000-000056460000}"/>
    <cellStyle name="Normal 105 10" xfId="28752" xr:uid="{00000000-0005-0000-0000-000057460000}"/>
    <cellStyle name="Normal 105 11" xfId="31404" xr:uid="{00000000-0005-0000-0000-000058460000}"/>
    <cellStyle name="Normal 105 12" xfId="31405" xr:uid="{00000000-0005-0000-0000-000059460000}"/>
    <cellStyle name="Normal 105 13" xfId="34255" xr:uid="{00000000-0005-0000-0000-00005A460000}"/>
    <cellStyle name="Normal 105 2" xfId="9053" xr:uid="{00000000-0005-0000-0000-00005B460000}"/>
    <cellStyle name="Normal 105 2 2" xfId="10863" xr:uid="{00000000-0005-0000-0000-00005C460000}"/>
    <cellStyle name="Normal 105 2 2 2" xfId="12283" xr:uid="{00000000-0005-0000-0000-00005D460000}"/>
    <cellStyle name="Normal 105 2 2 2 2" xfId="22495" xr:uid="{00000000-0005-0000-0000-00005E460000}"/>
    <cellStyle name="Normal 105 2 2 3" xfId="14263" xr:uid="{00000000-0005-0000-0000-00005F460000}"/>
    <cellStyle name="Normal 105 2 2 3 2" xfId="22496" xr:uid="{00000000-0005-0000-0000-000060460000}"/>
    <cellStyle name="Normal 105 2 2 4" xfId="15407" xr:uid="{00000000-0005-0000-0000-000061460000}"/>
    <cellStyle name="Normal 105 2 2 4 2" xfId="22497" xr:uid="{00000000-0005-0000-0000-000062460000}"/>
    <cellStyle name="Normal 105 2 2 5" xfId="22494" xr:uid="{00000000-0005-0000-0000-000063460000}"/>
    <cellStyle name="Normal 105 2 2_Additional Disclosures" xfId="15859" xr:uid="{00000000-0005-0000-0000-000064460000}"/>
    <cellStyle name="Normal 105 2 3" xfId="11631" xr:uid="{00000000-0005-0000-0000-000065460000}"/>
    <cellStyle name="Normal 105 2 3 2" xfId="22498" xr:uid="{00000000-0005-0000-0000-000066460000}"/>
    <cellStyle name="Normal 105 2 4" xfId="13753" xr:uid="{00000000-0005-0000-0000-000067460000}"/>
    <cellStyle name="Normal 105 2 4 2" xfId="22499" xr:uid="{00000000-0005-0000-0000-000068460000}"/>
    <cellStyle name="Normal 105 2 5" xfId="14897" xr:uid="{00000000-0005-0000-0000-000069460000}"/>
    <cellStyle name="Normal 105 2 5 2" xfId="22500" xr:uid="{00000000-0005-0000-0000-00006A460000}"/>
    <cellStyle name="Normal 105 2 6" xfId="22493" xr:uid="{00000000-0005-0000-0000-00006B460000}"/>
    <cellStyle name="Normal 105 2 7" xfId="31406" xr:uid="{00000000-0005-0000-0000-00006C460000}"/>
    <cellStyle name="Normal 105 2_Additional Disclosures" xfId="15858" xr:uid="{00000000-0005-0000-0000-00006D460000}"/>
    <cellStyle name="Normal 105 3" xfId="9054" xr:uid="{00000000-0005-0000-0000-00006E460000}"/>
    <cellStyle name="Normal 105 3 2" xfId="10864" xr:uid="{00000000-0005-0000-0000-00006F460000}"/>
    <cellStyle name="Normal 105 3 2 2" xfId="12284" xr:uid="{00000000-0005-0000-0000-000070460000}"/>
    <cellStyle name="Normal 105 3 2 2 2" xfId="22503" xr:uid="{00000000-0005-0000-0000-000071460000}"/>
    <cellStyle name="Normal 105 3 2 3" xfId="22502" xr:uid="{00000000-0005-0000-0000-000072460000}"/>
    <cellStyle name="Normal 105 3 3" xfId="11632" xr:uid="{00000000-0005-0000-0000-000073460000}"/>
    <cellStyle name="Normal 105 3 3 2" xfId="22504" xr:uid="{00000000-0005-0000-0000-000074460000}"/>
    <cellStyle name="Normal 105 3 4" xfId="14009" xr:uid="{00000000-0005-0000-0000-000075460000}"/>
    <cellStyle name="Normal 105 3 4 2" xfId="22505" xr:uid="{00000000-0005-0000-0000-000076460000}"/>
    <cellStyle name="Normal 105 3 5" xfId="15153" xr:uid="{00000000-0005-0000-0000-000077460000}"/>
    <cellStyle name="Normal 105 3 5 2" xfId="22506" xr:uid="{00000000-0005-0000-0000-000078460000}"/>
    <cellStyle name="Normal 105 3 6" xfId="22501" xr:uid="{00000000-0005-0000-0000-000079460000}"/>
    <cellStyle name="Normal 105 3_Additional Disclosures" xfId="15860" xr:uid="{00000000-0005-0000-0000-00007A460000}"/>
    <cellStyle name="Normal 105 4" xfId="13498" xr:uid="{00000000-0005-0000-0000-00007B460000}"/>
    <cellStyle name="Normal 105 4 2" xfId="22507" xr:uid="{00000000-0005-0000-0000-00007C460000}"/>
    <cellStyle name="Normal 105 5" xfId="14643" xr:uid="{00000000-0005-0000-0000-00007D460000}"/>
    <cellStyle name="Normal 105 5 2" xfId="22508" xr:uid="{00000000-0005-0000-0000-00007E460000}"/>
    <cellStyle name="Normal 105 6" xfId="22492" xr:uid="{00000000-0005-0000-0000-00007F460000}"/>
    <cellStyle name="Normal 105 7" xfId="28783" xr:uid="{00000000-0005-0000-0000-000080460000}"/>
    <cellStyle name="Normal 105 8" xfId="28753" xr:uid="{00000000-0005-0000-0000-000081460000}"/>
    <cellStyle name="Normal 105 9" xfId="28784" xr:uid="{00000000-0005-0000-0000-000082460000}"/>
    <cellStyle name="Normal 105_Additional Disclosures" xfId="15857" xr:uid="{00000000-0005-0000-0000-000083460000}"/>
    <cellStyle name="Normal 106" xfId="9055" xr:uid="{00000000-0005-0000-0000-000084460000}"/>
    <cellStyle name="Normal 106 10" xfId="28750" xr:uid="{00000000-0005-0000-0000-000085460000}"/>
    <cellStyle name="Normal 106 11" xfId="31407" xr:uid="{00000000-0005-0000-0000-000086460000}"/>
    <cellStyle name="Normal 106 12" xfId="31408" xr:uid="{00000000-0005-0000-0000-000087460000}"/>
    <cellStyle name="Normal 106 13" xfId="34253" xr:uid="{00000000-0005-0000-0000-000088460000}"/>
    <cellStyle name="Normal 106 2" xfId="9056" xr:uid="{00000000-0005-0000-0000-000089460000}"/>
    <cellStyle name="Normal 106 2 2" xfId="10865" xr:uid="{00000000-0005-0000-0000-00008A460000}"/>
    <cellStyle name="Normal 106 2 2 2" xfId="12285" xr:uid="{00000000-0005-0000-0000-00008B460000}"/>
    <cellStyle name="Normal 106 2 2 2 2" xfId="22512" xr:uid="{00000000-0005-0000-0000-00008C460000}"/>
    <cellStyle name="Normal 106 2 2 3" xfId="14264" xr:uid="{00000000-0005-0000-0000-00008D460000}"/>
    <cellStyle name="Normal 106 2 2 3 2" xfId="22513" xr:uid="{00000000-0005-0000-0000-00008E460000}"/>
    <cellStyle name="Normal 106 2 2 4" xfId="15408" xr:uid="{00000000-0005-0000-0000-00008F460000}"/>
    <cellStyle name="Normal 106 2 2 4 2" xfId="22514" xr:uid="{00000000-0005-0000-0000-000090460000}"/>
    <cellStyle name="Normal 106 2 2 5" xfId="22511" xr:uid="{00000000-0005-0000-0000-000091460000}"/>
    <cellStyle name="Normal 106 2 2_Additional Disclosures" xfId="15863" xr:uid="{00000000-0005-0000-0000-000092460000}"/>
    <cellStyle name="Normal 106 2 3" xfId="11633" xr:uid="{00000000-0005-0000-0000-000093460000}"/>
    <cellStyle name="Normal 106 2 3 2" xfId="22515" xr:uid="{00000000-0005-0000-0000-000094460000}"/>
    <cellStyle name="Normal 106 2 4" xfId="13754" xr:uid="{00000000-0005-0000-0000-000095460000}"/>
    <cellStyle name="Normal 106 2 4 2" xfId="22516" xr:uid="{00000000-0005-0000-0000-000096460000}"/>
    <cellStyle name="Normal 106 2 5" xfId="14898" xr:uid="{00000000-0005-0000-0000-000097460000}"/>
    <cellStyle name="Normal 106 2 5 2" xfId="22517" xr:uid="{00000000-0005-0000-0000-000098460000}"/>
    <cellStyle name="Normal 106 2 6" xfId="22510" xr:uid="{00000000-0005-0000-0000-000099460000}"/>
    <cellStyle name="Normal 106 2 7" xfId="31409" xr:uid="{00000000-0005-0000-0000-00009A460000}"/>
    <cellStyle name="Normal 106 2_Additional Disclosures" xfId="15862" xr:uid="{00000000-0005-0000-0000-00009B460000}"/>
    <cellStyle name="Normal 106 3" xfId="9057" xr:uid="{00000000-0005-0000-0000-00009C460000}"/>
    <cellStyle name="Normal 106 3 2" xfId="10866" xr:uid="{00000000-0005-0000-0000-00009D460000}"/>
    <cellStyle name="Normal 106 3 2 2" xfId="12286" xr:uid="{00000000-0005-0000-0000-00009E460000}"/>
    <cellStyle name="Normal 106 3 2 2 2" xfId="22520" xr:uid="{00000000-0005-0000-0000-00009F460000}"/>
    <cellStyle name="Normal 106 3 2 3" xfId="22519" xr:uid="{00000000-0005-0000-0000-0000A0460000}"/>
    <cellStyle name="Normal 106 3 3" xfId="11634" xr:uid="{00000000-0005-0000-0000-0000A1460000}"/>
    <cellStyle name="Normal 106 3 3 2" xfId="22521" xr:uid="{00000000-0005-0000-0000-0000A2460000}"/>
    <cellStyle name="Normal 106 3 4" xfId="14010" xr:uid="{00000000-0005-0000-0000-0000A3460000}"/>
    <cellStyle name="Normal 106 3 4 2" xfId="22522" xr:uid="{00000000-0005-0000-0000-0000A4460000}"/>
    <cellStyle name="Normal 106 3 5" xfId="15154" xr:uid="{00000000-0005-0000-0000-0000A5460000}"/>
    <cellStyle name="Normal 106 3 5 2" xfId="22523" xr:uid="{00000000-0005-0000-0000-0000A6460000}"/>
    <cellStyle name="Normal 106 3 6" xfId="22518" xr:uid="{00000000-0005-0000-0000-0000A7460000}"/>
    <cellStyle name="Normal 106 3_Additional Disclosures" xfId="15864" xr:uid="{00000000-0005-0000-0000-0000A8460000}"/>
    <cellStyle name="Normal 106 4" xfId="13499" xr:uid="{00000000-0005-0000-0000-0000A9460000}"/>
    <cellStyle name="Normal 106 4 2" xfId="22524" xr:uid="{00000000-0005-0000-0000-0000AA460000}"/>
    <cellStyle name="Normal 106 5" xfId="14644" xr:uid="{00000000-0005-0000-0000-0000AB460000}"/>
    <cellStyle name="Normal 106 5 2" xfId="22525" xr:uid="{00000000-0005-0000-0000-0000AC460000}"/>
    <cellStyle name="Normal 106 6" xfId="22509" xr:uid="{00000000-0005-0000-0000-0000AD460000}"/>
    <cellStyle name="Normal 106 7" xfId="28785" xr:uid="{00000000-0005-0000-0000-0000AE460000}"/>
    <cellStyle name="Normal 106 8" xfId="28751" xr:uid="{00000000-0005-0000-0000-0000AF460000}"/>
    <cellStyle name="Normal 106 9" xfId="28786" xr:uid="{00000000-0005-0000-0000-0000B0460000}"/>
    <cellStyle name="Normal 106_Additional Disclosures" xfId="15861" xr:uid="{00000000-0005-0000-0000-0000B1460000}"/>
    <cellStyle name="Normal 107" xfId="541" xr:uid="{00000000-0005-0000-0000-0000B2460000}"/>
    <cellStyle name="Normal 107 10" xfId="31410" xr:uid="{00000000-0005-0000-0000-0000B3460000}"/>
    <cellStyle name="Normal 107 11" xfId="31411" xr:uid="{00000000-0005-0000-0000-0000B4460000}"/>
    <cellStyle name="Normal 107 12" xfId="31412" xr:uid="{00000000-0005-0000-0000-0000B5460000}"/>
    <cellStyle name="Normal 107 13" xfId="31413" xr:uid="{00000000-0005-0000-0000-0000B6460000}"/>
    <cellStyle name="Normal 107 2" xfId="9058" xr:uid="{00000000-0005-0000-0000-0000B7460000}"/>
    <cellStyle name="Normal 107 2 10" xfId="31414" xr:uid="{00000000-0005-0000-0000-0000B8460000}"/>
    <cellStyle name="Normal 107 2 11" xfId="31415" xr:uid="{00000000-0005-0000-0000-0000B9460000}"/>
    <cellStyle name="Normal 107 2 2" xfId="10867" xr:uid="{00000000-0005-0000-0000-0000BA460000}"/>
    <cellStyle name="Normal 107 2 2 2" xfId="12287" xr:uid="{00000000-0005-0000-0000-0000BB460000}"/>
    <cellStyle name="Normal 107 2 2 2 2" xfId="22529" xr:uid="{00000000-0005-0000-0000-0000BC460000}"/>
    <cellStyle name="Normal 107 2 2 3" xfId="14265" xr:uid="{00000000-0005-0000-0000-0000BD460000}"/>
    <cellStyle name="Normal 107 2 2 3 2" xfId="22530" xr:uid="{00000000-0005-0000-0000-0000BE460000}"/>
    <cellStyle name="Normal 107 2 2 4" xfId="15409" xr:uid="{00000000-0005-0000-0000-0000BF460000}"/>
    <cellStyle name="Normal 107 2 2 4 2" xfId="22531" xr:uid="{00000000-0005-0000-0000-0000C0460000}"/>
    <cellStyle name="Normal 107 2 2 5" xfId="22528" xr:uid="{00000000-0005-0000-0000-0000C1460000}"/>
    <cellStyle name="Normal 107 2 2_Additional Disclosures" xfId="15867" xr:uid="{00000000-0005-0000-0000-0000C2460000}"/>
    <cellStyle name="Normal 107 2 3" xfId="11635" xr:uid="{00000000-0005-0000-0000-0000C3460000}"/>
    <cellStyle name="Normal 107 2 3 2" xfId="22532" xr:uid="{00000000-0005-0000-0000-0000C4460000}"/>
    <cellStyle name="Normal 107 2 4" xfId="13755" xr:uid="{00000000-0005-0000-0000-0000C5460000}"/>
    <cellStyle name="Normal 107 2 4 2" xfId="22533" xr:uid="{00000000-0005-0000-0000-0000C6460000}"/>
    <cellStyle name="Normal 107 2 5" xfId="14899" xr:uid="{00000000-0005-0000-0000-0000C7460000}"/>
    <cellStyle name="Normal 107 2 5 2" xfId="22534" xr:uid="{00000000-0005-0000-0000-0000C8460000}"/>
    <cellStyle name="Normal 107 2 6" xfId="22527" xr:uid="{00000000-0005-0000-0000-0000C9460000}"/>
    <cellStyle name="Normal 107 2 7" xfId="31416" xr:uid="{00000000-0005-0000-0000-0000CA460000}"/>
    <cellStyle name="Normal 107 2 8" xfId="31417" xr:uid="{00000000-0005-0000-0000-0000CB460000}"/>
    <cellStyle name="Normal 107 2 9" xfId="31418" xr:uid="{00000000-0005-0000-0000-0000CC460000}"/>
    <cellStyle name="Normal 107 2_Additional Disclosures" xfId="15866" xr:uid="{00000000-0005-0000-0000-0000CD460000}"/>
    <cellStyle name="Normal 107 3" xfId="10843" xr:uid="{00000000-0005-0000-0000-0000CE460000}"/>
    <cellStyle name="Normal 107 3 2" xfId="12263" xr:uid="{00000000-0005-0000-0000-0000CF460000}"/>
    <cellStyle name="Normal 107 3 2 2" xfId="22536" xr:uid="{00000000-0005-0000-0000-0000D0460000}"/>
    <cellStyle name="Normal 107 3 3" xfId="14011" xr:uid="{00000000-0005-0000-0000-0000D1460000}"/>
    <cellStyle name="Normal 107 3 3 2" xfId="22537" xr:uid="{00000000-0005-0000-0000-0000D2460000}"/>
    <cellStyle name="Normal 107 3 4" xfId="15155" xr:uid="{00000000-0005-0000-0000-0000D3460000}"/>
    <cellStyle name="Normal 107 3 4 2" xfId="22538" xr:uid="{00000000-0005-0000-0000-0000D4460000}"/>
    <cellStyle name="Normal 107 3 5" xfId="22535" xr:uid="{00000000-0005-0000-0000-0000D5460000}"/>
    <cellStyle name="Normal 107 3 6" xfId="31419" xr:uid="{00000000-0005-0000-0000-0000D6460000}"/>
    <cellStyle name="Normal 107 3 7" xfId="31420" xr:uid="{00000000-0005-0000-0000-0000D7460000}"/>
    <cellStyle name="Normal 107 3 8" xfId="31421" xr:uid="{00000000-0005-0000-0000-0000D8460000}"/>
    <cellStyle name="Normal 107 3_Additional Disclosures" xfId="15868" xr:uid="{00000000-0005-0000-0000-0000D9460000}"/>
    <cellStyle name="Normal 107 4" xfId="11600" xr:uid="{00000000-0005-0000-0000-0000DA460000}"/>
    <cellStyle name="Normal 107 4 2" xfId="22539" xr:uid="{00000000-0005-0000-0000-0000DB460000}"/>
    <cellStyle name="Normal 107 5" xfId="13500" xr:uid="{00000000-0005-0000-0000-0000DC460000}"/>
    <cellStyle name="Normal 107 5 2" xfId="22540" xr:uid="{00000000-0005-0000-0000-0000DD460000}"/>
    <cellStyle name="Normal 107 6" xfId="14645" xr:uid="{00000000-0005-0000-0000-0000DE460000}"/>
    <cellStyle name="Normal 107 6 2" xfId="22541" xr:uid="{00000000-0005-0000-0000-0000DF460000}"/>
    <cellStyle name="Normal 107 7" xfId="22526" xr:uid="{00000000-0005-0000-0000-0000E0460000}"/>
    <cellStyle name="Normal 107 8" xfId="31422" xr:uid="{00000000-0005-0000-0000-0000E1460000}"/>
    <cellStyle name="Normal 107 9" xfId="31423" xr:uid="{00000000-0005-0000-0000-0000E2460000}"/>
    <cellStyle name="Normal 107_Additional Disclosures" xfId="15865" xr:uid="{00000000-0005-0000-0000-0000E3460000}"/>
    <cellStyle name="Normal 108" xfId="166" xr:uid="{00000000-0005-0000-0000-0000E4460000}"/>
    <cellStyle name="Normal 108 10" xfId="28748" xr:uid="{00000000-0005-0000-0000-0000E5460000}"/>
    <cellStyle name="Normal 108 11" xfId="31424" xr:uid="{00000000-0005-0000-0000-0000E6460000}"/>
    <cellStyle name="Normal 108 12" xfId="31425" xr:uid="{00000000-0005-0000-0000-0000E7460000}"/>
    <cellStyle name="Normal 108 13" xfId="34254" xr:uid="{00000000-0005-0000-0000-0000E8460000}"/>
    <cellStyle name="Normal 108 14" xfId="9059" xr:uid="{00000000-0005-0000-0000-0000E9460000}"/>
    <cellStyle name="Normal 108 2" xfId="369" xr:uid="{00000000-0005-0000-0000-0000EA460000}"/>
    <cellStyle name="Normal 108 2 2" xfId="14266" xr:uid="{00000000-0005-0000-0000-0000EB460000}"/>
    <cellStyle name="Normal 108 2 2 2" xfId="15410" xr:uid="{00000000-0005-0000-0000-0000EC460000}"/>
    <cellStyle name="Normal 108 2 2 2 2" xfId="22545" xr:uid="{00000000-0005-0000-0000-0000ED460000}"/>
    <cellStyle name="Normal 108 2 2 3" xfId="22544" xr:uid="{00000000-0005-0000-0000-0000EE460000}"/>
    <cellStyle name="Normal 108 2 2_Additional Disclosures" xfId="15871" xr:uid="{00000000-0005-0000-0000-0000EF460000}"/>
    <cellStyle name="Normal 108 2 3" xfId="14900" xr:uid="{00000000-0005-0000-0000-0000F0460000}"/>
    <cellStyle name="Normal 108 2 3 2" xfId="22546" xr:uid="{00000000-0005-0000-0000-0000F1460000}"/>
    <cellStyle name="Normal 108 2 4" xfId="22543" xr:uid="{00000000-0005-0000-0000-0000F2460000}"/>
    <cellStyle name="Normal 108 2_Additional Disclosures" xfId="15870" xr:uid="{00000000-0005-0000-0000-0000F3460000}"/>
    <cellStyle name="Normal 108 3" xfId="14012" xr:uid="{00000000-0005-0000-0000-0000F4460000}"/>
    <cellStyle name="Normal 108 3 2" xfId="15156" xr:uid="{00000000-0005-0000-0000-0000F5460000}"/>
    <cellStyle name="Normal 108 3 2 2" xfId="22548" xr:uid="{00000000-0005-0000-0000-0000F6460000}"/>
    <cellStyle name="Normal 108 3 3" xfId="22547" xr:uid="{00000000-0005-0000-0000-0000F7460000}"/>
    <cellStyle name="Normal 108 3_Additional Disclosures" xfId="15872" xr:uid="{00000000-0005-0000-0000-0000F8460000}"/>
    <cellStyle name="Normal 108 4" xfId="13501" xr:uid="{00000000-0005-0000-0000-0000F9460000}"/>
    <cellStyle name="Normal 108 4 2" xfId="22549" xr:uid="{00000000-0005-0000-0000-0000FA460000}"/>
    <cellStyle name="Normal 108 5" xfId="14646" xr:uid="{00000000-0005-0000-0000-0000FB460000}"/>
    <cellStyle name="Normal 108 5 2" xfId="22550" xr:uid="{00000000-0005-0000-0000-0000FC460000}"/>
    <cellStyle name="Normal 108 6" xfId="22542" xr:uid="{00000000-0005-0000-0000-0000FD460000}"/>
    <cellStyle name="Normal 108 7" xfId="28787" xr:uid="{00000000-0005-0000-0000-0000FE460000}"/>
    <cellStyle name="Normal 108 8" xfId="28749" xr:uid="{00000000-0005-0000-0000-0000FF460000}"/>
    <cellStyle name="Normal 108 9" xfId="28788" xr:uid="{00000000-0005-0000-0000-000000470000}"/>
    <cellStyle name="Normal 108_Additional Disclosures" xfId="15869" xr:uid="{00000000-0005-0000-0000-000001470000}"/>
    <cellStyle name="Normal 109" xfId="542" xr:uid="{00000000-0005-0000-0000-000002470000}"/>
    <cellStyle name="Normal 109 10" xfId="34252" xr:uid="{00000000-0005-0000-0000-000003470000}"/>
    <cellStyle name="Normal 109 2" xfId="9060" xr:uid="{00000000-0005-0000-0000-000004470000}"/>
    <cellStyle name="Normal 109 2 2" xfId="10868" xr:uid="{00000000-0005-0000-0000-000005470000}"/>
    <cellStyle name="Normal 109 2 2 2" xfId="12288" xr:uid="{00000000-0005-0000-0000-000006470000}"/>
    <cellStyle name="Normal 109 2 2 2 2" xfId="22554" xr:uid="{00000000-0005-0000-0000-000007470000}"/>
    <cellStyle name="Normal 109 2 2 3" xfId="14267" xr:uid="{00000000-0005-0000-0000-000008470000}"/>
    <cellStyle name="Normal 109 2 2 3 2" xfId="22555" xr:uid="{00000000-0005-0000-0000-000009470000}"/>
    <cellStyle name="Normal 109 2 2 4" xfId="15411" xr:uid="{00000000-0005-0000-0000-00000A470000}"/>
    <cellStyle name="Normal 109 2 2 4 2" xfId="22556" xr:uid="{00000000-0005-0000-0000-00000B470000}"/>
    <cellStyle name="Normal 109 2 2 5" xfId="22553" xr:uid="{00000000-0005-0000-0000-00000C470000}"/>
    <cellStyle name="Normal 109 2 2_Additional Disclosures" xfId="15875" xr:uid="{00000000-0005-0000-0000-00000D470000}"/>
    <cellStyle name="Normal 109 2 3" xfId="11636" xr:uid="{00000000-0005-0000-0000-00000E470000}"/>
    <cellStyle name="Normal 109 2 3 2" xfId="22557" xr:uid="{00000000-0005-0000-0000-00000F470000}"/>
    <cellStyle name="Normal 109 2 4" xfId="13756" xr:uid="{00000000-0005-0000-0000-000010470000}"/>
    <cellStyle name="Normal 109 2 4 2" xfId="22558" xr:uid="{00000000-0005-0000-0000-000011470000}"/>
    <cellStyle name="Normal 109 2 5" xfId="14901" xr:uid="{00000000-0005-0000-0000-000012470000}"/>
    <cellStyle name="Normal 109 2 5 2" xfId="22559" xr:uid="{00000000-0005-0000-0000-000013470000}"/>
    <cellStyle name="Normal 109 2 6" xfId="22552" xr:uid="{00000000-0005-0000-0000-000014470000}"/>
    <cellStyle name="Normal 109 2_Additional Disclosures" xfId="15874" xr:uid="{00000000-0005-0000-0000-000015470000}"/>
    <cellStyle name="Normal 109 3" xfId="10844" xr:uid="{00000000-0005-0000-0000-000016470000}"/>
    <cellStyle name="Normal 109 3 2" xfId="12264" xr:uid="{00000000-0005-0000-0000-000017470000}"/>
    <cellStyle name="Normal 109 3 2 2" xfId="22561" xr:uid="{00000000-0005-0000-0000-000018470000}"/>
    <cellStyle name="Normal 109 3 3" xfId="14013" xr:uid="{00000000-0005-0000-0000-000019470000}"/>
    <cellStyle name="Normal 109 3 3 2" xfId="22562" xr:uid="{00000000-0005-0000-0000-00001A470000}"/>
    <cellStyle name="Normal 109 3 4" xfId="15157" xr:uid="{00000000-0005-0000-0000-00001B470000}"/>
    <cellStyle name="Normal 109 3 4 2" xfId="22563" xr:uid="{00000000-0005-0000-0000-00001C470000}"/>
    <cellStyle name="Normal 109 3 5" xfId="22560" xr:uid="{00000000-0005-0000-0000-00001D470000}"/>
    <cellStyle name="Normal 109 3_Additional Disclosures" xfId="15876" xr:uid="{00000000-0005-0000-0000-00001E470000}"/>
    <cellStyle name="Normal 109 4" xfId="11601" xr:uid="{00000000-0005-0000-0000-00001F470000}"/>
    <cellStyle name="Normal 109 4 2" xfId="22564" xr:uid="{00000000-0005-0000-0000-000020470000}"/>
    <cellStyle name="Normal 109 5" xfId="13502" xr:uid="{00000000-0005-0000-0000-000021470000}"/>
    <cellStyle name="Normal 109 5 2" xfId="22565" xr:uid="{00000000-0005-0000-0000-000022470000}"/>
    <cellStyle name="Normal 109 6" xfId="14647" xr:uid="{00000000-0005-0000-0000-000023470000}"/>
    <cellStyle name="Normal 109 6 2" xfId="22566" xr:uid="{00000000-0005-0000-0000-000024470000}"/>
    <cellStyle name="Normal 109 7" xfId="22551" xr:uid="{00000000-0005-0000-0000-000025470000}"/>
    <cellStyle name="Normal 109 8" xfId="31426" xr:uid="{00000000-0005-0000-0000-000026470000}"/>
    <cellStyle name="Normal 109 9" xfId="31427" xr:uid="{00000000-0005-0000-0000-000027470000}"/>
    <cellStyle name="Normal 109_Additional Disclosures" xfId="15873" xr:uid="{00000000-0005-0000-0000-000028470000}"/>
    <cellStyle name="Normal 11" xfId="464" xr:uid="{00000000-0005-0000-0000-000029470000}"/>
    <cellStyle name="Normal 11 10" xfId="28746" xr:uid="{00000000-0005-0000-0000-00002A470000}"/>
    <cellStyle name="Normal 11 11" xfId="31428" xr:uid="{00000000-0005-0000-0000-00002B470000}"/>
    <cellStyle name="Normal 11 12" xfId="31429" xr:uid="{00000000-0005-0000-0000-00002C470000}"/>
    <cellStyle name="Normal 11 13" xfId="543" xr:uid="{00000000-0005-0000-0000-00002D470000}"/>
    <cellStyle name="Normal 11 2" xfId="9061" xr:uid="{00000000-0005-0000-0000-00002E470000}"/>
    <cellStyle name="Normal 11 2 10" xfId="31430" xr:uid="{00000000-0005-0000-0000-00002F470000}"/>
    <cellStyle name="Normal 11 2 2" xfId="10869" xr:uid="{00000000-0005-0000-0000-000030470000}"/>
    <cellStyle name="Normal 11 2 2 2" xfId="12289" xr:uid="{00000000-0005-0000-0000-000031470000}"/>
    <cellStyle name="Normal 11 2 2 2 2" xfId="22570" xr:uid="{00000000-0005-0000-0000-000032470000}"/>
    <cellStyle name="Normal 11 2 2 2 3" xfId="31431" xr:uid="{00000000-0005-0000-0000-000033470000}"/>
    <cellStyle name="Normal 11 2 2 3" xfId="14179" xr:uid="{00000000-0005-0000-0000-000034470000}"/>
    <cellStyle name="Normal 11 2 2 3 2" xfId="22571" xr:uid="{00000000-0005-0000-0000-000035470000}"/>
    <cellStyle name="Normal 11 2 2 4" xfId="15323" xr:uid="{00000000-0005-0000-0000-000036470000}"/>
    <cellStyle name="Normal 11 2 2 4 2" xfId="22572" xr:uid="{00000000-0005-0000-0000-000037470000}"/>
    <cellStyle name="Normal 11 2 2 5" xfId="22569" xr:uid="{00000000-0005-0000-0000-000038470000}"/>
    <cellStyle name="Normal 11 2 2 6" xfId="31432" xr:uid="{00000000-0005-0000-0000-000039470000}"/>
    <cellStyle name="Normal 11 2 2 7" xfId="31433" xr:uid="{00000000-0005-0000-0000-00003A470000}"/>
    <cellStyle name="Normal 11 2 2_Additional Disclosures" xfId="15879" xr:uid="{00000000-0005-0000-0000-00003B470000}"/>
    <cellStyle name="Normal 11 2 3" xfId="11637" xr:uid="{00000000-0005-0000-0000-00003C470000}"/>
    <cellStyle name="Normal 11 2 3 2" xfId="22573" xr:uid="{00000000-0005-0000-0000-00003D470000}"/>
    <cellStyle name="Normal 11 2 3 3" xfId="31434" xr:uid="{00000000-0005-0000-0000-00003E470000}"/>
    <cellStyle name="Normal 11 2 3 4" xfId="33528" xr:uid="{00000000-0005-0000-0000-00003F470000}"/>
    <cellStyle name="Normal 11 2 4" xfId="13668" xr:uid="{00000000-0005-0000-0000-000040470000}"/>
    <cellStyle name="Normal 11 2 4 2" xfId="22574" xr:uid="{00000000-0005-0000-0000-000041470000}"/>
    <cellStyle name="Normal 11 2 4 3" xfId="33501" xr:uid="{00000000-0005-0000-0000-000042470000}"/>
    <cellStyle name="Normal 11 2 5" xfId="14813" xr:uid="{00000000-0005-0000-0000-000043470000}"/>
    <cellStyle name="Normal 11 2 5 2" xfId="22575" xr:uid="{00000000-0005-0000-0000-000044470000}"/>
    <cellStyle name="Normal 11 2 5 3" xfId="33527" xr:uid="{00000000-0005-0000-0000-000045470000}"/>
    <cellStyle name="Normal 11 2 6" xfId="22568" xr:uid="{00000000-0005-0000-0000-000046470000}"/>
    <cellStyle name="Normal 11 2 7" xfId="31435" xr:uid="{00000000-0005-0000-0000-000047470000}"/>
    <cellStyle name="Normal 11 2 8" xfId="31436" xr:uid="{00000000-0005-0000-0000-000048470000}"/>
    <cellStyle name="Normal 11 2 9" xfId="31437" xr:uid="{00000000-0005-0000-0000-000049470000}"/>
    <cellStyle name="Normal 11 2_Additional Disclosures" xfId="15878" xr:uid="{00000000-0005-0000-0000-00004A470000}"/>
    <cellStyle name="Normal 11 3" xfId="9062" xr:uid="{00000000-0005-0000-0000-00004B470000}"/>
    <cellStyle name="Normal 11 3 10" xfId="33400" xr:uid="{00000000-0005-0000-0000-00004C470000}"/>
    <cellStyle name="Normal 11 3 2" xfId="10870" xr:uid="{00000000-0005-0000-0000-00004D470000}"/>
    <cellStyle name="Normal 11 3 2 2" xfId="12290" xr:uid="{00000000-0005-0000-0000-00004E470000}"/>
    <cellStyle name="Normal 11 3 2 2 2" xfId="22578" xr:uid="{00000000-0005-0000-0000-00004F470000}"/>
    <cellStyle name="Normal 11 3 2 3" xfId="22577" xr:uid="{00000000-0005-0000-0000-000050470000}"/>
    <cellStyle name="Normal 11 3 2 4" xfId="33781" xr:uid="{00000000-0005-0000-0000-000051470000}"/>
    <cellStyle name="Normal 11 3 3" xfId="11638" xr:uid="{00000000-0005-0000-0000-000052470000}"/>
    <cellStyle name="Normal 11 3 3 2" xfId="22579" xr:uid="{00000000-0005-0000-0000-000053470000}"/>
    <cellStyle name="Normal 11 3 3 3" xfId="34009" xr:uid="{00000000-0005-0000-0000-000054470000}"/>
    <cellStyle name="Normal 11 3 4" xfId="13924" xr:uid="{00000000-0005-0000-0000-000055470000}"/>
    <cellStyle name="Normal 11 3 4 2" xfId="22580" xr:uid="{00000000-0005-0000-0000-000056470000}"/>
    <cellStyle name="Normal 11 3 4 3" xfId="34223" xr:uid="{00000000-0005-0000-0000-000057470000}"/>
    <cellStyle name="Normal 11 3 5" xfId="15069" xr:uid="{00000000-0005-0000-0000-000058470000}"/>
    <cellStyle name="Normal 11 3 5 2" xfId="22581" xr:uid="{00000000-0005-0000-0000-000059470000}"/>
    <cellStyle name="Normal 11 3 6" xfId="22576" xr:uid="{00000000-0005-0000-0000-00005A470000}"/>
    <cellStyle name="Normal 11 3 7" xfId="31438" xr:uid="{00000000-0005-0000-0000-00005B470000}"/>
    <cellStyle name="Normal 11 3 8" xfId="31439" xr:uid="{00000000-0005-0000-0000-00005C470000}"/>
    <cellStyle name="Normal 11 3 9" xfId="31440" xr:uid="{00000000-0005-0000-0000-00005D470000}"/>
    <cellStyle name="Normal 11 3_Additional Disclosures" xfId="15880" xr:uid="{00000000-0005-0000-0000-00005E470000}"/>
    <cellStyle name="Normal 11 4" xfId="13413" xr:uid="{00000000-0005-0000-0000-00005F470000}"/>
    <cellStyle name="Normal 11 4 2" xfId="22582" xr:uid="{00000000-0005-0000-0000-000060470000}"/>
    <cellStyle name="Normal 11 4 3" xfId="31441" xr:uid="{00000000-0005-0000-0000-000061470000}"/>
    <cellStyle name="Normal 11 5" xfId="14557" xr:uid="{00000000-0005-0000-0000-000062470000}"/>
    <cellStyle name="Normal 11 5 2" xfId="22583" xr:uid="{00000000-0005-0000-0000-000063470000}"/>
    <cellStyle name="Normal 11 6" xfId="22567" xr:uid="{00000000-0005-0000-0000-000064470000}"/>
    <cellStyle name="Normal 11 7" xfId="28789" xr:uid="{00000000-0005-0000-0000-000065470000}"/>
    <cellStyle name="Normal 11 8" xfId="28747" xr:uid="{00000000-0005-0000-0000-000066470000}"/>
    <cellStyle name="Normal 11 9" xfId="28790" xr:uid="{00000000-0005-0000-0000-000067470000}"/>
    <cellStyle name="Normal 11_Additional Disclosures" xfId="15877" xr:uid="{00000000-0005-0000-0000-000068470000}"/>
    <cellStyle name="Normal 110" xfId="9063" xr:uid="{00000000-0005-0000-0000-000069470000}"/>
    <cellStyle name="Normal 110 10" xfId="28792" xr:uid="{00000000-0005-0000-0000-00006A470000}"/>
    <cellStyle name="Normal 110 11" xfId="31442" xr:uid="{00000000-0005-0000-0000-00006B470000}"/>
    <cellStyle name="Normal 110 12" xfId="31443" xr:uid="{00000000-0005-0000-0000-00006C470000}"/>
    <cellStyle name="Normal 110 2" xfId="12241" xr:uid="{00000000-0005-0000-0000-00006D470000}"/>
    <cellStyle name="Normal 110 2 2" xfId="12240" xr:uid="{00000000-0005-0000-0000-00006E470000}"/>
    <cellStyle name="Normal 110 2 2 2" xfId="14268" xr:uid="{00000000-0005-0000-0000-00006F470000}"/>
    <cellStyle name="Normal 110 2 2 2 2" xfId="22587" xr:uid="{00000000-0005-0000-0000-000070470000}"/>
    <cellStyle name="Normal 110 2 2 3" xfId="15412" xr:uid="{00000000-0005-0000-0000-000071470000}"/>
    <cellStyle name="Normal 110 2 2 3 2" xfId="22588" xr:uid="{00000000-0005-0000-0000-000072470000}"/>
    <cellStyle name="Normal 110 2 2 4" xfId="22586" xr:uid="{00000000-0005-0000-0000-000073470000}"/>
    <cellStyle name="Normal 110 2 2_Additional Disclosures" xfId="15883" xr:uid="{00000000-0005-0000-0000-000074470000}"/>
    <cellStyle name="Normal 110 2 3" xfId="13757" xr:uid="{00000000-0005-0000-0000-000075470000}"/>
    <cellStyle name="Normal 110 2 3 2" xfId="22589" xr:uid="{00000000-0005-0000-0000-000076470000}"/>
    <cellStyle name="Normal 110 2 4" xfId="14902" xr:uid="{00000000-0005-0000-0000-000077470000}"/>
    <cellStyle name="Normal 110 2 4 2" xfId="22590" xr:uid="{00000000-0005-0000-0000-000078470000}"/>
    <cellStyle name="Normal 110 2 5" xfId="22585" xr:uid="{00000000-0005-0000-0000-000079470000}"/>
    <cellStyle name="Normal 110 2_Additional Disclosures" xfId="15882" xr:uid="{00000000-0005-0000-0000-00007A470000}"/>
    <cellStyle name="Normal 110 3" xfId="12239" xr:uid="{00000000-0005-0000-0000-00007B470000}"/>
    <cellStyle name="Normal 110 3 2" xfId="14014" xr:uid="{00000000-0005-0000-0000-00007C470000}"/>
    <cellStyle name="Normal 110 3 2 2" xfId="22592" xr:uid="{00000000-0005-0000-0000-00007D470000}"/>
    <cellStyle name="Normal 110 3 3" xfId="15158" xr:uid="{00000000-0005-0000-0000-00007E470000}"/>
    <cellStyle name="Normal 110 3 3 2" xfId="22593" xr:uid="{00000000-0005-0000-0000-00007F470000}"/>
    <cellStyle name="Normal 110 3 4" xfId="22591" xr:uid="{00000000-0005-0000-0000-000080470000}"/>
    <cellStyle name="Normal 110 3_Additional Disclosures" xfId="15884" xr:uid="{00000000-0005-0000-0000-000081470000}"/>
    <cellStyle name="Normal 110 4" xfId="12242" xr:uid="{00000000-0005-0000-0000-000082470000}"/>
    <cellStyle name="Normal 110 4 2" xfId="22594" xr:uid="{00000000-0005-0000-0000-000083470000}"/>
    <cellStyle name="Normal 110 5" xfId="13503" xr:uid="{00000000-0005-0000-0000-000084470000}"/>
    <cellStyle name="Normal 110 5 2" xfId="22595" xr:uid="{00000000-0005-0000-0000-000085470000}"/>
    <cellStyle name="Normal 110 6" xfId="14648" xr:uid="{00000000-0005-0000-0000-000086470000}"/>
    <cellStyle name="Normal 110 6 2" xfId="22596" xr:uid="{00000000-0005-0000-0000-000087470000}"/>
    <cellStyle name="Normal 110 7" xfId="22584" xr:uid="{00000000-0005-0000-0000-000088470000}"/>
    <cellStyle name="Normal 110 8" xfId="28791" xr:uid="{00000000-0005-0000-0000-000089470000}"/>
    <cellStyle name="Normal 110 9" xfId="28745" xr:uid="{00000000-0005-0000-0000-00008A470000}"/>
    <cellStyle name="Normal 110_Additional Disclosures" xfId="15881" xr:uid="{00000000-0005-0000-0000-00008B470000}"/>
    <cellStyle name="Normal 111" xfId="9064" xr:uid="{00000000-0005-0000-0000-00008C470000}"/>
    <cellStyle name="Normal 111 2" xfId="9065" xr:uid="{00000000-0005-0000-0000-00008D470000}"/>
    <cellStyle name="Normal 111 2 2" xfId="10872" xr:uid="{00000000-0005-0000-0000-00008E470000}"/>
    <cellStyle name="Normal 111 2 2 2" xfId="12292" xr:uid="{00000000-0005-0000-0000-00008F470000}"/>
    <cellStyle name="Normal 111 2 2 2 2" xfId="22600" xr:uid="{00000000-0005-0000-0000-000090470000}"/>
    <cellStyle name="Normal 111 2 2 3" xfId="14269" xr:uid="{00000000-0005-0000-0000-000091470000}"/>
    <cellStyle name="Normal 111 2 2 3 2" xfId="22601" xr:uid="{00000000-0005-0000-0000-000092470000}"/>
    <cellStyle name="Normal 111 2 2 4" xfId="15413" xr:uid="{00000000-0005-0000-0000-000093470000}"/>
    <cellStyle name="Normal 111 2 2 4 2" xfId="22602" xr:uid="{00000000-0005-0000-0000-000094470000}"/>
    <cellStyle name="Normal 111 2 2 5" xfId="22599" xr:uid="{00000000-0005-0000-0000-000095470000}"/>
    <cellStyle name="Normal 111 2 2_Additional Disclosures" xfId="15887" xr:uid="{00000000-0005-0000-0000-000096470000}"/>
    <cellStyle name="Normal 111 2 3" xfId="11640" xr:uid="{00000000-0005-0000-0000-000097470000}"/>
    <cellStyle name="Normal 111 2 3 2" xfId="22603" xr:uid="{00000000-0005-0000-0000-000098470000}"/>
    <cellStyle name="Normal 111 2 4" xfId="13758" xr:uid="{00000000-0005-0000-0000-000099470000}"/>
    <cellStyle name="Normal 111 2 4 2" xfId="22604" xr:uid="{00000000-0005-0000-0000-00009A470000}"/>
    <cellStyle name="Normal 111 2 5" xfId="14903" xr:uid="{00000000-0005-0000-0000-00009B470000}"/>
    <cellStyle name="Normal 111 2 5 2" xfId="22605" xr:uid="{00000000-0005-0000-0000-00009C470000}"/>
    <cellStyle name="Normal 111 2 6" xfId="22598" xr:uid="{00000000-0005-0000-0000-00009D470000}"/>
    <cellStyle name="Normal 111 2_Additional Disclosures" xfId="15886" xr:uid="{00000000-0005-0000-0000-00009E470000}"/>
    <cellStyle name="Normal 111 3" xfId="10871" xr:uid="{00000000-0005-0000-0000-00009F470000}"/>
    <cellStyle name="Normal 111 3 2" xfId="12291" xr:uid="{00000000-0005-0000-0000-0000A0470000}"/>
    <cellStyle name="Normal 111 3 2 2" xfId="22607" xr:uid="{00000000-0005-0000-0000-0000A1470000}"/>
    <cellStyle name="Normal 111 3 3" xfId="14015" xr:uid="{00000000-0005-0000-0000-0000A2470000}"/>
    <cellStyle name="Normal 111 3 3 2" xfId="22608" xr:uid="{00000000-0005-0000-0000-0000A3470000}"/>
    <cellStyle name="Normal 111 3 4" xfId="15159" xr:uid="{00000000-0005-0000-0000-0000A4470000}"/>
    <cellStyle name="Normal 111 3 4 2" xfId="22609" xr:uid="{00000000-0005-0000-0000-0000A5470000}"/>
    <cellStyle name="Normal 111 3 5" xfId="22606" xr:uid="{00000000-0005-0000-0000-0000A6470000}"/>
    <cellStyle name="Normal 111 3_Additional Disclosures" xfId="15888" xr:uid="{00000000-0005-0000-0000-0000A7470000}"/>
    <cellStyle name="Normal 111 4" xfId="11639" xr:uid="{00000000-0005-0000-0000-0000A8470000}"/>
    <cellStyle name="Normal 111 4 2" xfId="22610" xr:uid="{00000000-0005-0000-0000-0000A9470000}"/>
    <cellStyle name="Normal 111 5" xfId="13504" xr:uid="{00000000-0005-0000-0000-0000AA470000}"/>
    <cellStyle name="Normal 111 5 2" xfId="22611" xr:uid="{00000000-0005-0000-0000-0000AB470000}"/>
    <cellStyle name="Normal 111 6" xfId="14649" xr:uid="{00000000-0005-0000-0000-0000AC470000}"/>
    <cellStyle name="Normal 111 6 2" xfId="22612" xr:uid="{00000000-0005-0000-0000-0000AD470000}"/>
    <cellStyle name="Normal 111 7" xfId="22597" xr:uid="{00000000-0005-0000-0000-0000AE470000}"/>
    <cellStyle name="Normal 111 8" xfId="31444" xr:uid="{00000000-0005-0000-0000-0000AF470000}"/>
    <cellStyle name="Normal 111 9" xfId="31445" xr:uid="{00000000-0005-0000-0000-0000B0470000}"/>
    <cellStyle name="Normal 111_Additional Disclosures" xfId="15885" xr:uid="{00000000-0005-0000-0000-0000B1470000}"/>
    <cellStyle name="Normal 112" xfId="9066" xr:uid="{00000000-0005-0000-0000-0000B2470000}"/>
    <cellStyle name="Normal 112 2" xfId="9067" xr:uid="{00000000-0005-0000-0000-0000B3470000}"/>
    <cellStyle name="Normal 112 2 2" xfId="10874" xr:uid="{00000000-0005-0000-0000-0000B4470000}"/>
    <cellStyle name="Normal 112 2 2 2" xfId="12294" xr:uid="{00000000-0005-0000-0000-0000B5470000}"/>
    <cellStyle name="Normal 112 2 2 2 2" xfId="22616" xr:uid="{00000000-0005-0000-0000-0000B6470000}"/>
    <cellStyle name="Normal 112 2 2 3" xfId="14270" xr:uid="{00000000-0005-0000-0000-0000B7470000}"/>
    <cellStyle name="Normal 112 2 2 3 2" xfId="22617" xr:uid="{00000000-0005-0000-0000-0000B8470000}"/>
    <cellStyle name="Normal 112 2 2 4" xfId="15414" xr:uid="{00000000-0005-0000-0000-0000B9470000}"/>
    <cellStyle name="Normal 112 2 2 4 2" xfId="22618" xr:uid="{00000000-0005-0000-0000-0000BA470000}"/>
    <cellStyle name="Normal 112 2 2 5" xfId="22615" xr:uid="{00000000-0005-0000-0000-0000BB470000}"/>
    <cellStyle name="Normal 112 2 2_Additional Disclosures" xfId="15891" xr:uid="{00000000-0005-0000-0000-0000BC470000}"/>
    <cellStyle name="Normal 112 2 3" xfId="11642" xr:uid="{00000000-0005-0000-0000-0000BD470000}"/>
    <cellStyle name="Normal 112 2 3 2" xfId="22619" xr:uid="{00000000-0005-0000-0000-0000BE470000}"/>
    <cellStyle name="Normal 112 2 4" xfId="13759" xr:uid="{00000000-0005-0000-0000-0000BF470000}"/>
    <cellStyle name="Normal 112 2 4 2" xfId="22620" xr:uid="{00000000-0005-0000-0000-0000C0470000}"/>
    <cellStyle name="Normal 112 2 5" xfId="14904" xr:uid="{00000000-0005-0000-0000-0000C1470000}"/>
    <cellStyle name="Normal 112 2 5 2" xfId="22621" xr:uid="{00000000-0005-0000-0000-0000C2470000}"/>
    <cellStyle name="Normal 112 2 6" xfId="22614" xr:uid="{00000000-0005-0000-0000-0000C3470000}"/>
    <cellStyle name="Normal 112 2_Additional Disclosures" xfId="15890" xr:uid="{00000000-0005-0000-0000-0000C4470000}"/>
    <cellStyle name="Normal 112 3" xfId="10873" xr:uid="{00000000-0005-0000-0000-0000C5470000}"/>
    <cellStyle name="Normal 112 3 2" xfId="12293" xr:uid="{00000000-0005-0000-0000-0000C6470000}"/>
    <cellStyle name="Normal 112 3 2 2" xfId="22623" xr:uid="{00000000-0005-0000-0000-0000C7470000}"/>
    <cellStyle name="Normal 112 3 3" xfId="14016" xr:uid="{00000000-0005-0000-0000-0000C8470000}"/>
    <cellStyle name="Normal 112 3 3 2" xfId="22624" xr:uid="{00000000-0005-0000-0000-0000C9470000}"/>
    <cellStyle name="Normal 112 3 4" xfId="15160" xr:uid="{00000000-0005-0000-0000-0000CA470000}"/>
    <cellStyle name="Normal 112 3 4 2" xfId="22625" xr:uid="{00000000-0005-0000-0000-0000CB470000}"/>
    <cellStyle name="Normal 112 3 5" xfId="22622" xr:uid="{00000000-0005-0000-0000-0000CC470000}"/>
    <cellStyle name="Normal 112 3_Additional Disclosures" xfId="15892" xr:uid="{00000000-0005-0000-0000-0000CD470000}"/>
    <cellStyle name="Normal 112 4" xfId="11641" xr:uid="{00000000-0005-0000-0000-0000CE470000}"/>
    <cellStyle name="Normal 112 4 2" xfId="22626" xr:uid="{00000000-0005-0000-0000-0000CF470000}"/>
    <cellStyle name="Normal 112 5" xfId="13505" xr:uid="{00000000-0005-0000-0000-0000D0470000}"/>
    <cellStyle name="Normal 112 5 2" xfId="22627" xr:uid="{00000000-0005-0000-0000-0000D1470000}"/>
    <cellStyle name="Normal 112 6" xfId="14650" xr:uid="{00000000-0005-0000-0000-0000D2470000}"/>
    <cellStyle name="Normal 112 6 2" xfId="22628" xr:uid="{00000000-0005-0000-0000-0000D3470000}"/>
    <cellStyle name="Normal 112 7" xfId="22613" xr:uid="{00000000-0005-0000-0000-0000D4470000}"/>
    <cellStyle name="Normal 112 8" xfId="31446" xr:uid="{00000000-0005-0000-0000-0000D5470000}"/>
    <cellStyle name="Normal 112_Additional Disclosures" xfId="15889" xr:uid="{00000000-0005-0000-0000-0000D6470000}"/>
    <cellStyle name="Normal 113" xfId="9068" xr:uid="{00000000-0005-0000-0000-0000D7470000}"/>
    <cellStyle name="Normal 113 2" xfId="9069" xr:uid="{00000000-0005-0000-0000-0000D8470000}"/>
    <cellStyle name="Normal 113 2 2" xfId="10876" xr:uid="{00000000-0005-0000-0000-0000D9470000}"/>
    <cellStyle name="Normal 113 2 2 2" xfId="12296" xr:uid="{00000000-0005-0000-0000-0000DA470000}"/>
    <cellStyle name="Normal 113 2 2 2 2" xfId="22632" xr:uid="{00000000-0005-0000-0000-0000DB470000}"/>
    <cellStyle name="Normal 113 2 2 3" xfId="14271" xr:uid="{00000000-0005-0000-0000-0000DC470000}"/>
    <cellStyle name="Normal 113 2 2 3 2" xfId="22633" xr:uid="{00000000-0005-0000-0000-0000DD470000}"/>
    <cellStyle name="Normal 113 2 2 4" xfId="15415" xr:uid="{00000000-0005-0000-0000-0000DE470000}"/>
    <cellStyle name="Normal 113 2 2 4 2" xfId="22634" xr:uid="{00000000-0005-0000-0000-0000DF470000}"/>
    <cellStyle name="Normal 113 2 2 5" xfId="22631" xr:uid="{00000000-0005-0000-0000-0000E0470000}"/>
    <cellStyle name="Normal 113 2 2_Additional Disclosures" xfId="15895" xr:uid="{00000000-0005-0000-0000-0000E1470000}"/>
    <cellStyle name="Normal 113 2 3" xfId="11644" xr:uid="{00000000-0005-0000-0000-0000E2470000}"/>
    <cellStyle name="Normal 113 2 3 2" xfId="22635" xr:uid="{00000000-0005-0000-0000-0000E3470000}"/>
    <cellStyle name="Normal 113 2 4" xfId="13760" xr:uid="{00000000-0005-0000-0000-0000E4470000}"/>
    <cellStyle name="Normal 113 2 4 2" xfId="22636" xr:uid="{00000000-0005-0000-0000-0000E5470000}"/>
    <cellStyle name="Normal 113 2 5" xfId="14905" xr:uid="{00000000-0005-0000-0000-0000E6470000}"/>
    <cellStyle name="Normal 113 2 5 2" xfId="22637" xr:uid="{00000000-0005-0000-0000-0000E7470000}"/>
    <cellStyle name="Normal 113 2 6" xfId="22630" xr:uid="{00000000-0005-0000-0000-0000E8470000}"/>
    <cellStyle name="Normal 113 2_Additional Disclosures" xfId="15894" xr:uid="{00000000-0005-0000-0000-0000E9470000}"/>
    <cellStyle name="Normal 113 3" xfId="10875" xr:uid="{00000000-0005-0000-0000-0000EA470000}"/>
    <cellStyle name="Normal 113 3 2" xfId="12295" xr:uid="{00000000-0005-0000-0000-0000EB470000}"/>
    <cellStyle name="Normal 113 3 2 2" xfId="22639" xr:uid="{00000000-0005-0000-0000-0000EC470000}"/>
    <cellStyle name="Normal 113 3 3" xfId="14017" xr:uid="{00000000-0005-0000-0000-0000ED470000}"/>
    <cellStyle name="Normal 113 3 3 2" xfId="22640" xr:uid="{00000000-0005-0000-0000-0000EE470000}"/>
    <cellStyle name="Normal 113 3 4" xfId="15161" xr:uid="{00000000-0005-0000-0000-0000EF470000}"/>
    <cellStyle name="Normal 113 3 4 2" xfId="22641" xr:uid="{00000000-0005-0000-0000-0000F0470000}"/>
    <cellStyle name="Normal 113 3 5" xfId="22638" xr:uid="{00000000-0005-0000-0000-0000F1470000}"/>
    <cellStyle name="Normal 113 3_Additional Disclosures" xfId="15896" xr:uid="{00000000-0005-0000-0000-0000F2470000}"/>
    <cellStyle name="Normal 113 4" xfId="11643" xr:uid="{00000000-0005-0000-0000-0000F3470000}"/>
    <cellStyle name="Normal 113 4 2" xfId="22642" xr:uid="{00000000-0005-0000-0000-0000F4470000}"/>
    <cellStyle name="Normal 113 5" xfId="13506" xr:uid="{00000000-0005-0000-0000-0000F5470000}"/>
    <cellStyle name="Normal 113 5 2" xfId="22643" xr:uid="{00000000-0005-0000-0000-0000F6470000}"/>
    <cellStyle name="Normal 113 6" xfId="14651" xr:uid="{00000000-0005-0000-0000-0000F7470000}"/>
    <cellStyle name="Normal 113 6 2" xfId="22644" xr:uid="{00000000-0005-0000-0000-0000F8470000}"/>
    <cellStyle name="Normal 113 7" xfId="22629" xr:uid="{00000000-0005-0000-0000-0000F9470000}"/>
    <cellStyle name="Normal 113 8" xfId="31447" xr:uid="{00000000-0005-0000-0000-0000FA470000}"/>
    <cellStyle name="Normal 113_Additional Disclosures" xfId="15893" xr:uid="{00000000-0005-0000-0000-0000FB470000}"/>
    <cellStyle name="Normal 114" xfId="9070" xr:uid="{00000000-0005-0000-0000-0000FC470000}"/>
    <cellStyle name="Normal 114 10" xfId="28743" xr:uid="{00000000-0005-0000-0000-0000FD470000}"/>
    <cellStyle name="Normal 114 11" xfId="31448" xr:uid="{00000000-0005-0000-0000-0000FE470000}"/>
    <cellStyle name="Normal 114 12" xfId="31449" xr:uid="{00000000-0005-0000-0000-0000FF470000}"/>
    <cellStyle name="Normal 114 13" xfId="31450" xr:uid="{00000000-0005-0000-0000-000000480000}"/>
    <cellStyle name="Normal 114 14" xfId="31451" xr:uid="{00000000-0005-0000-0000-000001480000}"/>
    <cellStyle name="Normal 114 2" xfId="13761" xr:uid="{00000000-0005-0000-0000-000002480000}"/>
    <cellStyle name="Normal 114 2 2" xfId="14272" xr:uid="{00000000-0005-0000-0000-000003480000}"/>
    <cellStyle name="Normal 114 2 2 2" xfId="15416" xr:uid="{00000000-0005-0000-0000-000004480000}"/>
    <cellStyle name="Normal 114 2 2 2 2" xfId="22648" xr:uid="{00000000-0005-0000-0000-000005480000}"/>
    <cellStyle name="Normal 114 2 2 3" xfId="22647" xr:uid="{00000000-0005-0000-0000-000006480000}"/>
    <cellStyle name="Normal 114 2 2_Additional Disclosures" xfId="15899" xr:uid="{00000000-0005-0000-0000-000007480000}"/>
    <cellStyle name="Normal 114 2 3" xfId="14906" xr:uid="{00000000-0005-0000-0000-000008480000}"/>
    <cellStyle name="Normal 114 2 3 2" xfId="22649" xr:uid="{00000000-0005-0000-0000-000009480000}"/>
    <cellStyle name="Normal 114 2 4" xfId="22646" xr:uid="{00000000-0005-0000-0000-00000A480000}"/>
    <cellStyle name="Normal 114 2_Additional Disclosures" xfId="15898" xr:uid="{00000000-0005-0000-0000-00000B480000}"/>
    <cellStyle name="Normal 114 3" xfId="14018" xr:uid="{00000000-0005-0000-0000-00000C480000}"/>
    <cellStyle name="Normal 114 3 2" xfId="15162" xr:uid="{00000000-0005-0000-0000-00000D480000}"/>
    <cellStyle name="Normal 114 3 2 2" xfId="22651" xr:uid="{00000000-0005-0000-0000-00000E480000}"/>
    <cellStyle name="Normal 114 3 3" xfId="22650" xr:uid="{00000000-0005-0000-0000-00000F480000}"/>
    <cellStyle name="Normal 114 3_Additional Disclosures" xfId="15900" xr:uid="{00000000-0005-0000-0000-000010480000}"/>
    <cellStyle name="Normal 114 4" xfId="13507" xr:uid="{00000000-0005-0000-0000-000011480000}"/>
    <cellStyle name="Normal 114 4 2" xfId="22652" xr:uid="{00000000-0005-0000-0000-000012480000}"/>
    <cellStyle name="Normal 114 5" xfId="14652" xr:uid="{00000000-0005-0000-0000-000013480000}"/>
    <cellStyle name="Normal 114 5 2" xfId="22653" xr:uid="{00000000-0005-0000-0000-000014480000}"/>
    <cellStyle name="Normal 114 6" xfId="22645" xr:uid="{00000000-0005-0000-0000-000015480000}"/>
    <cellStyle name="Normal 114 7" xfId="28793" xr:uid="{00000000-0005-0000-0000-000016480000}"/>
    <cellStyle name="Normal 114 8" xfId="28744" xr:uid="{00000000-0005-0000-0000-000017480000}"/>
    <cellStyle name="Normal 114 9" xfId="28794" xr:uid="{00000000-0005-0000-0000-000018480000}"/>
    <cellStyle name="Normal 114_Additional Disclosures" xfId="15897" xr:uid="{00000000-0005-0000-0000-000019480000}"/>
    <cellStyle name="Normal 115" xfId="9071" xr:uid="{00000000-0005-0000-0000-00001A480000}"/>
    <cellStyle name="Normal 115 2" xfId="9072" xr:uid="{00000000-0005-0000-0000-00001B480000}"/>
    <cellStyle name="Normal 115 2 2" xfId="10878" xr:uid="{00000000-0005-0000-0000-00001C480000}"/>
    <cellStyle name="Normal 115 2 2 2" xfId="12298" xr:uid="{00000000-0005-0000-0000-00001D480000}"/>
    <cellStyle name="Normal 115 2 2 2 2" xfId="22657" xr:uid="{00000000-0005-0000-0000-00001E480000}"/>
    <cellStyle name="Normal 115 2 2 3" xfId="14273" xr:uid="{00000000-0005-0000-0000-00001F480000}"/>
    <cellStyle name="Normal 115 2 2 3 2" xfId="22658" xr:uid="{00000000-0005-0000-0000-000020480000}"/>
    <cellStyle name="Normal 115 2 2 4" xfId="15417" xr:uid="{00000000-0005-0000-0000-000021480000}"/>
    <cellStyle name="Normal 115 2 2 4 2" xfId="22659" xr:uid="{00000000-0005-0000-0000-000022480000}"/>
    <cellStyle name="Normal 115 2 2 5" xfId="22656" xr:uid="{00000000-0005-0000-0000-000023480000}"/>
    <cellStyle name="Normal 115 2 2_Additional Disclosures" xfId="15903" xr:uid="{00000000-0005-0000-0000-000024480000}"/>
    <cellStyle name="Normal 115 2 3" xfId="11646" xr:uid="{00000000-0005-0000-0000-000025480000}"/>
    <cellStyle name="Normal 115 2 3 2" xfId="22660" xr:uid="{00000000-0005-0000-0000-000026480000}"/>
    <cellStyle name="Normal 115 2 4" xfId="13762" xr:uid="{00000000-0005-0000-0000-000027480000}"/>
    <cellStyle name="Normal 115 2 4 2" xfId="22661" xr:uid="{00000000-0005-0000-0000-000028480000}"/>
    <cellStyle name="Normal 115 2 5" xfId="14907" xr:uid="{00000000-0005-0000-0000-000029480000}"/>
    <cellStyle name="Normal 115 2 5 2" xfId="22662" xr:uid="{00000000-0005-0000-0000-00002A480000}"/>
    <cellStyle name="Normal 115 2 6" xfId="22655" xr:uid="{00000000-0005-0000-0000-00002B480000}"/>
    <cellStyle name="Normal 115 2 7" xfId="31452" xr:uid="{00000000-0005-0000-0000-00002C480000}"/>
    <cellStyle name="Normal 115 2_Additional Disclosures" xfId="15902" xr:uid="{00000000-0005-0000-0000-00002D480000}"/>
    <cellStyle name="Normal 115 3" xfId="10877" xr:uid="{00000000-0005-0000-0000-00002E480000}"/>
    <cellStyle name="Normal 115 3 2" xfId="12297" xr:uid="{00000000-0005-0000-0000-00002F480000}"/>
    <cellStyle name="Normal 115 3 2 2" xfId="22664" xr:uid="{00000000-0005-0000-0000-000030480000}"/>
    <cellStyle name="Normal 115 3 3" xfId="14019" xr:uid="{00000000-0005-0000-0000-000031480000}"/>
    <cellStyle name="Normal 115 3 3 2" xfId="22665" xr:uid="{00000000-0005-0000-0000-000032480000}"/>
    <cellStyle name="Normal 115 3 4" xfId="15163" xr:uid="{00000000-0005-0000-0000-000033480000}"/>
    <cellStyle name="Normal 115 3 4 2" xfId="22666" xr:uid="{00000000-0005-0000-0000-000034480000}"/>
    <cellStyle name="Normal 115 3 5" xfId="22663" xr:uid="{00000000-0005-0000-0000-000035480000}"/>
    <cellStyle name="Normal 115 3_Additional Disclosures" xfId="15904" xr:uid="{00000000-0005-0000-0000-000036480000}"/>
    <cellStyle name="Normal 115 4" xfId="11645" xr:uid="{00000000-0005-0000-0000-000037480000}"/>
    <cellStyle name="Normal 115 4 2" xfId="22667" xr:uid="{00000000-0005-0000-0000-000038480000}"/>
    <cellStyle name="Normal 115 5" xfId="13508" xr:uid="{00000000-0005-0000-0000-000039480000}"/>
    <cellStyle name="Normal 115 5 2" xfId="22668" xr:uid="{00000000-0005-0000-0000-00003A480000}"/>
    <cellStyle name="Normal 115 6" xfId="14653" xr:uid="{00000000-0005-0000-0000-00003B480000}"/>
    <cellStyle name="Normal 115 6 2" xfId="22669" xr:uid="{00000000-0005-0000-0000-00003C480000}"/>
    <cellStyle name="Normal 115 7" xfId="22654" xr:uid="{00000000-0005-0000-0000-00003D480000}"/>
    <cellStyle name="Normal 115 8" xfId="31453" xr:uid="{00000000-0005-0000-0000-00003E480000}"/>
    <cellStyle name="Normal 115_Additional Disclosures" xfId="15901" xr:uid="{00000000-0005-0000-0000-00003F480000}"/>
    <cellStyle name="Normal 116" xfId="9073" xr:uid="{00000000-0005-0000-0000-000040480000}"/>
    <cellStyle name="Normal 116 2" xfId="9074" xr:uid="{00000000-0005-0000-0000-000041480000}"/>
    <cellStyle name="Normal 116 2 2" xfId="10880" xr:uid="{00000000-0005-0000-0000-000042480000}"/>
    <cellStyle name="Normal 116 2 2 2" xfId="12300" xr:uid="{00000000-0005-0000-0000-000043480000}"/>
    <cellStyle name="Normal 116 2 2 2 2" xfId="22673" xr:uid="{00000000-0005-0000-0000-000044480000}"/>
    <cellStyle name="Normal 116 2 2 3" xfId="14274" xr:uid="{00000000-0005-0000-0000-000045480000}"/>
    <cellStyle name="Normal 116 2 2 3 2" xfId="22674" xr:uid="{00000000-0005-0000-0000-000046480000}"/>
    <cellStyle name="Normal 116 2 2 4" xfId="15418" xr:uid="{00000000-0005-0000-0000-000047480000}"/>
    <cellStyle name="Normal 116 2 2 4 2" xfId="22675" xr:uid="{00000000-0005-0000-0000-000048480000}"/>
    <cellStyle name="Normal 116 2 2 5" xfId="22672" xr:uid="{00000000-0005-0000-0000-000049480000}"/>
    <cellStyle name="Normal 116 2 2_Additional Disclosures" xfId="15907" xr:uid="{00000000-0005-0000-0000-00004A480000}"/>
    <cellStyle name="Normal 116 2 3" xfId="11648" xr:uid="{00000000-0005-0000-0000-00004B480000}"/>
    <cellStyle name="Normal 116 2 3 2" xfId="22676" xr:uid="{00000000-0005-0000-0000-00004C480000}"/>
    <cellStyle name="Normal 116 2 4" xfId="13763" xr:uid="{00000000-0005-0000-0000-00004D480000}"/>
    <cellStyle name="Normal 116 2 4 2" xfId="22677" xr:uid="{00000000-0005-0000-0000-00004E480000}"/>
    <cellStyle name="Normal 116 2 5" xfId="14908" xr:uid="{00000000-0005-0000-0000-00004F480000}"/>
    <cellStyle name="Normal 116 2 5 2" xfId="22678" xr:uid="{00000000-0005-0000-0000-000050480000}"/>
    <cellStyle name="Normal 116 2 6" xfId="22671" xr:uid="{00000000-0005-0000-0000-000051480000}"/>
    <cellStyle name="Normal 116 2_Additional Disclosures" xfId="15906" xr:uid="{00000000-0005-0000-0000-000052480000}"/>
    <cellStyle name="Normal 116 3" xfId="10879" xr:uid="{00000000-0005-0000-0000-000053480000}"/>
    <cellStyle name="Normal 116 3 2" xfId="12299" xr:uid="{00000000-0005-0000-0000-000054480000}"/>
    <cellStyle name="Normal 116 3 2 2" xfId="22680" xr:uid="{00000000-0005-0000-0000-000055480000}"/>
    <cellStyle name="Normal 116 3 3" xfId="14020" xr:uid="{00000000-0005-0000-0000-000056480000}"/>
    <cellStyle name="Normal 116 3 3 2" xfId="22681" xr:uid="{00000000-0005-0000-0000-000057480000}"/>
    <cellStyle name="Normal 116 3 4" xfId="15164" xr:uid="{00000000-0005-0000-0000-000058480000}"/>
    <cellStyle name="Normal 116 3 4 2" xfId="22682" xr:uid="{00000000-0005-0000-0000-000059480000}"/>
    <cellStyle name="Normal 116 3 5" xfId="22679" xr:uid="{00000000-0005-0000-0000-00005A480000}"/>
    <cellStyle name="Normal 116 3_Additional Disclosures" xfId="15908" xr:uid="{00000000-0005-0000-0000-00005B480000}"/>
    <cellStyle name="Normal 116 4" xfId="11647" xr:uid="{00000000-0005-0000-0000-00005C480000}"/>
    <cellStyle name="Normal 116 4 2" xfId="22683" xr:uid="{00000000-0005-0000-0000-00005D480000}"/>
    <cellStyle name="Normal 116 5" xfId="13509" xr:uid="{00000000-0005-0000-0000-00005E480000}"/>
    <cellStyle name="Normal 116 5 2" xfId="22684" xr:uid="{00000000-0005-0000-0000-00005F480000}"/>
    <cellStyle name="Normal 116 6" xfId="14654" xr:uid="{00000000-0005-0000-0000-000060480000}"/>
    <cellStyle name="Normal 116 6 2" xfId="22685" xr:uid="{00000000-0005-0000-0000-000061480000}"/>
    <cellStyle name="Normal 116 7" xfId="22670" xr:uid="{00000000-0005-0000-0000-000062480000}"/>
    <cellStyle name="Normal 116 8" xfId="31454" xr:uid="{00000000-0005-0000-0000-000063480000}"/>
    <cellStyle name="Normal 116 9" xfId="31455" xr:uid="{00000000-0005-0000-0000-000064480000}"/>
    <cellStyle name="Normal 116_Additional Disclosures" xfId="15905" xr:uid="{00000000-0005-0000-0000-000065480000}"/>
    <cellStyle name="Normal 117" xfId="9075" xr:uid="{00000000-0005-0000-0000-000066480000}"/>
    <cellStyle name="Normal 117 2" xfId="9076" xr:uid="{00000000-0005-0000-0000-000067480000}"/>
    <cellStyle name="Normal 117 2 2" xfId="10882" xr:uid="{00000000-0005-0000-0000-000068480000}"/>
    <cellStyle name="Normal 117 2 2 2" xfId="12302" xr:uid="{00000000-0005-0000-0000-000069480000}"/>
    <cellStyle name="Normal 117 2 2 2 2" xfId="22689" xr:uid="{00000000-0005-0000-0000-00006A480000}"/>
    <cellStyle name="Normal 117 2 2 3" xfId="14275" xr:uid="{00000000-0005-0000-0000-00006B480000}"/>
    <cellStyle name="Normal 117 2 2 3 2" xfId="22690" xr:uid="{00000000-0005-0000-0000-00006C480000}"/>
    <cellStyle name="Normal 117 2 2 4" xfId="15419" xr:uid="{00000000-0005-0000-0000-00006D480000}"/>
    <cellStyle name="Normal 117 2 2 4 2" xfId="22691" xr:uid="{00000000-0005-0000-0000-00006E480000}"/>
    <cellStyle name="Normal 117 2 2 5" xfId="22688" xr:uid="{00000000-0005-0000-0000-00006F480000}"/>
    <cellStyle name="Normal 117 2 2_Additional Disclosures" xfId="15911" xr:uid="{00000000-0005-0000-0000-000070480000}"/>
    <cellStyle name="Normal 117 2 3" xfId="11650" xr:uid="{00000000-0005-0000-0000-000071480000}"/>
    <cellStyle name="Normal 117 2 3 2" xfId="22692" xr:uid="{00000000-0005-0000-0000-000072480000}"/>
    <cellStyle name="Normal 117 2 4" xfId="13764" xr:uid="{00000000-0005-0000-0000-000073480000}"/>
    <cellStyle name="Normal 117 2 4 2" xfId="22693" xr:uid="{00000000-0005-0000-0000-000074480000}"/>
    <cellStyle name="Normal 117 2 5" xfId="14909" xr:uid="{00000000-0005-0000-0000-000075480000}"/>
    <cellStyle name="Normal 117 2 5 2" xfId="22694" xr:uid="{00000000-0005-0000-0000-000076480000}"/>
    <cellStyle name="Normal 117 2 6" xfId="22687" xr:uid="{00000000-0005-0000-0000-000077480000}"/>
    <cellStyle name="Normal 117 2 7" xfId="31456" xr:uid="{00000000-0005-0000-0000-000078480000}"/>
    <cellStyle name="Normal 117 2_Additional Disclosures" xfId="15910" xr:uid="{00000000-0005-0000-0000-000079480000}"/>
    <cellStyle name="Normal 117 3" xfId="10881" xr:uid="{00000000-0005-0000-0000-00007A480000}"/>
    <cellStyle name="Normal 117 3 2" xfId="12301" xr:uid="{00000000-0005-0000-0000-00007B480000}"/>
    <cellStyle name="Normal 117 3 2 2" xfId="22696" xr:uid="{00000000-0005-0000-0000-00007C480000}"/>
    <cellStyle name="Normal 117 3 3" xfId="14021" xr:uid="{00000000-0005-0000-0000-00007D480000}"/>
    <cellStyle name="Normal 117 3 3 2" xfId="22697" xr:uid="{00000000-0005-0000-0000-00007E480000}"/>
    <cellStyle name="Normal 117 3 4" xfId="15165" xr:uid="{00000000-0005-0000-0000-00007F480000}"/>
    <cellStyle name="Normal 117 3 4 2" xfId="22698" xr:uid="{00000000-0005-0000-0000-000080480000}"/>
    <cellStyle name="Normal 117 3 5" xfId="22695" xr:uid="{00000000-0005-0000-0000-000081480000}"/>
    <cellStyle name="Normal 117 3_Additional Disclosures" xfId="15912" xr:uid="{00000000-0005-0000-0000-000082480000}"/>
    <cellStyle name="Normal 117 4" xfId="11649" xr:uid="{00000000-0005-0000-0000-000083480000}"/>
    <cellStyle name="Normal 117 4 2" xfId="22699" xr:uid="{00000000-0005-0000-0000-000084480000}"/>
    <cellStyle name="Normal 117 5" xfId="13510" xr:uid="{00000000-0005-0000-0000-000085480000}"/>
    <cellStyle name="Normal 117 5 2" xfId="22700" xr:uid="{00000000-0005-0000-0000-000086480000}"/>
    <cellStyle name="Normal 117 6" xfId="14655" xr:uid="{00000000-0005-0000-0000-000087480000}"/>
    <cellStyle name="Normal 117 6 2" xfId="22701" xr:uid="{00000000-0005-0000-0000-000088480000}"/>
    <cellStyle name="Normal 117 7" xfId="22686" xr:uid="{00000000-0005-0000-0000-000089480000}"/>
    <cellStyle name="Normal 117 8" xfId="31457" xr:uid="{00000000-0005-0000-0000-00008A480000}"/>
    <cellStyle name="Normal 117 9" xfId="31458" xr:uid="{00000000-0005-0000-0000-00008B480000}"/>
    <cellStyle name="Normal 117_Additional Disclosures" xfId="15909" xr:uid="{00000000-0005-0000-0000-00008C480000}"/>
    <cellStyle name="Normal 118" xfId="9077" xr:uid="{00000000-0005-0000-0000-00008D480000}"/>
    <cellStyle name="Normal 118 10" xfId="34275" xr:uid="{00000000-0005-0000-0000-00008E480000}"/>
    <cellStyle name="Normal 118 2" xfId="9078" xr:uid="{00000000-0005-0000-0000-00008F480000}"/>
    <cellStyle name="Normal 118 2 2" xfId="10884" xr:uid="{00000000-0005-0000-0000-000090480000}"/>
    <cellStyle name="Normal 118 2 2 2" xfId="12304" xr:uid="{00000000-0005-0000-0000-000091480000}"/>
    <cellStyle name="Normal 118 2 2 2 2" xfId="14168" xr:uid="{00000000-0005-0000-0000-000092480000}"/>
    <cellStyle name="Normal 118 2 2 2 2 2" xfId="22706" xr:uid="{00000000-0005-0000-0000-000093480000}"/>
    <cellStyle name="Normal 118 2 2 2 3" xfId="15312" xr:uid="{00000000-0005-0000-0000-000094480000}"/>
    <cellStyle name="Normal 118 2 2 2 3 2" xfId="22707" xr:uid="{00000000-0005-0000-0000-000095480000}"/>
    <cellStyle name="Normal 118 2 2 2 4" xfId="22705" xr:uid="{00000000-0005-0000-0000-000096480000}"/>
    <cellStyle name="Normal 118 2 2 2_Additional Disclosures" xfId="15916" xr:uid="{00000000-0005-0000-0000-000097480000}"/>
    <cellStyle name="Normal 118 2 2 3" xfId="13657" xr:uid="{00000000-0005-0000-0000-000098480000}"/>
    <cellStyle name="Normal 118 2 2 3 2" xfId="22708" xr:uid="{00000000-0005-0000-0000-000099480000}"/>
    <cellStyle name="Normal 118 2 2 4" xfId="14802" xr:uid="{00000000-0005-0000-0000-00009A480000}"/>
    <cellStyle name="Normal 118 2 2 4 2" xfId="22709" xr:uid="{00000000-0005-0000-0000-00009B480000}"/>
    <cellStyle name="Normal 118 2 2 5" xfId="22704" xr:uid="{00000000-0005-0000-0000-00009C480000}"/>
    <cellStyle name="Normal 118 2 2_Additional Disclosures" xfId="15915" xr:uid="{00000000-0005-0000-0000-00009D480000}"/>
    <cellStyle name="Normal 118 2 3" xfId="11652" xr:uid="{00000000-0005-0000-0000-00009E480000}"/>
    <cellStyle name="Normal 118 2 3 2" xfId="13913" xr:uid="{00000000-0005-0000-0000-00009F480000}"/>
    <cellStyle name="Normal 118 2 3 2 2" xfId="22711" xr:uid="{00000000-0005-0000-0000-0000A0480000}"/>
    <cellStyle name="Normal 118 2 3 3" xfId="15058" xr:uid="{00000000-0005-0000-0000-0000A1480000}"/>
    <cellStyle name="Normal 118 2 3 3 2" xfId="22712" xr:uid="{00000000-0005-0000-0000-0000A2480000}"/>
    <cellStyle name="Normal 118 2 3 4" xfId="22710" xr:uid="{00000000-0005-0000-0000-0000A3480000}"/>
    <cellStyle name="Normal 118 2 3_Additional Disclosures" xfId="15917" xr:uid="{00000000-0005-0000-0000-0000A4480000}"/>
    <cellStyle name="Normal 118 2 4" xfId="13402" xr:uid="{00000000-0005-0000-0000-0000A5480000}"/>
    <cellStyle name="Normal 118 2 4 2" xfId="22713" xr:uid="{00000000-0005-0000-0000-0000A6480000}"/>
    <cellStyle name="Normal 118 2 5" xfId="14546" xr:uid="{00000000-0005-0000-0000-0000A7480000}"/>
    <cellStyle name="Normal 118 2 5 2" xfId="22714" xr:uid="{00000000-0005-0000-0000-0000A8480000}"/>
    <cellStyle name="Normal 118 2 6" xfId="22703" xr:uid="{00000000-0005-0000-0000-0000A9480000}"/>
    <cellStyle name="Normal 118 2 7" xfId="33745" xr:uid="{00000000-0005-0000-0000-0000AA480000}"/>
    <cellStyle name="Normal 118 2 8" xfId="34287" xr:uid="{00000000-0005-0000-0000-0000AB480000}"/>
    <cellStyle name="Normal 118 2_Additional Disclosures" xfId="15914" xr:uid="{00000000-0005-0000-0000-0000AC480000}"/>
    <cellStyle name="Normal 118 3" xfId="10883" xr:uid="{00000000-0005-0000-0000-0000AD480000}"/>
    <cellStyle name="Normal 118 3 2" xfId="12303" xr:uid="{00000000-0005-0000-0000-0000AE480000}"/>
    <cellStyle name="Normal 118 3 2 2" xfId="14128" xr:uid="{00000000-0005-0000-0000-0000AF480000}"/>
    <cellStyle name="Normal 118 3 2 2 2" xfId="22717" xr:uid="{00000000-0005-0000-0000-0000B0480000}"/>
    <cellStyle name="Normal 118 3 2 3" xfId="15272" xr:uid="{00000000-0005-0000-0000-0000B1480000}"/>
    <cellStyle name="Normal 118 3 2 3 2" xfId="22718" xr:uid="{00000000-0005-0000-0000-0000B2480000}"/>
    <cellStyle name="Normal 118 3 2 4" xfId="22716" xr:uid="{00000000-0005-0000-0000-0000B3480000}"/>
    <cellStyle name="Normal 118 3 2_Additional Disclosures" xfId="15919" xr:uid="{00000000-0005-0000-0000-0000B4480000}"/>
    <cellStyle name="Normal 118 3 3" xfId="13617" xr:uid="{00000000-0005-0000-0000-0000B5480000}"/>
    <cellStyle name="Normal 118 3 3 2" xfId="22719" xr:uid="{00000000-0005-0000-0000-0000B6480000}"/>
    <cellStyle name="Normal 118 3 4" xfId="14762" xr:uid="{00000000-0005-0000-0000-0000B7480000}"/>
    <cellStyle name="Normal 118 3 4 2" xfId="22720" xr:uid="{00000000-0005-0000-0000-0000B8480000}"/>
    <cellStyle name="Normal 118 3 5" xfId="22715" xr:uid="{00000000-0005-0000-0000-0000B9480000}"/>
    <cellStyle name="Normal 118 3 6" xfId="33973" xr:uid="{00000000-0005-0000-0000-0000BA480000}"/>
    <cellStyle name="Normal 118 3 7" xfId="34304" xr:uid="{00000000-0005-0000-0000-0000BB480000}"/>
    <cellStyle name="Normal 118 3_Additional Disclosures" xfId="15918" xr:uid="{00000000-0005-0000-0000-0000BC480000}"/>
    <cellStyle name="Normal 118 4" xfId="11651" xr:uid="{00000000-0005-0000-0000-0000BD480000}"/>
    <cellStyle name="Normal 118 4 2" xfId="13873" xr:uid="{00000000-0005-0000-0000-0000BE480000}"/>
    <cellStyle name="Normal 118 4 2 2" xfId="22722" xr:uid="{00000000-0005-0000-0000-0000BF480000}"/>
    <cellStyle name="Normal 118 4 3" xfId="15018" xr:uid="{00000000-0005-0000-0000-0000C0480000}"/>
    <cellStyle name="Normal 118 4 3 2" xfId="22723" xr:uid="{00000000-0005-0000-0000-0000C1480000}"/>
    <cellStyle name="Normal 118 4 4" xfId="22721" xr:uid="{00000000-0005-0000-0000-0000C2480000}"/>
    <cellStyle name="Normal 118 4 5" xfId="34187" xr:uid="{00000000-0005-0000-0000-0000C3480000}"/>
    <cellStyle name="Normal 118 4_Additional Disclosures" xfId="15920" xr:uid="{00000000-0005-0000-0000-0000C4480000}"/>
    <cellStyle name="Normal 118 5" xfId="13362" xr:uid="{00000000-0005-0000-0000-0000C5480000}"/>
    <cellStyle name="Normal 118 5 2" xfId="22724" xr:uid="{00000000-0005-0000-0000-0000C6480000}"/>
    <cellStyle name="Normal 118 6" xfId="14505" xr:uid="{00000000-0005-0000-0000-0000C7480000}"/>
    <cellStyle name="Normal 118 6 2" xfId="22725" xr:uid="{00000000-0005-0000-0000-0000C8480000}"/>
    <cellStyle name="Normal 118 7" xfId="22702" xr:uid="{00000000-0005-0000-0000-0000C9480000}"/>
    <cellStyle name="Normal 118 8" xfId="31459" xr:uid="{00000000-0005-0000-0000-0000CA480000}"/>
    <cellStyle name="Normal 118 9" xfId="33361" xr:uid="{00000000-0005-0000-0000-0000CB480000}"/>
    <cellStyle name="Normal 118_Additional Disclosures" xfId="15913" xr:uid="{00000000-0005-0000-0000-0000CC480000}"/>
    <cellStyle name="Normal 119" xfId="9079" xr:uid="{00000000-0005-0000-0000-0000CD480000}"/>
    <cellStyle name="Normal 119 10" xfId="28741" xr:uid="{00000000-0005-0000-0000-0000CE480000}"/>
    <cellStyle name="Normal 119 11" xfId="31460" xr:uid="{00000000-0005-0000-0000-0000CF480000}"/>
    <cellStyle name="Normal 119 2" xfId="13765" xr:uid="{00000000-0005-0000-0000-0000D0480000}"/>
    <cellStyle name="Normal 119 2 2" xfId="14276" xr:uid="{00000000-0005-0000-0000-0000D1480000}"/>
    <cellStyle name="Normal 119 2 2 2" xfId="15420" xr:uid="{00000000-0005-0000-0000-0000D2480000}"/>
    <cellStyle name="Normal 119 2 2 2 2" xfId="22729" xr:uid="{00000000-0005-0000-0000-0000D3480000}"/>
    <cellStyle name="Normal 119 2 2 3" xfId="22728" xr:uid="{00000000-0005-0000-0000-0000D4480000}"/>
    <cellStyle name="Normal 119 2 2_Additional Disclosures" xfId="15923" xr:uid="{00000000-0005-0000-0000-0000D5480000}"/>
    <cellStyle name="Normal 119 2 3" xfId="14910" xr:uid="{00000000-0005-0000-0000-0000D6480000}"/>
    <cellStyle name="Normal 119 2 3 2" xfId="22730" xr:uid="{00000000-0005-0000-0000-0000D7480000}"/>
    <cellStyle name="Normal 119 2 4" xfId="22727" xr:uid="{00000000-0005-0000-0000-0000D8480000}"/>
    <cellStyle name="Normal 119 2_Additional Disclosures" xfId="15922" xr:uid="{00000000-0005-0000-0000-0000D9480000}"/>
    <cellStyle name="Normal 119 3" xfId="14022" xr:uid="{00000000-0005-0000-0000-0000DA480000}"/>
    <cellStyle name="Normal 119 3 2" xfId="15166" xr:uid="{00000000-0005-0000-0000-0000DB480000}"/>
    <cellStyle name="Normal 119 3 2 2" xfId="22732" xr:uid="{00000000-0005-0000-0000-0000DC480000}"/>
    <cellStyle name="Normal 119 3 3" xfId="22731" xr:uid="{00000000-0005-0000-0000-0000DD480000}"/>
    <cellStyle name="Normal 119 3_Additional Disclosures" xfId="15924" xr:uid="{00000000-0005-0000-0000-0000DE480000}"/>
    <cellStyle name="Normal 119 4" xfId="13511" xr:uid="{00000000-0005-0000-0000-0000DF480000}"/>
    <cellStyle name="Normal 119 4 2" xfId="22733" xr:uid="{00000000-0005-0000-0000-0000E0480000}"/>
    <cellStyle name="Normal 119 5" xfId="14656" xr:uid="{00000000-0005-0000-0000-0000E1480000}"/>
    <cellStyle name="Normal 119 5 2" xfId="22734" xr:uid="{00000000-0005-0000-0000-0000E2480000}"/>
    <cellStyle name="Normal 119 6" xfId="22726" xr:uid="{00000000-0005-0000-0000-0000E3480000}"/>
    <cellStyle name="Normal 119 7" xfId="28795" xr:uid="{00000000-0005-0000-0000-0000E4480000}"/>
    <cellStyle name="Normal 119 8" xfId="28742" xr:uid="{00000000-0005-0000-0000-0000E5480000}"/>
    <cellStyle name="Normal 119 9" xfId="28796" xr:uid="{00000000-0005-0000-0000-0000E6480000}"/>
    <cellStyle name="Normal 119_Additional Disclosures" xfId="15921" xr:uid="{00000000-0005-0000-0000-0000E7480000}"/>
    <cellStyle name="Normal 12" xfId="544" xr:uid="{00000000-0005-0000-0000-0000E8480000}"/>
    <cellStyle name="Normal 12 10" xfId="28798" xr:uid="{00000000-0005-0000-0000-0000E9480000}"/>
    <cellStyle name="Normal 12 11" xfId="31461" xr:uid="{00000000-0005-0000-0000-0000EA480000}"/>
    <cellStyle name="Normal 12 12" xfId="31462" xr:uid="{00000000-0005-0000-0000-0000EB480000}"/>
    <cellStyle name="Normal 12 2" xfId="9080" xr:uid="{00000000-0005-0000-0000-0000EC480000}"/>
    <cellStyle name="Normal 12 2 10" xfId="31463" xr:uid="{00000000-0005-0000-0000-0000ED480000}"/>
    <cellStyle name="Normal 12 2 11" xfId="31464" xr:uid="{00000000-0005-0000-0000-0000EE480000}"/>
    <cellStyle name="Normal 12 2 2" xfId="10885" xr:uid="{00000000-0005-0000-0000-0000EF480000}"/>
    <cellStyle name="Normal 12 2 2 2" xfId="12305" xr:uid="{00000000-0005-0000-0000-0000F0480000}"/>
    <cellStyle name="Normal 12 2 2 2 2" xfId="22738" xr:uid="{00000000-0005-0000-0000-0000F1480000}"/>
    <cellStyle name="Normal 12 2 2 2 3" xfId="31465" xr:uid="{00000000-0005-0000-0000-0000F2480000}"/>
    <cellStyle name="Normal 12 2 2 3" xfId="14180" xr:uid="{00000000-0005-0000-0000-0000F3480000}"/>
    <cellStyle name="Normal 12 2 2 3 2" xfId="22739" xr:uid="{00000000-0005-0000-0000-0000F4480000}"/>
    <cellStyle name="Normal 12 2 2 4" xfId="15324" xr:uid="{00000000-0005-0000-0000-0000F5480000}"/>
    <cellStyle name="Normal 12 2 2 4 2" xfId="22740" xr:uid="{00000000-0005-0000-0000-0000F6480000}"/>
    <cellStyle name="Normal 12 2 2 5" xfId="22737" xr:uid="{00000000-0005-0000-0000-0000F7480000}"/>
    <cellStyle name="Normal 12 2 2 6" xfId="31466" xr:uid="{00000000-0005-0000-0000-0000F8480000}"/>
    <cellStyle name="Normal 12 2 2 7" xfId="31467" xr:uid="{00000000-0005-0000-0000-0000F9480000}"/>
    <cellStyle name="Normal 12 2 2_Additional Disclosures" xfId="15927" xr:uid="{00000000-0005-0000-0000-0000FA480000}"/>
    <cellStyle name="Normal 12 2 3" xfId="11653" xr:uid="{00000000-0005-0000-0000-0000FB480000}"/>
    <cellStyle name="Normal 12 2 3 2" xfId="22741" xr:uid="{00000000-0005-0000-0000-0000FC480000}"/>
    <cellStyle name="Normal 12 2 3 3" xfId="31468" xr:uid="{00000000-0005-0000-0000-0000FD480000}"/>
    <cellStyle name="Normal 12 2 3 4" xfId="33529" xr:uid="{00000000-0005-0000-0000-0000FE480000}"/>
    <cellStyle name="Normal 12 2 4" xfId="13669" xr:uid="{00000000-0005-0000-0000-0000FF480000}"/>
    <cellStyle name="Normal 12 2 4 2" xfId="22742" xr:uid="{00000000-0005-0000-0000-000000490000}"/>
    <cellStyle name="Normal 12 2 4 3" xfId="33500" xr:uid="{00000000-0005-0000-0000-000001490000}"/>
    <cellStyle name="Normal 12 2 5" xfId="14814" xr:uid="{00000000-0005-0000-0000-000002490000}"/>
    <cellStyle name="Normal 12 2 5 2" xfId="22743" xr:uid="{00000000-0005-0000-0000-000003490000}"/>
    <cellStyle name="Normal 12 2 5 3" xfId="33620" xr:uid="{00000000-0005-0000-0000-000004490000}"/>
    <cellStyle name="Normal 12 2 6" xfId="22736" xr:uid="{00000000-0005-0000-0000-000005490000}"/>
    <cellStyle name="Normal 12 2 7" xfId="31469" xr:uid="{00000000-0005-0000-0000-000006490000}"/>
    <cellStyle name="Normal 12 2 8" xfId="31470" xr:uid="{00000000-0005-0000-0000-000007490000}"/>
    <cellStyle name="Normal 12 2 9" xfId="31471" xr:uid="{00000000-0005-0000-0000-000008490000}"/>
    <cellStyle name="Normal 12 2_Additional Disclosures" xfId="15926" xr:uid="{00000000-0005-0000-0000-000009490000}"/>
    <cellStyle name="Normal 12 3" xfId="9081" xr:uid="{00000000-0005-0000-0000-00000A490000}"/>
    <cellStyle name="Normal 12 3 10" xfId="33404" xr:uid="{00000000-0005-0000-0000-00000B490000}"/>
    <cellStyle name="Normal 12 3 2" xfId="10886" xr:uid="{00000000-0005-0000-0000-00000C490000}"/>
    <cellStyle name="Normal 12 3 2 2" xfId="12306" xr:uid="{00000000-0005-0000-0000-00000D490000}"/>
    <cellStyle name="Normal 12 3 2 2 2" xfId="22746" xr:uid="{00000000-0005-0000-0000-00000E490000}"/>
    <cellStyle name="Normal 12 3 2 3" xfId="22745" xr:uid="{00000000-0005-0000-0000-00000F490000}"/>
    <cellStyle name="Normal 12 3 2 4" xfId="33785" xr:uid="{00000000-0005-0000-0000-000010490000}"/>
    <cellStyle name="Normal 12 3 3" xfId="11654" xr:uid="{00000000-0005-0000-0000-000011490000}"/>
    <cellStyle name="Normal 12 3 3 2" xfId="22747" xr:uid="{00000000-0005-0000-0000-000012490000}"/>
    <cellStyle name="Normal 12 3 3 3" xfId="34013" xr:uid="{00000000-0005-0000-0000-000013490000}"/>
    <cellStyle name="Normal 12 3 4" xfId="13925" xr:uid="{00000000-0005-0000-0000-000014490000}"/>
    <cellStyle name="Normal 12 3 4 2" xfId="22748" xr:uid="{00000000-0005-0000-0000-000015490000}"/>
    <cellStyle name="Normal 12 3 4 3" xfId="34227" xr:uid="{00000000-0005-0000-0000-000016490000}"/>
    <cellStyle name="Normal 12 3 5" xfId="15070" xr:uid="{00000000-0005-0000-0000-000017490000}"/>
    <cellStyle name="Normal 12 3 5 2" xfId="22749" xr:uid="{00000000-0005-0000-0000-000018490000}"/>
    <cellStyle name="Normal 12 3 6" xfId="22744" xr:uid="{00000000-0005-0000-0000-000019490000}"/>
    <cellStyle name="Normal 12 3 7" xfId="31472" xr:uid="{00000000-0005-0000-0000-00001A490000}"/>
    <cellStyle name="Normal 12 3 8" xfId="31473" xr:uid="{00000000-0005-0000-0000-00001B490000}"/>
    <cellStyle name="Normal 12 3 9" xfId="31474" xr:uid="{00000000-0005-0000-0000-00001C490000}"/>
    <cellStyle name="Normal 12 3_Additional Disclosures" xfId="15928" xr:uid="{00000000-0005-0000-0000-00001D490000}"/>
    <cellStyle name="Normal 12 4" xfId="12850" xr:uid="{00000000-0005-0000-0000-00001E490000}"/>
    <cellStyle name="Normal 12 4 2" xfId="22750" xr:uid="{00000000-0005-0000-0000-00001F490000}"/>
    <cellStyle name="Normal 12 4 3" xfId="31475" xr:uid="{00000000-0005-0000-0000-000020490000}"/>
    <cellStyle name="Normal 12 5" xfId="13414" xr:uid="{00000000-0005-0000-0000-000021490000}"/>
    <cellStyle name="Normal 12 5 2" xfId="22751" xr:uid="{00000000-0005-0000-0000-000022490000}"/>
    <cellStyle name="Normal 12 6" xfId="14558" xr:uid="{00000000-0005-0000-0000-000023490000}"/>
    <cellStyle name="Normal 12 6 2" xfId="22752" xr:uid="{00000000-0005-0000-0000-000024490000}"/>
    <cellStyle name="Normal 12 7" xfId="22735" xr:uid="{00000000-0005-0000-0000-000025490000}"/>
    <cellStyle name="Normal 12 8" xfId="28797" xr:uid="{00000000-0005-0000-0000-000026490000}"/>
    <cellStyle name="Normal 12 9" xfId="28740" xr:uid="{00000000-0005-0000-0000-000027490000}"/>
    <cellStyle name="Normal 12_Additional Disclosures" xfId="15925" xr:uid="{00000000-0005-0000-0000-000028490000}"/>
    <cellStyle name="Normal 120" xfId="9082" xr:uid="{00000000-0005-0000-0000-000029490000}"/>
    <cellStyle name="Normal 120 2" xfId="9083" xr:uid="{00000000-0005-0000-0000-00002A490000}"/>
    <cellStyle name="Normal 120 2 2" xfId="10888" xr:uid="{00000000-0005-0000-0000-00002B490000}"/>
    <cellStyle name="Normal 120 2 2 2" xfId="12308" xr:uid="{00000000-0005-0000-0000-00002C490000}"/>
    <cellStyle name="Normal 120 2 2 2 2" xfId="22756" xr:uid="{00000000-0005-0000-0000-00002D490000}"/>
    <cellStyle name="Normal 120 2 2 3" xfId="14277" xr:uid="{00000000-0005-0000-0000-00002E490000}"/>
    <cellStyle name="Normal 120 2 2 3 2" xfId="22757" xr:uid="{00000000-0005-0000-0000-00002F490000}"/>
    <cellStyle name="Normal 120 2 2 4" xfId="15421" xr:uid="{00000000-0005-0000-0000-000030490000}"/>
    <cellStyle name="Normal 120 2 2 4 2" xfId="22758" xr:uid="{00000000-0005-0000-0000-000031490000}"/>
    <cellStyle name="Normal 120 2 2 5" xfId="22755" xr:uid="{00000000-0005-0000-0000-000032490000}"/>
    <cellStyle name="Normal 120 2 2_Additional Disclosures" xfId="15931" xr:uid="{00000000-0005-0000-0000-000033490000}"/>
    <cellStyle name="Normal 120 2 3" xfId="11656" xr:uid="{00000000-0005-0000-0000-000034490000}"/>
    <cellStyle name="Normal 120 2 3 2" xfId="22759" xr:uid="{00000000-0005-0000-0000-000035490000}"/>
    <cellStyle name="Normal 120 2 4" xfId="13766" xr:uid="{00000000-0005-0000-0000-000036490000}"/>
    <cellStyle name="Normal 120 2 4 2" xfId="22760" xr:uid="{00000000-0005-0000-0000-000037490000}"/>
    <cellStyle name="Normal 120 2 5" xfId="14911" xr:uid="{00000000-0005-0000-0000-000038490000}"/>
    <cellStyle name="Normal 120 2 5 2" xfId="22761" xr:uid="{00000000-0005-0000-0000-000039490000}"/>
    <cellStyle name="Normal 120 2 6" xfId="22754" xr:uid="{00000000-0005-0000-0000-00003A490000}"/>
    <cellStyle name="Normal 120 2 7" xfId="31476" xr:uid="{00000000-0005-0000-0000-00003B490000}"/>
    <cellStyle name="Normal 120 2_Additional Disclosures" xfId="15930" xr:uid="{00000000-0005-0000-0000-00003C490000}"/>
    <cellStyle name="Normal 120 3" xfId="10887" xr:uid="{00000000-0005-0000-0000-00003D490000}"/>
    <cellStyle name="Normal 120 3 2" xfId="12307" xr:uid="{00000000-0005-0000-0000-00003E490000}"/>
    <cellStyle name="Normal 120 3 2 2" xfId="22763" xr:uid="{00000000-0005-0000-0000-00003F490000}"/>
    <cellStyle name="Normal 120 3 3" xfId="14023" xr:uid="{00000000-0005-0000-0000-000040490000}"/>
    <cellStyle name="Normal 120 3 3 2" xfId="22764" xr:uid="{00000000-0005-0000-0000-000041490000}"/>
    <cellStyle name="Normal 120 3 4" xfId="15167" xr:uid="{00000000-0005-0000-0000-000042490000}"/>
    <cellStyle name="Normal 120 3 4 2" xfId="22765" xr:uid="{00000000-0005-0000-0000-000043490000}"/>
    <cellStyle name="Normal 120 3 5" xfId="22762" xr:uid="{00000000-0005-0000-0000-000044490000}"/>
    <cellStyle name="Normal 120 3_Additional Disclosures" xfId="15932" xr:uid="{00000000-0005-0000-0000-000045490000}"/>
    <cellStyle name="Normal 120 4" xfId="11655" xr:uid="{00000000-0005-0000-0000-000046490000}"/>
    <cellStyle name="Normal 120 4 2" xfId="22766" xr:uid="{00000000-0005-0000-0000-000047490000}"/>
    <cellStyle name="Normal 120 5" xfId="13512" xr:uid="{00000000-0005-0000-0000-000048490000}"/>
    <cellStyle name="Normal 120 5 2" xfId="22767" xr:uid="{00000000-0005-0000-0000-000049490000}"/>
    <cellStyle name="Normal 120 6" xfId="14657" xr:uid="{00000000-0005-0000-0000-00004A490000}"/>
    <cellStyle name="Normal 120 6 2" xfId="22768" xr:uid="{00000000-0005-0000-0000-00004B490000}"/>
    <cellStyle name="Normal 120 7" xfId="22753" xr:uid="{00000000-0005-0000-0000-00004C490000}"/>
    <cellStyle name="Normal 120 8" xfId="31477" xr:uid="{00000000-0005-0000-0000-00004D490000}"/>
    <cellStyle name="Normal 120_Additional Disclosures" xfId="15929" xr:uid="{00000000-0005-0000-0000-00004E490000}"/>
    <cellStyle name="Normal 121" xfId="9084" xr:uid="{00000000-0005-0000-0000-00004F490000}"/>
    <cellStyle name="Normal 121 2" xfId="9085" xr:uid="{00000000-0005-0000-0000-000050490000}"/>
    <cellStyle name="Normal 121 2 2" xfId="10890" xr:uid="{00000000-0005-0000-0000-000051490000}"/>
    <cellStyle name="Normal 121 2 2 2" xfId="12310" xr:uid="{00000000-0005-0000-0000-000052490000}"/>
    <cellStyle name="Normal 121 2 2 2 2" xfId="22772" xr:uid="{00000000-0005-0000-0000-000053490000}"/>
    <cellStyle name="Normal 121 2 2 3" xfId="14278" xr:uid="{00000000-0005-0000-0000-000054490000}"/>
    <cellStyle name="Normal 121 2 2 3 2" xfId="22773" xr:uid="{00000000-0005-0000-0000-000055490000}"/>
    <cellStyle name="Normal 121 2 2 4" xfId="15422" xr:uid="{00000000-0005-0000-0000-000056490000}"/>
    <cellStyle name="Normal 121 2 2 4 2" xfId="22774" xr:uid="{00000000-0005-0000-0000-000057490000}"/>
    <cellStyle name="Normal 121 2 2 5" xfId="22771" xr:uid="{00000000-0005-0000-0000-000058490000}"/>
    <cellStyle name="Normal 121 2 2_Additional Disclosures" xfId="15935" xr:uid="{00000000-0005-0000-0000-000059490000}"/>
    <cellStyle name="Normal 121 2 3" xfId="11658" xr:uid="{00000000-0005-0000-0000-00005A490000}"/>
    <cellStyle name="Normal 121 2 3 2" xfId="22775" xr:uid="{00000000-0005-0000-0000-00005B490000}"/>
    <cellStyle name="Normal 121 2 4" xfId="13767" xr:uid="{00000000-0005-0000-0000-00005C490000}"/>
    <cellStyle name="Normal 121 2 4 2" xfId="22776" xr:uid="{00000000-0005-0000-0000-00005D490000}"/>
    <cellStyle name="Normal 121 2 5" xfId="14912" xr:uid="{00000000-0005-0000-0000-00005E490000}"/>
    <cellStyle name="Normal 121 2 5 2" xfId="22777" xr:uid="{00000000-0005-0000-0000-00005F490000}"/>
    <cellStyle name="Normal 121 2 6" xfId="22770" xr:uid="{00000000-0005-0000-0000-000060490000}"/>
    <cellStyle name="Normal 121 2 7" xfId="31478" xr:uid="{00000000-0005-0000-0000-000061490000}"/>
    <cellStyle name="Normal 121 2_Additional Disclosures" xfId="15934" xr:uid="{00000000-0005-0000-0000-000062490000}"/>
    <cellStyle name="Normal 121 3" xfId="10889" xr:uid="{00000000-0005-0000-0000-000063490000}"/>
    <cellStyle name="Normal 121 3 2" xfId="12309" xr:uid="{00000000-0005-0000-0000-000064490000}"/>
    <cellStyle name="Normal 121 3 2 2" xfId="22779" xr:uid="{00000000-0005-0000-0000-000065490000}"/>
    <cellStyle name="Normal 121 3 3" xfId="14024" xr:uid="{00000000-0005-0000-0000-000066490000}"/>
    <cellStyle name="Normal 121 3 3 2" xfId="22780" xr:uid="{00000000-0005-0000-0000-000067490000}"/>
    <cellStyle name="Normal 121 3 4" xfId="15168" xr:uid="{00000000-0005-0000-0000-000068490000}"/>
    <cellStyle name="Normal 121 3 4 2" xfId="22781" xr:uid="{00000000-0005-0000-0000-000069490000}"/>
    <cellStyle name="Normal 121 3 5" xfId="22778" xr:uid="{00000000-0005-0000-0000-00006A490000}"/>
    <cellStyle name="Normal 121 3_Additional Disclosures" xfId="15936" xr:uid="{00000000-0005-0000-0000-00006B490000}"/>
    <cellStyle name="Normal 121 4" xfId="11657" xr:uid="{00000000-0005-0000-0000-00006C490000}"/>
    <cellStyle name="Normal 121 4 2" xfId="22782" xr:uid="{00000000-0005-0000-0000-00006D490000}"/>
    <cellStyle name="Normal 121 5" xfId="13513" xr:uid="{00000000-0005-0000-0000-00006E490000}"/>
    <cellStyle name="Normal 121 5 2" xfId="22783" xr:uid="{00000000-0005-0000-0000-00006F490000}"/>
    <cellStyle name="Normal 121 6" xfId="14658" xr:uid="{00000000-0005-0000-0000-000070490000}"/>
    <cellStyle name="Normal 121 6 2" xfId="22784" xr:uid="{00000000-0005-0000-0000-000071490000}"/>
    <cellStyle name="Normal 121 7" xfId="22769" xr:uid="{00000000-0005-0000-0000-000072490000}"/>
    <cellStyle name="Normal 121 8" xfId="31479" xr:uid="{00000000-0005-0000-0000-000073490000}"/>
    <cellStyle name="Normal 121_Additional Disclosures" xfId="15933" xr:uid="{00000000-0005-0000-0000-000074490000}"/>
    <cellStyle name="Normal 122" xfId="9086" xr:uid="{00000000-0005-0000-0000-000075490000}"/>
    <cellStyle name="Normal 122 10" xfId="28738" xr:uid="{00000000-0005-0000-0000-000076490000}"/>
    <cellStyle name="Normal 122 11" xfId="31480" xr:uid="{00000000-0005-0000-0000-000077490000}"/>
    <cellStyle name="Normal 122 2" xfId="13768" xr:uid="{00000000-0005-0000-0000-000078490000}"/>
    <cellStyle name="Normal 122 2 2" xfId="14279" xr:uid="{00000000-0005-0000-0000-000079490000}"/>
    <cellStyle name="Normal 122 2 2 2" xfId="15423" xr:uid="{00000000-0005-0000-0000-00007A490000}"/>
    <cellStyle name="Normal 122 2 2 2 2" xfId="22788" xr:uid="{00000000-0005-0000-0000-00007B490000}"/>
    <cellStyle name="Normal 122 2 2 3" xfId="22787" xr:uid="{00000000-0005-0000-0000-00007C490000}"/>
    <cellStyle name="Normal 122 2 2_Additional Disclosures" xfId="15939" xr:uid="{00000000-0005-0000-0000-00007D490000}"/>
    <cellStyle name="Normal 122 2 3" xfId="14913" xr:uid="{00000000-0005-0000-0000-00007E490000}"/>
    <cellStyle name="Normal 122 2 3 2" xfId="22789" xr:uid="{00000000-0005-0000-0000-00007F490000}"/>
    <cellStyle name="Normal 122 2 4" xfId="22786" xr:uid="{00000000-0005-0000-0000-000080490000}"/>
    <cellStyle name="Normal 122 2 5" xfId="31481" xr:uid="{00000000-0005-0000-0000-000081490000}"/>
    <cellStyle name="Normal 122 2_Additional Disclosures" xfId="15938" xr:uid="{00000000-0005-0000-0000-000082490000}"/>
    <cellStyle name="Normal 122 3" xfId="14025" xr:uid="{00000000-0005-0000-0000-000083490000}"/>
    <cellStyle name="Normal 122 3 2" xfId="15169" xr:uid="{00000000-0005-0000-0000-000084490000}"/>
    <cellStyle name="Normal 122 3 2 2" xfId="22791" xr:uid="{00000000-0005-0000-0000-000085490000}"/>
    <cellStyle name="Normal 122 3 3" xfId="22790" xr:uid="{00000000-0005-0000-0000-000086490000}"/>
    <cellStyle name="Normal 122 3_Additional Disclosures" xfId="15940" xr:uid="{00000000-0005-0000-0000-000087490000}"/>
    <cellStyle name="Normal 122 4" xfId="13514" xr:uid="{00000000-0005-0000-0000-000088490000}"/>
    <cellStyle name="Normal 122 4 2" xfId="22792" xr:uid="{00000000-0005-0000-0000-000089490000}"/>
    <cellStyle name="Normal 122 5" xfId="14659" xr:uid="{00000000-0005-0000-0000-00008A490000}"/>
    <cellStyle name="Normal 122 5 2" xfId="22793" xr:uid="{00000000-0005-0000-0000-00008B490000}"/>
    <cellStyle name="Normal 122 6" xfId="22785" xr:uid="{00000000-0005-0000-0000-00008C490000}"/>
    <cellStyle name="Normal 122 7" xfId="28799" xr:uid="{00000000-0005-0000-0000-00008D490000}"/>
    <cellStyle name="Normal 122 8" xfId="28739" xr:uid="{00000000-0005-0000-0000-00008E490000}"/>
    <cellStyle name="Normal 122 9" xfId="28800" xr:uid="{00000000-0005-0000-0000-00008F490000}"/>
    <cellStyle name="Normal 122_Additional Disclosures" xfId="15937" xr:uid="{00000000-0005-0000-0000-000090490000}"/>
    <cellStyle name="Normal 123" xfId="9087" xr:uid="{00000000-0005-0000-0000-000091490000}"/>
    <cellStyle name="Normal 123 2" xfId="9088" xr:uid="{00000000-0005-0000-0000-000092490000}"/>
    <cellStyle name="Normal 123 2 2" xfId="10892" xr:uid="{00000000-0005-0000-0000-000093490000}"/>
    <cellStyle name="Normal 123 2 2 2" xfId="12312" xr:uid="{00000000-0005-0000-0000-000094490000}"/>
    <cellStyle name="Normal 123 2 2 2 2" xfId="22797" xr:uid="{00000000-0005-0000-0000-000095490000}"/>
    <cellStyle name="Normal 123 2 2 3" xfId="14280" xr:uid="{00000000-0005-0000-0000-000096490000}"/>
    <cellStyle name="Normal 123 2 2 3 2" xfId="22798" xr:uid="{00000000-0005-0000-0000-000097490000}"/>
    <cellStyle name="Normal 123 2 2 4" xfId="15424" xr:uid="{00000000-0005-0000-0000-000098490000}"/>
    <cellStyle name="Normal 123 2 2 4 2" xfId="22799" xr:uid="{00000000-0005-0000-0000-000099490000}"/>
    <cellStyle name="Normal 123 2 2 5" xfId="22796" xr:uid="{00000000-0005-0000-0000-00009A490000}"/>
    <cellStyle name="Normal 123 2 2_Additional Disclosures" xfId="15943" xr:uid="{00000000-0005-0000-0000-00009B490000}"/>
    <cellStyle name="Normal 123 2 3" xfId="11660" xr:uid="{00000000-0005-0000-0000-00009C490000}"/>
    <cellStyle name="Normal 123 2 3 2" xfId="22800" xr:uid="{00000000-0005-0000-0000-00009D490000}"/>
    <cellStyle name="Normal 123 2 4" xfId="13769" xr:uid="{00000000-0005-0000-0000-00009E490000}"/>
    <cellStyle name="Normal 123 2 4 2" xfId="22801" xr:uid="{00000000-0005-0000-0000-00009F490000}"/>
    <cellStyle name="Normal 123 2 5" xfId="14914" xr:uid="{00000000-0005-0000-0000-0000A0490000}"/>
    <cellStyle name="Normal 123 2 5 2" xfId="22802" xr:uid="{00000000-0005-0000-0000-0000A1490000}"/>
    <cellStyle name="Normal 123 2 6" xfId="22795" xr:uid="{00000000-0005-0000-0000-0000A2490000}"/>
    <cellStyle name="Normal 123 2_Additional Disclosures" xfId="15942" xr:uid="{00000000-0005-0000-0000-0000A3490000}"/>
    <cellStyle name="Normal 123 3" xfId="10891" xr:uid="{00000000-0005-0000-0000-0000A4490000}"/>
    <cellStyle name="Normal 123 3 2" xfId="12311" xr:uid="{00000000-0005-0000-0000-0000A5490000}"/>
    <cellStyle name="Normal 123 3 2 2" xfId="22804" xr:uid="{00000000-0005-0000-0000-0000A6490000}"/>
    <cellStyle name="Normal 123 3 3" xfId="14026" xr:uid="{00000000-0005-0000-0000-0000A7490000}"/>
    <cellStyle name="Normal 123 3 3 2" xfId="22805" xr:uid="{00000000-0005-0000-0000-0000A8490000}"/>
    <cellStyle name="Normal 123 3 4" xfId="15170" xr:uid="{00000000-0005-0000-0000-0000A9490000}"/>
    <cellStyle name="Normal 123 3 4 2" xfId="22806" xr:uid="{00000000-0005-0000-0000-0000AA490000}"/>
    <cellStyle name="Normal 123 3 5" xfId="22803" xr:uid="{00000000-0005-0000-0000-0000AB490000}"/>
    <cellStyle name="Normal 123 3_Additional Disclosures" xfId="15944" xr:uid="{00000000-0005-0000-0000-0000AC490000}"/>
    <cellStyle name="Normal 123 4" xfId="11659" xr:uid="{00000000-0005-0000-0000-0000AD490000}"/>
    <cellStyle name="Normal 123 4 2" xfId="22807" xr:uid="{00000000-0005-0000-0000-0000AE490000}"/>
    <cellStyle name="Normal 123 5" xfId="13515" xr:uid="{00000000-0005-0000-0000-0000AF490000}"/>
    <cellStyle name="Normal 123 5 2" xfId="22808" xr:uid="{00000000-0005-0000-0000-0000B0490000}"/>
    <cellStyle name="Normal 123 6" xfId="14660" xr:uid="{00000000-0005-0000-0000-0000B1490000}"/>
    <cellStyle name="Normal 123 6 2" xfId="22809" xr:uid="{00000000-0005-0000-0000-0000B2490000}"/>
    <cellStyle name="Normal 123 7" xfId="22794" xr:uid="{00000000-0005-0000-0000-0000B3490000}"/>
    <cellStyle name="Normal 123 8" xfId="31482" xr:uid="{00000000-0005-0000-0000-0000B4490000}"/>
    <cellStyle name="Normal 123_Additional Disclosures" xfId="15941" xr:uid="{00000000-0005-0000-0000-0000B5490000}"/>
    <cellStyle name="Normal 124" xfId="9089" xr:uid="{00000000-0005-0000-0000-0000B6490000}"/>
    <cellStyle name="Normal 124 2" xfId="9090" xr:uid="{00000000-0005-0000-0000-0000B7490000}"/>
    <cellStyle name="Normal 124 2 2" xfId="10894" xr:uid="{00000000-0005-0000-0000-0000B8490000}"/>
    <cellStyle name="Normal 124 2 2 2" xfId="12314" xr:uid="{00000000-0005-0000-0000-0000B9490000}"/>
    <cellStyle name="Normal 124 2 2 2 2" xfId="22813" xr:uid="{00000000-0005-0000-0000-0000BA490000}"/>
    <cellStyle name="Normal 124 2 2 3" xfId="14281" xr:uid="{00000000-0005-0000-0000-0000BB490000}"/>
    <cellStyle name="Normal 124 2 2 3 2" xfId="22814" xr:uid="{00000000-0005-0000-0000-0000BC490000}"/>
    <cellStyle name="Normal 124 2 2 4" xfId="15425" xr:uid="{00000000-0005-0000-0000-0000BD490000}"/>
    <cellStyle name="Normal 124 2 2 4 2" xfId="22815" xr:uid="{00000000-0005-0000-0000-0000BE490000}"/>
    <cellStyle name="Normal 124 2 2 5" xfId="22812" xr:uid="{00000000-0005-0000-0000-0000BF490000}"/>
    <cellStyle name="Normal 124 2 2_Additional Disclosures" xfId="15947" xr:uid="{00000000-0005-0000-0000-0000C0490000}"/>
    <cellStyle name="Normal 124 2 3" xfId="11662" xr:uid="{00000000-0005-0000-0000-0000C1490000}"/>
    <cellStyle name="Normal 124 2 3 2" xfId="22816" xr:uid="{00000000-0005-0000-0000-0000C2490000}"/>
    <cellStyle name="Normal 124 2 4" xfId="13770" xr:uid="{00000000-0005-0000-0000-0000C3490000}"/>
    <cellStyle name="Normal 124 2 4 2" xfId="22817" xr:uid="{00000000-0005-0000-0000-0000C4490000}"/>
    <cellStyle name="Normal 124 2 5" xfId="14915" xr:uid="{00000000-0005-0000-0000-0000C5490000}"/>
    <cellStyle name="Normal 124 2 5 2" xfId="22818" xr:uid="{00000000-0005-0000-0000-0000C6490000}"/>
    <cellStyle name="Normal 124 2 6" xfId="22811" xr:uid="{00000000-0005-0000-0000-0000C7490000}"/>
    <cellStyle name="Normal 124 2_Additional Disclosures" xfId="15946" xr:uid="{00000000-0005-0000-0000-0000C8490000}"/>
    <cellStyle name="Normal 124 3" xfId="10893" xr:uid="{00000000-0005-0000-0000-0000C9490000}"/>
    <cellStyle name="Normal 124 3 2" xfId="12313" xr:uid="{00000000-0005-0000-0000-0000CA490000}"/>
    <cellStyle name="Normal 124 3 2 2" xfId="22820" xr:uid="{00000000-0005-0000-0000-0000CB490000}"/>
    <cellStyle name="Normal 124 3 3" xfId="14027" xr:uid="{00000000-0005-0000-0000-0000CC490000}"/>
    <cellStyle name="Normal 124 3 3 2" xfId="22821" xr:uid="{00000000-0005-0000-0000-0000CD490000}"/>
    <cellStyle name="Normal 124 3 4" xfId="15171" xr:uid="{00000000-0005-0000-0000-0000CE490000}"/>
    <cellStyle name="Normal 124 3 4 2" xfId="22822" xr:uid="{00000000-0005-0000-0000-0000CF490000}"/>
    <cellStyle name="Normal 124 3 5" xfId="22819" xr:uid="{00000000-0005-0000-0000-0000D0490000}"/>
    <cellStyle name="Normal 124 3_Additional Disclosures" xfId="15948" xr:uid="{00000000-0005-0000-0000-0000D1490000}"/>
    <cellStyle name="Normal 124 4" xfId="11661" xr:uid="{00000000-0005-0000-0000-0000D2490000}"/>
    <cellStyle name="Normal 124 4 2" xfId="22823" xr:uid="{00000000-0005-0000-0000-0000D3490000}"/>
    <cellStyle name="Normal 124 5" xfId="13516" xr:uid="{00000000-0005-0000-0000-0000D4490000}"/>
    <cellStyle name="Normal 124 5 2" xfId="22824" xr:uid="{00000000-0005-0000-0000-0000D5490000}"/>
    <cellStyle name="Normal 124 6" xfId="14661" xr:uid="{00000000-0005-0000-0000-0000D6490000}"/>
    <cellStyle name="Normal 124 6 2" xfId="22825" xr:uid="{00000000-0005-0000-0000-0000D7490000}"/>
    <cellStyle name="Normal 124 7" xfId="22810" xr:uid="{00000000-0005-0000-0000-0000D8490000}"/>
    <cellStyle name="Normal 124 8" xfId="31483" xr:uid="{00000000-0005-0000-0000-0000D9490000}"/>
    <cellStyle name="Normal 124_Additional Disclosures" xfId="15945" xr:uid="{00000000-0005-0000-0000-0000DA490000}"/>
    <cellStyle name="Normal 125" xfId="9091" xr:uid="{00000000-0005-0000-0000-0000DB490000}"/>
    <cellStyle name="Normal 125 2" xfId="9092" xr:uid="{00000000-0005-0000-0000-0000DC490000}"/>
    <cellStyle name="Normal 125 2 2" xfId="10896" xr:uid="{00000000-0005-0000-0000-0000DD490000}"/>
    <cellStyle name="Normal 125 2 2 2" xfId="12316" xr:uid="{00000000-0005-0000-0000-0000DE490000}"/>
    <cellStyle name="Normal 125 2 2 2 2" xfId="22829" xr:uid="{00000000-0005-0000-0000-0000DF490000}"/>
    <cellStyle name="Normal 125 2 2 3" xfId="14282" xr:uid="{00000000-0005-0000-0000-0000E0490000}"/>
    <cellStyle name="Normal 125 2 2 3 2" xfId="22830" xr:uid="{00000000-0005-0000-0000-0000E1490000}"/>
    <cellStyle name="Normal 125 2 2 4" xfId="15426" xr:uid="{00000000-0005-0000-0000-0000E2490000}"/>
    <cellStyle name="Normal 125 2 2 4 2" xfId="22831" xr:uid="{00000000-0005-0000-0000-0000E3490000}"/>
    <cellStyle name="Normal 125 2 2 5" xfId="22828" xr:uid="{00000000-0005-0000-0000-0000E4490000}"/>
    <cellStyle name="Normal 125 2 2_Additional Disclosures" xfId="15951" xr:uid="{00000000-0005-0000-0000-0000E5490000}"/>
    <cellStyle name="Normal 125 2 3" xfId="11664" xr:uid="{00000000-0005-0000-0000-0000E6490000}"/>
    <cellStyle name="Normal 125 2 3 2" xfId="22832" xr:uid="{00000000-0005-0000-0000-0000E7490000}"/>
    <cellStyle name="Normal 125 2 4" xfId="13771" xr:uid="{00000000-0005-0000-0000-0000E8490000}"/>
    <cellStyle name="Normal 125 2 4 2" xfId="22833" xr:uid="{00000000-0005-0000-0000-0000E9490000}"/>
    <cellStyle name="Normal 125 2 5" xfId="14916" xr:uid="{00000000-0005-0000-0000-0000EA490000}"/>
    <cellStyle name="Normal 125 2 5 2" xfId="22834" xr:uid="{00000000-0005-0000-0000-0000EB490000}"/>
    <cellStyle name="Normal 125 2 6" xfId="22827" xr:uid="{00000000-0005-0000-0000-0000EC490000}"/>
    <cellStyle name="Normal 125 2_Additional Disclosures" xfId="15950" xr:uid="{00000000-0005-0000-0000-0000ED490000}"/>
    <cellStyle name="Normal 125 3" xfId="10895" xr:uid="{00000000-0005-0000-0000-0000EE490000}"/>
    <cellStyle name="Normal 125 3 2" xfId="12315" xr:uid="{00000000-0005-0000-0000-0000EF490000}"/>
    <cellStyle name="Normal 125 3 2 2" xfId="22836" xr:uid="{00000000-0005-0000-0000-0000F0490000}"/>
    <cellStyle name="Normal 125 3 3" xfId="14028" xr:uid="{00000000-0005-0000-0000-0000F1490000}"/>
    <cellStyle name="Normal 125 3 3 2" xfId="22837" xr:uid="{00000000-0005-0000-0000-0000F2490000}"/>
    <cellStyle name="Normal 125 3 4" xfId="15172" xr:uid="{00000000-0005-0000-0000-0000F3490000}"/>
    <cellStyle name="Normal 125 3 4 2" xfId="22838" xr:uid="{00000000-0005-0000-0000-0000F4490000}"/>
    <cellStyle name="Normal 125 3 5" xfId="22835" xr:uid="{00000000-0005-0000-0000-0000F5490000}"/>
    <cellStyle name="Normal 125 3_Additional Disclosures" xfId="15952" xr:uid="{00000000-0005-0000-0000-0000F6490000}"/>
    <cellStyle name="Normal 125 4" xfId="11663" xr:uid="{00000000-0005-0000-0000-0000F7490000}"/>
    <cellStyle name="Normal 125 4 2" xfId="22839" xr:uid="{00000000-0005-0000-0000-0000F8490000}"/>
    <cellStyle name="Normal 125 5" xfId="13517" xr:uid="{00000000-0005-0000-0000-0000F9490000}"/>
    <cellStyle name="Normal 125 5 2" xfId="22840" xr:uid="{00000000-0005-0000-0000-0000FA490000}"/>
    <cellStyle name="Normal 125 6" xfId="14662" xr:uid="{00000000-0005-0000-0000-0000FB490000}"/>
    <cellStyle name="Normal 125 6 2" xfId="22841" xr:uid="{00000000-0005-0000-0000-0000FC490000}"/>
    <cellStyle name="Normal 125 7" xfId="22826" xr:uid="{00000000-0005-0000-0000-0000FD490000}"/>
    <cellStyle name="Normal 125 8" xfId="31484" xr:uid="{00000000-0005-0000-0000-0000FE490000}"/>
    <cellStyle name="Normal 125_Additional Disclosures" xfId="15949" xr:uid="{00000000-0005-0000-0000-0000FF490000}"/>
    <cellStyle name="Normal 126" xfId="9093" xr:uid="{00000000-0005-0000-0000-0000004A0000}"/>
    <cellStyle name="Normal 126 10" xfId="28736" xr:uid="{00000000-0005-0000-0000-0000014A0000}"/>
    <cellStyle name="Normal 126 11" xfId="31485" xr:uid="{00000000-0005-0000-0000-0000024A0000}"/>
    <cellStyle name="Normal 126 2" xfId="12238" xr:uid="{00000000-0005-0000-0000-0000034A0000}"/>
    <cellStyle name="Normal 126 2 2" xfId="14283" xr:uid="{00000000-0005-0000-0000-0000044A0000}"/>
    <cellStyle name="Normal 126 2 2 2" xfId="15427" xr:uid="{00000000-0005-0000-0000-0000054A0000}"/>
    <cellStyle name="Normal 126 2 2 2 2" xfId="22845" xr:uid="{00000000-0005-0000-0000-0000064A0000}"/>
    <cellStyle name="Normal 126 2 2 3" xfId="22844" xr:uid="{00000000-0005-0000-0000-0000074A0000}"/>
    <cellStyle name="Normal 126 2 2_Additional Disclosures" xfId="15955" xr:uid="{00000000-0005-0000-0000-0000084A0000}"/>
    <cellStyle name="Normal 126 2 3" xfId="13772" xr:uid="{00000000-0005-0000-0000-0000094A0000}"/>
    <cellStyle name="Normal 126 2 3 2" xfId="22846" xr:uid="{00000000-0005-0000-0000-00000A4A0000}"/>
    <cellStyle name="Normal 126 2 4" xfId="14917" xr:uid="{00000000-0005-0000-0000-00000B4A0000}"/>
    <cellStyle name="Normal 126 2 4 2" xfId="22847" xr:uid="{00000000-0005-0000-0000-00000C4A0000}"/>
    <cellStyle name="Normal 126 2 5" xfId="22843" xr:uid="{00000000-0005-0000-0000-00000D4A0000}"/>
    <cellStyle name="Normal 126 2_Additional Disclosures" xfId="15954" xr:uid="{00000000-0005-0000-0000-00000E4A0000}"/>
    <cellStyle name="Normal 126 3" xfId="14029" xr:uid="{00000000-0005-0000-0000-00000F4A0000}"/>
    <cellStyle name="Normal 126 3 2" xfId="15173" xr:uid="{00000000-0005-0000-0000-0000104A0000}"/>
    <cellStyle name="Normal 126 3 2 2" xfId="22849" xr:uid="{00000000-0005-0000-0000-0000114A0000}"/>
    <cellStyle name="Normal 126 3 3" xfId="22848" xr:uid="{00000000-0005-0000-0000-0000124A0000}"/>
    <cellStyle name="Normal 126 3_Additional Disclosures" xfId="15956" xr:uid="{00000000-0005-0000-0000-0000134A0000}"/>
    <cellStyle name="Normal 126 4" xfId="13518" xr:uid="{00000000-0005-0000-0000-0000144A0000}"/>
    <cellStyle name="Normal 126 4 2" xfId="22850" xr:uid="{00000000-0005-0000-0000-0000154A0000}"/>
    <cellStyle name="Normal 126 5" xfId="14663" xr:uid="{00000000-0005-0000-0000-0000164A0000}"/>
    <cellStyle name="Normal 126 5 2" xfId="22851" xr:uid="{00000000-0005-0000-0000-0000174A0000}"/>
    <cellStyle name="Normal 126 6" xfId="22842" xr:uid="{00000000-0005-0000-0000-0000184A0000}"/>
    <cellStyle name="Normal 126 7" xfId="28801" xr:uid="{00000000-0005-0000-0000-0000194A0000}"/>
    <cellStyle name="Normal 126 8" xfId="28737" xr:uid="{00000000-0005-0000-0000-00001A4A0000}"/>
    <cellStyle name="Normal 126 9" xfId="28802" xr:uid="{00000000-0005-0000-0000-00001B4A0000}"/>
    <cellStyle name="Normal 126_Additional Disclosures" xfId="15953" xr:uid="{00000000-0005-0000-0000-00001C4A0000}"/>
    <cellStyle name="Normal 127" xfId="9094" xr:uid="{00000000-0005-0000-0000-00001D4A0000}"/>
    <cellStyle name="Normal 127 2" xfId="9095" xr:uid="{00000000-0005-0000-0000-00001E4A0000}"/>
    <cellStyle name="Normal 127 2 2" xfId="10898" xr:uid="{00000000-0005-0000-0000-00001F4A0000}"/>
    <cellStyle name="Normal 127 2 2 2" xfId="12318" xr:uid="{00000000-0005-0000-0000-0000204A0000}"/>
    <cellStyle name="Normal 127 2 2 2 2" xfId="22855" xr:uid="{00000000-0005-0000-0000-0000214A0000}"/>
    <cellStyle name="Normal 127 2 2 3" xfId="14284" xr:uid="{00000000-0005-0000-0000-0000224A0000}"/>
    <cellStyle name="Normal 127 2 2 3 2" xfId="22856" xr:uid="{00000000-0005-0000-0000-0000234A0000}"/>
    <cellStyle name="Normal 127 2 2 4" xfId="15428" xr:uid="{00000000-0005-0000-0000-0000244A0000}"/>
    <cellStyle name="Normal 127 2 2 4 2" xfId="22857" xr:uid="{00000000-0005-0000-0000-0000254A0000}"/>
    <cellStyle name="Normal 127 2 2 5" xfId="22854" xr:uid="{00000000-0005-0000-0000-0000264A0000}"/>
    <cellStyle name="Normal 127 2 2_Additional Disclosures" xfId="15959" xr:uid="{00000000-0005-0000-0000-0000274A0000}"/>
    <cellStyle name="Normal 127 2 3" xfId="11666" xr:uid="{00000000-0005-0000-0000-0000284A0000}"/>
    <cellStyle name="Normal 127 2 3 2" xfId="22858" xr:uid="{00000000-0005-0000-0000-0000294A0000}"/>
    <cellStyle name="Normal 127 2 4" xfId="13773" xr:uid="{00000000-0005-0000-0000-00002A4A0000}"/>
    <cellStyle name="Normal 127 2 4 2" xfId="22859" xr:uid="{00000000-0005-0000-0000-00002B4A0000}"/>
    <cellStyle name="Normal 127 2 5" xfId="14918" xr:uid="{00000000-0005-0000-0000-00002C4A0000}"/>
    <cellStyle name="Normal 127 2 5 2" xfId="22860" xr:uid="{00000000-0005-0000-0000-00002D4A0000}"/>
    <cellStyle name="Normal 127 2 6" xfId="22853" xr:uid="{00000000-0005-0000-0000-00002E4A0000}"/>
    <cellStyle name="Normal 127 2_Additional Disclosures" xfId="15958" xr:uid="{00000000-0005-0000-0000-00002F4A0000}"/>
    <cellStyle name="Normal 127 3" xfId="10897" xr:uid="{00000000-0005-0000-0000-0000304A0000}"/>
    <cellStyle name="Normal 127 3 2" xfId="12317" xr:uid="{00000000-0005-0000-0000-0000314A0000}"/>
    <cellStyle name="Normal 127 3 2 2" xfId="22862" xr:uid="{00000000-0005-0000-0000-0000324A0000}"/>
    <cellStyle name="Normal 127 3 3" xfId="14030" xr:uid="{00000000-0005-0000-0000-0000334A0000}"/>
    <cellStyle name="Normal 127 3 3 2" xfId="22863" xr:uid="{00000000-0005-0000-0000-0000344A0000}"/>
    <cellStyle name="Normal 127 3 4" xfId="15174" xr:uid="{00000000-0005-0000-0000-0000354A0000}"/>
    <cellStyle name="Normal 127 3 4 2" xfId="22864" xr:uid="{00000000-0005-0000-0000-0000364A0000}"/>
    <cellStyle name="Normal 127 3 5" xfId="22861" xr:uid="{00000000-0005-0000-0000-0000374A0000}"/>
    <cellStyle name="Normal 127 3_Additional Disclosures" xfId="15960" xr:uid="{00000000-0005-0000-0000-0000384A0000}"/>
    <cellStyle name="Normal 127 4" xfId="11665" xr:uid="{00000000-0005-0000-0000-0000394A0000}"/>
    <cellStyle name="Normal 127 4 2" xfId="22865" xr:uid="{00000000-0005-0000-0000-00003A4A0000}"/>
    <cellStyle name="Normal 127 5" xfId="13519" xr:uid="{00000000-0005-0000-0000-00003B4A0000}"/>
    <cellStyle name="Normal 127 5 2" xfId="22866" xr:uid="{00000000-0005-0000-0000-00003C4A0000}"/>
    <cellStyle name="Normal 127 6" xfId="14664" xr:uid="{00000000-0005-0000-0000-00003D4A0000}"/>
    <cellStyle name="Normal 127 6 2" xfId="22867" xr:uid="{00000000-0005-0000-0000-00003E4A0000}"/>
    <cellStyle name="Normal 127 7" xfId="22852" xr:uid="{00000000-0005-0000-0000-00003F4A0000}"/>
    <cellStyle name="Normal 127 8" xfId="31486" xr:uid="{00000000-0005-0000-0000-0000404A0000}"/>
    <cellStyle name="Normal 127_Additional Disclosures" xfId="15957" xr:uid="{00000000-0005-0000-0000-0000414A0000}"/>
    <cellStyle name="Normal 128" xfId="9096" xr:uid="{00000000-0005-0000-0000-0000424A0000}"/>
    <cellStyle name="Normal 128 10" xfId="31487" xr:uid="{00000000-0005-0000-0000-0000434A0000}"/>
    <cellStyle name="Normal 128 11" xfId="31488" xr:uid="{00000000-0005-0000-0000-0000444A0000}"/>
    <cellStyle name="Normal 128 12" xfId="31489" xr:uid="{00000000-0005-0000-0000-0000454A0000}"/>
    <cellStyle name="Normal 128 2" xfId="9097" xr:uid="{00000000-0005-0000-0000-0000464A0000}"/>
    <cellStyle name="Normal 128 2 10" xfId="31490" xr:uid="{00000000-0005-0000-0000-0000474A0000}"/>
    <cellStyle name="Normal 128 2 11" xfId="31491" xr:uid="{00000000-0005-0000-0000-0000484A0000}"/>
    <cellStyle name="Normal 128 2 2" xfId="10900" xr:uid="{00000000-0005-0000-0000-0000494A0000}"/>
    <cellStyle name="Normal 128 2 2 2" xfId="12320" xr:uid="{00000000-0005-0000-0000-00004A4A0000}"/>
    <cellStyle name="Normal 128 2 2 2 2" xfId="22871" xr:uid="{00000000-0005-0000-0000-00004B4A0000}"/>
    <cellStyle name="Normal 128 2 2 3" xfId="14285" xr:uid="{00000000-0005-0000-0000-00004C4A0000}"/>
    <cellStyle name="Normal 128 2 2 3 2" xfId="22872" xr:uid="{00000000-0005-0000-0000-00004D4A0000}"/>
    <cellStyle name="Normal 128 2 2 4" xfId="15429" xr:uid="{00000000-0005-0000-0000-00004E4A0000}"/>
    <cellStyle name="Normal 128 2 2 4 2" xfId="22873" xr:uid="{00000000-0005-0000-0000-00004F4A0000}"/>
    <cellStyle name="Normal 128 2 2 5" xfId="22870" xr:uid="{00000000-0005-0000-0000-0000504A0000}"/>
    <cellStyle name="Normal 128 2 2_Additional Disclosures" xfId="15963" xr:uid="{00000000-0005-0000-0000-0000514A0000}"/>
    <cellStyle name="Normal 128 2 3" xfId="11668" xr:uid="{00000000-0005-0000-0000-0000524A0000}"/>
    <cellStyle name="Normal 128 2 3 2" xfId="22874" xr:uid="{00000000-0005-0000-0000-0000534A0000}"/>
    <cellStyle name="Normal 128 2 4" xfId="13774" xr:uid="{00000000-0005-0000-0000-0000544A0000}"/>
    <cellStyle name="Normal 128 2 4 2" xfId="22875" xr:uid="{00000000-0005-0000-0000-0000554A0000}"/>
    <cellStyle name="Normal 128 2 5" xfId="14919" xr:uid="{00000000-0005-0000-0000-0000564A0000}"/>
    <cellStyle name="Normal 128 2 5 2" xfId="22876" xr:uid="{00000000-0005-0000-0000-0000574A0000}"/>
    <cellStyle name="Normal 128 2 6" xfId="22869" xr:uid="{00000000-0005-0000-0000-0000584A0000}"/>
    <cellStyle name="Normal 128 2 7" xfId="31492" xr:uid="{00000000-0005-0000-0000-0000594A0000}"/>
    <cellStyle name="Normal 128 2 8" xfId="31493" xr:uid="{00000000-0005-0000-0000-00005A4A0000}"/>
    <cellStyle name="Normal 128 2 9" xfId="31494" xr:uid="{00000000-0005-0000-0000-00005B4A0000}"/>
    <cellStyle name="Normal 128 2_Additional Disclosures" xfId="15962" xr:uid="{00000000-0005-0000-0000-00005C4A0000}"/>
    <cellStyle name="Normal 128 3" xfId="10899" xr:uid="{00000000-0005-0000-0000-00005D4A0000}"/>
    <cellStyle name="Normal 128 3 2" xfId="12319" xr:uid="{00000000-0005-0000-0000-00005E4A0000}"/>
    <cellStyle name="Normal 128 3 2 2" xfId="22878" xr:uid="{00000000-0005-0000-0000-00005F4A0000}"/>
    <cellStyle name="Normal 128 3 3" xfId="14031" xr:uid="{00000000-0005-0000-0000-0000604A0000}"/>
    <cellStyle name="Normal 128 3 3 2" xfId="22879" xr:uid="{00000000-0005-0000-0000-0000614A0000}"/>
    <cellStyle name="Normal 128 3 4" xfId="15175" xr:uid="{00000000-0005-0000-0000-0000624A0000}"/>
    <cellStyle name="Normal 128 3 4 2" xfId="22880" xr:uid="{00000000-0005-0000-0000-0000634A0000}"/>
    <cellStyle name="Normal 128 3 5" xfId="22877" xr:uid="{00000000-0005-0000-0000-0000644A0000}"/>
    <cellStyle name="Normal 128 3 6" xfId="31495" xr:uid="{00000000-0005-0000-0000-0000654A0000}"/>
    <cellStyle name="Normal 128 3_Additional Disclosures" xfId="15964" xr:uid="{00000000-0005-0000-0000-0000664A0000}"/>
    <cellStyle name="Normal 128 4" xfId="11667" xr:uid="{00000000-0005-0000-0000-0000674A0000}"/>
    <cellStyle name="Normal 128 4 2" xfId="22881" xr:uid="{00000000-0005-0000-0000-0000684A0000}"/>
    <cellStyle name="Normal 128 5" xfId="13520" xr:uid="{00000000-0005-0000-0000-0000694A0000}"/>
    <cellStyle name="Normal 128 5 2" xfId="22882" xr:uid="{00000000-0005-0000-0000-00006A4A0000}"/>
    <cellStyle name="Normal 128 6" xfId="14665" xr:uid="{00000000-0005-0000-0000-00006B4A0000}"/>
    <cellStyle name="Normal 128 6 2" xfId="22883" xr:uid="{00000000-0005-0000-0000-00006C4A0000}"/>
    <cellStyle name="Normal 128 7" xfId="22868" xr:uid="{00000000-0005-0000-0000-00006D4A0000}"/>
    <cellStyle name="Normal 128 8" xfId="31496" xr:uid="{00000000-0005-0000-0000-00006E4A0000}"/>
    <cellStyle name="Normal 128 9" xfId="31497" xr:uid="{00000000-0005-0000-0000-00006F4A0000}"/>
    <cellStyle name="Normal 128_Additional Disclosures" xfId="15961" xr:uid="{00000000-0005-0000-0000-0000704A0000}"/>
    <cellStyle name="Normal 129" xfId="9098" xr:uid="{00000000-0005-0000-0000-0000714A0000}"/>
    <cellStyle name="Normal 129 2" xfId="9099" xr:uid="{00000000-0005-0000-0000-0000724A0000}"/>
    <cellStyle name="Normal 129 2 2" xfId="10902" xr:uid="{00000000-0005-0000-0000-0000734A0000}"/>
    <cellStyle name="Normal 129 2 2 2" xfId="12322" xr:uid="{00000000-0005-0000-0000-0000744A0000}"/>
    <cellStyle name="Normal 129 2 2 2 2" xfId="22887" xr:uid="{00000000-0005-0000-0000-0000754A0000}"/>
    <cellStyle name="Normal 129 2 2 3" xfId="14286" xr:uid="{00000000-0005-0000-0000-0000764A0000}"/>
    <cellStyle name="Normal 129 2 2 3 2" xfId="22888" xr:uid="{00000000-0005-0000-0000-0000774A0000}"/>
    <cellStyle name="Normal 129 2 2 4" xfId="15430" xr:uid="{00000000-0005-0000-0000-0000784A0000}"/>
    <cellStyle name="Normal 129 2 2 4 2" xfId="22889" xr:uid="{00000000-0005-0000-0000-0000794A0000}"/>
    <cellStyle name="Normal 129 2 2 5" xfId="22886" xr:uid="{00000000-0005-0000-0000-00007A4A0000}"/>
    <cellStyle name="Normal 129 2 2_Additional Disclosures" xfId="15967" xr:uid="{00000000-0005-0000-0000-00007B4A0000}"/>
    <cellStyle name="Normal 129 2 3" xfId="11670" xr:uid="{00000000-0005-0000-0000-00007C4A0000}"/>
    <cellStyle name="Normal 129 2 3 2" xfId="22890" xr:uid="{00000000-0005-0000-0000-00007D4A0000}"/>
    <cellStyle name="Normal 129 2 4" xfId="13775" xr:uid="{00000000-0005-0000-0000-00007E4A0000}"/>
    <cellStyle name="Normal 129 2 4 2" xfId="22891" xr:uid="{00000000-0005-0000-0000-00007F4A0000}"/>
    <cellStyle name="Normal 129 2 5" xfId="14920" xr:uid="{00000000-0005-0000-0000-0000804A0000}"/>
    <cellStyle name="Normal 129 2 5 2" xfId="22892" xr:uid="{00000000-0005-0000-0000-0000814A0000}"/>
    <cellStyle name="Normal 129 2 6" xfId="22885" xr:uid="{00000000-0005-0000-0000-0000824A0000}"/>
    <cellStyle name="Normal 129 2_Additional Disclosures" xfId="15966" xr:uid="{00000000-0005-0000-0000-0000834A0000}"/>
    <cellStyle name="Normal 129 3" xfId="10901" xr:uid="{00000000-0005-0000-0000-0000844A0000}"/>
    <cellStyle name="Normal 129 3 2" xfId="12321" xr:uid="{00000000-0005-0000-0000-0000854A0000}"/>
    <cellStyle name="Normal 129 3 2 2" xfId="22894" xr:uid="{00000000-0005-0000-0000-0000864A0000}"/>
    <cellStyle name="Normal 129 3 3" xfId="14032" xr:uid="{00000000-0005-0000-0000-0000874A0000}"/>
    <cellStyle name="Normal 129 3 3 2" xfId="22895" xr:uid="{00000000-0005-0000-0000-0000884A0000}"/>
    <cellStyle name="Normal 129 3 4" xfId="15176" xr:uid="{00000000-0005-0000-0000-0000894A0000}"/>
    <cellStyle name="Normal 129 3 4 2" xfId="22896" xr:uid="{00000000-0005-0000-0000-00008A4A0000}"/>
    <cellStyle name="Normal 129 3 5" xfId="22893" xr:uid="{00000000-0005-0000-0000-00008B4A0000}"/>
    <cellStyle name="Normal 129 3_Additional Disclosures" xfId="15968" xr:uid="{00000000-0005-0000-0000-00008C4A0000}"/>
    <cellStyle name="Normal 129 4" xfId="11669" xr:uid="{00000000-0005-0000-0000-00008D4A0000}"/>
    <cellStyle name="Normal 129 4 2" xfId="22897" xr:uid="{00000000-0005-0000-0000-00008E4A0000}"/>
    <cellStyle name="Normal 129 5" xfId="13521" xr:uid="{00000000-0005-0000-0000-00008F4A0000}"/>
    <cellStyle name="Normal 129 5 2" xfId="22898" xr:uid="{00000000-0005-0000-0000-0000904A0000}"/>
    <cellStyle name="Normal 129 6" xfId="14666" xr:uid="{00000000-0005-0000-0000-0000914A0000}"/>
    <cellStyle name="Normal 129 6 2" xfId="22899" xr:uid="{00000000-0005-0000-0000-0000924A0000}"/>
    <cellStyle name="Normal 129 7" xfId="22884" xr:uid="{00000000-0005-0000-0000-0000934A0000}"/>
    <cellStyle name="Normal 129 8" xfId="31498" xr:uid="{00000000-0005-0000-0000-0000944A0000}"/>
    <cellStyle name="Normal 129_Additional Disclosures" xfId="15965" xr:uid="{00000000-0005-0000-0000-0000954A0000}"/>
    <cellStyle name="Normal 13" xfId="167" xr:uid="{00000000-0005-0000-0000-0000964A0000}"/>
    <cellStyle name="Normal 13 10" xfId="28734" xr:uid="{00000000-0005-0000-0000-0000974A0000}"/>
    <cellStyle name="Normal 13 11" xfId="31499" xr:uid="{00000000-0005-0000-0000-0000984A0000}"/>
    <cellStyle name="Normal 13 12" xfId="31500" xr:uid="{00000000-0005-0000-0000-0000994A0000}"/>
    <cellStyle name="Normal 13 13" xfId="545" xr:uid="{00000000-0005-0000-0000-00009A4A0000}"/>
    <cellStyle name="Normal 13 2" xfId="368" xr:uid="{00000000-0005-0000-0000-00009B4A0000}"/>
    <cellStyle name="Normal 13 2 10" xfId="31501" xr:uid="{00000000-0005-0000-0000-00009C4A0000}"/>
    <cellStyle name="Normal 13 2 11" xfId="31502" xr:uid="{00000000-0005-0000-0000-00009D4A0000}"/>
    <cellStyle name="Normal 13 2 2" xfId="10903" xr:uid="{00000000-0005-0000-0000-00009E4A0000}"/>
    <cellStyle name="Normal 13 2 2 2" xfId="12323" xr:uid="{00000000-0005-0000-0000-00009F4A0000}"/>
    <cellStyle name="Normal 13 2 2 2 2" xfId="22903" xr:uid="{00000000-0005-0000-0000-0000A04A0000}"/>
    <cellStyle name="Normal 13 2 2 2 3" xfId="31503" xr:uid="{00000000-0005-0000-0000-0000A14A0000}"/>
    <cellStyle name="Normal 13 2 2 3" xfId="14181" xr:uid="{00000000-0005-0000-0000-0000A24A0000}"/>
    <cellStyle name="Normal 13 2 2 3 2" xfId="22904" xr:uid="{00000000-0005-0000-0000-0000A34A0000}"/>
    <cellStyle name="Normal 13 2 2 4" xfId="15325" xr:uid="{00000000-0005-0000-0000-0000A44A0000}"/>
    <cellStyle name="Normal 13 2 2 4 2" xfId="22905" xr:uid="{00000000-0005-0000-0000-0000A54A0000}"/>
    <cellStyle name="Normal 13 2 2 5" xfId="22902" xr:uid="{00000000-0005-0000-0000-0000A64A0000}"/>
    <cellStyle name="Normal 13 2 2 6" xfId="31504" xr:uid="{00000000-0005-0000-0000-0000A74A0000}"/>
    <cellStyle name="Normal 13 2 2 7" xfId="31505" xr:uid="{00000000-0005-0000-0000-0000A84A0000}"/>
    <cellStyle name="Normal 13 2 2_Additional Disclosures" xfId="15971" xr:uid="{00000000-0005-0000-0000-0000A94A0000}"/>
    <cellStyle name="Normal 13 2 3" xfId="11671" xr:uid="{00000000-0005-0000-0000-0000AA4A0000}"/>
    <cellStyle name="Normal 13 2 3 2" xfId="22906" xr:uid="{00000000-0005-0000-0000-0000AB4A0000}"/>
    <cellStyle name="Normal 13 2 3 3" xfId="31506" xr:uid="{00000000-0005-0000-0000-0000AC4A0000}"/>
    <cellStyle name="Normal 13 2 3 4" xfId="33530" xr:uid="{00000000-0005-0000-0000-0000AD4A0000}"/>
    <cellStyle name="Normal 13 2 4" xfId="13670" xr:uid="{00000000-0005-0000-0000-0000AE4A0000}"/>
    <cellStyle name="Normal 13 2 4 2" xfId="22907" xr:uid="{00000000-0005-0000-0000-0000AF4A0000}"/>
    <cellStyle name="Normal 13 2 4 3" xfId="33499" xr:uid="{00000000-0005-0000-0000-0000B04A0000}"/>
    <cellStyle name="Normal 13 2 5" xfId="14815" xr:uid="{00000000-0005-0000-0000-0000B14A0000}"/>
    <cellStyle name="Normal 13 2 5 2" xfId="22908" xr:uid="{00000000-0005-0000-0000-0000B24A0000}"/>
    <cellStyle name="Normal 13 2 5 3" xfId="33621" xr:uid="{00000000-0005-0000-0000-0000B34A0000}"/>
    <cellStyle name="Normal 13 2 6" xfId="22901" xr:uid="{00000000-0005-0000-0000-0000B44A0000}"/>
    <cellStyle name="Normal 13 2 7" xfId="31507" xr:uid="{00000000-0005-0000-0000-0000B54A0000}"/>
    <cellStyle name="Normal 13 2 8" xfId="31508" xr:uid="{00000000-0005-0000-0000-0000B64A0000}"/>
    <cellStyle name="Normal 13 2 9" xfId="31509" xr:uid="{00000000-0005-0000-0000-0000B74A0000}"/>
    <cellStyle name="Normal 13 2_Additional Disclosures" xfId="15970" xr:uid="{00000000-0005-0000-0000-0000B84A0000}"/>
    <cellStyle name="Normal 13 3" xfId="9100" xr:uid="{00000000-0005-0000-0000-0000B94A0000}"/>
    <cellStyle name="Normal 13 3 10" xfId="33405" xr:uid="{00000000-0005-0000-0000-0000BA4A0000}"/>
    <cellStyle name="Normal 13 3 2" xfId="10904" xr:uid="{00000000-0005-0000-0000-0000BB4A0000}"/>
    <cellStyle name="Normal 13 3 2 2" xfId="12324" xr:uid="{00000000-0005-0000-0000-0000BC4A0000}"/>
    <cellStyle name="Normal 13 3 2 2 2" xfId="22911" xr:uid="{00000000-0005-0000-0000-0000BD4A0000}"/>
    <cellStyle name="Normal 13 3 2 3" xfId="22910" xr:uid="{00000000-0005-0000-0000-0000BE4A0000}"/>
    <cellStyle name="Normal 13 3 2 4" xfId="33786" xr:uid="{00000000-0005-0000-0000-0000BF4A0000}"/>
    <cellStyle name="Normal 13 3 3" xfId="11672" xr:uid="{00000000-0005-0000-0000-0000C04A0000}"/>
    <cellStyle name="Normal 13 3 3 2" xfId="22912" xr:uid="{00000000-0005-0000-0000-0000C14A0000}"/>
    <cellStyle name="Normal 13 3 3 3" xfId="34014" xr:uid="{00000000-0005-0000-0000-0000C24A0000}"/>
    <cellStyle name="Normal 13 3 4" xfId="13926" xr:uid="{00000000-0005-0000-0000-0000C34A0000}"/>
    <cellStyle name="Normal 13 3 4 2" xfId="22913" xr:uid="{00000000-0005-0000-0000-0000C44A0000}"/>
    <cellStyle name="Normal 13 3 4 3" xfId="34228" xr:uid="{00000000-0005-0000-0000-0000C54A0000}"/>
    <cellStyle name="Normal 13 3 5" xfId="15071" xr:uid="{00000000-0005-0000-0000-0000C64A0000}"/>
    <cellStyle name="Normal 13 3 5 2" xfId="22914" xr:uid="{00000000-0005-0000-0000-0000C74A0000}"/>
    <cellStyle name="Normal 13 3 6" xfId="22909" xr:uid="{00000000-0005-0000-0000-0000C84A0000}"/>
    <cellStyle name="Normal 13 3 7" xfId="31510" xr:uid="{00000000-0005-0000-0000-0000C94A0000}"/>
    <cellStyle name="Normal 13 3 8" xfId="31511" xr:uid="{00000000-0005-0000-0000-0000CA4A0000}"/>
    <cellStyle name="Normal 13 3 9" xfId="31512" xr:uid="{00000000-0005-0000-0000-0000CB4A0000}"/>
    <cellStyle name="Normal 13 3_Additional Disclosures" xfId="15972" xr:uid="{00000000-0005-0000-0000-0000CC4A0000}"/>
    <cellStyle name="Normal 13 4" xfId="13415" xr:uid="{00000000-0005-0000-0000-0000CD4A0000}"/>
    <cellStyle name="Normal 13 4 2" xfId="22915" xr:uid="{00000000-0005-0000-0000-0000CE4A0000}"/>
    <cellStyle name="Normal 13 4 3" xfId="31513" xr:uid="{00000000-0005-0000-0000-0000CF4A0000}"/>
    <cellStyle name="Normal 13 5" xfId="14559" xr:uid="{00000000-0005-0000-0000-0000D04A0000}"/>
    <cellStyle name="Normal 13 5 2" xfId="22916" xr:uid="{00000000-0005-0000-0000-0000D14A0000}"/>
    <cellStyle name="Normal 13 6" xfId="22900" xr:uid="{00000000-0005-0000-0000-0000D24A0000}"/>
    <cellStyle name="Normal 13 7" xfId="28803" xr:uid="{00000000-0005-0000-0000-0000D34A0000}"/>
    <cellStyle name="Normal 13 8" xfId="28735" xr:uid="{00000000-0005-0000-0000-0000D44A0000}"/>
    <cellStyle name="Normal 13 9" xfId="28804" xr:uid="{00000000-0005-0000-0000-0000D54A0000}"/>
    <cellStyle name="Normal 13_Additional Disclosures" xfId="15969" xr:uid="{00000000-0005-0000-0000-0000D64A0000}"/>
    <cellStyle name="Normal 130" xfId="9101" xr:uid="{00000000-0005-0000-0000-0000D74A0000}"/>
    <cellStyle name="Normal 130 10" xfId="31514" xr:uid="{00000000-0005-0000-0000-0000D84A0000}"/>
    <cellStyle name="Normal 130 11" xfId="31515" xr:uid="{00000000-0005-0000-0000-0000D94A0000}"/>
    <cellStyle name="Normal 130 12" xfId="31516" xr:uid="{00000000-0005-0000-0000-0000DA4A0000}"/>
    <cellStyle name="Normal 130 2" xfId="9102" xr:uid="{00000000-0005-0000-0000-0000DB4A0000}"/>
    <cellStyle name="Normal 130 2 10" xfId="31517" xr:uid="{00000000-0005-0000-0000-0000DC4A0000}"/>
    <cellStyle name="Normal 130 2 11" xfId="31518" xr:uid="{00000000-0005-0000-0000-0000DD4A0000}"/>
    <cellStyle name="Normal 130 2 2" xfId="10906" xr:uid="{00000000-0005-0000-0000-0000DE4A0000}"/>
    <cellStyle name="Normal 130 2 2 2" xfId="12326" xr:uid="{00000000-0005-0000-0000-0000DF4A0000}"/>
    <cellStyle name="Normal 130 2 2 2 2" xfId="22920" xr:uid="{00000000-0005-0000-0000-0000E04A0000}"/>
    <cellStyle name="Normal 130 2 2 3" xfId="14287" xr:uid="{00000000-0005-0000-0000-0000E14A0000}"/>
    <cellStyle name="Normal 130 2 2 3 2" xfId="22921" xr:uid="{00000000-0005-0000-0000-0000E24A0000}"/>
    <cellStyle name="Normal 130 2 2 4" xfId="15431" xr:uid="{00000000-0005-0000-0000-0000E34A0000}"/>
    <cellStyle name="Normal 130 2 2 4 2" xfId="22922" xr:uid="{00000000-0005-0000-0000-0000E44A0000}"/>
    <cellStyle name="Normal 130 2 2 5" xfId="22919" xr:uid="{00000000-0005-0000-0000-0000E54A0000}"/>
    <cellStyle name="Normal 130 2 2_Additional Disclosures" xfId="15975" xr:uid="{00000000-0005-0000-0000-0000E64A0000}"/>
    <cellStyle name="Normal 130 2 3" xfId="11674" xr:uid="{00000000-0005-0000-0000-0000E74A0000}"/>
    <cellStyle name="Normal 130 2 3 2" xfId="22923" xr:uid="{00000000-0005-0000-0000-0000E84A0000}"/>
    <cellStyle name="Normal 130 2 4" xfId="13776" xr:uid="{00000000-0005-0000-0000-0000E94A0000}"/>
    <cellStyle name="Normal 130 2 4 2" xfId="22924" xr:uid="{00000000-0005-0000-0000-0000EA4A0000}"/>
    <cellStyle name="Normal 130 2 5" xfId="14921" xr:uid="{00000000-0005-0000-0000-0000EB4A0000}"/>
    <cellStyle name="Normal 130 2 5 2" xfId="22925" xr:uid="{00000000-0005-0000-0000-0000EC4A0000}"/>
    <cellStyle name="Normal 130 2 6" xfId="22918" xr:uid="{00000000-0005-0000-0000-0000ED4A0000}"/>
    <cellStyle name="Normal 130 2 7" xfId="31519" xr:uid="{00000000-0005-0000-0000-0000EE4A0000}"/>
    <cellStyle name="Normal 130 2 8" xfId="31520" xr:uid="{00000000-0005-0000-0000-0000EF4A0000}"/>
    <cellStyle name="Normal 130 2 9" xfId="31521" xr:uid="{00000000-0005-0000-0000-0000F04A0000}"/>
    <cellStyle name="Normal 130 2_Additional Disclosures" xfId="15974" xr:uid="{00000000-0005-0000-0000-0000F14A0000}"/>
    <cellStyle name="Normal 130 3" xfId="10905" xr:uid="{00000000-0005-0000-0000-0000F24A0000}"/>
    <cellStyle name="Normal 130 3 2" xfId="12325" xr:uid="{00000000-0005-0000-0000-0000F34A0000}"/>
    <cellStyle name="Normal 130 3 2 2" xfId="22927" xr:uid="{00000000-0005-0000-0000-0000F44A0000}"/>
    <cellStyle name="Normal 130 3 3" xfId="14033" xr:uid="{00000000-0005-0000-0000-0000F54A0000}"/>
    <cellStyle name="Normal 130 3 3 2" xfId="22928" xr:uid="{00000000-0005-0000-0000-0000F64A0000}"/>
    <cellStyle name="Normal 130 3 4" xfId="15177" xr:uid="{00000000-0005-0000-0000-0000F74A0000}"/>
    <cellStyle name="Normal 130 3 4 2" xfId="22929" xr:uid="{00000000-0005-0000-0000-0000F84A0000}"/>
    <cellStyle name="Normal 130 3 5" xfId="22926" xr:uid="{00000000-0005-0000-0000-0000F94A0000}"/>
    <cellStyle name="Normal 130 3 6" xfId="31522" xr:uid="{00000000-0005-0000-0000-0000FA4A0000}"/>
    <cellStyle name="Normal 130 3_Additional Disclosures" xfId="15976" xr:uid="{00000000-0005-0000-0000-0000FB4A0000}"/>
    <cellStyle name="Normal 130 4" xfId="11673" xr:uid="{00000000-0005-0000-0000-0000FC4A0000}"/>
    <cellStyle name="Normal 130 4 2" xfId="22930" xr:uid="{00000000-0005-0000-0000-0000FD4A0000}"/>
    <cellStyle name="Normal 130 5" xfId="13522" xr:uid="{00000000-0005-0000-0000-0000FE4A0000}"/>
    <cellStyle name="Normal 130 5 2" xfId="22931" xr:uid="{00000000-0005-0000-0000-0000FF4A0000}"/>
    <cellStyle name="Normal 130 6" xfId="14667" xr:uid="{00000000-0005-0000-0000-0000004B0000}"/>
    <cellStyle name="Normal 130 6 2" xfId="22932" xr:uid="{00000000-0005-0000-0000-0000014B0000}"/>
    <cellStyle name="Normal 130 7" xfId="22917" xr:uid="{00000000-0005-0000-0000-0000024B0000}"/>
    <cellStyle name="Normal 130 8" xfId="31523" xr:uid="{00000000-0005-0000-0000-0000034B0000}"/>
    <cellStyle name="Normal 130 9" xfId="31524" xr:uid="{00000000-0005-0000-0000-0000044B0000}"/>
    <cellStyle name="Normal 130_Additional Disclosures" xfId="15973" xr:uid="{00000000-0005-0000-0000-0000054B0000}"/>
    <cellStyle name="Normal 131" xfId="9103" xr:uid="{00000000-0005-0000-0000-0000064B0000}"/>
    <cellStyle name="Normal 131 2" xfId="9104" xr:uid="{00000000-0005-0000-0000-0000074B0000}"/>
    <cellStyle name="Normal 131 2 2" xfId="10908" xr:uid="{00000000-0005-0000-0000-0000084B0000}"/>
    <cellStyle name="Normal 131 2 2 2" xfId="12328" xr:uid="{00000000-0005-0000-0000-0000094B0000}"/>
    <cellStyle name="Normal 131 2 2 2 2" xfId="22936" xr:uid="{00000000-0005-0000-0000-00000A4B0000}"/>
    <cellStyle name="Normal 131 2 2 3" xfId="14288" xr:uid="{00000000-0005-0000-0000-00000B4B0000}"/>
    <cellStyle name="Normal 131 2 2 3 2" xfId="22937" xr:uid="{00000000-0005-0000-0000-00000C4B0000}"/>
    <cellStyle name="Normal 131 2 2 4" xfId="15432" xr:uid="{00000000-0005-0000-0000-00000D4B0000}"/>
    <cellStyle name="Normal 131 2 2 4 2" xfId="22938" xr:uid="{00000000-0005-0000-0000-00000E4B0000}"/>
    <cellStyle name="Normal 131 2 2 5" xfId="22935" xr:uid="{00000000-0005-0000-0000-00000F4B0000}"/>
    <cellStyle name="Normal 131 2 2_Additional Disclosures" xfId="15979" xr:uid="{00000000-0005-0000-0000-0000104B0000}"/>
    <cellStyle name="Normal 131 2 3" xfId="11676" xr:uid="{00000000-0005-0000-0000-0000114B0000}"/>
    <cellStyle name="Normal 131 2 3 2" xfId="22939" xr:uid="{00000000-0005-0000-0000-0000124B0000}"/>
    <cellStyle name="Normal 131 2 4" xfId="13777" xr:uid="{00000000-0005-0000-0000-0000134B0000}"/>
    <cellStyle name="Normal 131 2 4 2" xfId="22940" xr:uid="{00000000-0005-0000-0000-0000144B0000}"/>
    <cellStyle name="Normal 131 2 5" xfId="14922" xr:uid="{00000000-0005-0000-0000-0000154B0000}"/>
    <cellStyle name="Normal 131 2 5 2" xfId="22941" xr:uid="{00000000-0005-0000-0000-0000164B0000}"/>
    <cellStyle name="Normal 131 2 6" xfId="22934" xr:uid="{00000000-0005-0000-0000-0000174B0000}"/>
    <cellStyle name="Normal 131 2_Additional Disclosures" xfId="15978" xr:uid="{00000000-0005-0000-0000-0000184B0000}"/>
    <cellStyle name="Normal 131 3" xfId="10907" xr:uid="{00000000-0005-0000-0000-0000194B0000}"/>
    <cellStyle name="Normal 131 3 2" xfId="12327" xr:uid="{00000000-0005-0000-0000-00001A4B0000}"/>
    <cellStyle name="Normal 131 3 2 2" xfId="22943" xr:uid="{00000000-0005-0000-0000-00001B4B0000}"/>
    <cellStyle name="Normal 131 3 3" xfId="14034" xr:uid="{00000000-0005-0000-0000-00001C4B0000}"/>
    <cellStyle name="Normal 131 3 3 2" xfId="22944" xr:uid="{00000000-0005-0000-0000-00001D4B0000}"/>
    <cellStyle name="Normal 131 3 4" xfId="15178" xr:uid="{00000000-0005-0000-0000-00001E4B0000}"/>
    <cellStyle name="Normal 131 3 4 2" xfId="22945" xr:uid="{00000000-0005-0000-0000-00001F4B0000}"/>
    <cellStyle name="Normal 131 3 5" xfId="22942" xr:uid="{00000000-0005-0000-0000-0000204B0000}"/>
    <cellStyle name="Normal 131 3_Additional Disclosures" xfId="15980" xr:uid="{00000000-0005-0000-0000-0000214B0000}"/>
    <cellStyle name="Normal 131 4" xfId="11675" xr:uid="{00000000-0005-0000-0000-0000224B0000}"/>
    <cellStyle name="Normal 131 4 2" xfId="22946" xr:uid="{00000000-0005-0000-0000-0000234B0000}"/>
    <cellStyle name="Normal 131 5" xfId="13523" xr:uid="{00000000-0005-0000-0000-0000244B0000}"/>
    <cellStyle name="Normal 131 5 2" xfId="22947" xr:uid="{00000000-0005-0000-0000-0000254B0000}"/>
    <cellStyle name="Normal 131 6" xfId="14668" xr:uid="{00000000-0005-0000-0000-0000264B0000}"/>
    <cellStyle name="Normal 131 6 2" xfId="22948" xr:uid="{00000000-0005-0000-0000-0000274B0000}"/>
    <cellStyle name="Normal 131 7" xfId="22933" xr:uid="{00000000-0005-0000-0000-0000284B0000}"/>
    <cellStyle name="Normal 131 8" xfId="31525" xr:uid="{00000000-0005-0000-0000-0000294B0000}"/>
    <cellStyle name="Normal 131_Additional Disclosures" xfId="15977" xr:uid="{00000000-0005-0000-0000-00002A4B0000}"/>
    <cellStyle name="Normal 132" xfId="9105" xr:uid="{00000000-0005-0000-0000-00002B4B0000}"/>
    <cellStyle name="Normal 132 2" xfId="9106" xr:uid="{00000000-0005-0000-0000-00002C4B0000}"/>
    <cellStyle name="Normal 132 2 2" xfId="10910" xr:uid="{00000000-0005-0000-0000-00002D4B0000}"/>
    <cellStyle name="Normal 132 2 2 2" xfId="12330" xr:uid="{00000000-0005-0000-0000-00002E4B0000}"/>
    <cellStyle name="Normal 132 2 2 2 2" xfId="22952" xr:uid="{00000000-0005-0000-0000-00002F4B0000}"/>
    <cellStyle name="Normal 132 2 2 3" xfId="14289" xr:uid="{00000000-0005-0000-0000-0000304B0000}"/>
    <cellStyle name="Normal 132 2 2 3 2" xfId="22953" xr:uid="{00000000-0005-0000-0000-0000314B0000}"/>
    <cellStyle name="Normal 132 2 2 4" xfId="15433" xr:uid="{00000000-0005-0000-0000-0000324B0000}"/>
    <cellStyle name="Normal 132 2 2 4 2" xfId="22954" xr:uid="{00000000-0005-0000-0000-0000334B0000}"/>
    <cellStyle name="Normal 132 2 2 5" xfId="22951" xr:uid="{00000000-0005-0000-0000-0000344B0000}"/>
    <cellStyle name="Normal 132 2 2_Additional Disclosures" xfId="15983" xr:uid="{00000000-0005-0000-0000-0000354B0000}"/>
    <cellStyle name="Normal 132 2 3" xfId="11678" xr:uid="{00000000-0005-0000-0000-0000364B0000}"/>
    <cellStyle name="Normal 132 2 3 2" xfId="22955" xr:uid="{00000000-0005-0000-0000-0000374B0000}"/>
    <cellStyle name="Normal 132 2 4" xfId="13778" xr:uid="{00000000-0005-0000-0000-0000384B0000}"/>
    <cellStyle name="Normal 132 2 4 2" xfId="22956" xr:uid="{00000000-0005-0000-0000-0000394B0000}"/>
    <cellStyle name="Normal 132 2 5" xfId="14923" xr:uid="{00000000-0005-0000-0000-00003A4B0000}"/>
    <cellStyle name="Normal 132 2 5 2" xfId="22957" xr:uid="{00000000-0005-0000-0000-00003B4B0000}"/>
    <cellStyle name="Normal 132 2 6" xfId="22950" xr:uid="{00000000-0005-0000-0000-00003C4B0000}"/>
    <cellStyle name="Normal 132 2_Additional Disclosures" xfId="15982" xr:uid="{00000000-0005-0000-0000-00003D4B0000}"/>
    <cellStyle name="Normal 132 3" xfId="10909" xr:uid="{00000000-0005-0000-0000-00003E4B0000}"/>
    <cellStyle name="Normal 132 3 2" xfId="12329" xr:uid="{00000000-0005-0000-0000-00003F4B0000}"/>
    <cellStyle name="Normal 132 3 2 2" xfId="22959" xr:uid="{00000000-0005-0000-0000-0000404B0000}"/>
    <cellStyle name="Normal 132 3 3" xfId="14035" xr:uid="{00000000-0005-0000-0000-0000414B0000}"/>
    <cellStyle name="Normal 132 3 3 2" xfId="22960" xr:uid="{00000000-0005-0000-0000-0000424B0000}"/>
    <cellStyle name="Normal 132 3 4" xfId="15179" xr:uid="{00000000-0005-0000-0000-0000434B0000}"/>
    <cellStyle name="Normal 132 3 4 2" xfId="22961" xr:uid="{00000000-0005-0000-0000-0000444B0000}"/>
    <cellStyle name="Normal 132 3 5" xfId="22958" xr:uid="{00000000-0005-0000-0000-0000454B0000}"/>
    <cellStyle name="Normal 132 3_Additional Disclosures" xfId="15984" xr:uid="{00000000-0005-0000-0000-0000464B0000}"/>
    <cellStyle name="Normal 132 4" xfId="11677" xr:uid="{00000000-0005-0000-0000-0000474B0000}"/>
    <cellStyle name="Normal 132 4 2" xfId="22962" xr:uid="{00000000-0005-0000-0000-0000484B0000}"/>
    <cellStyle name="Normal 132 5" xfId="13524" xr:uid="{00000000-0005-0000-0000-0000494B0000}"/>
    <cellStyle name="Normal 132 5 2" xfId="22963" xr:uid="{00000000-0005-0000-0000-00004A4B0000}"/>
    <cellStyle name="Normal 132 6" xfId="14669" xr:uid="{00000000-0005-0000-0000-00004B4B0000}"/>
    <cellStyle name="Normal 132 6 2" xfId="22964" xr:uid="{00000000-0005-0000-0000-00004C4B0000}"/>
    <cellStyle name="Normal 132 7" xfId="22949" xr:uid="{00000000-0005-0000-0000-00004D4B0000}"/>
    <cellStyle name="Normal 132 8" xfId="31526" xr:uid="{00000000-0005-0000-0000-00004E4B0000}"/>
    <cellStyle name="Normal 132_Additional Disclosures" xfId="15981" xr:uid="{00000000-0005-0000-0000-00004F4B0000}"/>
    <cellStyle name="Normal 133" xfId="52" xr:uid="{00000000-0005-0000-0000-0000504B0000}"/>
    <cellStyle name="Normal 133 10" xfId="28732" xr:uid="{00000000-0005-0000-0000-0000514B0000}"/>
    <cellStyle name="Normal 133 11" xfId="31527" xr:uid="{00000000-0005-0000-0000-0000524B0000}"/>
    <cellStyle name="Normal 133 12" xfId="9107" xr:uid="{00000000-0005-0000-0000-0000534B0000}"/>
    <cellStyle name="Normal 133 2" xfId="13779" xr:uid="{00000000-0005-0000-0000-0000544B0000}"/>
    <cellStyle name="Normal 133 2 2" xfId="14290" xr:uid="{00000000-0005-0000-0000-0000554B0000}"/>
    <cellStyle name="Normal 133 2 2 2" xfId="15434" xr:uid="{00000000-0005-0000-0000-0000564B0000}"/>
    <cellStyle name="Normal 133 2 2 2 2" xfId="22968" xr:uid="{00000000-0005-0000-0000-0000574B0000}"/>
    <cellStyle name="Normal 133 2 2 3" xfId="22967" xr:uid="{00000000-0005-0000-0000-0000584B0000}"/>
    <cellStyle name="Normal 133 2 2_Additional Disclosures" xfId="15987" xr:uid="{00000000-0005-0000-0000-0000594B0000}"/>
    <cellStyle name="Normal 133 2 3" xfId="14924" xr:uid="{00000000-0005-0000-0000-00005A4B0000}"/>
    <cellStyle name="Normal 133 2 3 2" xfId="22969" xr:uid="{00000000-0005-0000-0000-00005B4B0000}"/>
    <cellStyle name="Normal 133 2 4" xfId="22966" xr:uid="{00000000-0005-0000-0000-00005C4B0000}"/>
    <cellStyle name="Normal 133 2_Additional Disclosures" xfId="15986" xr:uid="{00000000-0005-0000-0000-00005D4B0000}"/>
    <cellStyle name="Normal 133 3" xfId="14036" xr:uid="{00000000-0005-0000-0000-00005E4B0000}"/>
    <cellStyle name="Normal 133 3 2" xfId="15180" xr:uid="{00000000-0005-0000-0000-00005F4B0000}"/>
    <cellStyle name="Normal 133 3 2 2" xfId="22971" xr:uid="{00000000-0005-0000-0000-0000604B0000}"/>
    <cellStyle name="Normal 133 3 3" xfId="22970" xr:uid="{00000000-0005-0000-0000-0000614B0000}"/>
    <cellStyle name="Normal 133 3_Additional Disclosures" xfId="15988" xr:uid="{00000000-0005-0000-0000-0000624B0000}"/>
    <cellStyle name="Normal 133 4" xfId="13525" xr:uid="{00000000-0005-0000-0000-0000634B0000}"/>
    <cellStyle name="Normal 133 4 2" xfId="22972" xr:uid="{00000000-0005-0000-0000-0000644B0000}"/>
    <cellStyle name="Normal 133 5" xfId="14670" xr:uid="{00000000-0005-0000-0000-0000654B0000}"/>
    <cellStyle name="Normal 133 5 2" xfId="22973" xr:uid="{00000000-0005-0000-0000-0000664B0000}"/>
    <cellStyle name="Normal 133 6" xfId="22965" xr:uid="{00000000-0005-0000-0000-0000674B0000}"/>
    <cellStyle name="Normal 133 7" xfId="28805" xr:uid="{00000000-0005-0000-0000-0000684B0000}"/>
    <cellStyle name="Normal 133 8" xfId="28733" xr:uid="{00000000-0005-0000-0000-0000694B0000}"/>
    <cellStyle name="Normal 133 9" xfId="28806" xr:uid="{00000000-0005-0000-0000-00006A4B0000}"/>
    <cellStyle name="Normal 133_Additional Disclosures" xfId="15985" xr:uid="{00000000-0005-0000-0000-00006B4B0000}"/>
    <cellStyle name="Normal 134" xfId="9108" xr:uid="{00000000-0005-0000-0000-00006C4B0000}"/>
    <cellStyle name="Normal 134 2" xfId="9109" xr:uid="{00000000-0005-0000-0000-00006D4B0000}"/>
    <cellStyle name="Normal 134 2 2" xfId="10912" xr:uid="{00000000-0005-0000-0000-00006E4B0000}"/>
    <cellStyle name="Normal 134 2 2 2" xfId="12332" xr:uid="{00000000-0005-0000-0000-00006F4B0000}"/>
    <cellStyle name="Normal 134 2 2 2 2" xfId="22977" xr:uid="{00000000-0005-0000-0000-0000704B0000}"/>
    <cellStyle name="Normal 134 2 2 3" xfId="14291" xr:uid="{00000000-0005-0000-0000-0000714B0000}"/>
    <cellStyle name="Normal 134 2 2 3 2" xfId="22978" xr:uid="{00000000-0005-0000-0000-0000724B0000}"/>
    <cellStyle name="Normal 134 2 2 4" xfId="15435" xr:uid="{00000000-0005-0000-0000-0000734B0000}"/>
    <cellStyle name="Normal 134 2 2 4 2" xfId="22979" xr:uid="{00000000-0005-0000-0000-0000744B0000}"/>
    <cellStyle name="Normal 134 2 2 5" xfId="22976" xr:uid="{00000000-0005-0000-0000-0000754B0000}"/>
    <cellStyle name="Normal 134 2 2_Additional Disclosures" xfId="15991" xr:uid="{00000000-0005-0000-0000-0000764B0000}"/>
    <cellStyle name="Normal 134 2 3" xfId="11680" xr:uid="{00000000-0005-0000-0000-0000774B0000}"/>
    <cellStyle name="Normal 134 2 3 2" xfId="22980" xr:uid="{00000000-0005-0000-0000-0000784B0000}"/>
    <cellStyle name="Normal 134 2 4" xfId="13780" xr:uid="{00000000-0005-0000-0000-0000794B0000}"/>
    <cellStyle name="Normal 134 2 4 2" xfId="22981" xr:uid="{00000000-0005-0000-0000-00007A4B0000}"/>
    <cellStyle name="Normal 134 2 5" xfId="14925" xr:uid="{00000000-0005-0000-0000-00007B4B0000}"/>
    <cellStyle name="Normal 134 2 5 2" xfId="22982" xr:uid="{00000000-0005-0000-0000-00007C4B0000}"/>
    <cellStyle name="Normal 134 2 6" xfId="22975" xr:uid="{00000000-0005-0000-0000-00007D4B0000}"/>
    <cellStyle name="Normal 134 2_Additional Disclosures" xfId="15990" xr:uid="{00000000-0005-0000-0000-00007E4B0000}"/>
    <cellStyle name="Normal 134 3" xfId="10911" xr:uid="{00000000-0005-0000-0000-00007F4B0000}"/>
    <cellStyle name="Normal 134 3 2" xfId="12331" xr:uid="{00000000-0005-0000-0000-0000804B0000}"/>
    <cellStyle name="Normal 134 3 2 2" xfId="22984" xr:uid="{00000000-0005-0000-0000-0000814B0000}"/>
    <cellStyle name="Normal 134 3 3" xfId="14037" xr:uid="{00000000-0005-0000-0000-0000824B0000}"/>
    <cellStyle name="Normal 134 3 3 2" xfId="22985" xr:uid="{00000000-0005-0000-0000-0000834B0000}"/>
    <cellStyle name="Normal 134 3 4" xfId="15181" xr:uid="{00000000-0005-0000-0000-0000844B0000}"/>
    <cellStyle name="Normal 134 3 4 2" xfId="22986" xr:uid="{00000000-0005-0000-0000-0000854B0000}"/>
    <cellStyle name="Normal 134 3 5" xfId="22983" xr:uid="{00000000-0005-0000-0000-0000864B0000}"/>
    <cellStyle name="Normal 134 3_Additional Disclosures" xfId="15992" xr:uid="{00000000-0005-0000-0000-0000874B0000}"/>
    <cellStyle name="Normal 134 4" xfId="11679" xr:uid="{00000000-0005-0000-0000-0000884B0000}"/>
    <cellStyle name="Normal 134 4 2" xfId="22987" xr:uid="{00000000-0005-0000-0000-0000894B0000}"/>
    <cellStyle name="Normal 134 5" xfId="13526" xr:uid="{00000000-0005-0000-0000-00008A4B0000}"/>
    <cellStyle name="Normal 134 5 2" xfId="22988" xr:uid="{00000000-0005-0000-0000-00008B4B0000}"/>
    <cellStyle name="Normal 134 6" xfId="14671" xr:uid="{00000000-0005-0000-0000-00008C4B0000}"/>
    <cellStyle name="Normal 134 6 2" xfId="22989" xr:uid="{00000000-0005-0000-0000-00008D4B0000}"/>
    <cellStyle name="Normal 134 7" xfId="22974" xr:uid="{00000000-0005-0000-0000-00008E4B0000}"/>
    <cellStyle name="Normal 134 8" xfId="31528" xr:uid="{00000000-0005-0000-0000-00008F4B0000}"/>
    <cellStyle name="Normal 134_Additional Disclosures" xfId="15989" xr:uid="{00000000-0005-0000-0000-0000904B0000}"/>
    <cellStyle name="Normal 135" xfId="9110" xr:uid="{00000000-0005-0000-0000-0000914B0000}"/>
    <cellStyle name="Normal 135 2" xfId="9111" xr:uid="{00000000-0005-0000-0000-0000924B0000}"/>
    <cellStyle name="Normal 135 2 2" xfId="10914" xr:uid="{00000000-0005-0000-0000-0000934B0000}"/>
    <cellStyle name="Normal 135 2 2 2" xfId="12334" xr:uid="{00000000-0005-0000-0000-0000944B0000}"/>
    <cellStyle name="Normal 135 2 2 2 2" xfId="22993" xr:uid="{00000000-0005-0000-0000-0000954B0000}"/>
    <cellStyle name="Normal 135 2 2 3" xfId="14292" xr:uid="{00000000-0005-0000-0000-0000964B0000}"/>
    <cellStyle name="Normal 135 2 2 3 2" xfId="22994" xr:uid="{00000000-0005-0000-0000-0000974B0000}"/>
    <cellStyle name="Normal 135 2 2 4" xfId="15436" xr:uid="{00000000-0005-0000-0000-0000984B0000}"/>
    <cellStyle name="Normal 135 2 2 4 2" xfId="22995" xr:uid="{00000000-0005-0000-0000-0000994B0000}"/>
    <cellStyle name="Normal 135 2 2 5" xfId="22992" xr:uid="{00000000-0005-0000-0000-00009A4B0000}"/>
    <cellStyle name="Normal 135 2 2_Additional Disclosures" xfId="15995" xr:uid="{00000000-0005-0000-0000-00009B4B0000}"/>
    <cellStyle name="Normal 135 2 3" xfId="11682" xr:uid="{00000000-0005-0000-0000-00009C4B0000}"/>
    <cellStyle name="Normal 135 2 3 2" xfId="22996" xr:uid="{00000000-0005-0000-0000-00009D4B0000}"/>
    <cellStyle name="Normal 135 2 4" xfId="13781" xr:uid="{00000000-0005-0000-0000-00009E4B0000}"/>
    <cellStyle name="Normal 135 2 4 2" xfId="22997" xr:uid="{00000000-0005-0000-0000-00009F4B0000}"/>
    <cellStyle name="Normal 135 2 5" xfId="14926" xr:uid="{00000000-0005-0000-0000-0000A04B0000}"/>
    <cellStyle name="Normal 135 2 5 2" xfId="22998" xr:uid="{00000000-0005-0000-0000-0000A14B0000}"/>
    <cellStyle name="Normal 135 2 6" xfId="22991" xr:uid="{00000000-0005-0000-0000-0000A24B0000}"/>
    <cellStyle name="Normal 135 2_Additional Disclosures" xfId="15994" xr:uid="{00000000-0005-0000-0000-0000A34B0000}"/>
    <cellStyle name="Normal 135 3" xfId="10913" xr:uid="{00000000-0005-0000-0000-0000A44B0000}"/>
    <cellStyle name="Normal 135 3 2" xfId="12333" xr:uid="{00000000-0005-0000-0000-0000A54B0000}"/>
    <cellStyle name="Normal 135 3 2 2" xfId="23000" xr:uid="{00000000-0005-0000-0000-0000A64B0000}"/>
    <cellStyle name="Normal 135 3 3" xfId="14038" xr:uid="{00000000-0005-0000-0000-0000A74B0000}"/>
    <cellStyle name="Normal 135 3 3 2" xfId="23001" xr:uid="{00000000-0005-0000-0000-0000A84B0000}"/>
    <cellStyle name="Normal 135 3 4" xfId="15182" xr:uid="{00000000-0005-0000-0000-0000A94B0000}"/>
    <cellStyle name="Normal 135 3 4 2" xfId="23002" xr:uid="{00000000-0005-0000-0000-0000AA4B0000}"/>
    <cellStyle name="Normal 135 3 5" xfId="22999" xr:uid="{00000000-0005-0000-0000-0000AB4B0000}"/>
    <cellStyle name="Normal 135 3_Additional Disclosures" xfId="15996" xr:uid="{00000000-0005-0000-0000-0000AC4B0000}"/>
    <cellStyle name="Normal 135 4" xfId="11681" xr:uid="{00000000-0005-0000-0000-0000AD4B0000}"/>
    <cellStyle name="Normal 135 4 2" xfId="23003" xr:uid="{00000000-0005-0000-0000-0000AE4B0000}"/>
    <cellStyle name="Normal 135 5" xfId="13527" xr:uid="{00000000-0005-0000-0000-0000AF4B0000}"/>
    <cellStyle name="Normal 135 5 2" xfId="23004" xr:uid="{00000000-0005-0000-0000-0000B04B0000}"/>
    <cellStyle name="Normal 135 6" xfId="14672" xr:uid="{00000000-0005-0000-0000-0000B14B0000}"/>
    <cellStyle name="Normal 135 6 2" xfId="23005" xr:uid="{00000000-0005-0000-0000-0000B24B0000}"/>
    <cellStyle name="Normal 135 7" xfId="22990" xr:uid="{00000000-0005-0000-0000-0000B34B0000}"/>
    <cellStyle name="Normal 135 8" xfId="31529" xr:uid="{00000000-0005-0000-0000-0000B44B0000}"/>
    <cellStyle name="Normal 135_Additional Disclosures" xfId="15993" xr:uid="{00000000-0005-0000-0000-0000B54B0000}"/>
    <cellStyle name="Normal 136" xfId="9112" xr:uid="{00000000-0005-0000-0000-0000B64B0000}"/>
    <cellStyle name="Normal 136 10" xfId="28730" xr:uid="{00000000-0005-0000-0000-0000B74B0000}"/>
    <cellStyle name="Normal 136 11" xfId="31530" xr:uid="{00000000-0005-0000-0000-0000B84B0000}"/>
    <cellStyle name="Normal 136 12" xfId="31531" xr:uid="{00000000-0005-0000-0000-0000B94B0000}"/>
    <cellStyle name="Normal 136 2" xfId="12237" xr:uid="{00000000-0005-0000-0000-0000BA4B0000}"/>
    <cellStyle name="Normal 136 2 2" xfId="14293" xr:uid="{00000000-0005-0000-0000-0000BB4B0000}"/>
    <cellStyle name="Normal 136 2 2 2" xfId="15437" xr:uid="{00000000-0005-0000-0000-0000BC4B0000}"/>
    <cellStyle name="Normal 136 2 2 2 2" xfId="23009" xr:uid="{00000000-0005-0000-0000-0000BD4B0000}"/>
    <cellStyle name="Normal 136 2 2 3" xfId="23008" xr:uid="{00000000-0005-0000-0000-0000BE4B0000}"/>
    <cellStyle name="Normal 136 2 2_Additional Disclosures" xfId="15999" xr:uid="{00000000-0005-0000-0000-0000BF4B0000}"/>
    <cellStyle name="Normal 136 2 3" xfId="13782" xr:uid="{00000000-0005-0000-0000-0000C04B0000}"/>
    <cellStyle name="Normal 136 2 3 2" xfId="23010" xr:uid="{00000000-0005-0000-0000-0000C14B0000}"/>
    <cellStyle name="Normal 136 2 4" xfId="14927" xr:uid="{00000000-0005-0000-0000-0000C24B0000}"/>
    <cellStyle name="Normal 136 2 4 2" xfId="23011" xr:uid="{00000000-0005-0000-0000-0000C34B0000}"/>
    <cellStyle name="Normal 136 2 5" xfId="23007" xr:uid="{00000000-0005-0000-0000-0000C44B0000}"/>
    <cellStyle name="Normal 136 2_Additional Disclosures" xfId="15998" xr:uid="{00000000-0005-0000-0000-0000C54B0000}"/>
    <cellStyle name="Normal 136 3" xfId="14039" xr:uid="{00000000-0005-0000-0000-0000C64B0000}"/>
    <cellStyle name="Normal 136 3 2" xfId="15183" xr:uid="{00000000-0005-0000-0000-0000C74B0000}"/>
    <cellStyle name="Normal 136 3 2 2" xfId="23013" xr:uid="{00000000-0005-0000-0000-0000C84B0000}"/>
    <cellStyle name="Normal 136 3 3" xfId="23012" xr:uid="{00000000-0005-0000-0000-0000C94B0000}"/>
    <cellStyle name="Normal 136 3_Additional Disclosures" xfId="16000" xr:uid="{00000000-0005-0000-0000-0000CA4B0000}"/>
    <cellStyle name="Normal 136 4" xfId="13528" xr:uid="{00000000-0005-0000-0000-0000CB4B0000}"/>
    <cellStyle name="Normal 136 4 2" xfId="23014" xr:uid="{00000000-0005-0000-0000-0000CC4B0000}"/>
    <cellStyle name="Normal 136 5" xfId="14673" xr:uid="{00000000-0005-0000-0000-0000CD4B0000}"/>
    <cellStyle name="Normal 136 5 2" xfId="23015" xr:uid="{00000000-0005-0000-0000-0000CE4B0000}"/>
    <cellStyle name="Normal 136 6" xfId="23006" xr:uid="{00000000-0005-0000-0000-0000CF4B0000}"/>
    <cellStyle name="Normal 136 7" xfId="28807" xr:uid="{00000000-0005-0000-0000-0000D04B0000}"/>
    <cellStyle name="Normal 136 8" xfId="28731" xr:uid="{00000000-0005-0000-0000-0000D14B0000}"/>
    <cellStyle name="Normal 136 9" xfId="28808" xr:uid="{00000000-0005-0000-0000-0000D24B0000}"/>
    <cellStyle name="Normal 136_Additional Disclosures" xfId="15997" xr:uid="{00000000-0005-0000-0000-0000D34B0000}"/>
    <cellStyle name="Normal 137" xfId="9113" xr:uid="{00000000-0005-0000-0000-0000D44B0000}"/>
    <cellStyle name="Normal 137 2" xfId="9114" xr:uid="{00000000-0005-0000-0000-0000D54B0000}"/>
    <cellStyle name="Normal 137 2 2" xfId="10916" xr:uid="{00000000-0005-0000-0000-0000D64B0000}"/>
    <cellStyle name="Normal 137 2 2 2" xfId="12336" xr:uid="{00000000-0005-0000-0000-0000D74B0000}"/>
    <cellStyle name="Normal 137 2 2 2 2" xfId="23019" xr:uid="{00000000-0005-0000-0000-0000D84B0000}"/>
    <cellStyle name="Normal 137 2 2 3" xfId="14294" xr:uid="{00000000-0005-0000-0000-0000D94B0000}"/>
    <cellStyle name="Normal 137 2 2 3 2" xfId="23020" xr:uid="{00000000-0005-0000-0000-0000DA4B0000}"/>
    <cellStyle name="Normal 137 2 2 4" xfId="15438" xr:uid="{00000000-0005-0000-0000-0000DB4B0000}"/>
    <cellStyle name="Normal 137 2 2 4 2" xfId="23021" xr:uid="{00000000-0005-0000-0000-0000DC4B0000}"/>
    <cellStyle name="Normal 137 2 2 5" xfId="23018" xr:uid="{00000000-0005-0000-0000-0000DD4B0000}"/>
    <cellStyle name="Normal 137 2 2_Additional Disclosures" xfId="16003" xr:uid="{00000000-0005-0000-0000-0000DE4B0000}"/>
    <cellStyle name="Normal 137 2 3" xfId="11684" xr:uid="{00000000-0005-0000-0000-0000DF4B0000}"/>
    <cellStyle name="Normal 137 2 3 2" xfId="23022" xr:uid="{00000000-0005-0000-0000-0000E04B0000}"/>
    <cellStyle name="Normal 137 2 4" xfId="13783" xr:uid="{00000000-0005-0000-0000-0000E14B0000}"/>
    <cellStyle name="Normal 137 2 4 2" xfId="23023" xr:uid="{00000000-0005-0000-0000-0000E24B0000}"/>
    <cellStyle name="Normal 137 2 5" xfId="14928" xr:uid="{00000000-0005-0000-0000-0000E34B0000}"/>
    <cellStyle name="Normal 137 2 5 2" xfId="23024" xr:uid="{00000000-0005-0000-0000-0000E44B0000}"/>
    <cellStyle name="Normal 137 2 6" xfId="23017" xr:uid="{00000000-0005-0000-0000-0000E54B0000}"/>
    <cellStyle name="Normal 137 2_Additional Disclosures" xfId="16002" xr:uid="{00000000-0005-0000-0000-0000E64B0000}"/>
    <cellStyle name="Normal 137 3" xfId="10915" xr:uid="{00000000-0005-0000-0000-0000E74B0000}"/>
    <cellStyle name="Normal 137 3 2" xfId="12335" xr:uid="{00000000-0005-0000-0000-0000E84B0000}"/>
    <cellStyle name="Normal 137 3 2 2" xfId="23026" xr:uid="{00000000-0005-0000-0000-0000E94B0000}"/>
    <cellStyle name="Normal 137 3 3" xfId="14040" xr:uid="{00000000-0005-0000-0000-0000EA4B0000}"/>
    <cellStyle name="Normal 137 3 3 2" xfId="23027" xr:uid="{00000000-0005-0000-0000-0000EB4B0000}"/>
    <cellStyle name="Normal 137 3 4" xfId="15184" xr:uid="{00000000-0005-0000-0000-0000EC4B0000}"/>
    <cellStyle name="Normal 137 3 4 2" xfId="23028" xr:uid="{00000000-0005-0000-0000-0000ED4B0000}"/>
    <cellStyle name="Normal 137 3 5" xfId="23025" xr:uid="{00000000-0005-0000-0000-0000EE4B0000}"/>
    <cellStyle name="Normal 137 3_Additional Disclosures" xfId="16004" xr:uid="{00000000-0005-0000-0000-0000EF4B0000}"/>
    <cellStyle name="Normal 137 4" xfId="11683" xr:uid="{00000000-0005-0000-0000-0000F04B0000}"/>
    <cellStyle name="Normal 137 4 2" xfId="23029" xr:uid="{00000000-0005-0000-0000-0000F14B0000}"/>
    <cellStyle name="Normal 137 5" xfId="13529" xr:uid="{00000000-0005-0000-0000-0000F24B0000}"/>
    <cellStyle name="Normal 137 5 2" xfId="23030" xr:uid="{00000000-0005-0000-0000-0000F34B0000}"/>
    <cellStyle name="Normal 137 6" xfId="14674" xr:uid="{00000000-0005-0000-0000-0000F44B0000}"/>
    <cellStyle name="Normal 137 6 2" xfId="23031" xr:uid="{00000000-0005-0000-0000-0000F54B0000}"/>
    <cellStyle name="Normal 137 7" xfId="23016" xr:uid="{00000000-0005-0000-0000-0000F64B0000}"/>
    <cellStyle name="Normal 137 8" xfId="31532" xr:uid="{00000000-0005-0000-0000-0000F74B0000}"/>
    <cellStyle name="Normal 137_Additional Disclosures" xfId="16001" xr:uid="{00000000-0005-0000-0000-0000F84B0000}"/>
    <cellStyle name="Normal 138" xfId="9115" xr:uid="{00000000-0005-0000-0000-0000F94B0000}"/>
    <cellStyle name="Normal 138 2" xfId="9116" xr:uid="{00000000-0005-0000-0000-0000FA4B0000}"/>
    <cellStyle name="Normal 138 2 2" xfId="10918" xr:uid="{00000000-0005-0000-0000-0000FB4B0000}"/>
    <cellStyle name="Normal 138 2 2 2" xfId="12338" xr:uid="{00000000-0005-0000-0000-0000FC4B0000}"/>
    <cellStyle name="Normal 138 2 2 2 2" xfId="23035" xr:uid="{00000000-0005-0000-0000-0000FD4B0000}"/>
    <cellStyle name="Normal 138 2 2 3" xfId="14295" xr:uid="{00000000-0005-0000-0000-0000FE4B0000}"/>
    <cellStyle name="Normal 138 2 2 3 2" xfId="23036" xr:uid="{00000000-0005-0000-0000-0000FF4B0000}"/>
    <cellStyle name="Normal 138 2 2 4" xfId="15439" xr:uid="{00000000-0005-0000-0000-0000004C0000}"/>
    <cellStyle name="Normal 138 2 2 4 2" xfId="23037" xr:uid="{00000000-0005-0000-0000-0000014C0000}"/>
    <cellStyle name="Normal 138 2 2 5" xfId="23034" xr:uid="{00000000-0005-0000-0000-0000024C0000}"/>
    <cellStyle name="Normal 138 2 2_Additional Disclosures" xfId="16007" xr:uid="{00000000-0005-0000-0000-0000034C0000}"/>
    <cellStyle name="Normal 138 2 3" xfId="11686" xr:uid="{00000000-0005-0000-0000-0000044C0000}"/>
    <cellStyle name="Normal 138 2 3 2" xfId="23038" xr:uid="{00000000-0005-0000-0000-0000054C0000}"/>
    <cellStyle name="Normal 138 2 4" xfId="13784" xr:uid="{00000000-0005-0000-0000-0000064C0000}"/>
    <cellStyle name="Normal 138 2 4 2" xfId="23039" xr:uid="{00000000-0005-0000-0000-0000074C0000}"/>
    <cellStyle name="Normal 138 2 5" xfId="14929" xr:uid="{00000000-0005-0000-0000-0000084C0000}"/>
    <cellStyle name="Normal 138 2 5 2" xfId="23040" xr:uid="{00000000-0005-0000-0000-0000094C0000}"/>
    <cellStyle name="Normal 138 2 6" xfId="23033" xr:uid="{00000000-0005-0000-0000-00000A4C0000}"/>
    <cellStyle name="Normal 138 2_Additional Disclosures" xfId="16006" xr:uid="{00000000-0005-0000-0000-00000B4C0000}"/>
    <cellStyle name="Normal 138 3" xfId="10917" xr:uid="{00000000-0005-0000-0000-00000C4C0000}"/>
    <cellStyle name="Normal 138 3 2" xfId="12337" xr:uid="{00000000-0005-0000-0000-00000D4C0000}"/>
    <cellStyle name="Normal 138 3 2 2" xfId="23042" xr:uid="{00000000-0005-0000-0000-00000E4C0000}"/>
    <cellStyle name="Normal 138 3 3" xfId="14041" xr:uid="{00000000-0005-0000-0000-00000F4C0000}"/>
    <cellStyle name="Normal 138 3 3 2" xfId="23043" xr:uid="{00000000-0005-0000-0000-0000104C0000}"/>
    <cellStyle name="Normal 138 3 4" xfId="15185" xr:uid="{00000000-0005-0000-0000-0000114C0000}"/>
    <cellStyle name="Normal 138 3 4 2" xfId="23044" xr:uid="{00000000-0005-0000-0000-0000124C0000}"/>
    <cellStyle name="Normal 138 3 5" xfId="23041" xr:uid="{00000000-0005-0000-0000-0000134C0000}"/>
    <cellStyle name="Normal 138 3_Additional Disclosures" xfId="16008" xr:uid="{00000000-0005-0000-0000-0000144C0000}"/>
    <cellStyle name="Normal 138 4" xfId="11685" xr:uid="{00000000-0005-0000-0000-0000154C0000}"/>
    <cellStyle name="Normal 138 4 2" xfId="23045" xr:uid="{00000000-0005-0000-0000-0000164C0000}"/>
    <cellStyle name="Normal 138 5" xfId="13530" xr:uid="{00000000-0005-0000-0000-0000174C0000}"/>
    <cellStyle name="Normal 138 5 2" xfId="23046" xr:uid="{00000000-0005-0000-0000-0000184C0000}"/>
    <cellStyle name="Normal 138 6" xfId="14675" xr:uid="{00000000-0005-0000-0000-0000194C0000}"/>
    <cellStyle name="Normal 138 6 2" xfId="23047" xr:uid="{00000000-0005-0000-0000-00001A4C0000}"/>
    <cellStyle name="Normal 138 7" xfId="23032" xr:uid="{00000000-0005-0000-0000-00001B4C0000}"/>
    <cellStyle name="Normal 138 8" xfId="31533" xr:uid="{00000000-0005-0000-0000-00001C4C0000}"/>
    <cellStyle name="Normal 138_Additional Disclosures" xfId="16005" xr:uid="{00000000-0005-0000-0000-00001D4C0000}"/>
    <cellStyle name="Normal 139" xfId="9117" xr:uid="{00000000-0005-0000-0000-00001E4C0000}"/>
    <cellStyle name="Normal 139 10" xfId="14676" xr:uid="{00000000-0005-0000-0000-00001F4C0000}"/>
    <cellStyle name="Normal 139 10 2" xfId="23049" xr:uid="{00000000-0005-0000-0000-0000204C0000}"/>
    <cellStyle name="Normal 139 11" xfId="23048" xr:uid="{00000000-0005-0000-0000-0000214C0000}"/>
    <cellStyle name="Normal 139 12" xfId="31534" xr:uid="{00000000-0005-0000-0000-0000224C0000}"/>
    <cellStyle name="Normal 139 2" xfId="9118" xr:uid="{00000000-0005-0000-0000-0000234C0000}"/>
    <cellStyle name="Normal 139 2 2" xfId="14296" xr:uid="{00000000-0005-0000-0000-0000244C0000}"/>
    <cellStyle name="Normal 139 2 2 2" xfId="15440" xr:uid="{00000000-0005-0000-0000-0000254C0000}"/>
    <cellStyle name="Normal 139 2 2 2 2" xfId="23052" xr:uid="{00000000-0005-0000-0000-0000264C0000}"/>
    <cellStyle name="Normal 139 2 2 3" xfId="23051" xr:uid="{00000000-0005-0000-0000-0000274C0000}"/>
    <cellStyle name="Normal 139 2 2_Additional Disclosures" xfId="16011" xr:uid="{00000000-0005-0000-0000-0000284C0000}"/>
    <cellStyle name="Normal 139 2 3" xfId="13785" xr:uid="{00000000-0005-0000-0000-0000294C0000}"/>
    <cellStyle name="Normal 139 2 3 2" xfId="23053" xr:uid="{00000000-0005-0000-0000-00002A4C0000}"/>
    <cellStyle name="Normal 139 2 4" xfId="14930" xr:uid="{00000000-0005-0000-0000-00002B4C0000}"/>
    <cellStyle name="Normal 139 2 4 2" xfId="23054" xr:uid="{00000000-0005-0000-0000-00002C4C0000}"/>
    <cellStyle name="Normal 139 2 5" xfId="23050" xr:uid="{00000000-0005-0000-0000-00002D4C0000}"/>
    <cellStyle name="Normal 139 2 6" xfId="28809" xr:uid="{00000000-0005-0000-0000-00002E4C0000}"/>
    <cellStyle name="Normal 139 2 7" xfId="28729" xr:uid="{00000000-0005-0000-0000-00002F4C0000}"/>
    <cellStyle name="Normal 139 2 8" xfId="28810" xr:uid="{00000000-0005-0000-0000-0000304C0000}"/>
    <cellStyle name="Normal 139 2 9" xfId="28728" xr:uid="{00000000-0005-0000-0000-0000314C0000}"/>
    <cellStyle name="Normal 139 2_Additional Disclosures" xfId="16010" xr:uid="{00000000-0005-0000-0000-0000324C0000}"/>
    <cellStyle name="Normal 139 3" xfId="9119" xr:uid="{00000000-0005-0000-0000-0000334C0000}"/>
    <cellStyle name="Normal 139 3 2" xfId="14042" xr:uid="{00000000-0005-0000-0000-0000344C0000}"/>
    <cellStyle name="Normal 139 3 2 2" xfId="23056" xr:uid="{00000000-0005-0000-0000-0000354C0000}"/>
    <cellStyle name="Normal 139 3 3" xfId="15186" xr:uid="{00000000-0005-0000-0000-0000364C0000}"/>
    <cellStyle name="Normal 139 3 3 2" xfId="23057" xr:uid="{00000000-0005-0000-0000-0000374C0000}"/>
    <cellStyle name="Normal 139 3 4" xfId="23055" xr:uid="{00000000-0005-0000-0000-0000384C0000}"/>
    <cellStyle name="Normal 139 3_Additional Disclosures" xfId="16012" xr:uid="{00000000-0005-0000-0000-0000394C0000}"/>
    <cellStyle name="Normal 139 4" xfId="9120" xr:uid="{00000000-0005-0000-0000-00003A4C0000}"/>
    <cellStyle name="Normal 139 4 2" xfId="23058" xr:uid="{00000000-0005-0000-0000-00003B4C0000}"/>
    <cellStyle name="Normal 139 5" xfId="9121" xr:uid="{00000000-0005-0000-0000-00003C4C0000}"/>
    <cellStyle name="Normal 139 5 2" xfId="23059" xr:uid="{00000000-0005-0000-0000-00003D4C0000}"/>
    <cellStyle name="Normal 139 6" xfId="9122" xr:uid="{00000000-0005-0000-0000-00003E4C0000}"/>
    <cellStyle name="Normal 139 6 2" xfId="10920" xr:uid="{00000000-0005-0000-0000-00003F4C0000}"/>
    <cellStyle name="Normal 139 6 2 2" xfId="12340" xr:uid="{00000000-0005-0000-0000-0000404C0000}"/>
    <cellStyle name="Normal 139 6 2 2 2" xfId="23062" xr:uid="{00000000-0005-0000-0000-0000414C0000}"/>
    <cellStyle name="Normal 139 6 2 3" xfId="23061" xr:uid="{00000000-0005-0000-0000-0000424C0000}"/>
    <cellStyle name="Normal 139 6 3" xfId="11688" xr:uid="{00000000-0005-0000-0000-0000434C0000}"/>
    <cellStyle name="Normal 139 6 3 2" xfId="23063" xr:uid="{00000000-0005-0000-0000-0000444C0000}"/>
    <cellStyle name="Normal 139 6 4" xfId="23060" xr:uid="{00000000-0005-0000-0000-0000454C0000}"/>
    <cellStyle name="Normal 139 7" xfId="10919" xr:uid="{00000000-0005-0000-0000-0000464C0000}"/>
    <cellStyle name="Normal 139 7 2" xfId="12339" xr:uid="{00000000-0005-0000-0000-0000474C0000}"/>
    <cellStyle name="Normal 139 7 2 2" xfId="23065" xr:uid="{00000000-0005-0000-0000-0000484C0000}"/>
    <cellStyle name="Normal 139 7 3" xfId="23064" xr:uid="{00000000-0005-0000-0000-0000494C0000}"/>
    <cellStyle name="Normal 139 8" xfId="11687" xr:uid="{00000000-0005-0000-0000-00004A4C0000}"/>
    <cellStyle name="Normal 139 8 2" xfId="23066" xr:uid="{00000000-0005-0000-0000-00004B4C0000}"/>
    <cellStyle name="Normal 139 9" xfId="13531" xr:uid="{00000000-0005-0000-0000-00004C4C0000}"/>
    <cellStyle name="Normal 139 9 2" xfId="23067" xr:uid="{00000000-0005-0000-0000-00004D4C0000}"/>
    <cellStyle name="Normal 139_Additional Disclosures" xfId="16009" xr:uid="{00000000-0005-0000-0000-00004E4C0000}"/>
    <cellStyle name="Normal 14" xfId="546" xr:uid="{00000000-0005-0000-0000-00004F4C0000}"/>
    <cellStyle name="Normal 14 10" xfId="28726" xr:uid="{00000000-0005-0000-0000-0000504C0000}"/>
    <cellStyle name="Normal 14 11" xfId="31535" xr:uid="{00000000-0005-0000-0000-0000514C0000}"/>
    <cellStyle name="Normal 14 12" xfId="31536" xr:uid="{00000000-0005-0000-0000-0000524C0000}"/>
    <cellStyle name="Normal 14 2" xfId="9123" xr:uid="{00000000-0005-0000-0000-0000534C0000}"/>
    <cellStyle name="Normal 14 2 10" xfId="31537" xr:uid="{00000000-0005-0000-0000-0000544C0000}"/>
    <cellStyle name="Normal 14 2 11" xfId="31538" xr:uid="{00000000-0005-0000-0000-0000554C0000}"/>
    <cellStyle name="Normal 14 2 2" xfId="10921" xr:uid="{00000000-0005-0000-0000-0000564C0000}"/>
    <cellStyle name="Normal 14 2 2 2" xfId="12341" xr:uid="{00000000-0005-0000-0000-0000574C0000}"/>
    <cellStyle name="Normal 14 2 2 2 2" xfId="23071" xr:uid="{00000000-0005-0000-0000-0000584C0000}"/>
    <cellStyle name="Normal 14 2 2 2 3" xfId="31539" xr:uid="{00000000-0005-0000-0000-0000594C0000}"/>
    <cellStyle name="Normal 14 2 2 3" xfId="14182" xr:uid="{00000000-0005-0000-0000-00005A4C0000}"/>
    <cellStyle name="Normal 14 2 2 3 2" xfId="23072" xr:uid="{00000000-0005-0000-0000-00005B4C0000}"/>
    <cellStyle name="Normal 14 2 2 4" xfId="15326" xr:uid="{00000000-0005-0000-0000-00005C4C0000}"/>
    <cellStyle name="Normal 14 2 2 4 2" xfId="23073" xr:uid="{00000000-0005-0000-0000-00005D4C0000}"/>
    <cellStyle name="Normal 14 2 2 5" xfId="23070" xr:uid="{00000000-0005-0000-0000-00005E4C0000}"/>
    <cellStyle name="Normal 14 2 2 6" xfId="31540" xr:uid="{00000000-0005-0000-0000-00005F4C0000}"/>
    <cellStyle name="Normal 14 2 2 7" xfId="31541" xr:uid="{00000000-0005-0000-0000-0000604C0000}"/>
    <cellStyle name="Normal 14 2 2_Additional Disclosures" xfId="16015" xr:uid="{00000000-0005-0000-0000-0000614C0000}"/>
    <cellStyle name="Normal 14 2 3" xfId="11689" xr:uid="{00000000-0005-0000-0000-0000624C0000}"/>
    <cellStyle name="Normal 14 2 3 2" xfId="23074" xr:uid="{00000000-0005-0000-0000-0000634C0000}"/>
    <cellStyle name="Normal 14 2 3 3" xfId="31542" xr:uid="{00000000-0005-0000-0000-0000644C0000}"/>
    <cellStyle name="Normal 14 2 3 4" xfId="33531" xr:uid="{00000000-0005-0000-0000-0000654C0000}"/>
    <cellStyle name="Normal 14 2 4" xfId="13671" xr:uid="{00000000-0005-0000-0000-0000664C0000}"/>
    <cellStyle name="Normal 14 2 4 2" xfId="23075" xr:uid="{00000000-0005-0000-0000-0000674C0000}"/>
    <cellStyle name="Normal 14 2 4 3" xfId="33498" xr:uid="{00000000-0005-0000-0000-0000684C0000}"/>
    <cellStyle name="Normal 14 2 5" xfId="14816" xr:uid="{00000000-0005-0000-0000-0000694C0000}"/>
    <cellStyle name="Normal 14 2 5 2" xfId="23076" xr:uid="{00000000-0005-0000-0000-00006A4C0000}"/>
    <cellStyle name="Normal 14 2 5 3" xfId="33622" xr:uid="{00000000-0005-0000-0000-00006B4C0000}"/>
    <cellStyle name="Normal 14 2 6" xfId="23069" xr:uid="{00000000-0005-0000-0000-00006C4C0000}"/>
    <cellStyle name="Normal 14 2 7" xfId="31543" xr:uid="{00000000-0005-0000-0000-00006D4C0000}"/>
    <cellStyle name="Normal 14 2 8" xfId="31544" xr:uid="{00000000-0005-0000-0000-00006E4C0000}"/>
    <cellStyle name="Normal 14 2 9" xfId="31545" xr:uid="{00000000-0005-0000-0000-00006F4C0000}"/>
    <cellStyle name="Normal 14 2_Additional Disclosures" xfId="16014" xr:uid="{00000000-0005-0000-0000-0000704C0000}"/>
    <cellStyle name="Normal 14 3" xfId="9124" xr:uid="{00000000-0005-0000-0000-0000714C0000}"/>
    <cellStyle name="Normal 14 3 2" xfId="10922" xr:uid="{00000000-0005-0000-0000-0000724C0000}"/>
    <cellStyle name="Normal 14 3 2 2" xfId="12342" xr:uid="{00000000-0005-0000-0000-0000734C0000}"/>
    <cellStyle name="Normal 14 3 2 2 2" xfId="23079" xr:uid="{00000000-0005-0000-0000-0000744C0000}"/>
    <cellStyle name="Normal 14 3 2 3" xfId="23078" xr:uid="{00000000-0005-0000-0000-0000754C0000}"/>
    <cellStyle name="Normal 14 3 2 4" xfId="33787" xr:uid="{00000000-0005-0000-0000-0000764C0000}"/>
    <cellStyle name="Normal 14 3 3" xfId="11690" xr:uid="{00000000-0005-0000-0000-0000774C0000}"/>
    <cellStyle name="Normal 14 3 3 2" xfId="23080" xr:uid="{00000000-0005-0000-0000-0000784C0000}"/>
    <cellStyle name="Normal 14 3 3 3" xfId="34015" xr:uid="{00000000-0005-0000-0000-0000794C0000}"/>
    <cellStyle name="Normal 14 3 4" xfId="13927" xr:uid="{00000000-0005-0000-0000-00007A4C0000}"/>
    <cellStyle name="Normal 14 3 4 2" xfId="23081" xr:uid="{00000000-0005-0000-0000-00007B4C0000}"/>
    <cellStyle name="Normal 14 3 4 3" xfId="34229" xr:uid="{00000000-0005-0000-0000-00007C4C0000}"/>
    <cellStyle name="Normal 14 3 5" xfId="15072" xr:uid="{00000000-0005-0000-0000-00007D4C0000}"/>
    <cellStyle name="Normal 14 3 5 2" xfId="23082" xr:uid="{00000000-0005-0000-0000-00007E4C0000}"/>
    <cellStyle name="Normal 14 3 6" xfId="23077" xr:uid="{00000000-0005-0000-0000-00007F4C0000}"/>
    <cellStyle name="Normal 14 3 7" xfId="31546" xr:uid="{00000000-0005-0000-0000-0000804C0000}"/>
    <cellStyle name="Normal 14 3 8" xfId="31547" xr:uid="{00000000-0005-0000-0000-0000814C0000}"/>
    <cellStyle name="Normal 14 3 9" xfId="33406" xr:uid="{00000000-0005-0000-0000-0000824C0000}"/>
    <cellStyle name="Normal 14 3_Additional Disclosures" xfId="16016" xr:uid="{00000000-0005-0000-0000-0000834C0000}"/>
    <cellStyle name="Normal 14 4" xfId="13416" xr:uid="{00000000-0005-0000-0000-0000844C0000}"/>
    <cellStyle name="Normal 14 4 2" xfId="23083" xr:uid="{00000000-0005-0000-0000-0000854C0000}"/>
    <cellStyle name="Normal 14 4 3" xfId="31548" xr:uid="{00000000-0005-0000-0000-0000864C0000}"/>
    <cellStyle name="Normal 14 5" xfId="14560" xr:uid="{00000000-0005-0000-0000-0000874C0000}"/>
    <cellStyle name="Normal 14 5 2" xfId="23084" xr:uid="{00000000-0005-0000-0000-0000884C0000}"/>
    <cellStyle name="Normal 14 6" xfId="23068" xr:uid="{00000000-0005-0000-0000-0000894C0000}"/>
    <cellStyle name="Normal 14 7" xfId="28811" xr:uid="{00000000-0005-0000-0000-00008A4C0000}"/>
    <cellStyle name="Normal 14 8" xfId="28727" xr:uid="{00000000-0005-0000-0000-00008B4C0000}"/>
    <cellStyle name="Normal 14 9" xfId="28812" xr:uid="{00000000-0005-0000-0000-00008C4C0000}"/>
    <cellStyle name="Normal 14_Additional Disclosures" xfId="16013" xr:uid="{00000000-0005-0000-0000-00008D4C0000}"/>
    <cellStyle name="Normal 140" xfId="9125" xr:uid="{00000000-0005-0000-0000-00008E4C0000}"/>
    <cellStyle name="Normal 140 2" xfId="9126" xr:uid="{00000000-0005-0000-0000-00008F4C0000}"/>
    <cellStyle name="Normal 140 2 2" xfId="10924" xr:uid="{00000000-0005-0000-0000-0000904C0000}"/>
    <cellStyle name="Normal 140 2 2 2" xfId="12344" xr:uid="{00000000-0005-0000-0000-0000914C0000}"/>
    <cellStyle name="Normal 140 2 2 2 2" xfId="23088" xr:uid="{00000000-0005-0000-0000-0000924C0000}"/>
    <cellStyle name="Normal 140 2 2 3" xfId="14297" xr:uid="{00000000-0005-0000-0000-0000934C0000}"/>
    <cellStyle name="Normal 140 2 2 3 2" xfId="23089" xr:uid="{00000000-0005-0000-0000-0000944C0000}"/>
    <cellStyle name="Normal 140 2 2 4" xfId="15441" xr:uid="{00000000-0005-0000-0000-0000954C0000}"/>
    <cellStyle name="Normal 140 2 2 4 2" xfId="23090" xr:uid="{00000000-0005-0000-0000-0000964C0000}"/>
    <cellStyle name="Normal 140 2 2 5" xfId="23087" xr:uid="{00000000-0005-0000-0000-0000974C0000}"/>
    <cellStyle name="Normal 140 2 2_Additional Disclosures" xfId="16019" xr:uid="{00000000-0005-0000-0000-0000984C0000}"/>
    <cellStyle name="Normal 140 2 3" xfId="11692" xr:uid="{00000000-0005-0000-0000-0000994C0000}"/>
    <cellStyle name="Normal 140 2 3 2" xfId="23091" xr:uid="{00000000-0005-0000-0000-00009A4C0000}"/>
    <cellStyle name="Normal 140 2 4" xfId="13786" xr:uid="{00000000-0005-0000-0000-00009B4C0000}"/>
    <cellStyle name="Normal 140 2 4 2" xfId="23092" xr:uid="{00000000-0005-0000-0000-00009C4C0000}"/>
    <cellStyle name="Normal 140 2 5" xfId="14931" xr:uid="{00000000-0005-0000-0000-00009D4C0000}"/>
    <cellStyle name="Normal 140 2 5 2" xfId="23093" xr:uid="{00000000-0005-0000-0000-00009E4C0000}"/>
    <cellStyle name="Normal 140 2 6" xfId="23086" xr:uid="{00000000-0005-0000-0000-00009F4C0000}"/>
    <cellStyle name="Normal 140 2_Additional Disclosures" xfId="16018" xr:uid="{00000000-0005-0000-0000-0000A04C0000}"/>
    <cellStyle name="Normal 140 3" xfId="10923" xr:uid="{00000000-0005-0000-0000-0000A14C0000}"/>
    <cellStyle name="Normal 140 3 2" xfId="12343" xr:uid="{00000000-0005-0000-0000-0000A24C0000}"/>
    <cellStyle name="Normal 140 3 2 2" xfId="23095" xr:uid="{00000000-0005-0000-0000-0000A34C0000}"/>
    <cellStyle name="Normal 140 3 3" xfId="14043" xr:uid="{00000000-0005-0000-0000-0000A44C0000}"/>
    <cellStyle name="Normal 140 3 3 2" xfId="23096" xr:uid="{00000000-0005-0000-0000-0000A54C0000}"/>
    <cellStyle name="Normal 140 3 4" xfId="15187" xr:uid="{00000000-0005-0000-0000-0000A64C0000}"/>
    <cellStyle name="Normal 140 3 4 2" xfId="23097" xr:uid="{00000000-0005-0000-0000-0000A74C0000}"/>
    <cellStyle name="Normal 140 3 5" xfId="23094" xr:uid="{00000000-0005-0000-0000-0000A84C0000}"/>
    <cellStyle name="Normal 140 3_Additional Disclosures" xfId="16020" xr:uid="{00000000-0005-0000-0000-0000A94C0000}"/>
    <cellStyle name="Normal 140 4" xfId="11691" xr:uid="{00000000-0005-0000-0000-0000AA4C0000}"/>
    <cellStyle name="Normal 140 4 2" xfId="23098" xr:uid="{00000000-0005-0000-0000-0000AB4C0000}"/>
    <cellStyle name="Normal 140 5" xfId="13532" xr:uid="{00000000-0005-0000-0000-0000AC4C0000}"/>
    <cellStyle name="Normal 140 5 2" xfId="23099" xr:uid="{00000000-0005-0000-0000-0000AD4C0000}"/>
    <cellStyle name="Normal 140 6" xfId="14677" xr:uid="{00000000-0005-0000-0000-0000AE4C0000}"/>
    <cellStyle name="Normal 140 6 2" xfId="23100" xr:uid="{00000000-0005-0000-0000-0000AF4C0000}"/>
    <cellStyle name="Normal 140 7" xfId="23085" xr:uid="{00000000-0005-0000-0000-0000B04C0000}"/>
    <cellStyle name="Normal 140 8" xfId="31549" xr:uid="{00000000-0005-0000-0000-0000B14C0000}"/>
    <cellStyle name="Normal 140_Additional Disclosures" xfId="16017" xr:uid="{00000000-0005-0000-0000-0000B24C0000}"/>
    <cellStyle name="Normal 141" xfId="9127" xr:uid="{00000000-0005-0000-0000-0000B34C0000}"/>
    <cellStyle name="Normal 141 2" xfId="9128" xr:uid="{00000000-0005-0000-0000-0000B44C0000}"/>
    <cellStyle name="Normal 141 2 2" xfId="10926" xr:uid="{00000000-0005-0000-0000-0000B54C0000}"/>
    <cellStyle name="Normal 141 2 2 2" xfId="12346" xr:uid="{00000000-0005-0000-0000-0000B64C0000}"/>
    <cellStyle name="Normal 141 2 2 2 2" xfId="23104" xr:uid="{00000000-0005-0000-0000-0000B74C0000}"/>
    <cellStyle name="Normal 141 2 2 3" xfId="14298" xr:uid="{00000000-0005-0000-0000-0000B84C0000}"/>
    <cellStyle name="Normal 141 2 2 3 2" xfId="23105" xr:uid="{00000000-0005-0000-0000-0000B94C0000}"/>
    <cellStyle name="Normal 141 2 2 4" xfId="15442" xr:uid="{00000000-0005-0000-0000-0000BA4C0000}"/>
    <cellStyle name="Normal 141 2 2 4 2" xfId="23106" xr:uid="{00000000-0005-0000-0000-0000BB4C0000}"/>
    <cellStyle name="Normal 141 2 2 5" xfId="23103" xr:uid="{00000000-0005-0000-0000-0000BC4C0000}"/>
    <cellStyle name="Normal 141 2 2_Additional Disclosures" xfId="16023" xr:uid="{00000000-0005-0000-0000-0000BD4C0000}"/>
    <cellStyle name="Normal 141 2 3" xfId="11694" xr:uid="{00000000-0005-0000-0000-0000BE4C0000}"/>
    <cellStyle name="Normal 141 2 3 2" xfId="23107" xr:uid="{00000000-0005-0000-0000-0000BF4C0000}"/>
    <cellStyle name="Normal 141 2 4" xfId="13787" xr:uid="{00000000-0005-0000-0000-0000C04C0000}"/>
    <cellStyle name="Normal 141 2 4 2" xfId="23108" xr:uid="{00000000-0005-0000-0000-0000C14C0000}"/>
    <cellStyle name="Normal 141 2 5" xfId="14932" xr:uid="{00000000-0005-0000-0000-0000C24C0000}"/>
    <cellStyle name="Normal 141 2 5 2" xfId="23109" xr:uid="{00000000-0005-0000-0000-0000C34C0000}"/>
    <cellStyle name="Normal 141 2 6" xfId="23102" xr:uid="{00000000-0005-0000-0000-0000C44C0000}"/>
    <cellStyle name="Normal 141 2_Additional Disclosures" xfId="16022" xr:uid="{00000000-0005-0000-0000-0000C54C0000}"/>
    <cellStyle name="Normal 141 3" xfId="10925" xr:uid="{00000000-0005-0000-0000-0000C64C0000}"/>
    <cellStyle name="Normal 141 3 2" xfId="12345" xr:uid="{00000000-0005-0000-0000-0000C74C0000}"/>
    <cellStyle name="Normal 141 3 2 2" xfId="23111" xr:uid="{00000000-0005-0000-0000-0000C84C0000}"/>
    <cellStyle name="Normal 141 3 3" xfId="14044" xr:uid="{00000000-0005-0000-0000-0000C94C0000}"/>
    <cellStyle name="Normal 141 3 3 2" xfId="23112" xr:uid="{00000000-0005-0000-0000-0000CA4C0000}"/>
    <cellStyle name="Normal 141 3 4" xfId="15188" xr:uid="{00000000-0005-0000-0000-0000CB4C0000}"/>
    <cellStyle name="Normal 141 3 4 2" xfId="23113" xr:uid="{00000000-0005-0000-0000-0000CC4C0000}"/>
    <cellStyle name="Normal 141 3 5" xfId="23110" xr:uid="{00000000-0005-0000-0000-0000CD4C0000}"/>
    <cellStyle name="Normal 141 3_Additional Disclosures" xfId="16024" xr:uid="{00000000-0005-0000-0000-0000CE4C0000}"/>
    <cellStyle name="Normal 141 4" xfId="11693" xr:uid="{00000000-0005-0000-0000-0000CF4C0000}"/>
    <cellStyle name="Normal 141 4 2" xfId="23114" xr:uid="{00000000-0005-0000-0000-0000D04C0000}"/>
    <cellStyle name="Normal 141 5" xfId="13533" xr:uid="{00000000-0005-0000-0000-0000D14C0000}"/>
    <cellStyle name="Normal 141 5 2" xfId="23115" xr:uid="{00000000-0005-0000-0000-0000D24C0000}"/>
    <cellStyle name="Normal 141 6" xfId="14678" xr:uid="{00000000-0005-0000-0000-0000D34C0000}"/>
    <cellStyle name="Normal 141 6 2" xfId="23116" xr:uid="{00000000-0005-0000-0000-0000D44C0000}"/>
    <cellStyle name="Normal 141 7" xfId="23101" xr:uid="{00000000-0005-0000-0000-0000D54C0000}"/>
    <cellStyle name="Normal 141 8" xfId="31550" xr:uid="{00000000-0005-0000-0000-0000D64C0000}"/>
    <cellStyle name="Normal 141_Additional Disclosures" xfId="16021" xr:uid="{00000000-0005-0000-0000-0000D74C0000}"/>
    <cellStyle name="Normal 142" xfId="9129" xr:uid="{00000000-0005-0000-0000-0000D84C0000}"/>
    <cellStyle name="Normal 142 10" xfId="28814" xr:uid="{00000000-0005-0000-0000-0000D94C0000}"/>
    <cellStyle name="Normal 142 11" xfId="31551" xr:uid="{00000000-0005-0000-0000-0000DA4C0000}"/>
    <cellStyle name="Normal 142 2" xfId="13394" xr:uid="{00000000-0005-0000-0000-0000DB4C0000}"/>
    <cellStyle name="Normal 142 2 2" xfId="13649" xr:uid="{00000000-0005-0000-0000-0000DC4C0000}"/>
    <cellStyle name="Normal 142 2 2 2" xfId="14160" xr:uid="{00000000-0005-0000-0000-0000DD4C0000}"/>
    <cellStyle name="Normal 142 2 2 2 2" xfId="15304" xr:uid="{00000000-0005-0000-0000-0000DE4C0000}"/>
    <cellStyle name="Normal 142 2 2 2 2 2" xfId="23121" xr:uid="{00000000-0005-0000-0000-0000DF4C0000}"/>
    <cellStyle name="Normal 142 2 2 2 3" xfId="23120" xr:uid="{00000000-0005-0000-0000-0000E04C0000}"/>
    <cellStyle name="Normal 142 2 2 2_Additional Disclosures" xfId="16028" xr:uid="{00000000-0005-0000-0000-0000E14C0000}"/>
    <cellStyle name="Normal 142 2 2 3" xfId="14794" xr:uid="{00000000-0005-0000-0000-0000E24C0000}"/>
    <cellStyle name="Normal 142 2 2 3 2" xfId="23122" xr:uid="{00000000-0005-0000-0000-0000E34C0000}"/>
    <cellStyle name="Normal 142 2 2 4" xfId="23119" xr:uid="{00000000-0005-0000-0000-0000E44C0000}"/>
    <cellStyle name="Normal 142 2 2_Additional Disclosures" xfId="16027" xr:uid="{00000000-0005-0000-0000-0000E54C0000}"/>
    <cellStyle name="Normal 142 2 3" xfId="13905" xr:uid="{00000000-0005-0000-0000-0000E64C0000}"/>
    <cellStyle name="Normal 142 2 3 2" xfId="15050" xr:uid="{00000000-0005-0000-0000-0000E74C0000}"/>
    <cellStyle name="Normal 142 2 3 2 2" xfId="23124" xr:uid="{00000000-0005-0000-0000-0000E84C0000}"/>
    <cellStyle name="Normal 142 2 3 3" xfId="23123" xr:uid="{00000000-0005-0000-0000-0000E94C0000}"/>
    <cellStyle name="Normal 142 2 3_Additional Disclosures" xfId="16029" xr:uid="{00000000-0005-0000-0000-0000EA4C0000}"/>
    <cellStyle name="Normal 142 2 4" xfId="14538" xr:uid="{00000000-0005-0000-0000-0000EB4C0000}"/>
    <cellStyle name="Normal 142 2 4 2" xfId="23125" xr:uid="{00000000-0005-0000-0000-0000EC4C0000}"/>
    <cellStyle name="Normal 142 2 5" xfId="23118" xr:uid="{00000000-0005-0000-0000-0000ED4C0000}"/>
    <cellStyle name="Normal 142 2_Additional Disclosures" xfId="16026" xr:uid="{00000000-0005-0000-0000-0000EE4C0000}"/>
    <cellStyle name="Normal 142 3" xfId="13609" xr:uid="{00000000-0005-0000-0000-0000EF4C0000}"/>
    <cellStyle name="Normal 142 3 2" xfId="14120" xr:uid="{00000000-0005-0000-0000-0000F04C0000}"/>
    <cellStyle name="Normal 142 3 2 2" xfId="15264" xr:uid="{00000000-0005-0000-0000-0000F14C0000}"/>
    <cellStyle name="Normal 142 3 2 2 2" xfId="23128" xr:uid="{00000000-0005-0000-0000-0000F24C0000}"/>
    <cellStyle name="Normal 142 3 2 3" xfId="23127" xr:uid="{00000000-0005-0000-0000-0000F34C0000}"/>
    <cellStyle name="Normal 142 3 2_Additional Disclosures" xfId="16031" xr:uid="{00000000-0005-0000-0000-0000F44C0000}"/>
    <cellStyle name="Normal 142 3 3" xfId="14754" xr:uid="{00000000-0005-0000-0000-0000F54C0000}"/>
    <cellStyle name="Normal 142 3 3 2" xfId="23129" xr:uid="{00000000-0005-0000-0000-0000F64C0000}"/>
    <cellStyle name="Normal 142 3 4" xfId="23126" xr:uid="{00000000-0005-0000-0000-0000F74C0000}"/>
    <cellStyle name="Normal 142 3_Additional Disclosures" xfId="16030" xr:uid="{00000000-0005-0000-0000-0000F84C0000}"/>
    <cellStyle name="Normal 142 4" xfId="13865" xr:uid="{00000000-0005-0000-0000-0000F94C0000}"/>
    <cellStyle name="Normal 142 4 2" xfId="15010" xr:uid="{00000000-0005-0000-0000-0000FA4C0000}"/>
    <cellStyle name="Normal 142 4 2 2" xfId="23131" xr:uid="{00000000-0005-0000-0000-0000FB4C0000}"/>
    <cellStyle name="Normal 142 4 3" xfId="23130" xr:uid="{00000000-0005-0000-0000-0000FC4C0000}"/>
    <cellStyle name="Normal 142 4_Additional Disclosures" xfId="16032" xr:uid="{00000000-0005-0000-0000-0000FD4C0000}"/>
    <cellStyle name="Normal 142 5" xfId="13354" xr:uid="{00000000-0005-0000-0000-0000FE4C0000}"/>
    <cellStyle name="Normal 142 5 2" xfId="23132" xr:uid="{00000000-0005-0000-0000-0000FF4C0000}"/>
    <cellStyle name="Normal 142 6" xfId="14497" xr:uid="{00000000-0005-0000-0000-0000004D0000}"/>
    <cellStyle name="Normal 142 6 2" xfId="23133" xr:uid="{00000000-0005-0000-0000-0000014D0000}"/>
    <cellStyle name="Normal 142 7" xfId="23117" xr:uid="{00000000-0005-0000-0000-0000024D0000}"/>
    <cellStyle name="Normal 142 8" xfId="28813" xr:uid="{00000000-0005-0000-0000-0000034D0000}"/>
    <cellStyle name="Normal 142 9" xfId="28725" xr:uid="{00000000-0005-0000-0000-0000044D0000}"/>
    <cellStyle name="Normal 142_Additional Disclosures" xfId="16025" xr:uid="{00000000-0005-0000-0000-0000054D0000}"/>
    <cellStyle name="Normal 143" xfId="9130" xr:uid="{00000000-0005-0000-0000-0000064D0000}"/>
    <cellStyle name="Normal 143 2" xfId="9131" xr:uid="{00000000-0005-0000-0000-0000074D0000}"/>
    <cellStyle name="Normal 143 2 2" xfId="10928" xr:uid="{00000000-0005-0000-0000-0000084D0000}"/>
    <cellStyle name="Normal 143 2 2 2" xfId="12348" xr:uid="{00000000-0005-0000-0000-0000094D0000}"/>
    <cellStyle name="Normal 143 2 2 2 2" xfId="14154" xr:uid="{00000000-0005-0000-0000-00000A4D0000}"/>
    <cellStyle name="Normal 143 2 2 2 2 2" xfId="23138" xr:uid="{00000000-0005-0000-0000-00000B4D0000}"/>
    <cellStyle name="Normal 143 2 2 2 3" xfId="15298" xr:uid="{00000000-0005-0000-0000-00000C4D0000}"/>
    <cellStyle name="Normal 143 2 2 2 3 2" xfId="23139" xr:uid="{00000000-0005-0000-0000-00000D4D0000}"/>
    <cellStyle name="Normal 143 2 2 2 4" xfId="23137" xr:uid="{00000000-0005-0000-0000-00000E4D0000}"/>
    <cellStyle name="Normal 143 2 2 2_Additional Disclosures" xfId="16036" xr:uid="{00000000-0005-0000-0000-00000F4D0000}"/>
    <cellStyle name="Normal 143 2 2 3" xfId="13643" xr:uid="{00000000-0005-0000-0000-0000104D0000}"/>
    <cellStyle name="Normal 143 2 2 3 2" xfId="23140" xr:uid="{00000000-0005-0000-0000-0000114D0000}"/>
    <cellStyle name="Normal 143 2 2 4" xfId="14788" xr:uid="{00000000-0005-0000-0000-0000124D0000}"/>
    <cellStyle name="Normal 143 2 2 4 2" xfId="23141" xr:uid="{00000000-0005-0000-0000-0000134D0000}"/>
    <cellStyle name="Normal 143 2 2 5" xfId="23136" xr:uid="{00000000-0005-0000-0000-0000144D0000}"/>
    <cellStyle name="Normal 143 2 2_Additional Disclosures" xfId="16035" xr:uid="{00000000-0005-0000-0000-0000154D0000}"/>
    <cellStyle name="Normal 143 2 3" xfId="11696" xr:uid="{00000000-0005-0000-0000-0000164D0000}"/>
    <cellStyle name="Normal 143 2 3 2" xfId="13899" xr:uid="{00000000-0005-0000-0000-0000174D0000}"/>
    <cellStyle name="Normal 143 2 3 2 2" xfId="23143" xr:uid="{00000000-0005-0000-0000-0000184D0000}"/>
    <cellStyle name="Normal 143 2 3 3" xfId="15044" xr:uid="{00000000-0005-0000-0000-0000194D0000}"/>
    <cellStyle name="Normal 143 2 3 3 2" xfId="23144" xr:uid="{00000000-0005-0000-0000-00001A4D0000}"/>
    <cellStyle name="Normal 143 2 3 4" xfId="23142" xr:uid="{00000000-0005-0000-0000-00001B4D0000}"/>
    <cellStyle name="Normal 143 2 3_Additional Disclosures" xfId="16037" xr:uid="{00000000-0005-0000-0000-00001C4D0000}"/>
    <cellStyle name="Normal 143 2 4" xfId="13388" xr:uid="{00000000-0005-0000-0000-00001D4D0000}"/>
    <cellStyle name="Normal 143 2 4 2" xfId="23145" xr:uid="{00000000-0005-0000-0000-00001E4D0000}"/>
    <cellStyle name="Normal 143 2 5" xfId="14532" xr:uid="{00000000-0005-0000-0000-00001F4D0000}"/>
    <cellStyle name="Normal 143 2 5 2" xfId="23146" xr:uid="{00000000-0005-0000-0000-0000204D0000}"/>
    <cellStyle name="Normal 143 2 6" xfId="23135" xr:uid="{00000000-0005-0000-0000-0000214D0000}"/>
    <cellStyle name="Normal 143 2_Additional Disclosures" xfId="16034" xr:uid="{00000000-0005-0000-0000-0000224D0000}"/>
    <cellStyle name="Normal 143 3" xfId="10927" xr:uid="{00000000-0005-0000-0000-0000234D0000}"/>
    <cellStyle name="Normal 143 3 2" xfId="12347" xr:uid="{00000000-0005-0000-0000-0000244D0000}"/>
    <cellStyle name="Normal 143 3 2 2" xfId="14114" xr:uid="{00000000-0005-0000-0000-0000254D0000}"/>
    <cellStyle name="Normal 143 3 2 2 2" xfId="23149" xr:uid="{00000000-0005-0000-0000-0000264D0000}"/>
    <cellStyle name="Normal 143 3 2 3" xfId="15258" xr:uid="{00000000-0005-0000-0000-0000274D0000}"/>
    <cellStyle name="Normal 143 3 2 3 2" xfId="23150" xr:uid="{00000000-0005-0000-0000-0000284D0000}"/>
    <cellStyle name="Normal 143 3 2 4" xfId="23148" xr:uid="{00000000-0005-0000-0000-0000294D0000}"/>
    <cellStyle name="Normal 143 3 2_Additional Disclosures" xfId="16039" xr:uid="{00000000-0005-0000-0000-00002A4D0000}"/>
    <cellStyle name="Normal 143 3 3" xfId="13603" xr:uid="{00000000-0005-0000-0000-00002B4D0000}"/>
    <cellStyle name="Normal 143 3 3 2" xfId="23151" xr:uid="{00000000-0005-0000-0000-00002C4D0000}"/>
    <cellStyle name="Normal 143 3 4" xfId="14748" xr:uid="{00000000-0005-0000-0000-00002D4D0000}"/>
    <cellStyle name="Normal 143 3 4 2" xfId="23152" xr:uid="{00000000-0005-0000-0000-00002E4D0000}"/>
    <cellStyle name="Normal 143 3 5" xfId="23147" xr:uid="{00000000-0005-0000-0000-00002F4D0000}"/>
    <cellStyle name="Normal 143 3_Additional Disclosures" xfId="16038" xr:uid="{00000000-0005-0000-0000-0000304D0000}"/>
    <cellStyle name="Normal 143 4" xfId="11695" xr:uid="{00000000-0005-0000-0000-0000314D0000}"/>
    <cellStyle name="Normal 143 4 2" xfId="13859" xr:uid="{00000000-0005-0000-0000-0000324D0000}"/>
    <cellStyle name="Normal 143 4 2 2" xfId="23154" xr:uid="{00000000-0005-0000-0000-0000334D0000}"/>
    <cellStyle name="Normal 143 4 3" xfId="15004" xr:uid="{00000000-0005-0000-0000-0000344D0000}"/>
    <cellStyle name="Normal 143 4 3 2" xfId="23155" xr:uid="{00000000-0005-0000-0000-0000354D0000}"/>
    <cellStyle name="Normal 143 4 4" xfId="23153" xr:uid="{00000000-0005-0000-0000-0000364D0000}"/>
    <cellStyle name="Normal 143 4_Additional Disclosures" xfId="16040" xr:uid="{00000000-0005-0000-0000-0000374D0000}"/>
    <cellStyle name="Normal 143 5" xfId="12236" xr:uid="{00000000-0005-0000-0000-0000384D0000}"/>
    <cellStyle name="Normal 143 5 2" xfId="23156" xr:uid="{00000000-0005-0000-0000-0000394D0000}"/>
    <cellStyle name="Normal 143 6" xfId="13348" xr:uid="{00000000-0005-0000-0000-00003A4D0000}"/>
    <cellStyle name="Normal 143 6 2" xfId="23157" xr:uid="{00000000-0005-0000-0000-00003B4D0000}"/>
    <cellStyle name="Normal 143 7" xfId="14491" xr:uid="{00000000-0005-0000-0000-00003C4D0000}"/>
    <cellStyle name="Normal 143 7 2" xfId="23158" xr:uid="{00000000-0005-0000-0000-00003D4D0000}"/>
    <cellStyle name="Normal 143 8" xfId="23134" xr:uid="{00000000-0005-0000-0000-00003E4D0000}"/>
    <cellStyle name="Normal 143 9" xfId="31552" xr:uid="{00000000-0005-0000-0000-00003F4D0000}"/>
    <cellStyle name="Normal 143_Additional Disclosures" xfId="16033" xr:uid="{00000000-0005-0000-0000-0000404D0000}"/>
    <cellStyle name="Normal 144" xfId="9132" xr:uid="{00000000-0005-0000-0000-0000414D0000}"/>
    <cellStyle name="Normal 144 2" xfId="9133" xr:uid="{00000000-0005-0000-0000-0000424D0000}"/>
    <cellStyle name="Normal 144 2 2" xfId="10930" xr:uid="{00000000-0005-0000-0000-0000434D0000}"/>
    <cellStyle name="Normal 144 2 2 2" xfId="12350" xr:uid="{00000000-0005-0000-0000-0000444D0000}"/>
    <cellStyle name="Normal 144 2 2 2 2" xfId="14164" xr:uid="{00000000-0005-0000-0000-0000454D0000}"/>
    <cellStyle name="Normal 144 2 2 2 2 2" xfId="23163" xr:uid="{00000000-0005-0000-0000-0000464D0000}"/>
    <cellStyle name="Normal 144 2 2 2 3" xfId="15308" xr:uid="{00000000-0005-0000-0000-0000474D0000}"/>
    <cellStyle name="Normal 144 2 2 2 3 2" xfId="23164" xr:uid="{00000000-0005-0000-0000-0000484D0000}"/>
    <cellStyle name="Normal 144 2 2 2 4" xfId="23162" xr:uid="{00000000-0005-0000-0000-0000494D0000}"/>
    <cellStyle name="Normal 144 2 2 2_Additional Disclosures" xfId="16044" xr:uid="{00000000-0005-0000-0000-00004A4D0000}"/>
    <cellStyle name="Normal 144 2 2 3" xfId="13653" xr:uid="{00000000-0005-0000-0000-00004B4D0000}"/>
    <cellStyle name="Normal 144 2 2 3 2" xfId="23165" xr:uid="{00000000-0005-0000-0000-00004C4D0000}"/>
    <cellStyle name="Normal 144 2 2 4" xfId="14798" xr:uid="{00000000-0005-0000-0000-00004D4D0000}"/>
    <cellStyle name="Normal 144 2 2 4 2" xfId="23166" xr:uid="{00000000-0005-0000-0000-00004E4D0000}"/>
    <cellStyle name="Normal 144 2 2 5" xfId="23161" xr:uid="{00000000-0005-0000-0000-00004F4D0000}"/>
    <cellStyle name="Normal 144 2 2_Additional Disclosures" xfId="16043" xr:uid="{00000000-0005-0000-0000-0000504D0000}"/>
    <cellStyle name="Normal 144 2 3" xfId="11698" xr:uid="{00000000-0005-0000-0000-0000514D0000}"/>
    <cellStyle name="Normal 144 2 3 2" xfId="13909" xr:uid="{00000000-0005-0000-0000-0000524D0000}"/>
    <cellStyle name="Normal 144 2 3 2 2" xfId="23168" xr:uid="{00000000-0005-0000-0000-0000534D0000}"/>
    <cellStyle name="Normal 144 2 3 3" xfId="15054" xr:uid="{00000000-0005-0000-0000-0000544D0000}"/>
    <cellStyle name="Normal 144 2 3 3 2" xfId="23169" xr:uid="{00000000-0005-0000-0000-0000554D0000}"/>
    <cellStyle name="Normal 144 2 3 4" xfId="23167" xr:uid="{00000000-0005-0000-0000-0000564D0000}"/>
    <cellStyle name="Normal 144 2 3_Additional Disclosures" xfId="16045" xr:uid="{00000000-0005-0000-0000-0000574D0000}"/>
    <cellStyle name="Normal 144 2 4" xfId="13398" xr:uid="{00000000-0005-0000-0000-0000584D0000}"/>
    <cellStyle name="Normal 144 2 4 2" xfId="23170" xr:uid="{00000000-0005-0000-0000-0000594D0000}"/>
    <cellStyle name="Normal 144 2 5" xfId="14542" xr:uid="{00000000-0005-0000-0000-00005A4D0000}"/>
    <cellStyle name="Normal 144 2 5 2" xfId="23171" xr:uid="{00000000-0005-0000-0000-00005B4D0000}"/>
    <cellStyle name="Normal 144 2 6" xfId="23160" xr:uid="{00000000-0005-0000-0000-00005C4D0000}"/>
    <cellStyle name="Normal 144 2_Additional Disclosures" xfId="16042" xr:uid="{00000000-0005-0000-0000-00005D4D0000}"/>
    <cellStyle name="Normal 144 3" xfId="10929" xr:uid="{00000000-0005-0000-0000-00005E4D0000}"/>
    <cellStyle name="Normal 144 3 2" xfId="12349" xr:uid="{00000000-0005-0000-0000-00005F4D0000}"/>
    <cellStyle name="Normal 144 3 2 2" xfId="14124" xr:uid="{00000000-0005-0000-0000-0000604D0000}"/>
    <cellStyle name="Normal 144 3 2 2 2" xfId="23174" xr:uid="{00000000-0005-0000-0000-0000614D0000}"/>
    <cellStyle name="Normal 144 3 2 3" xfId="15268" xr:uid="{00000000-0005-0000-0000-0000624D0000}"/>
    <cellStyle name="Normal 144 3 2 3 2" xfId="23175" xr:uid="{00000000-0005-0000-0000-0000634D0000}"/>
    <cellStyle name="Normal 144 3 2 4" xfId="23173" xr:uid="{00000000-0005-0000-0000-0000644D0000}"/>
    <cellStyle name="Normal 144 3 2_Additional Disclosures" xfId="16047" xr:uid="{00000000-0005-0000-0000-0000654D0000}"/>
    <cellStyle name="Normal 144 3 3" xfId="13613" xr:uid="{00000000-0005-0000-0000-0000664D0000}"/>
    <cellStyle name="Normal 144 3 3 2" xfId="23176" xr:uid="{00000000-0005-0000-0000-0000674D0000}"/>
    <cellStyle name="Normal 144 3 4" xfId="14758" xr:uid="{00000000-0005-0000-0000-0000684D0000}"/>
    <cellStyle name="Normal 144 3 4 2" xfId="23177" xr:uid="{00000000-0005-0000-0000-0000694D0000}"/>
    <cellStyle name="Normal 144 3 5" xfId="23172" xr:uid="{00000000-0005-0000-0000-00006A4D0000}"/>
    <cellStyle name="Normal 144 3_Additional Disclosures" xfId="16046" xr:uid="{00000000-0005-0000-0000-00006B4D0000}"/>
    <cellStyle name="Normal 144 4" xfId="11697" xr:uid="{00000000-0005-0000-0000-00006C4D0000}"/>
    <cellStyle name="Normal 144 4 2" xfId="13869" xr:uid="{00000000-0005-0000-0000-00006D4D0000}"/>
    <cellStyle name="Normal 144 4 2 2" xfId="23179" xr:uid="{00000000-0005-0000-0000-00006E4D0000}"/>
    <cellStyle name="Normal 144 4 3" xfId="15014" xr:uid="{00000000-0005-0000-0000-00006F4D0000}"/>
    <cellStyle name="Normal 144 4 3 2" xfId="23180" xr:uid="{00000000-0005-0000-0000-0000704D0000}"/>
    <cellStyle name="Normal 144 4 4" xfId="23178" xr:uid="{00000000-0005-0000-0000-0000714D0000}"/>
    <cellStyle name="Normal 144 4_Additional Disclosures" xfId="16048" xr:uid="{00000000-0005-0000-0000-0000724D0000}"/>
    <cellStyle name="Normal 144 5" xfId="13358" xr:uid="{00000000-0005-0000-0000-0000734D0000}"/>
    <cellStyle name="Normal 144 5 2" xfId="23181" xr:uid="{00000000-0005-0000-0000-0000744D0000}"/>
    <cellStyle name="Normal 144 6" xfId="14501" xr:uid="{00000000-0005-0000-0000-0000754D0000}"/>
    <cellStyle name="Normal 144 6 2" xfId="23182" xr:uid="{00000000-0005-0000-0000-0000764D0000}"/>
    <cellStyle name="Normal 144 7" xfId="23159" xr:uid="{00000000-0005-0000-0000-0000774D0000}"/>
    <cellStyle name="Normal 144 8" xfId="31553" xr:uid="{00000000-0005-0000-0000-0000784D0000}"/>
    <cellStyle name="Normal 144_Additional Disclosures" xfId="16041" xr:uid="{00000000-0005-0000-0000-0000794D0000}"/>
    <cellStyle name="Normal 145" xfId="9134" xr:uid="{00000000-0005-0000-0000-00007A4D0000}"/>
    <cellStyle name="Normal 145 2" xfId="9135" xr:uid="{00000000-0005-0000-0000-00007B4D0000}"/>
    <cellStyle name="Normal 145 2 2" xfId="10932" xr:uid="{00000000-0005-0000-0000-00007C4D0000}"/>
    <cellStyle name="Normal 145 2 2 2" xfId="12352" xr:uid="{00000000-0005-0000-0000-00007D4D0000}"/>
    <cellStyle name="Normal 145 2 2 2 2" xfId="23186" xr:uid="{00000000-0005-0000-0000-00007E4D0000}"/>
    <cellStyle name="Normal 145 2 2 3" xfId="14299" xr:uid="{00000000-0005-0000-0000-00007F4D0000}"/>
    <cellStyle name="Normal 145 2 2 3 2" xfId="23187" xr:uid="{00000000-0005-0000-0000-0000804D0000}"/>
    <cellStyle name="Normal 145 2 2 4" xfId="15443" xr:uid="{00000000-0005-0000-0000-0000814D0000}"/>
    <cellStyle name="Normal 145 2 2 4 2" xfId="23188" xr:uid="{00000000-0005-0000-0000-0000824D0000}"/>
    <cellStyle name="Normal 145 2 2 5" xfId="23185" xr:uid="{00000000-0005-0000-0000-0000834D0000}"/>
    <cellStyle name="Normal 145 2 2_Additional Disclosures" xfId="16051" xr:uid="{00000000-0005-0000-0000-0000844D0000}"/>
    <cellStyle name="Normal 145 2 3" xfId="11700" xr:uid="{00000000-0005-0000-0000-0000854D0000}"/>
    <cellStyle name="Normal 145 2 3 2" xfId="23189" xr:uid="{00000000-0005-0000-0000-0000864D0000}"/>
    <cellStyle name="Normal 145 2 4" xfId="13788" xr:uid="{00000000-0005-0000-0000-0000874D0000}"/>
    <cellStyle name="Normal 145 2 4 2" xfId="23190" xr:uid="{00000000-0005-0000-0000-0000884D0000}"/>
    <cellStyle name="Normal 145 2 5" xfId="14933" xr:uid="{00000000-0005-0000-0000-0000894D0000}"/>
    <cellStyle name="Normal 145 2 5 2" xfId="23191" xr:uid="{00000000-0005-0000-0000-00008A4D0000}"/>
    <cellStyle name="Normal 145 2 6" xfId="23184" xr:uid="{00000000-0005-0000-0000-00008B4D0000}"/>
    <cellStyle name="Normal 145 2_Additional Disclosures" xfId="16050" xr:uid="{00000000-0005-0000-0000-00008C4D0000}"/>
    <cellStyle name="Normal 145 3" xfId="10931" xr:uid="{00000000-0005-0000-0000-00008D4D0000}"/>
    <cellStyle name="Normal 145 3 2" xfId="12351" xr:uid="{00000000-0005-0000-0000-00008E4D0000}"/>
    <cellStyle name="Normal 145 3 2 2" xfId="23193" xr:uid="{00000000-0005-0000-0000-00008F4D0000}"/>
    <cellStyle name="Normal 145 3 3" xfId="14045" xr:uid="{00000000-0005-0000-0000-0000904D0000}"/>
    <cellStyle name="Normal 145 3 3 2" xfId="23194" xr:uid="{00000000-0005-0000-0000-0000914D0000}"/>
    <cellStyle name="Normal 145 3 4" xfId="15189" xr:uid="{00000000-0005-0000-0000-0000924D0000}"/>
    <cellStyle name="Normal 145 3 4 2" xfId="23195" xr:uid="{00000000-0005-0000-0000-0000934D0000}"/>
    <cellStyle name="Normal 145 3 5" xfId="23192" xr:uid="{00000000-0005-0000-0000-0000944D0000}"/>
    <cellStyle name="Normal 145 3_Additional Disclosures" xfId="16052" xr:uid="{00000000-0005-0000-0000-0000954D0000}"/>
    <cellStyle name="Normal 145 4" xfId="11699" xr:uid="{00000000-0005-0000-0000-0000964D0000}"/>
    <cellStyle name="Normal 145 4 2" xfId="23196" xr:uid="{00000000-0005-0000-0000-0000974D0000}"/>
    <cellStyle name="Normal 145 5" xfId="13534" xr:uid="{00000000-0005-0000-0000-0000984D0000}"/>
    <cellStyle name="Normal 145 5 2" xfId="23197" xr:uid="{00000000-0005-0000-0000-0000994D0000}"/>
    <cellStyle name="Normal 145 6" xfId="14679" xr:uid="{00000000-0005-0000-0000-00009A4D0000}"/>
    <cellStyle name="Normal 145 6 2" xfId="23198" xr:uid="{00000000-0005-0000-0000-00009B4D0000}"/>
    <cellStyle name="Normal 145 7" xfId="23183" xr:uid="{00000000-0005-0000-0000-00009C4D0000}"/>
    <cellStyle name="Normal 145 8" xfId="31554" xr:uid="{00000000-0005-0000-0000-00009D4D0000}"/>
    <cellStyle name="Normal 145_Additional Disclosures" xfId="16049" xr:uid="{00000000-0005-0000-0000-00009E4D0000}"/>
    <cellStyle name="Normal 146" xfId="9136" xr:uid="{00000000-0005-0000-0000-00009F4D0000}"/>
    <cellStyle name="Normal 146 2" xfId="9137" xr:uid="{00000000-0005-0000-0000-0000A04D0000}"/>
    <cellStyle name="Normal 146 2 2" xfId="10934" xr:uid="{00000000-0005-0000-0000-0000A14D0000}"/>
    <cellStyle name="Normal 146 2 2 2" xfId="12354" xr:uid="{00000000-0005-0000-0000-0000A24D0000}"/>
    <cellStyle name="Normal 146 2 2 2 2" xfId="23202" xr:uid="{00000000-0005-0000-0000-0000A34D0000}"/>
    <cellStyle name="Normal 146 2 2 3" xfId="14300" xr:uid="{00000000-0005-0000-0000-0000A44D0000}"/>
    <cellStyle name="Normal 146 2 2 3 2" xfId="23203" xr:uid="{00000000-0005-0000-0000-0000A54D0000}"/>
    <cellStyle name="Normal 146 2 2 4" xfId="15444" xr:uid="{00000000-0005-0000-0000-0000A64D0000}"/>
    <cellStyle name="Normal 146 2 2 4 2" xfId="23204" xr:uid="{00000000-0005-0000-0000-0000A74D0000}"/>
    <cellStyle name="Normal 146 2 2 5" xfId="23201" xr:uid="{00000000-0005-0000-0000-0000A84D0000}"/>
    <cellStyle name="Normal 146 2 2_Additional Disclosures" xfId="16055" xr:uid="{00000000-0005-0000-0000-0000A94D0000}"/>
    <cellStyle name="Normal 146 2 3" xfId="11702" xr:uid="{00000000-0005-0000-0000-0000AA4D0000}"/>
    <cellStyle name="Normal 146 2 3 2" xfId="23205" xr:uid="{00000000-0005-0000-0000-0000AB4D0000}"/>
    <cellStyle name="Normal 146 2 4" xfId="13789" xr:uid="{00000000-0005-0000-0000-0000AC4D0000}"/>
    <cellStyle name="Normal 146 2 4 2" xfId="23206" xr:uid="{00000000-0005-0000-0000-0000AD4D0000}"/>
    <cellStyle name="Normal 146 2 5" xfId="14934" xr:uid="{00000000-0005-0000-0000-0000AE4D0000}"/>
    <cellStyle name="Normal 146 2 5 2" xfId="23207" xr:uid="{00000000-0005-0000-0000-0000AF4D0000}"/>
    <cellStyle name="Normal 146 2 6" xfId="23200" xr:uid="{00000000-0005-0000-0000-0000B04D0000}"/>
    <cellStyle name="Normal 146 2_Additional Disclosures" xfId="16054" xr:uid="{00000000-0005-0000-0000-0000B14D0000}"/>
    <cellStyle name="Normal 146 3" xfId="10933" xr:uid="{00000000-0005-0000-0000-0000B24D0000}"/>
    <cellStyle name="Normal 146 3 2" xfId="12353" xr:uid="{00000000-0005-0000-0000-0000B34D0000}"/>
    <cellStyle name="Normal 146 3 2 2" xfId="23209" xr:uid="{00000000-0005-0000-0000-0000B44D0000}"/>
    <cellStyle name="Normal 146 3 3" xfId="14046" xr:uid="{00000000-0005-0000-0000-0000B54D0000}"/>
    <cellStyle name="Normal 146 3 3 2" xfId="23210" xr:uid="{00000000-0005-0000-0000-0000B64D0000}"/>
    <cellStyle name="Normal 146 3 4" xfId="15190" xr:uid="{00000000-0005-0000-0000-0000B74D0000}"/>
    <cellStyle name="Normal 146 3 4 2" xfId="23211" xr:uid="{00000000-0005-0000-0000-0000B84D0000}"/>
    <cellStyle name="Normal 146 3 5" xfId="23208" xr:uid="{00000000-0005-0000-0000-0000B94D0000}"/>
    <cellStyle name="Normal 146 3_Additional Disclosures" xfId="16056" xr:uid="{00000000-0005-0000-0000-0000BA4D0000}"/>
    <cellStyle name="Normal 146 4" xfId="11701" xr:uid="{00000000-0005-0000-0000-0000BB4D0000}"/>
    <cellStyle name="Normal 146 4 2" xfId="23212" xr:uid="{00000000-0005-0000-0000-0000BC4D0000}"/>
    <cellStyle name="Normal 146 5" xfId="13535" xr:uid="{00000000-0005-0000-0000-0000BD4D0000}"/>
    <cellStyle name="Normal 146 5 2" xfId="23213" xr:uid="{00000000-0005-0000-0000-0000BE4D0000}"/>
    <cellStyle name="Normal 146 6" xfId="14680" xr:uid="{00000000-0005-0000-0000-0000BF4D0000}"/>
    <cellStyle name="Normal 146 6 2" xfId="23214" xr:uid="{00000000-0005-0000-0000-0000C04D0000}"/>
    <cellStyle name="Normal 146 7" xfId="23199" xr:uid="{00000000-0005-0000-0000-0000C14D0000}"/>
    <cellStyle name="Normal 146 8" xfId="31555" xr:uid="{00000000-0005-0000-0000-0000C24D0000}"/>
    <cellStyle name="Normal 146_Additional Disclosures" xfId="16053" xr:uid="{00000000-0005-0000-0000-0000C34D0000}"/>
    <cellStyle name="Normal 147" xfId="9138" xr:uid="{00000000-0005-0000-0000-0000C44D0000}"/>
    <cellStyle name="Normal 147 2" xfId="9139" xr:uid="{00000000-0005-0000-0000-0000C54D0000}"/>
    <cellStyle name="Normal 147 2 2" xfId="10936" xr:uid="{00000000-0005-0000-0000-0000C64D0000}"/>
    <cellStyle name="Normal 147 2 2 2" xfId="12356" xr:uid="{00000000-0005-0000-0000-0000C74D0000}"/>
    <cellStyle name="Normal 147 2 2 2 2" xfId="23218" xr:uid="{00000000-0005-0000-0000-0000C84D0000}"/>
    <cellStyle name="Normal 147 2 2 3" xfId="14301" xr:uid="{00000000-0005-0000-0000-0000C94D0000}"/>
    <cellStyle name="Normal 147 2 2 3 2" xfId="23219" xr:uid="{00000000-0005-0000-0000-0000CA4D0000}"/>
    <cellStyle name="Normal 147 2 2 4" xfId="15445" xr:uid="{00000000-0005-0000-0000-0000CB4D0000}"/>
    <cellStyle name="Normal 147 2 2 4 2" xfId="23220" xr:uid="{00000000-0005-0000-0000-0000CC4D0000}"/>
    <cellStyle name="Normal 147 2 2 5" xfId="23217" xr:uid="{00000000-0005-0000-0000-0000CD4D0000}"/>
    <cellStyle name="Normal 147 2 2_Additional Disclosures" xfId="16059" xr:uid="{00000000-0005-0000-0000-0000CE4D0000}"/>
    <cellStyle name="Normal 147 2 3" xfId="11704" xr:uid="{00000000-0005-0000-0000-0000CF4D0000}"/>
    <cellStyle name="Normal 147 2 3 2" xfId="23221" xr:uid="{00000000-0005-0000-0000-0000D04D0000}"/>
    <cellStyle name="Normal 147 2 4" xfId="13790" xr:uid="{00000000-0005-0000-0000-0000D14D0000}"/>
    <cellStyle name="Normal 147 2 4 2" xfId="23222" xr:uid="{00000000-0005-0000-0000-0000D24D0000}"/>
    <cellStyle name="Normal 147 2 5" xfId="14935" xr:uid="{00000000-0005-0000-0000-0000D34D0000}"/>
    <cellStyle name="Normal 147 2 5 2" xfId="23223" xr:uid="{00000000-0005-0000-0000-0000D44D0000}"/>
    <cellStyle name="Normal 147 2 6" xfId="23216" xr:uid="{00000000-0005-0000-0000-0000D54D0000}"/>
    <cellStyle name="Normal 147 2_Additional Disclosures" xfId="16058" xr:uid="{00000000-0005-0000-0000-0000D64D0000}"/>
    <cellStyle name="Normal 147 3" xfId="10935" xr:uid="{00000000-0005-0000-0000-0000D74D0000}"/>
    <cellStyle name="Normal 147 3 2" xfId="12355" xr:uid="{00000000-0005-0000-0000-0000D84D0000}"/>
    <cellStyle name="Normal 147 3 2 2" xfId="23225" xr:uid="{00000000-0005-0000-0000-0000D94D0000}"/>
    <cellStyle name="Normal 147 3 3" xfId="14047" xr:uid="{00000000-0005-0000-0000-0000DA4D0000}"/>
    <cellStyle name="Normal 147 3 3 2" xfId="23226" xr:uid="{00000000-0005-0000-0000-0000DB4D0000}"/>
    <cellStyle name="Normal 147 3 4" xfId="15191" xr:uid="{00000000-0005-0000-0000-0000DC4D0000}"/>
    <cellStyle name="Normal 147 3 4 2" xfId="23227" xr:uid="{00000000-0005-0000-0000-0000DD4D0000}"/>
    <cellStyle name="Normal 147 3 5" xfId="23224" xr:uid="{00000000-0005-0000-0000-0000DE4D0000}"/>
    <cellStyle name="Normal 147 3_Additional Disclosures" xfId="16060" xr:uid="{00000000-0005-0000-0000-0000DF4D0000}"/>
    <cellStyle name="Normal 147 4" xfId="11703" xr:uid="{00000000-0005-0000-0000-0000E04D0000}"/>
    <cellStyle name="Normal 147 4 2" xfId="23228" xr:uid="{00000000-0005-0000-0000-0000E14D0000}"/>
    <cellStyle name="Normal 147 5" xfId="13536" xr:uid="{00000000-0005-0000-0000-0000E24D0000}"/>
    <cellStyle name="Normal 147 5 2" xfId="23229" xr:uid="{00000000-0005-0000-0000-0000E34D0000}"/>
    <cellStyle name="Normal 147 6" xfId="14681" xr:uid="{00000000-0005-0000-0000-0000E44D0000}"/>
    <cellStyle name="Normal 147 6 2" xfId="23230" xr:uid="{00000000-0005-0000-0000-0000E54D0000}"/>
    <cellStyle name="Normal 147 7" xfId="23215" xr:uid="{00000000-0005-0000-0000-0000E64D0000}"/>
    <cellStyle name="Normal 147 8" xfId="31556" xr:uid="{00000000-0005-0000-0000-0000E74D0000}"/>
    <cellStyle name="Normal 147_Additional Disclosures" xfId="16057" xr:uid="{00000000-0005-0000-0000-0000E84D0000}"/>
    <cellStyle name="Normal 148" xfId="9140" xr:uid="{00000000-0005-0000-0000-0000E94D0000}"/>
    <cellStyle name="Normal 148 10" xfId="28816" xr:uid="{00000000-0005-0000-0000-0000EA4D0000}"/>
    <cellStyle name="Normal 148 11" xfId="31557" xr:uid="{00000000-0005-0000-0000-0000EB4D0000}"/>
    <cellStyle name="Normal 148 2" xfId="12234" xr:uid="{00000000-0005-0000-0000-0000EC4D0000}"/>
    <cellStyle name="Normal 148 2 2" xfId="12233" xr:uid="{00000000-0005-0000-0000-0000ED4D0000}"/>
    <cellStyle name="Normal 148 2 2 2" xfId="14302" xr:uid="{00000000-0005-0000-0000-0000EE4D0000}"/>
    <cellStyle name="Normal 148 2 2 2 2" xfId="23234" xr:uid="{00000000-0005-0000-0000-0000EF4D0000}"/>
    <cellStyle name="Normal 148 2 2 3" xfId="15446" xr:uid="{00000000-0005-0000-0000-0000F04D0000}"/>
    <cellStyle name="Normal 148 2 2 3 2" xfId="23235" xr:uid="{00000000-0005-0000-0000-0000F14D0000}"/>
    <cellStyle name="Normal 148 2 2 4" xfId="23233" xr:uid="{00000000-0005-0000-0000-0000F24D0000}"/>
    <cellStyle name="Normal 148 2 2_Additional Disclosures" xfId="16063" xr:uid="{00000000-0005-0000-0000-0000F34D0000}"/>
    <cellStyle name="Normal 148 2 3" xfId="13791" xr:uid="{00000000-0005-0000-0000-0000F44D0000}"/>
    <cellStyle name="Normal 148 2 3 2" xfId="23236" xr:uid="{00000000-0005-0000-0000-0000F54D0000}"/>
    <cellStyle name="Normal 148 2 4" xfId="14936" xr:uid="{00000000-0005-0000-0000-0000F64D0000}"/>
    <cellStyle name="Normal 148 2 4 2" xfId="23237" xr:uid="{00000000-0005-0000-0000-0000F74D0000}"/>
    <cellStyle name="Normal 148 2 5" xfId="23232" xr:uid="{00000000-0005-0000-0000-0000F84D0000}"/>
    <cellStyle name="Normal 148 2_Additional Disclosures" xfId="16062" xr:uid="{00000000-0005-0000-0000-0000F94D0000}"/>
    <cellStyle name="Normal 148 3" xfId="12232" xr:uid="{00000000-0005-0000-0000-0000FA4D0000}"/>
    <cellStyle name="Normal 148 3 2" xfId="14048" xr:uid="{00000000-0005-0000-0000-0000FB4D0000}"/>
    <cellStyle name="Normal 148 3 2 2" xfId="23239" xr:uid="{00000000-0005-0000-0000-0000FC4D0000}"/>
    <cellStyle name="Normal 148 3 3" xfId="15192" xr:uid="{00000000-0005-0000-0000-0000FD4D0000}"/>
    <cellStyle name="Normal 148 3 3 2" xfId="23240" xr:uid="{00000000-0005-0000-0000-0000FE4D0000}"/>
    <cellStyle name="Normal 148 3 4" xfId="23238" xr:uid="{00000000-0005-0000-0000-0000FF4D0000}"/>
    <cellStyle name="Normal 148 3_Additional Disclosures" xfId="16064" xr:uid="{00000000-0005-0000-0000-0000004E0000}"/>
    <cellStyle name="Normal 148 4" xfId="12235" xr:uid="{00000000-0005-0000-0000-0000014E0000}"/>
    <cellStyle name="Normal 148 4 2" xfId="23241" xr:uid="{00000000-0005-0000-0000-0000024E0000}"/>
    <cellStyle name="Normal 148 5" xfId="13537" xr:uid="{00000000-0005-0000-0000-0000034E0000}"/>
    <cellStyle name="Normal 148 5 2" xfId="23242" xr:uid="{00000000-0005-0000-0000-0000044E0000}"/>
    <cellStyle name="Normal 148 6" xfId="14682" xr:uid="{00000000-0005-0000-0000-0000054E0000}"/>
    <cellStyle name="Normal 148 6 2" xfId="23243" xr:uid="{00000000-0005-0000-0000-0000064E0000}"/>
    <cellStyle name="Normal 148 7" xfId="23231" xr:uid="{00000000-0005-0000-0000-0000074E0000}"/>
    <cellStyle name="Normal 148 8" xfId="28815" xr:uid="{00000000-0005-0000-0000-0000084E0000}"/>
    <cellStyle name="Normal 148 9" xfId="28724" xr:uid="{00000000-0005-0000-0000-0000094E0000}"/>
    <cellStyle name="Normal 148_Additional Disclosures" xfId="16061" xr:uid="{00000000-0005-0000-0000-00000A4E0000}"/>
    <cellStyle name="Normal 149" xfId="9141" xr:uid="{00000000-0005-0000-0000-00000B4E0000}"/>
    <cellStyle name="Normal 149 2" xfId="9142" xr:uid="{00000000-0005-0000-0000-00000C4E0000}"/>
    <cellStyle name="Normal 149 2 2" xfId="10938" xr:uid="{00000000-0005-0000-0000-00000D4E0000}"/>
    <cellStyle name="Normal 149 2 2 2" xfId="12358" xr:uid="{00000000-0005-0000-0000-00000E4E0000}"/>
    <cellStyle name="Normal 149 2 2 2 2" xfId="23247" xr:uid="{00000000-0005-0000-0000-00000F4E0000}"/>
    <cellStyle name="Normal 149 2 2 3" xfId="14303" xr:uid="{00000000-0005-0000-0000-0000104E0000}"/>
    <cellStyle name="Normal 149 2 2 3 2" xfId="23248" xr:uid="{00000000-0005-0000-0000-0000114E0000}"/>
    <cellStyle name="Normal 149 2 2 4" xfId="15447" xr:uid="{00000000-0005-0000-0000-0000124E0000}"/>
    <cellStyle name="Normal 149 2 2 4 2" xfId="23249" xr:uid="{00000000-0005-0000-0000-0000134E0000}"/>
    <cellStyle name="Normal 149 2 2 5" xfId="23246" xr:uid="{00000000-0005-0000-0000-0000144E0000}"/>
    <cellStyle name="Normal 149 2 2_Additional Disclosures" xfId="16067" xr:uid="{00000000-0005-0000-0000-0000154E0000}"/>
    <cellStyle name="Normal 149 2 3" xfId="11706" xr:uid="{00000000-0005-0000-0000-0000164E0000}"/>
    <cellStyle name="Normal 149 2 3 2" xfId="23250" xr:uid="{00000000-0005-0000-0000-0000174E0000}"/>
    <cellStyle name="Normal 149 2 4" xfId="13792" xr:uid="{00000000-0005-0000-0000-0000184E0000}"/>
    <cellStyle name="Normal 149 2 4 2" xfId="23251" xr:uid="{00000000-0005-0000-0000-0000194E0000}"/>
    <cellStyle name="Normal 149 2 5" xfId="14937" xr:uid="{00000000-0005-0000-0000-00001A4E0000}"/>
    <cellStyle name="Normal 149 2 5 2" xfId="23252" xr:uid="{00000000-0005-0000-0000-00001B4E0000}"/>
    <cellStyle name="Normal 149 2 6" xfId="23245" xr:uid="{00000000-0005-0000-0000-00001C4E0000}"/>
    <cellStyle name="Normal 149 2_Additional Disclosures" xfId="16066" xr:uid="{00000000-0005-0000-0000-00001D4E0000}"/>
    <cellStyle name="Normal 149 3" xfId="10937" xr:uid="{00000000-0005-0000-0000-00001E4E0000}"/>
    <cellStyle name="Normal 149 3 2" xfId="12357" xr:uid="{00000000-0005-0000-0000-00001F4E0000}"/>
    <cellStyle name="Normal 149 3 2 2" xfId="23254" xr:uid="{00000000-0005-0000-0000-0000204E0000}"/>
    <cellStyle name="Normal 149 3 3" xfId="14049" xr:uid="{00000000-0005-0000-0000-0000214E0000}"/>
    <cellStyle name="Normal 149 3 3 2" xfId="23255" xr:uid="{00000000-0005-0000-0000-0000224E0000}"/>
    <cellStyle name="Normal 149 3 4" xfId="15193" xr:uid="{00000000-0005-0000-0000-0000234E0000}"/>
    <cellStyle name="Normal 149 3 4 2" xfId="23256" xr:uid="{00000000-0005-0000-0000-0000244E0000}"/>
    <cellStyle name="Normal 149 3 5" xfId="23253" xr:uid="{00000000-0005-0000-0000-0000254E0000}"/>
    <cellStyle name="Normal 149 3_Additional Disclosures" xfId="16068" xr:uid="{00000000-0005-0000-0000-0000264E0000}"/>
    <cellStyle name="Normal 149 4" xfId="11705" xr:uid="{00000000-0005-0000-0000-0000274E0000}"/>
    <cellStyle name="Normal 149 4 2" xfId="23257" xr:uid="{00000000-0005-0000-0000-0000284E0000}"/>
    <cellStyle name="Normal 149 5" xfId="13538" xr:uid="{00000000-0005-0000-0000-0000294E0000}"/>
    <cellStyle name="Normal 149 5 2" xfId="23258" xr:uid="{00000000-0005-0000-0000-00002A4E0000}"/>
    <cellStyle name="Normal 149 6" xfId="14683" xr:uid="{00000000-0005-0000-0000-00002B4E0000}"/>
    <cellStyle name="Normal 149 6 2" xfId="23259" xr:uid="{00000000-0005-0000-0000-00002C4E0000}"/>
    <cellStyle name="Normal 149 7" xfId="23244" xr:uid="{00000000-0005-0000-0000-00002D4E0000}"/>
    <cellStyle name="Normal 149 8" xfId="31558" xr:uid="{00000000-0005-0000-0000-00002E4E0000}"/>
    <cellStyle name="Normal 149_Additional Disclosures" xfId="16065" xr:uid="{00000000-0005-0000-0000-00002F4E0000}"/>
    <cellStyle name="Normal 15" xfId="547" xr:uid="{00000000-0005-0000-0000-0000304E0000}"/>
    <cellStyle name="Normal 15 10" xfId="28722" xr:uid="{00000000-0005-0000-0000-0000314E0000}"/>
    <cellStyle name="Normal 15 11" xfId="31559" xr:uid="{00000000-0005-0000-0000-0000324E0000}"/>
    <cellStyle name="Normal 15 12" xfId="31560" xr:uid="{00000000-0005-0000-0000-0000334E0000}"/>
    <cellStyle name="Normal 15 2" xfId="9143" xr:uid="{00000000-0005-0000-0000-0000344E0000}"/>
    <cellStyle name="Normal 15 2 10" xfId="31561" xr:uid="{00000000-0005-0000-0000-0000354E0000}"/>
    <cellStyle name="Normal 15 2 2" xfId="10939" xr:uid="{00000000-0005-0000-0000-0000364E0000}"/>
    <cellStyle name="Normal 15 2 2 2" xfId="12359" xr:uid="{00000000-0005-0000-0000-0000374E0000}"/>
    <cellStyle name="Normal 15 2 2 2 2" xfId="23263" xr:uid="{00000000-0005-0000-0000-0000384E0000}"/>
    <cellStyle name="Normal 15 2 2 2 3" xfId="31562" xr:uid="{00000000-0005-0000-0000-0000394E0000}"/>
    <cellStyle name="Normal 15 2 2 3" xfId="14183" xr:uid="{00000000-0005-0000-0000-00003A4E0000}"/>
    <cellStyle name="Normal 15 2 2 3 2" xfId="23264" xr:uid="{00000000-0005-0000-0000-00003B4E0000}"/>
    <cellStyle name="Normal 15 2 2 4" xfId="15327" xr:uid="{00000000-0005-0000-0000-00003C4E0000}"/>
    <cellStyle name="Normal 15 2 2 4 2" xfId="23265" xr:uid="{00000000-0005-0000-0000-00003D4E0000}"/>
    <cellStyle name="Normal 15 2 2 5" xfId="23262" xr:uid="{00000000-0005-0000-0000-00003E4E0000}"/>
    <cellStyle name="Normal 15 2 2 6" xfId="31563" xr:uid="{00000000-0005-0000-0000-00003F4E0000}"/>
    <cellStyle name="Normal 15 2 2 7" xfId="31564" xr:uid="{00000000-0005-0000-0000-0000404E0000}"/>
    <cellStyle name="Normal 15 2 2_Additional Disclosures" xfId="16071" xr:uid="{00000000-0005-0000-0000-0000414E0000}"/>
    <cellStyle name="Normal 15 2 3" xfId="11707" xr:uid="{00000000-0005-0000-0000-0000424E0000}"/>
    <cellStyle name="Normal 15 2 3 2" xfId="23266" xr:uid="{00000000-0005-0000-0000-0000434E0000}"/>
    <cellStyle name="Normal 15 2 3 3" xfId="31565" xr:uid="{00000000-0005-0000-0000-0000444E0000}"/>
    <cellStyle name="Normal 15 2 3 4" xfId="33532" xr:uid="{00000000-0005-0000-0000-0000454E0000}"/>
    <cellStyle name="Normal 15 2 4" xfId="13672" xr:uid="{00000000-0005-0000-0000-0000464E0000}"/>
    <cellStyle name="Normal 15 2 4 2" xfId="23267" xr:uid="{00000000-0005-0000-0000-0000474E0000}"/>
    <cellStyle name="Normal 15 2 4 3" xfId="33497" xr:uid="{00000000-0005-0000-0000-0000484E0000}"/>
    <cellStyle name="Normal 15 2 5" xfId="14817" xr:uid="{00000000-0005-0000-0000-0000494E0000}"/>
    <cellStyle name="Normal 15 2 5 2" xfId="23268" xr:uid="{00000000-0005-0000-0000-00004A4E0000}"/>
    <cellStyle name="Normal 15 2 5 3" xfId="33623" xr:uid="{00000000-0005-0000-0000-00004B4E0000}"/>
    <cellStyle name="Normal 15 2 6" xfId="23261" xr:uid="{00000000-0005-0000-0000-00004C4E0000}"/>
    <cellStyle name="Normal 15 2 7" xfId="31566" xr:uid="{00000000-0005-0000-0000-00004D4E0000}"/>
    <cellStyle name="Normal 15 2 8" xfId="31567" xr:uid="{00000000-0005-0000-0000-00004E4E0000}"/>
    <cellStyle name="Normal 15 2 9" xfId="31568" xr:uid="{00000000-0005-0000-0000-00004F4E0000}"/>
    <cellStyle name="Normal 15 2_Additional Disclosures" xfId="16070" xr:uid="{00000000-0005-0000-0000-0000504E0000}"/>
    <cellStyle name="Normal 15 3" xfId="9144" xr:uid="{00000000-0005-0000-0000-0000514E0000}"/>
    <cellStyle name="Normal 15 3 2" xfId="10940" xr:uid="{00000000-0005-0000-0000-0000524E0000}"/>
    <cellStyle name="Normal 15 3 2 2" xfId="12360" xr:uid="{00000000-0005-0000-0000-0000534E0000}"/>
    <cellStyle name="Normal 15 3 2 2 2" xfId="23271" xr:uid="{00000000-0005-0000-0000-0000544E0000}"/>
    <cellStyle name="Normal 15 3 2 3" xfId="23270" xr:uid="{00000000-0005-0000-0000-0000554E0000}"/>
    <cellStyle name="Normal 15 3 2 4" xfId="33788" xr:uid="{00000000-0005-0000-0000-0000564E0000}"/>
    <cellStyle name="Normal 15 3 3" xfId="11708" xr:uid="{00000000-0005-0000-0000-0000574E0000}"/>
    <cellStyle name="Normal 15 3 3 2" xfId="23272" xr:uid="{00000000-0005-0000-0000-0000584E0000}"/>
    <cellStyle name="Normal 15 3 3 3" xfId="34016" xr:uid="{00000000-0005-0000-0000-0000594E0000}"/>
    <cellStyle name="Normal 15 3 4" xfId="13928" xr:uid="{00000000-0005-0000-0000-00005A4E0000}"/>
    <cellStyle name="Normal 15 3 4 2" xfId="23273" xr:uid="{00000000-0005-0000-0000-00005B4E0000}"/>
    <cellStyle name="Normal 15 3 4 3" xfId="34230" xr:uid="{00000000-0005-0000-0000-00005C4E0000}"/>
    <cellStyle name="Normal 15 3 5" xfId="15073" xr:uid="{00000000-0005-0000-0000-00005D4E0000}"/>
    <cellStyle name="Normal 15 3 5 2" xfId="23274" xr:uid="{00000000-0005-0000-0000-00005E4E0000}"/>
    <cellStyle name="Normal 15 3 6" xfId="23269" xr:uid="{00000000-0005-0000-0000-00005F4E0000}"/>
    <cellStyle name="Normal 15 3 7" xfId="31569" xr:uid="{00000000-0005-0000-0000-0000604E0000}"/>
    <cellStyle name="Normal 15 3 8" xfId="31570" xr:uid="{00000000-0005-0000-0000-0000614E0000}"/>
    <cellStyle name="Normal 15 3 9" xfId="33407" xr:uid="{00000000-0005-0000-0000-0000624E0000}"/>
    <cellStyle name="Normal 15 3_Additional Disclosures" xfId="16072" xr:uid="{00000000-0005-0000-0000-0000634E0000}"/>
    <cellStyle name="Normal 15 4" xfId="13417" xr:uid="{00000000-0005-0000-0000-0000644E0000}"/>
    <cellStyle name="Normal 15 4 2" xfId="23275" xr:uid="{00000000-0005-0000-0000-0000654E0000}"/>
    <cellStyle name="Normal 15 4 3" xfId="31571" xr:uid="{00000000-0005-0000-0000-0000664E0000}"/>
    <cellStyle name="Normal 15 5" xfId="14561" xr:uid="{00000000-0005-0000-0000-0000674E0000}"/>
    <cellStyle name="Normal 15 5 2" xfId="23276" xr:uid="{00000000-0005-0000-0000-0000684E0000}"/>
    <cellStyle name="Normal 15 6" xfId="23260" xr:uid="{00000000-0005-0000-0000-0000694E0000}"/>
    <cellStyle name="Normal 15 7" xfId="28817" xr:uid="{00000000-0005-0000-0000-00006A4E0000}"/>
    <cellStyle name="Normal 15 8" xfId="28723" xr:uid="{00000000-0005-0000-0000-00006B4E0000}"/>
    <cellStyle name="Normal 15 9" xfId="28818" xr:uid="{00000000-0005-0000-0000-00006C4E0000}"/>
    <cellStyle name="Normal 15_Additional Disclosures" xfId="16069" xr:uid="{00000000-0005-0000-0000-00006D4E0000}"/>
    <cellStyle name="Normal 150" xfId="9145" xr:uid="{00000000-0005-0000-0000-00006E4E0000}"/>
    <cellStyle name="Normal 150 2" xfId="9146" xr:uid="{00000000-0005-0000-0000-00006F4E0000}"/>
    <cellStyle name="Normal 150 2 2" xfId="10942" xr:uid="{00000000-0005-0000-0000-0000704E0000}"/>
    <cellStyle name="Normal 150 2 2 2" xfId="12362" xr:uid="{00000000-0005-0000-0000-0000714E0000}"/>
    <cellStyle name="Normal 150 2 2 2 2" xfId="23280" xr:uid="{00000000-0005-0000-0000-0000724E0000}"/>
    <cellStyle name="Normal 150 2 2 3" xfId="14304" xr:uid="{00000000-0005-0000-0000-0000734E0000}"/>
    <cellStyle name="Normal 150 2 2 3 2" xfId="23281" xr:uid="{00000000-0005-0000-0000-0000744E0000}"/>
    <cellStyle name="Normal 150 2 2 4" xfId="15448" xr:uid="{00000000-0005-0000-0000-0000754E0000}"/>
    <cellStyle name="Normal 150 2 2 4 2" xfId="23282" xr:uid="{00000000-0005-0000-0000-0000764E0000}"/>
    <cellStyle name="Normal 150 2 2 5" xfId="23279" xr:uid="{00000000-0005-0000-0000-0000774E0000}"/>
    <cellStyle name="Normal 150 2 2_Additional Disclosures" xfId="16075" xr:uid="{00000000-0005-0000-0000-0000784E0000}"/>
    <cellStyle name="Normal 150 2 3" xfId="11710" xr:uid="{00000000-0005-0000-0000-0000794E0000}"/>
    <cellStyle name="Normal 150 2 3 2" xfId="23283" xr:uid="{00000000-0005-0000-0000-00007A4E0000}"/>
    <cellStyle name="Normal 150 2 4" xfId="13793" xr:uid="{00000000-0005-0000-0000-00007B4E0000}"/>
    <cellStyle name="Normal 150 2 4 2" xfId="23284" xr:uid="{00000000-0005-0000-0000-00007C4E0000}"/>
    <cellStyle name="Normal 150 2 5" xfId="14938" xr:uid="{00000000-0005-0000-0000-00007D4E0000}"/>
    <cellStyle name="Normal 150 2 5 2" xfId="23285" xr:uid="{00000000-0005-0000-0000-00007E4E0000}"/>
    <cellStyle name="Normal 150 2 6" xfId="23278" xr:uid="{00000000-0005-0000-0000-00007F4E0000}"/>
    <cellStyle name="Normal 150 2_Additional Disclosures" xfId="16074" xr:uid="{00000000-0005-0000-0000-0000804E0000}"/>
    <cellStyle name="Normal 150 3" xfId="10941" xr:uid="{00000000-0005-0000-0000-0000814E0000}"/>
    <cellStyle name="Normal 150 3 2" xfId="12361" xr:uid="{00000000-0005-0000-0000-0000824E0000}"/>
    <cellStyle name="Normal 150 3 2 2" xfId="23287" xr:uid="{00000000-0005-0000-0000-0000834E0000}"/>
    <cellStyle name="Normal 150 3 3" xfId="14050" xr:uid="{00000000-0005-0000-0000-0000844E0000}"/>
    <cellStyle name="Normal 150 3 3 2" xfId="23288" xr:uid="{00000000-0005-0000-0000-0000854E0000}"/>
    <cellStyle name="Normal 150 3 4" xfId="15194" xr:uid="{00000000-0005-0000-0000-0000864E0000}"/>
    <cellStyle name="Normal 150 3 4 2" xfId="23289" xr:uid="{00000000-0005-0000-0000-0000874E0000}"/>
    <cellStyle name="Normal 150 3 5" xfId="23286" xr:uid="{00000000-0005-0000-0000-0000884E0000}"/>
    <cellStyle name="Normal 150 3_Additional Disclosures" xfId="16076" xr:uid="{00000000-0005-0000-0000-0000894E0000}"/>
    <cellStyle name="Normal 150 4" xfId="11709" xr:uid="{00000000-0005-0000-0000-00008A4E0000}"/>
    <cellStyle name="Normal 150 4 2" xfId="23290" xr:uid="{00000000-0005-0000-0000-00008B4E0000}"/>
    <cellStyle name="Normal 150 5" xfId="13539" xr:uid="{00000000-0005-0000-0000-00008C4E0000}"/>
    <cellStyle name="Normal 150 5 2" xfId="23291" xr:uid="{00000000-0005-0000-0000-00008D4E0000}"/>
    <cellStyle name="Normal 150 6" xfId="14684" xr:uid="{00000000-0005-0000-0000-00008E4E0000}"/>
    <cellStyle name="Normal 150 6 2" xfId="23292" xr:uid="{00000000-0005-0000-0000-00008F4E0000}"/>
    <cellStyle name="Normal 150 7" xfId="23277" xr:uid="{00000000-0005-0000-0000-0000904E0000}"/>
    <cellStyle name="Normal 150 8" xfId="31572" xr:uid="{00000000-0005-0000-0000-0000914E0000}"/>
    <cellStyle name="Normal 150_Additional Disclosures" xfId="16073" xr:uid="{00000000-0005-0000-0000-0000924E0000}"/>
    <cellStyle name="Normal 151" xfId="9147" xr:uid="{00000000-0005-0000-0000-0000934E0000}"/>
    <cellStyle name="Normal 151 2" xfId="9148" xr:uid="{00000000-0005-0000-0000-0000944E0000}"/>
    <cellStyle name="Normal 151 2 2" xfId="10944" xr:uid="{00000000-0005-0000-0000-0000954E0000}"/>
    <cellStyle name="Normal 151 2 2 2" xfId="12364" xr:uid="{00000000-0005-0000-0000-0000964E0000}"/>
    <cellStyle name="Normal 151 2 2 2 2" xfId="23296" xr:uid="{00000000-0005-0000-0000-0000974E0000}"/>
    <cellStyle name="Normal 151 2 2 3" xfId="14305" xr:uid="{00000000-0005-0000-0000-0000984E0000}"/>
    <cellStyle name="Normal 151 2 2 3 2" xfId="23297" xr:uid="{00000000-0005-0000-0000-0000994E0000}"/>
    <cellStyle name="Normal 151 2 2 4" xfId="15449" xr:uid="{00000000-0005-0000-0000-00009A4E0000}"/>
    <cellStyle name="Normal 151 2 2 4 2" xfId="23298" xr:uid="{00000000-0005-0000-0000-00009B4E0000}"/>
    <cellStyle name="Normal 151 2 2 5" xfId="23295" xr:uid="{00000000-0005-0000-0000-00009C4E0000}"/>
    <cellStyle name="Normal 151 2 2_Additional Disclosures" xfId="16079" xr:uid="{00000000-0005-0000-0000-00009D4E0000}"/>
    <cellStyle name="Normal 151 2 3" xfId="11712" xr:uid="{00000000-0005-0000-0000-00009E4E0000}"/>
    <cellStyle name="Normal 151 2 3 2" xfId="23299" xr:uid="{00000000-0005-0000-0000-00009F4E0000}"/>
    <cellStyle name="Normal 151 2 4" xfId="13794" xr:uid="{00000000-0005-0000-0000-0000A04E0000}"/>
    <cellStyle name="Normal 151 2 4 2" xfId="23300" xr:uid="{00000000-0005-0000-0000-0000A14E0000}"/>
    <cellStyle name="Normal 151 2 5" xfId="14939" xr:uid="{00000000-0005-0000-0000-0000A24E0000}"/>
    <cellStyle name="Normal 151 2 5 2" xfId="23301" xr:uid="{00000000-0005-0000-0000-0000A34E0000}"/>
    <cellStyle name="Normal 151 2 6" xfId="23294" xr:uid="{00000000-0005-0000-0000-0000A44E0000}"/>
    <cellStyle name="Normal 151 2_Additional Disclosures" xfId="16078" xr:uid="{00000000-0005-0000-0000-0000A54E0000}"/>
    <cellStyle name="Normal 151 3" xfId="10943" xr:uid="{00000000-0005-0000-0000-0000A64E0000}"/>
    <cellStyle name="Normal 151 3 2" xfId="12363" xr:uid="{00000000-0005-0000-0000-0000A74E0000}"/>
    <cellStyle name="Normal 151 3 2 2" xfId="23303" xr:uid="{00000000-0005-0000-0000-0000A84E0000}"/>
    <cellStyle name="Normal 151 3 3" xfId="14051" xr:uid="{00000000-0005-0000-0000-0000A94E0000}"/>
    <cellStyle name="Normal 151 3 3 2" xfId="23304" xr:uid="{00000000-0005-0000-0000-0000AA4E0000}"/>
    <cellStyle name="Normal 151 3 4" xfId="15195" xr:uid="{00000000-0005-0000-0000-0000AB4E0000}"/>
    <cellStyle name="Normal 151 3 4 2" xfId="23305" xr:uid="{00000000-0005-0000-0000-0000AC4E0000}"/>
    <cellStyle name="Normal 151 3 5" xfId="23302" xr:uid="{00000000-0005-0000-0000-0000AD4E0000}"/>
    <cellStyle name="Normal 151 3_Additional Disclosures" xfId="16080" xr:uid="{00000000-0005-0000-0000-0000AE4E0000}"/>
    <cellStyle name="Normal 151 4" xfId="11711" xr:uid="{00000000-0005-0000-0000-0000AF4E0000}"/>
    <cellStyle name="Normal 151 4 2" xfId="23306" xr:uid="{00000000-0005-0000-0000-0000B04E0000}"/>
    <cellStyle name="Normal 151 5" xfId="13540" xr:uid="{00000000-0005-0000-0000-0000B14E0000}"/>
    <cellStyle name="Normal 151 5 2" xfId="23307" xr:uid="{00000000-0005-0000-0000-0000B24E0000}"/>
    <cellStyle name="Normal 151 6" xfId="14685" xr:uid="{00000000-0005-0000-0000-0000B34E0000}"/>
    <cellStyle name="Normal 151 6 2" xfId="23308" xr:uid="{00000000-0005-0000-0000-0000B44E0000}"/>
    <cellStyle name="Normal 151 7" xfId="23293" xr:uid="{00000000-0005-0000-0000-0000B54E0000}"/>
    <cellStyle name="Normal 151 8" xfId="31573" xr:uid="{00000000-0005-0000-0000-0000B64E0000}"/>
    <cellStyle name="Normal 151_Additional Disclosures" xfId="16077" xr:uid="{00000000-0005-0000-0000-0000B74E0000}"/>
    <cellStyle name="Normal 152" xfId="9149" xr:uid="{00000000-0005-0000-0000-0000B84E0000}"/>
    <cellStyle name="Normal 152 2" xfId="9150" xr:uid="{00000000-0005-0000-0000-0000B94E0000}"/>
    <cellStyle name="Normal 152 2 2" xfId="10946" xr:uid="{00000000-0005-0000-0000-0000BA4E0000}"/>
    <cellStyle name="Normal 152 2 2 2" xfId="12366" xr:uid="{00000000-0005-0000-0000-0000BB4E0000}"/>
    <cellStyle name="Normal 152 2 2 2 2" xfId="14158" xr:uid="{00000000-0005-0000-0000-0000BC4E0000}"/>
    <cellStyle name="Normal 152 2 2 2 2 2" xfId="23313" xr:uid="{00000000-0005-0000-0000-0000BD4E0000}"/>
    <cellStyle name="Normal 152 2 2 2 3" xfId="15302" xr:uid="{00000000-0005-0000-0000-0000BE4E0000}"/>
    <cellStyle name="Normal 152 2 2 2 3 2" xfId="23314" xr:uid="{00000000-0005-0000-0000-0000BF4E0000}"/>
    <cellStyle name="Normal 152 2 2 2 4" xfId="23312" xr:uid="{00000000-0005-0000-0000-0000C04E0000}"/>
    <cellStyle name="Normal 152 2 2 2_Additional Disclosures" xfId="16084" xr:uid="{00000000-0005-0000-0000-0000C14E0000}"/>
    <cellStyle name="Normal 152 2 2 3" xfId="13647" xr:uid="{00000000-0005-0000-0000-0000C24E0000}"/>
    <cellStyle name="Normal 152 2 2 3 2" xfId="23315" xr:uid="{00000000-0005-0000-0000-0000C34E0000}"/>
    <cellStyle name="Normal 152 2 2 4" xfId="14792" xr:uid="{00000000-0005-0000-0000-0000C44E0000}"/>
    <cellStyle name="Normal 152 2 2 4 2" xfId="23316" xr:uid="{00000000-0005-0000-0000-0000C54E0000}"/>
    <cellStyle name="Normal 152 2 2 5" xfId="23311" xr:uid="{00000000-0005-0000-0000-0000C64E0000}"/>
    <cellStyle name="Normal 152 2 2_Additional Disclosures" xfId="16083" xr:uid="{00000000-0005-0000-0000-0000C74E0000}"/>
    <cellStyle name="Normal 152 2 3" xfId="11714" xr:uid="{00000000-0005-0000-0000-0000C84E0000}"/>
    <cellStyle name="Normal 152 2 3 2" xfId="13903" xr:uid="{00000000-0005-0000-0000-0000C94E0000}"/>
    <cellStyle name="Normal 152 2 3 2 2" xfId="23318" xr:uid="{00000000-0005-0000-0000-0000CA4E0000}"/>
    <cellStyle name="Normal 152 2 3 3" xfId="15048" xr:uid="{00000000-0005-0000-0000-0000CB4E0000}"/>
    <cellStyle name="Normal 152 2 3 3 2" xfId="23319" xr:uid="{00000000-0005-0000-0000-0000CC4E0000}"/>
    <cellStyle name="Normal 152 2 3 4" xfId="23317" xr:uid="{00000000-0005-0000-0000-0000CD4E0000}"/>
    <cellStyle name="Normal 152 2 3_Additional Disclosures" xfId="16085" xr:uid="{00000000-0005-0000-0000-0000CE4E0000}"/>
    <cellStyle name="Normal 152 2 4" xfId="13392" xr:uid="{00000000-0005-0000-0000-0000CF4E0000}"/>
    <cellStyle name="Normal 152 2 4 2" xfId="23320" xr:uid="{00000000-0005-0000-0000-0000D04E0000}"/>
    <cellStyle name="Normal 152 2 5" xfId="14536" xr:uid="{00000000-0005-0000-0000-0000D14E0000}"/>
    <cellStyle name="Normal 152 2 5 2" xfId="23321" xr:uid="{00000000-0005-0000-0000-0000D24E0000}"/>
    <cellStyle name="Normal 152 2 6" xfId="23310" xr:uid="{00000000-0005-0000-0000-0000D34E0000}"/>
    <cellStyle name="Normal 152 2_Additional Disclosures" xfId="16082" xr:uid="{00000000-0005-0000-0000-0000D44E0000}"/>
    <cellStyle name="Normal 152 3" xfId="10945" xr:uid="{00000000-0005-0000-0000-0000D54E0000}"/>
    <cellStyle name="Normal 152 3 2" xfId="12365" xr:uid="{00000000-0005-0000-0000-0000D64E0000}"/>
    <cellStyle name="Normal 152 3 2 2" xfId="14118" xr:uid="{00000000-0005-0000-0000-0000D74E0000}"/>
    <cellStyle name="Normal 152 3 2 2 2" xfId="23324" xr:uid="{00000000-0005-0000-0000-0000D84E0000}"/>
    <cellStyle name="Normal 152 3 2 3" xfId="15262" xr:uid="{00000000-0005-0000-0000-0000D94E0000}"/>
    <cellStyle name="Normal 152 3 2 3 2" xfId="23325" xr:uid="{00000000-0005-0000-0000-0000DA4E0000}"/>
    <cellStyle name="Normal 152 3 2 4" xfId="23323" xr:uid="{00000000-0005-0000-0000-0000DB4E0000}"/>
    <cellStyle name="Normal 152 3 2_Additional Disclosures" xfId="16087" xr:uid="{00000000-0005-0000-0000-0000DC4E0000}"/>
    <cellStyle name="Normal 152 3 3" xfId="13607" xr:uid="{00000000-0005-0000-0000-0000DD4E0000}"/>
    <cellStyle name="Normal 152 3 3 2" xfId="23326" xr:uid="{00000000-0005-0000-0000-0000DE4E0000}"/>
    <cellStyle name="Normal 152 3 4" xfId="14752" xr:uid="{00000000-0005-0000-0000-0000DF4E0000}"/>
    <cellStyle name="Normal 152 3 4 2" xfId="23327" xr:uid="{00000000-0005-0000-0000-0000E04E0000}"/>
    <cellStyle name="Normal 152 3 5" xfId="23322" xr:uid="{00000000-0005-0000-0000-0000E14E0000}"/>
    <cellStyle name="Normal 152 3_Additional Disclosures" xfId="16086" xr:uid="{00000000-0005-0000-0000-0000E24E0000}"/>
    <cellStyle name="Normal 152 4" xfId="11713" xr:uid="{00000000-0005-0000-0000-0000E34E0000}"/>
    <cellStyle name="Normal 152 4 2" xfId="13863" xr:uid="{00000000-0005-0000-0000-0000E44E0000}"/>
    <cellStyle name="Normal 152 4 2 2" xfId="23329" xr:uid="{00000000-0005-0000-0000-0000E54E0000}"/>
    <cellStyle name="Normal 152 4 3" xfId="15008" xr:uid="{00000000-0005-0000-0000-0000E64E0000}"/>
    <cellStyle name="Normal 152 4 3 2" xfId="23330" xr:uid="{00000000-0005-0000-0000-0000E74E0000}"/>
    <cellStyle name="Normal 152 4 4" xfId="23328" xr:uid="{00000000-0005-0000-0000-0000E84E0000}"/>
    <cellStyle name="Normal 152 4_Additional Disclosures" xfId="16088" xr:uid="{00000000-0005-0000-0000-0000E94E0000}"/>
    <cellStyle name="Normal 152 5" xfId="13352" xr:uid="{00000000-0005-0000-0000-0000EA4E0000}"/>
    <cellStyle name="Normal 152 5 2" xfId="23331" xr:uid="{00000000-0005-0000-0000-0000EB4E0000}"/>
    <cellStyle name="Normal 152 6" xfId="14495" xr:uid="{00000000-0005-0000-0000-0000EC4E0000}"/>
    <cellStyle name="Normal 152 6 2" xfId="23332" xr:uid="{00000000-0005-0000-0000-0000ED4E0000}"/>
    <cellStyle name="Normal 152 7" xfId="23309" xr:uid="{00000000-0005-0000-0000-0000EE4E0000}"/>
    <cellStyle name="Normal 152 8" xfId="31574" xr:uid="{00000000-0005-0000-0000-0000EF4E0000}"/>
    <cellStyle name="Normal 152_Additional Disclosures" xfId="16081" xr:uid="{00000000-0005-0000-0000-0000F04E0000}"/>
    <cellStyle name="Normal 153" xfId="9151" xr:uid="{00000000-0005-0000-0000-0000F14E0000}"/>
    <cellStyle name="Normal 153 2" xfId="9152" xr:uid="{00000000-0005-0000-0000-0000F24E0000}"/>
    <cellStyle name="Normal 153 2 2" xfId="10948" xr:uid="{00000000-0005-0000-0000-0000F34E0000}"/>
    <cellStyle name="Normal 153 2 2 2" xfId="12368" xr:uid="{00000000-0005-0000-0000-0000F44E0000}"/>
    <cellStyle name="Normal 153 2 2 2 2" xfId="23336" xr:uid="{00000000-0005-0000-0000-0000F54E0000}"/>
    <cellStyle name="Normal 153 2 2 3" xfId="14306" xr:uid="{00000000-0005-0000-0000-0000F64E0000}"/>
    <cellStyle name="Normal 153 2 2 3 2" xfId="23337" xr:uid="{00000000-0005-0000-0000-0000F74E0000}"/>
    <cellStyle name="Normal 153 2 2 4" xfId="15450" xr:uid="{00000000-0005-0000-0000-0000F84E0000}"/>
    <cellStyle name="Normal 153 2 2 4 2" xfId="23338" xr:uid="{00000000-0005-0000-0000-0000F94E0000}"/>
    <cellStyle name="Normal 153 2 2 5" xfId="23335" xr:uid="{00000000-0005-0000-0000-0000FA4E0000}"/>
    <cellStyle name="Normal 153 2 2_Additional Disclosures" xfId="16091" xr:uid="{00000000-0005-0000-0000-0000FB4E0000}"/>
    <cellStyle name="Normal 153 2 3" xfId="11716" xr:uid="{00000000-0005-0000-0000-0000FC4E0000}"/>
    <cellStyle name="Normal 153 2 3 2" xfId="23339" xr:uid="{00000000-0005-0000-0000-0000FD4E0000}"/>
    <cellStyle name="Normal 153 2 4" xfId="13795" xr:uid="{00000000-0005-0000-0000-0000FE4E0000}"/>
    <cellStyle name="Normal 153 2 4 2" xfId="23340" xr:uid="{00000000-0005-0000-0000-0000FF4E0000}"/>
    <cellStyle name="Normal 153 2 5" xfId="14940" xr:uid="{00000000-0005-0000-0000-0000004F0000}"/>
    <cellStyle name="Normal 153 2 5 2" xfId="23341" xr:uid="{00000000-0005-0000-0000-0000014F0000}"/>
    <cellStyle name="Normal 153 2 6" xfId="23334" xr:uid="{00000000-0005-0000-0000-0000024F0000}"/>
    <cellStyle name="Normal 153 2_Additional Disclosures" xfId="16090" xr:uid="{00000000-0005-0000-0000-0000034F0000}"/>
    <cellStyle name="Normal 153 3" xfId="10947" xr:uid="{00000000-0005-0000-0000-0000044F0000}"/>
    <cellStyle name="Normal 153 3 2" xfId="12367" xr:uid="{00000000-0005-0000-0000-0000054F0000}"/>
    <cellStyle name="Normal 153 3 2 2" xfId="23343" xr:uid="{00000000-0005-0000-0000-0000064F0000}"/>
    <cellStyle name="Normal 153 3 3" xfId="14052" xr:uid="{00000000-0005-0000-0000-0000074F0000}"/>
    <cellStyle name="Normal 153 3 3 2" xfId="23344" xr:uid="{00000000-0005-0000-0000-0000084F0000}"/>
    <cellStyle name="Normal 153 3 4" xfId="15196" xr:uid="{00000000-0005-0000-0000-0000094F0000}"/>
    <cellStyle name="Normal 153 3 4 2" xfId="23345" xr:uid="{00000000-0005-0000-0000-00000A4F0000}"/>
    <cellStyle name="Normal 153 3 5" xfId="23342" xr:uid="{00000000-0005-0000-0000-00000B4F0000}"/>
    <cellStyle name="Normal 153 3_Additional Disclosures" xfId="16092" xr:uid="{00000000-0005-0000-0000-00000C4F0000}"/>
    <cellStyle name="Normal 153 4" xfId="11715" xr:uid="{00000000-0005-0000-0000-00000D4F0000}"/>
    <cellStyle name="Normal 153 4 2" xfId="23346" xr:uid="{00000000-0005-0000-0000-00000E4F0000}"/>
    <cellStyle name="Normal 153 5" xfId="13541" xr:uid="{00000000-0005-0000-0000-00000F4F0000}"/>
    <cellStyle name="Normal 153 5 2" xfId="23347" xr:uid="{00000000-0005-0000-0000-0000104F0000}"/>
    <cellStyle name="Normal 153 6" xfId="14686" xr:uid="{00000000-0005-0000-0000-0000114F0000}"/>
    <cellStyle name="Normal 153 6 2" xfId="23348" xr:uid="{00000000-0005-0000-0000-0000124F0000}"/>
    <cellStyle name="Normal 153 7" xfId="23333" xr:uid="{00000000-0005-0000-0000-0000134F0000}"/>
    <cellStyle name="Normal 153 8" xfId="31575" xr:uid="{00000000-0005-0000-0000-0000144F0000}"/>
    <cellStyle name="Normal 153_Additional Disclosures" xfId="16089" xr:uid="{00000000-0005-0000-0000-0000154F0000}"/>
    <cellStyle name="Normal 154" xfId="9153" xr:uid="{00000000-0005-0000-0000-0000164F0000}"/>
    <cellStyle name="Normal 154 2" xfId="9154" xr:uid="{00000000-0005-0000-0000-0000174F0000}"/>
    <cellStyle name="Normal 154 2 2" xfId="10950" xr:uid="{00000000-0005-0000-0000-0000184F0000}"/>
    <cellStyle name="Normal 154 2 2 2" xfId="12370" xr:uid="{00000000-0005-0000-0000-0000194F0000}"/>
    <cellStyle name="Normal 154 2 2 2 2" xfId="23352" xr:uid="{00000000-0005-0000-0000-00001A4F0000}"/>
    <cellStyle name="Normal 154 2 2 3" xfId="14307" xr:uid="{00000000-0005-0000-0000-00001B4F0000}"/>
    <cellStyle name="Normal 154 2 2 3 2" xfId="23353" xr:uid="{00000000-0005-0000-0000-00001C4F0000}"/>
    <cellStyle name="Normal 154 2 2 4" xfId="15451" xr:uid="{00000000-0005-0000-0000-00001D4F0000}"/>
    <cellStyle name="Normal 154 2 2 4 2" xfId="23354" xr:uid="{00000000-0005-0000-0000-00001E4F0000}"/>
    <cellStyle name="Normal 154 2 2 5" xfId="23351" xr:uid="{00000000-0005-0000-0000-00001F4F0000}"/>
    <cellStyle name="Normal 154 2 2_Additional Disclosures" xfId="16095" xr:uid="{00000000-0005-0000-0000-0000204F0000}"/>
    <cellStyle name="Normal 154 2 3" xfId="11718" xr:uid="{00000000-0005-0000-0000-0000214F0000}"/>
    <cellStyle name="Normal 154 2 3 2" xfId="23355" xr:uid="{00000000-0005-0000-0000-0000224F0000}"/>
    <cellStyle name="Normal 154 2 4" xfId="13796" xr:uid="{00000000-0005-0000-0000-0000234F0000}"/>
    <cellStyle name="Normal 154 2 4 2" xfId="23356" xr:uid="{00000000-0005-0000-0000-0000244F0000}"/>
    <cellStyle name="Normal 154 2 5" xfId="14941" xr:uid="{00000000-0005-0000-0000-0000254F0000}"/>
    <cellStyle name="Normal 154 2 5 2" xfId="23357" xr:uid="{00000000-0005-0000-0000-0000264F0000}"/>
    <cellStyle name="Normal 154 2 6" xfId="23350" xr:uid="{00000000-0005-0000-0000-0000274F0000}"/>
    <cellStyle name="Normal 154 2_Additional Disclosures" xfId="16094" xr:uid="{00000000-0005-0000-0000-0000284F0000}"/>
    <cellStyle name="Normal 154 3" xfId="10949" xr:uid="{00000000-0005-0000-0000-0000294F0000}"/>
    <cellStyle name="Normal 154 3 2" xfId="12369" xr:uid="{00000000-0005-0000-0000-00002A4F0000}"/>
    <cellStyle name="Normal 154 3 2 2" xfId="23359" xr:uid="{00000000-0005-0000-0000-00002B4F0000}"/>
    <cellStyle name="Normal 154 3 3" xfId="14053" xr:uid="{00000000-0005-0000-0000-00002C4F0000}"/>
    <cellStyle name="Normal 154 3 3 2" xfId="23360" xr:uid="{00000000-0005-0000-0000-00002D4F0000}"/>
    <cellStyle name="Normal 154 3 4" xfId="15197" xr:uid="{00000000-0005-0000-0000-00002E4F0000}"/>
    <cellStyle name="Normal 154 3 4 2" xfId="23361" xr:uid="{00000000-0005-0000-0000-00002F4F0000}"/>
    <cellStyle name="Normal 154 3 5" xfId="23358" xr:uid="{00000000-0005-0000-0000-0000304F0000}"/>
    <cellStyle name="Normal 154 3_Additional Disclosures" xfId="16096" xr:uid="{00000000-0005-0000-0000-0000314F0000}"/>
    <cellStyle name="Normal 154 4" xfId="11717" xr:uid="{00000000-0005-0000-0000-0000324F0000}"/>
    <cellStyle name="Normal 154 4 2" xfId="23362" xr:uid="{00000000-0005-0000-0000-0000334F0000}"/>
    <cellStyle name="Normal 154 5" xfId="13542" xr:uid="{00000000-0005-0000-0000-0000344F0000}"/>
    <cellStyle name="Normal 154 5 2" xfId="23363" xr:uid="{00000000-0005-0000-0000-0000354F0000}"/>
    <cellStyle name="Normal 154 6" xfId="14687" xr:uid="{00000000-0005-0000-0000-0000364F0000}"/>
    <cellStyle name="Normal 154 6 2" xfId="23364" xr:uid="{00000000-0005-0000-0000-0000374F0000}"/>
    <cellStyle name="Normal 154 7" xfId="23349" xr:uid="{00000000-0005-0000-0000-0000384F0000}"/>
    <cellStyle name="Normal 154 8" xfId="31576" xr:uid="{00000000-0005-0000-0000-0000394F0000}"/>
    <cellStyle name="Normal 154_Additional Disclosures" xfId="16093" xr:uid="{00000000-0005-0000-0000-00003A4F0000}"/>
    <cellStyle name="Normal 155" xfId="9155" xr:uid="{00000000-0005-0000-0000-00003B4F0000}"/>
    <cellStyle name="Normal 155 2" xfId="9156" xr:uid="{00000000-0005-0000-0000-00003C4F0000}"/>
    <cellStyle name="Normal 155 2 2" xfId="14308" xr:uid="{00000000-0005-0000-0000-00003D4F0000}"/>
    <cellStyle name="Normal 155 2 2 2" xfId="15452" xr:uid="{00000000-0005-0000-0000-00003E4F0000}"/>
    <cellStyle name="Normal 155 2 2 2 2" xfId="23368" xr:uid="{00000000-0005-0000-0000-00003F4F0000}"/>
    <cellStyle name="Normal 155 2 2 3" xfId="23367" xr:uid="{00000000-0005-0000-0000-0000404F0000}"/>
    <cellStyle name="Normal 155 2 2_Additional Disclosures" xfId="16099" xr:uid="{00000000-0005-0000-0000-0000414F0000}"/>
    <cellStyle name="Normal 155 2 3" xfId="13797" xr:uid="{00000000-0005-0000-0000-0000424F0000}"/>
    <cellStyle name="Normal 155 2 3 2" xfId="23369" xr:uid="{00000000-0005-0000-0000-0000434F0000}"/>
    <cellStyle name="Normal 155 2 4" xfId="14942" xr:uid="{00000000-0005-0000-0000-0000444F0000}"/>
    <cellStyle name="Normal 155 2 4 2" xfId="23370" xr:uid="{00000000-0005-0000-0000-0000454F0000}"/>
    <cellStyle name="Normal 155 2 5" xfId="23366" xr:uid="{00000000-0005-0000-0000-0000464F0000}"/>
    <cellStyle name="Normal 155 2 6" xfId="28819" xr:uid="{00000000-0005-0000-0000-0000474F0000}"/>
    <cellStyle name="Normal 155 2 7" xfId="28721" xr:uid="{00000000-0005-0000-0000-0000484F0000}"/>
    <cellStyle name="Normal 155 2 8" xfId="28821" xr:uid="{00000000-0005-0000-0000-0000494F0000}"/>
    <cellStyle name="Normal 155 2 9" xfId="28720" xr:uid="{00000000-0005-0000-0000-00004A4F0000}"/>
    <cellStyle name="Normal 155 2_Additional Disclosures" xfId="16098" xr:uid="{00000000-0005-0000-0000-00004B4F0000}"/>
    <cellStyle name="Normal 155 3" xfId="9157" xr:uid="{00000000-0005-0000-0000-00004C4F0000}"/>
    <cellStyle name="Normal 155 3 2" xfId="10952" xr:uid="{00000000-0005-0000-0000-00004D4F0000}"/>
    <cellStyle name="Normal 155 3 2 2" xfId="12372" xr:uid="{00000000-0005-0000-0000-00004E4F0000}"/>
    <cellStyle name="Normal 155 3 2 2 2" xfId="23373" xr:uid="{00000000-0005-0000-0000-00004F4F0000}"/>
    <cellStyle name="Normal 155 3 2 3" xfId="23372" xr:uid="{00000000-0005-0000-0000-0000504F0000}"/>
    <cellStyle name="Normal 155 3 3" xfId="11720" xr:uid="{00000000-0005-0000-0000-0000514F0000}"/>
    <cellStyle name="Normal 155 3 3 2" xfId="23374" xr:uid="{00000000-0005-0000-0000-0000524F0000}"/>
    <cellStyle name="Normal 155 3 4" xfId="14054" xr:uid="{00000000-0005-0000-0000-0000534F0000}"/>
    <cellStyle name="Normal 155 3 4 2" xfId="23375" xr:uid="{00000000-0005-0000-0000-0000544F0000}"/>
    <cellStyle name="Normal 155 3 5" xfId="15198" xr:uid="{00000000-0005-0000-0000-0000554F0000}"/>
    <cellStyle name="Normal 155 3 5 2" xfId="23376" xr:uid="{00000000-0005-0000-0000-0000564F0000}"/>
    <cellStyle name="Normal 155 3 6" xfId="23371" xr:uid="{00000000-0005-0000-0000-0000574F0000}"/>
    <cellStyle name="Normal 155 3_Additional Disclosures" xfId="16100" xr:uid="{00000000-0005-0000-0000-0000584F0000}"/>
    <cellStyle name="Normal 155 4" xfId="10951" xr:uid="{00000000-0005-0000-0000-0000594F0000}"/>
    <cellStyle name="Normal 155 4 2" xfId="12371" xr:uid="{00000000-0005-0000-0000-00005A4F0000}"/>
    <cellStyle name="Normal 155 4 2 2" xfId="23378" xr:uid="{00000000-0005-0000-0000-00005B4F0000}"/>
    <cellStyle name="Normal 155 4 3" xfId="23377" xr:uid="{00000000-0005-0000-0000-00005C4F0000}"/>
    <cellStyle name="Normal 155 5" xfId="11719" xr:uid="{00000000-0005-0000-0000-00005D4F0000}"/>
    <cellStyle name="Normal 155 5 2" xfId="23379" xr:uid="{00000000-0005-0000-0000-00005E4F0000}"/>
    <cellStyle name="Normal 155 6" xfId="13543" xr:uid="{00000000-0005-0000-0000-00005F4F0000}"/>
    <cellStyle name="Normal 155 6 2" xfId="23380" xr:uid="{00000000-0005-0000-0000-0000604F0000}"/>
    <cellStyle name="Normal 155 7" xfId="14688" xr:uid="{00000000-0005-0000-0000-0000614F0000}"/>
    <cellStyle name="Normal 155 7 2" xfId="23381" xr:uid="{00000000-0005-0000-0000-0000624F0000}"/>
    <cellStyle name="Normal 155 8" xfId="23365" xr:uid="{00000000-0005-0000-0000-0000634F0000}"/>
    <cellStyle name="Normal 155 9" xfId="31577" xr:uid="{00000000-0005-0000-0000-0000644F0000}"/>
    <cellStyle name="Normal 155_Additional Disclosures" xfId="16097" xr:uid="{00000000-0005-0000-0000-0000654F0000}"/>
    <cellStyle name="Normal 156" xfId="9158" xr:uid="{00000000-0005-0000-0000-0000664F0000}"/>
    <cellStyle name="Normal 156 2" xfId="9159" xr:uid="{00000000-0005-0000-0000-0000674F0000}"/>
    <cellStyle name="Normal 156 2 10" xfId="28718" xr:uid="{00000000-0005-0000-0000-0000684F0000}"/>
    <cellStyle name="Normal 156 2 2" xfId="12230" xr:uid="{00000000-0005-0000-0000-0000694F0000}"/>
    <cellStyle name="Normal 156 2 2 2" xfId="14309" xr:uid="{00000000-0005-0000-0000-00006A4F0000}"/>
    <cellStyle name="Normal 156 2 2 2 2" xfId="23385" xr:uid="{00000000-0005-0000-0000-00006B4F0000}"/>
    <cellStyle name="Normal 156 2 2 3" xfId="15453" xr:uid="{00000000-0005-0000-0000-00006C4F0000}"/>
    <cellStyle name="Normal 156 2 2 3 2" xfId="23386" xr:uid="{00000000-0005-0000-0000-00006D4F0000}"/>
    <cellStyle name="Normal 156 2 2 4" xfId="23384" xr:uid="{00000000-0005-0000-0000-00006E4F0000}"/>
    <cellStyle name="Normal 156 2 2_Additional Disclosures" xfId="16103" xr:uid="{00000000-0005-0000-0000-00006F4F0000}"/>
    <cellStyle name="Normal 156 2 3" xfId="12231" xr:uid="{00000000-0005-0000-0000-0000704F0000}"/>
    <cellStyle name="Normal 156 2 3 2" xfId="23387" xr:uid="{00000000-0005-0000-0000-0000714F0000}"/>
    <cellStyle name="Normal 156 2 4" xfId="13798" xr:uid="{00000000-0005-0000-0000-0000724F0000}"/>
    <cellStyle name="Normal 156 2 4 2" xfId="23388" xr:uid="{00000000-0005-0000-0000-0000734F0000}"/>
    <cellStyle name="Normal 156 2 5" xfId="14943" xr:uid="{00000000-0005-0000-0000-0000744F0000}"/>
    <cellStyle name="Normal 156 2 5 2" xfId="23389" xr:uid="{00000000-0005-0000-0000-0000754F0000}"/>
    <cellStyle name="Normal 156 2 6" xfId="23383" xr:uid="{00000000-0005-0000-0000-0000764F0000}"/>
    <cellStyle name="Normal 156 2 7" xfId="28820" xr:uid="{00000000-0005-0000-0000-0000774F0000}"/>
    <cellStyle name="Normal 156 2 8" xfId="28719" xr:uid="{00000000-0005-0000-0000-0000784F0000}"/>
    <cellStyle name="Normal 156 2 9" xfId="28823" xr:uid="{00000000-0005-0000-0000-0000794F0000}"/>
    <cellStyle name="Normal 156 2_Additional Disclosures" xfId="16102" xr:uid="{00000000-0005-0000-0000-00007A4F0000}"/>
    <cellStyle name="Normal 156 3" xfId="9160" xr:uid="{00000000-0005-0000-0000-00007B4F0000}"/>
    <cellStyle name="Normal 156 3 2" xfId="10954" xr:uid="{00000000-0005-0000-0000-00007C4F0000}"/>
    <cellStyle name="Normal 156 3 2 2" xfId="12374" xr:uid="{00000000-0005-0000-0000-00007D4F0000}"/>
    <cellStyle name="Normal 156 3 2 2 2" xfId="23392" xr:uid="{00000000-0005-0000-0000-00007E4F0000}"/>
    <cellStyle name="Normal 156 3 2 3" xfId="23391" xr:uid="{00000000-0005-0000-0000-00007F4F0000}"/>
    <cellStyle name="Normal 156 3 3" xfId="11722" xr:uid="{00000000-0005-0000-0000-0000804F0000}"/>
    <cellStyle name="Normal 156 3 3 2" xfId="23393" xr:uid="{00000000-0005-0000-0000-0000814F0000}"/>
    <cellStyle name="Normal 156 3 4" xfId="14055" xr:uid="{00000000-0005-0000-0000-0000824F0000}"/>
    <cellStyle name="Normal 156 3 4 2" xfId="23394" xr:uid="{00000000-0005-0000-0000-0000834F0000}"/>
    <cellStyle name="Normal 156 3 5" xfId="15199" xr:uid="{00000000-0005-0000-0000-0000844F0000}"/>
    <cellStyle name="Normal 156 3 5 2" xfId="23395" xr:uid="{00000000-0005-0000-0000-0000854F0000}"/>
    <cellStyle name="Normal 156 3 6" xfId="23390" xr:uid="{00000000-0005-0000-0000-0000864F0000}"/>
    <cellStyle name="Normal 156 3_Additional Disclosures" xfId="16104" xr:uid="{00000000-0005-0000-0000-0000874F0000}"/>
    <cellStyle name="Normal 156 4" xfId="10953" xr:uid="{00000000-0005-0000-0000-0000884F0000}"/>
    <cellStyle name="Normal 156 4 2" xfId="12373" xr:uid="{00000000-0005-0000-0000-0000894F0000}"/>
    <cellStyle name="Normal 156 4 2 2" xfId="23397" xr:uid="{00000000-0005-0000-0000-00008A4F0000}"/>
    <cellStyle name="Normal 156 4 3" xfId="23396" xr:uid="{00000000-0005-0000-0000-00008B4F0000}"/>
    <cellStyle name="Normal 156 5" xfId="11721" xr:uid="{00000000-0005-0000-0000-00008C4F0000}"/>
    <cellStyle name="Normal 156 5 2" xfId="23398" xr:uid="{00000000-0005-0000-0000-00008D4F0000}"/>
    <cellStyle name="Normal 156 6" xfId="13544" xr:uid="{00000000-0005-0000-0000-00008E4F0000}"/>
    <cellStyle name="Normal 156 6 2" xfId="23399" xr:uid="{00000000-0005-0000-0000-00008F4F0000}"/>
    <cellStyle name="Normal 156 7" xfId="14689" xr:uid="{00000000-0005-0000-0000-0000904F0000}"/>
    <cellStyle name="Normal 156 7 2" xfId="23400" xr:uid="{00000000-0005-0000-0000-0000914F0000}"/>
    <cellStyle name="Normal 156 8" xfId="23382" xr:uid="{00000000-0005-0000-0000-0000924F0000}"/>
    <cellStyle name="Normal 156 9" xfId="31578" xr:uid="{00000000-0005-0000-0000-0000934F0000}"/>
    <cellStyle name="Normal 156_Additional Disclosures" xfId="16101" xr:uid="{00000000-0005-0000-0000-0000944F0000}"/>
    <cellStyle name="Normal 157" xfId="9161" xr:uid="{00000000-0005-0000-0000-0000954F0000}"/>
    <cellStyle name="Normal 157 10" xfId="31579" xr:uid="{00000000-0005-0000-0000-0000964F0000}"/>
    <cellStyle name="Normal 157 2" xfId="9162" xr:uid="{00000000-0005-0000-0000-0000974F0000}"/>
    <cellStyle name="Normal 157 2 2" xfId="14310" xr:uid="{00000000-0005-0000-0000-0000984F0000}"/>
    <cellStyle name="Normal 157 2 2 2" xfId="15454" xr:uid="{00000000-0005-0000-0000-0000994F0000}"/>
    <cellStyle name="Normal 157 2 2 2 2" xfId="23404" xr:uid="{00000000-0005-0000-0000-00009A4F0000}"/>
    <cellStyle name="Normal 157 2 2 3" xfId="23403" xr:uid="{00000000-0005-0000-0000-00009B4F0000}"/>
    <cellStyle name="Normal 157 2 2_Additional Disclosures" xfId="16107" xr:uid="{00000000-0005-0000-0000-00009C4F0000}"/>
    <cellStyle name="Normal 157 2 3" xfId="13799" xr:uid="{00000000-0005-0000-0000-00009D4F0000}"/>
    <cellStyle name="Normal 157 2 3 2" xfId="23405" xr:uid="{00000000-0005-0000-0000-00009E4F0000}"/>
    <cellStyle name="Normal 157 2 4" xfId="14944" xr:uid="{00000000-0005-0000-0000-00009F4F0000}"/>
    <cellStyle name="Normal 157 2 4 2" xfId="23406" xr:uid="{00000000-0005-0000-0000-0000A04F0000}"/>
    <cellStyle name="Normal 157 2 5" xfId="23402" xr:uid="{00000000-0005-0000-0000-0000A14F0000}"/>
    <cellStyle name="Normal 157 2 6" xfId="28822" xr:uid="{00000000-0005-0000-0000-0000A24F0000}"/>
    <cellStyle name="Normal 157 2 7" xfId="28717" xr:uid="{00000000-0005-0000-0000-0000A34F0000}"/>
    <cellStyle name="Normal 157 2 8" xfId="28825" xr:uid="{00000000-0005-0000-0000-0000A44F0000}"/>
    <cellStyle name="Normal 157 2 9" xfId="28715" xr:uid="{00000000-0005-0000-0000-0000A54F0000}"/>
    <cellStyle name="Normal 157 2_Additional Disclosures" xfId="16106" xr:uid="{00000000-0005-0000-0000-0000A64F0000}"/>
    <cellStyle name="Normal 157 3" xfId="9163" xr:uid="{00000000-0005-0000-0000-0000A74F0000}"/>
    <cellStyle name="Normal 157 3 2" xfId="14056" xr:uid="{00000000-0005-0000-0000-0000A84F0000}"/>
    <cellStyle name="Normal 157 3 2 2" xfId="23408" xr:uid="{00000000-0005-0000-0000-0000A94F0000}"/>
    <cellStyle name="Normal 157 3 3" xfId="15200" xr:uid="{00000000-0005-0000-0000-0000AA4F0000}"/>
    <cellStyle name="Normal 157 3 3 2" xfId="23409" xr:uid="{00000000-0005-0000-0000-0000AB4F0000}"/>
    <cellStyle name="Normal 157 3 4" xfId="23407" xr:uid="{00000000-0005-0000-0000-0000AC4F0000}"/>
    <cellStyle name="Normal 157 3_Additional Disclosures" xfId="16108" xr:uid="{00000000-0005-0000-0000-0000AD4F0000}"/>
    <cellStyle name="Normal 157 4" xfId="9164" xr:uid="{00000000-0005-0000-0000-0000AE4F0000}"/>
    <cellStyle name="Normal 157 4 2" xfId="10956" xr:uid="{00000000-0005-0000-0000-0000AF4F0000}"/>
    <cellStyle name="Normal 157 4 2 2" xfId="12376" xr:uid="{00000000-0005-0000-0000-0000B04F0000}"/>
    <cellStyle name="Normal 157 4 2 2 2" xfId="23412" xr:uid="{00000000-0005-0000-0000-0000B14F0000}"/>
    <cellStyle name="Normal 157 4 2 3" xfId="23411" xr:uid="{00000000-0005-0000-0000-0000B24F0000}"/>
    <cellStyle name="Normal 157 4 3" xfId="11724" xr:uid="{00000000-0005-0000-0000-0000B34F0000}"/>
    <cellStyle name="Normal 157 4 3 2" xfId="23413" xr:uid="{00000000-0005-0000-0000-0000B44F0000}"/>
    <cellStyle name="Normal 157 4 4" xfId="23410" xr:uid="{00000000-0005-0000-0000-0000B54F0000}"/>
    <cellStyle name="Normal 157 5" xfId="10955" xr:uid="{00000000-0005-0000-0000-0000B64F0000}"/>
    <cellStyle name="Normal 157 5 2" xfId="12375" xr:uid="{00000000-0005-0000-0000-0000B74F0000}"/>
    <cellStyle name="Normal 157 5 2 2" xfId="23415" xr:uid="{00000000-0005-0000-0000-0000B84F0000}"/>
    <cellStyle name="Normal 157 5 3" xfId="23414" xr:uid="{00000000-0005-0000-0000-0000B94F0000}"/>
    <cellStyle name="Normal 157 6" xfId="11723" xr:uid="{00000000-0005-0000-0000-0000BA4F0000}"/>
    <cellStyle name="Normal 157 6 2" xfId="23416" xr:uid="{00000000-0005-0000-0000-0000BB4F0000}"/>
    <cellStyle name="Normal 157 7" xfId="13545" xr:uid="{00000000-0005-0000-0000-0000BC4F0000}"/>
    <cellStyle name="Normal 157 7 2" xfId="23417" xr:uid="{00000000-0005-0000-0000-0000BD4F0000}"/>
    <cellStyle name="Normal 157 8" xfId="14690" xr:uid="{00000000-0005-0000-0000-0000BE4F0000}"/>
    <cellStyle name="Normal 157 8 2" xfId="23418" xr:uid="{00000000-0005-0000-0000-0000BF4F0000}"/>
    <cellStyle name="Normal 157 9" xfId="23401" xr:uid="{00000000-0005-0000-0000-0000C04F0000}"/>
    <cellStyle name="Normal 157_Additional Disclosures" xfId="16105" xr:uid="{00000000-0005-0000-0000-0000C14F0000}"/>
    <cellStyle name="Normal 158" xfId="9165" xr:uid="{00000000-0005-0000-0000-0000C24F0000}"/>
    <cellStyle name="Normal 158 2" xfId="9166" xr:uid="{00000000-0005-0000-0000-0000C34F0000}"/>
    <cellStyle name="Normal 158 2 2" xfId="14311" xr:uid="{00000000-0005-0000-0000-0000C44F0000}"/>
    <cellStyle name="Normal 158 2 2 2" xfId="15455" xr:uid="{00000000-0005-0000-0000-0000C54F0000}"/>
    <cellStyle name="Normal 158 2 2 2 2" xfId="23422" xr:uid="{00000000-0005-0000-0000-0000C64F0000}"/>
    <cellStyle name="Normal 158 2 2 3" xfId="23421" xr:uid="{00000000-0005-0000-0000-0000C74F0000}"/>
    <cellStyle name="Normal 158 2 2_Additional Disclosures" xfId="16111" xr:uid="{00000000-0005-0000-0000-0000C84F0000}"/>
    <cellStyle name="Normal 158 2 3" xfId="13800" xr:uid="{00000000-0005-0000-0000-0000C94F0000}"/>
    <cellStyle name="Normal 158 2 3 2" xfId="23423" xr:uid="{00000000-0005-0000-0000-0000CA4F0000}"/>
    <cellStyle name="Normal 158 2 4" xfId="14945" xr:uid="{00000000-0005-0000-0000-0000CB4F0000}"/>
    <cellStyle name="Normal 158 2 4 2" xfId="23424" xr:uid="{00000000-0005-0000-0000-0000CC4F0000}"/>
    <cellStyle name="Normal 158 2 5" xfId="23420" xr:uid="{00000000-0005-0000-0000-0000CD4F0000}"/>
    <cellStyle name="Normal 158 2 6" xfId="28824" xr:uid="{00000000-0005-0000-0000-0000CE4F0000}"/>
    <cellStyle name="Normal 158 2 7" xfId="28716" xr:uid="{00000000-0005-0000-0000-0000CF4F0000}"/>
    <cellStyle name="Normal 158 2 8" xfId="28828" xr:uid="{00000000-0005-0000-0000-0000D04F0000}"/>
    <cellStyle name="Normal 158 2 9" xfId="28712" xr:uid="{00000000-0005-0000-0000-0000D14F0000}"/>
    <cellStyle name="Normal 158 2_Additional Disclosures" xfId="16110" xr:uid="{00000000-0005-0000-0000-0000D24F0000}"/>
    <cellStyle name="Normal 158 3" xfId="9167" xr:uid="{00000000-0005-0000-0000-0000D34F0000}"/>
    <cellStyle name="Normal 158 3 2" xfId="10958" xr:uid="{00000000-0005-0000-0000-0000D44F0000}"/>
    <cellStyle name="Normal 158 3 2 2" xfId="12378" xr:uid="{00000000-0005-0000-0000-0000D54F0000}"/>
    <cellStyle name="Normal 158 3 2 2 2" xfId="23427" xr:uid="{00000000-0005-0000-0000-0000D64F0000}"/>
    <cellStyle name="Normal 158 3 2 3" xfId="23426" xr:uid="{00000000-0005-0000-0000-0000D74F0000}"/>
    <cellStyle name="Normal 158 3 3" xfId="11726" xr:uid="{00000000-0005-0000-0000-0000D84F0000}"/>
    <cellStyle name="Normal 158 3 3 2" xfId="23428" xr:uid="{00000000-0005-0000-0000-0000D94F0000}"/>
    <cellStyle name="Normal 158 3 4" xfId="14057" xr:uid="{00000000-0005-0000-0000-0000DA4F0000}"/>
    <cellStyle name="Normal 158 3 4 2" xfId="23429" xr:uid="{00000000-0005-0000-0000-0000DB4F0000}"/>
    <cellStyle name="Normal 158 3 5" xfId="15201" xr:uid="{00000000-0005-0000-0000-0000DC4F0000}"/>
    <cellStyle name="Normal 158 3 5 2" xfId="23430" xr:uid="{00000000-0005-0000-0000-0000DD4F0000}"/>
    <cellStyle name="Normal 158 3 6" xfId="23425" xr:uid="{00000000-0005-0000-0000-0000DE4F0000}"/>
    <cellStyle name="Normal 158 3_Additional Disclosures" xfId="16112" xr:uid="{00000000-0005-0000-0000-0000DF4F0000}"/>
    <cellStyle name="Normal 158 4" xfId="10957" xr:uid="{00000000-0005-0000-0000-0000E04F0000}"/>
    <cellStyle name="Normal 158 4 2" xfId="12377" xr:uid="{00000000-0005-0000-0000-0000E14F0000}"/>
    <cellStyle name="Normal 158 4 2 2" xfId="23432" xr:uid="{00000000-0005-0000-0000-0000E24F0000}"/>
    <cellStyle name="Normal 158 4 3" xfId="23431" xr:uid="{00000000-0005-0000-0000-0000E34F0000}"/>
    <cellStyle name="Normal 158 5" xfId="11725" xr:uid="{00000000-0005-0000-0000-0000E44F0000}"/>
    <cellStyle name="Normal 158 5 2" xfId="23433" xr:uid="{00000000-0005-0000-0000-0000E54F0000}"/>
    <cellStyle name="Normal 158 6" xfId="13546" xr:uid="{00000000-0005-0000-0000-0000E64F0000}"/>
    <cellStyle name="Normal 158 6 2" xfId="23434" xr:uid="{00000000-0005-0000-0000-0000E74F0000}"/>
    <cellStyle name="Normal 158 7" xfId="14691" xr:uid="{00000000-0005-0000-0000-0000E84F0000}"/>
    <cellStyle name="Normal 158 7 2" xfId="23435" xr:uid="{00000000-0005-0000-0000-0000E94F0000}"/>
    <cellStyle name="Normal 158 8" xfId="23419" xr:uid="{00000000-0005-0000-0000-0000EA4F0000}"/>
    <cellStyle name="Normal 158 9" xfId="31580" xr:uid="{00000000-0005-0000-0000-0000EB4F0000}"/>
    <cellStyle name="Normal 158_Additional Disclosures" xfId="16109" xr:uid="{00000000-0005-0000-0000-0000EC4F0000}"/>
    <cellStyle name="Normal 159" xfId="9168" xr:uid="{00000000-0005-0000-0000-0000ED4F0000}"/>
    <cellStyle name="Normal 159 10" xfId="28830" xr:uid="{00000000-0005-0000-0000-0000EE4F0000}"/>
    <cellStyle name="Normal 159 11" xfId="31581" xr:uid="{00000000-0005-0000-0000-0000EF4F0000}"/>
    <cellStyle name="Normal 159 2" xfId="9169" xr:uid="{00000000-0005-0000-0000-0000F04F0000}"/>
    <cellStyle name="Normal 159 2 10" xfId="28710" xr:uid="{00000000-0005-0000-0000-0000F14F0000}"/>
    <cellStyle name="Normal 159 2 2" xfId="12227" xr:uid="{00000000-0005-0000-0000-0000F24F0000}"/>
    <cellStyle name="Normal 159 2 2 2" xfId="14312" xr:uid="{00000000-0005-0000-0000-0000F34F0000}"/>
    <cellStyle name="Normal 159 2 2 2 2" xfId="23439" xr:uid="{00000000-0005-0000-0000-0000F44F0000}"/>
    <cellStyle name="Normal 159 2 2 3" xfId="15456" xr:uid="{00000000-0005-0000-0000-0000F54F0000}"/>
    <cellStyle name="Normal 159 2 2 3 2" xfId="23440" xr:uid="{00000000-0005-0000-0000-0000F64F0000}"/>
    <cellStyle name="Normal 159 2 2 4" xfId="23438" xr:uid="{00000000-0005-0000-0000-0000F74F0000}"/>
    <cellStyle name="Normal 159 2 2_Additional Disclosures" xfId="16115" xr:uid="{00000000-0005-0000-0000-0000F84F0000}"/>
    <cellStyle name="Normal 159 2 3" xfId="12228" xr:uid="{00000000-0005-0000-0000-0000F94F0000}"/>
    <cellStyle name="Normal 159 2 3 2" xfId="23441" xr:uid="{00000000-0005-0000-0000-0000FA4F0000}"/>
    <cellStyle name="Normal 159 2 4" xfId="13801" xr:uid="{00000000-0005-0000-0000-0000FB4F0000}"/>
    <cellStyle name="Normal 159 2 4 2" xfId="23442" xr:uid="{00000000-0005-0000-0000-0000FC4F0000}"/>
    <cellStyle name="Normal 159 2 5" xfId="14946" xr:uid="{00000000-0005-0000-0000-0000FD4F0000}"/>
    <cellStyle name="Normal 159 2 5 2" xfId="23443" xr:uid="{00000000-0005-0000-0000-0000FE4F0000}"/>
    <cellStyle name="Normal 159 2 6" xfId="23437" xr:uid="{00000000-0005-0000-0000-0000FF4F0000}"/>
    <cellStyle name="Normal 159 2 7" xfId="28827" xr:uid="{00000000-0005-0000-0000-000000500000}"/>
    <cellStyle name="Normal 159 2 8" xfId="28713" xr:uid="{00000000-0005-0000-0000-000001500000}"/>
    <cellStyle name="Normal 159 2 9" xfId="28831" xr:uid="{00000000-0005-0000-0000-000002500000}"/>
    <cellStyle name="Normal 159 2_Additional Disclosures" xfId="16114" xr:uid="{00000000-0005-0000-0000-000003500000}"/>
    <cellStyle name="Normal 159 3" xfId="12226" xr:uid="{00000000-0005-0000-0000-000004500000}"/>
    <cellStyle name="Normal 159 3 2" xfId="14058" xr:uid="{00000000-0005-0000-0000-000005500000}"/>
    <cellStyle name="Normal 159 3 2 2" xfId="23445" xr:uid="{00000000-0005-0000-0000-000006500000}"/>
    <cellStyle name="Normal 159 3 3" xfId="15202" xr:uid="{00000000-0005-0000-0000-000007500000}"/>
    <cellStyle name="Normal 159 3 3 2" xfId="23446" xr:uid="{00000000-0005-0000-0000-000008500000}"/>
    <cellStyle name="Normal 159 3 4" xfId="23444" xr:uid="{00000000-0005-0000-0000-000009500000}"/>
    <cellStyle name="Normal 159 3_Additional Disclosures" xfId="16116" xr:uid="{00000000-0005-0000-0000-00000A500000}"/>
    <cellStyle name="Normal 159 4" xfId="12229" xr:uid="{00000000-0005-0000-0000-00000B500000}"/>
    <cellStyle name="Normal 159 4 2" xfId="23447" xr:uid="{00000000-0005-0000-0000-00000C500000}"/>
    <cellStyle name="Normal 159 5" xfId="13547" xr:uid="{00000000-0005-0000-0000-00000D500000}"/>
    <cellStyle name="Normal 159 5 2" xfId="23448" xr:uid="{00000000-0005-0000-0000-00000E500000}"/>
    <cellStyle name="Normal 159 6" xfId="14692" xr:uid="{00000000-0005-0000-0000-00000F500000}"/>
    <cellStyle name="Normal 159 6 2" xfId="23449" xr:uid="{00000000-0005-0000-0000-000010500000}"/>
    <cellStyle name="Normal 159 7" xfId="23436" xr:uid="{00000000-0005-0000-0000-000011500000}"/>
    <cellStyle name="Normal 159 8" xfId="28826" xr:uid="{00000000-0005-0000-0000-000012500000}"/>
    <cellStyle name="Normal 159 9" xfId="28714" xr:uid="{00000000-0005-0000-0000-000013500000}"/>
    <cellStyle name="Normal 159_Additional Disclosures" xfId="16113" xr:uid="{00000000-0005-0000-0000-000014500000}"/>
    <cellStyle name="Normal 16" xfId="548" xr:uid="{00000000-0005-0000-0000-000015500000}"/>
    <cellStyle name="Normal 16 10" xfId="28709" xr:uid="{00000000-0005-0000-0000-000016500000}"/>
    <cellStyle name="Normal 16 11" xfId="31582" xr:uid="{00000000-0005-0000-0000-000017500000}"/>
    <cellStyle name="Normal 16 12" xfId="31583" xr:uid="{00000000-0005-0000-0000-000018500000}"/>
    <cellStyle name="Normal 16 13" xfId="31584" xr:uid="{00000000-0005-0000-0000-000019500000}"/>
    <cellStyle name="Normal 16 2" xfId="9170" xr:uid="{00000000-0005-0000-0000-00001A500000}"/>
    <cellStyle name="Normal 16 2 10" xfId="33408" xr:uid="{00000000-0005-0000-0000-00001B500000}"/>
    <cellStyle name="Normal 16 2 2" xfId="10959" xr:uid="{00000000-0005-0000-0000-00001C500000}"/>
    <cellStyle name="Normal 16 2 2 2" xfId="12379" xr:uid="{00000000-0005-0000-0000-00001D500000}"/>
    <cellStyle name="Normal 16 2 2 2 2" xfId="23453" xr:uid="{00000000-0005-0000-0000-00001E500000}"/>
    <cellStyle name="Normal 16 2 2 3" xfId="14184" xr:uid="{00000000-0005-0000-0000-00001F500000}"/>
    <cellStyle name="Normal 16 2 2 3 2" xfId="23454" xr:uid="{00000000-0005-0000-0000-000020500000}"/>
    <cellStyle name="Normal 16 2 2 4" xfId="15328" xr:uid="{00000000-0005-0000-0000-000021500000}"/>
    <cellStyle name="Normal 16 2 2 4 2" xfId="23455" xr:uid="{00000000-0005-0000-0000-000022500000}"/>
    <cellStyle name="Normal 16 2 2 5" xfId="23452" xr:uid="{00000000-0005-0000-0000-000023500000}"/>
    <cellStyle name="Normal 16 2 2 6" xfId="33789" xr:uid="{00000000-0005-0000-0000-000024500000}"/>
    <cellStyle name="Normal 16 2 2_Additional Disclosures" xfId="16119" xr:uid="{00000000-0005-0000-0000-000025500000}"/>
    <cellStyle name="Normal 16 2 3" xfId="11727" xr:uid="{00000000-0005-0000-0000-000026500000}"/>
    <cellStyle name="Normal 16 2 3 2" xfId="23456" xr:uid="{00000000-0005-0000-0000-000027500000}"/>
    <cellStyle name="Normal 16 2 3 3" xfId="34017" xr:uid="{00000000-0005-0000-0000-000028500000}"/>
    <cellStyle name="Normal 16 2 4" xfId="13673" xr:uid="{00000000-0005-0000-0000-000029500000}"/>
    <cellStyle name="Normal 16 2 4 2" xfId="23457" xr:uid="{00000000-0005-0000-0000-00002A500000}"/>
    <cellStyle name="Normal 16 2 4 3" xfId="34231" xr:uid="{00000000-0005-0000-0000-00002B500000}"/>
    <cellStyle name="Normal 16 2 5" xfId="14818" xr:uid="{00000000-0005-0000-0000-00002C500000}"/>
    <cellStyle name="Normal 16 2 5 2" xfId="23458" xr:uid="{00000000-0005-0000-0000-00002D500000}"/>
    <cellStyle name="Normal 16 2 6" xfId="23451" xr:uid="{00000000-0005-0000-0000-00002E500000}"/>
    <cellStyle name="Normal 16 2 7" xfId="31585" xr:uid="{00000000-0005-0000-0000-00002F500000}"/>
    <cellStyle name="Normal 16 2 8" xfId="31586" xr:uid="{00000000-0005-0000-0000-000030500000}"/>
    <cellStyle name="Normal 16 2 9" xfId="31587" xr:uid="{00000000-0005-0000-0000-000031500000}"/>
    <cellStyle name="Normal 16 2_Additional Disclosures" xfId="16118" xr:uid="{00000000-0005-0000-0000-000032500000}"/>
    <cellStyle name="Normal 16 3" xfId="9171" xr:uid="{00000000-0005-0000-0000-000033500000}"/>
    <cellStyle name="Normal 16 3 2" xfId="10960" xr:uid="{00000000-0005-0000-0000-000034500000}"/>
    <cellStyle name="Normal 16 3 2 2" xfId="12380" xr:uid="{00000000-0005-0000-0000-000035500000}"/>
    <cellStyle name="Normal 16 3 2 2 2" xfId="23461" xr:uid="{00000000-0005-0000-0000-000036500000}"/>
    <cellStyle name="Normal 16 3 2 3" xfId="23460" xr:uid="{00000000-0005-0000-0000-000037500000}"/>
    <cellStyle name="Normal 16 3 3" xfId="11728" xr:uid="{00000000-0005-0000-0000-000038500000}"/>
    <cellStyle name="Normal 16 3 3 2" xfId="23462" xr:uid="{00000000-0005-0000-0000-000039500000}"/>
    <cellStyle name="Normal 16 3 4" xfId="13929" xr:uid="{00000000-0005-0000-0000-00003A500000}"/>
    <cellStyle name="Normal 16 3 4 2" xfId="23463" xr:uid="{00000000-0005-0000-0000-00003B500000}"/>
    <cellStyle name="Normal 16 3 5" xfId="15074" xr:uid="{00000000-0005-0000-0000-00003C500000}"/>
    <cellStyle name="Normal 16 3 5 2" xfId="23464" xr:uid="{00000000-0005-0000-0000-00003D500000}"/>
    <cellStyle name="Normal 16 3 6" xfId="23459" xr:uid="{00000000-0005-0000-0000-00003E500000}"/>
    <cellStyle name="Normal 16 3 7" xfId="31588" xr:uid="{00000000-0005-0000-0000-00003F500000}"/>
    <cellStyle name="Normal 16 3 8" xfId="31589" xr:uid="{00000000-0005-0000-0000-000040500000}"/>
    <cellStyle name="Normal 16 3_Additional Disclosures" xfId="16120" xr:uid="{00000000-0005-0000-0000-000041500000}"/>
    <cellStyle name="Normal 16 4" xfId="13418" xr:uid="{00000000-0005-0000-0000-000042500000}"/>
    <cellStyle name="Normal 16 4 2" xfId="23465" xr:uid="{00000000-0005-0000-0000-000043500000}"/>
    <cellStyle name="Normal 16 5" xfId="14562" xr:uid="{00000000-0005-0000-0000-000044500000}"/>
    <cellStyle name="Normal 16 5 2" xfId="23466" xr:uid="{00000000-0005-0000-0000-000045500000}"/>
    <cellStyle name="Normal 16 6" xfId="23450" xr:uid="{00000000-0005-0000-0000-000046500000}"/>
    <cellStyle name="Normal 16 7" xfId="28829" xr:uid="{00000000-0005-0000-0000-000047500000}"/>
    <cellStyle name="Normal 16 8" xfId="28711" xr:uid="{00000000-0005-0000-0000-000048500000}"/>
    <cellStyle name="Normal 16 9" xfId="28832" xr:uid="{00000000-0005-0000-0000-000049500000}"/>
    <cellStyle name="Normal 16_Additional Disclosures" xfId="16117" xr:uid="{00000000-0005-0000-0000-00004A500000}"/>
    <cellStyle name="Normal 160" xfId="9172" xr:uid="{00000000-0005-0000-0000-00004B500000}"/>
    <cellStyle name="Normal 160 10" xfId="34278" xr:uid="{00000000-0005-0000-0000-00004C500000}"/>
    <cellStyle name="Normal 160 2" xfId="9173" xr:uid="{00000000-0005-0000-0000-00004D500000}"/>
    <cellStyle name="Normal 160 2 2" xfId="10962" xr:uid="{00000000-0005-0000-0000-00004E500000}"/>
    <cellStyle name="Normal 160 2 2 2" xfId="12382" xr:uid="{00000000-0005-0000-0000-00004F500000}"/>
    <cellStyle name="Normal 160 2 2 2 2" xfId="14162" xr:uid="{00000000-0005-0000-0000-000050500000}"/>
    <cellStyle name="Normal 160 2 2 2 2 2" xfId="23471" xr:uid="{00000000-0005-0000-0000-000051500000}"/>
    <cellStyle name="Normal 160 2 2 2 3" xfId="15306" xr:uid="{00000000-0005-0000-0000-000052500000}"/>
    <cellStyle name="Normal 160 2 2 2 3 2" xfId="23472" xr:uid="{00000000-0005-0000-0000-000053500000}"/>
    <cellStyle name="Normal 160 2 2 2 4" xfId="23470" xr:uid="{00000000-0005-0000-0000-000054500000}"/>
    <cellStyle name="Normal 160 2 2 2_Additional Disclosures" xfId="16124" xr:uid="{00000000-0005-0000-0000-000055500000}"/>
    <cellStyle name="Normal 160 2 2 3" xfId="13651" xr:uid="{00000000-0005-0000-0000-000056500000}"/>
    <cellStyle name="Normal 160 2 2 3 2" xfId="23473" xr:uid="{00000000-0005-0000-0000-000057500000}"/>
    <cellStyle name="Normal 160 2 2 4" xfId="14796" xr:uid="{00000000-0005-0000-0000-000058500000}"/>
    <cellStyle name="Normal 160 2 2 4 2" xfId="23474" xr:uid="{00000000-0005-0000-0000-000059500000}"/>
    <cellStyle name="Normal 160 2 2 5" xfId="23469" xr:uid="{00000000-0005-0000-0000-00005A500000}"/>
    <cellStyle name="Normal 160 2 2_Additional Disclosures" xfId="16123" xr:uid="{00000000-0005-0000-0000-00005B500000}"/>
    <cellStyle name="Normal 160 2 3" xfId="11730" xr:uid="{00000000-0005-0000-0000-00005C500000}"/>
    <cellStyle name="Normal 160 2 3 2" xfId="13907" xr:uid="{00000000-0005-0000-0000-00005D500000}"/>
    <cellStyle name="Normal 160 2 3 2 2" xfId="23476" xr:uid="{00000000-0005-0000-0000-00005E500000}"/>
    <cellStyle name="Normal 160 2 3 3" xfId="15052" xr:uid="{00000000-0005-0000-0000-00005F500000}"/>
    <cellStyle name="Normal 160 2 3 3 2" xfId="23477" xr:uid="{00000000-0005-0000-0000-000060500000}"/>
    <cellStyle name="Normal 160 2 3 4" xfId="23475" xr:uid="{00000000-0005-0000-0000-000061500000}"/>
    <cellStyle name="Normal 160 2 3_Additional Disclosures" xfId="16125" xr:uid="{00000000-0005-0000-0000-000062500000}"/>
    <cellStyle name="Normal 160 2 4" xfId="13396" xr:uid="{00000000-0005-0000-0000-000063500000}"/>
    <cellStyle name="Normal 160 2 4 2" xfId="23478" xr:uid="{00000000-0005-0000-0000-000064500000}"/>
    <cellStyle name="Normal 160 2 5" xfId="14540" xr:uid="{00000000-0005-0000-0000-000065500000}"/>
    <cellStyle name="Normal 160 2 5 2" xfId="23479" xr:uid="{00000000-0005-0000-0000-000066500000}"/>
    <cellStyle name="Normal 160 2 6" xfId="23468" xr:uid="{00000000-0005-0000-0000-000067500000}"/>
    <cellStyle name="Normal 160 2 7" xfId="33753" xr:uid="{00000000-0005-0000-0000-000068500000}"/>
    <cellStyle name="Normal 160 2 8" xfId="34292" xr:uid="{00000000-0005-0000-0000-000069500000}"/>
    <cellStyle name="Normal 160 2_Additional Disclosures" xfId="16122" xr:uid="{00000000-0005-0000-0000-00006A500000}"/>
    <cellStyle name="Normal 160 3" xfId="10961" xr:uid="{00000000-0005-0000-0000-00006B500000}"/>
    <cellStyle name="Normal 160 3 2" xfId="12381" xr:uid="{00000000-0005-0000-0000-00006C500000}"/>
    <cellStyle name="Normal 160 3 2 2" xfId="14122" xr:uid="{00000000-0005-0000-0000-00006D500000}"/>
    <cellStyle name="Normal 160 3 2 2 2" xfId="23482" xr:uid="{00000000-0005-0000-0000-00006E500000}"/>
    <cellStyle name="Normal 160 3 2 3" xfId="15266" xr:uid="{00000000-0005-0000-0000-00006F500000}"/>
    <cellStyle name="Normal 160 3 2 3 2" xfId="23483" xr:uid="{00000000-0005-0000-0000-000070500000}"/>
    <cellStyle name="Normal 160 3 2 4" xfId="23481" xr:uid="{00000000-0005-0000-0000-000071500000}"/>
    <cellStyle name="Normal 160 3 2_Additional Disclosures" xfId="16127" xr:uid="{00000000-0005-0000-0000-000072500000}"/>
    <cellStyle name="Normal 160 3 3" xfId="13611" xr:uid="{00000000-0005-0000-0000-000073500000}"/>
    <cellStyle name="Normal 160 3 3 2" xfId="23484" xr:uid="{00000000-0005-0000-0000-000074500000}"/>
    <cellStyle name="Normal 160 3 4" xfId="14756" xr:uid="{00000000-0005-0000-0000-000075500000}"/>
    <cellStyle name="Normal 160 3 4 2" xfId="23485" xr:uid="{00000000-0005-0000-0000-000076500000}"/>
    <cellStyle name="Normal 160 3 5" xfId="23480" xr:uid="{00000000-0005-0000-0000-000077500000}"/>
    <cellStyle name="Normal 160 3 6" xfId="33981" xr:uid="{00000000-0005-0000-0000-000078500000}"/>
    <cellStyle name="Normal 160 3 7" xfId="34310" xr:uid="{00000000-0005-0000-0000-000079500000}"/>
    <cellStyle name="Normal 160 3_Additional Disclosures" xfId="16126" xr:uid="{00000000-0005-0000-0000-00007A500000}"/>
    <cellStyle name="Normal 160 4" xfId="11729" xr:uid="{00000000-0005-0000-0000-00007B500000}"/>
    <cellStyle name="Normal 160 4 2" xfId="13867" xr:uid="{00000000-0005-0000-0000-00007C500000}"/>
    <cellStyle name="Normal 160 4 2 2" xfId="23487" xr:uid="{00000000-0005-0000-0000-00007D500000}"/>
    <cellStyle name="Normal 160 4 3" xfId="15012" xr:uid="{00000000-0005-0000-0000-00007E500000}"/>
    <cellStyle name="Normal 160 4 3 2" xfId="23488" xr:uid="{00000000-0005-0000-0000-00007F500000}"/>
    <cellStyle name="Normal 160 4 4" xfId="23486" xr:uid="{00000000-0005-0000-0000-000080500000}"/>
    <cellStyle name="Normal 160 4 5" xfId="34195" xr:uid="{00000000-0005-0000-0000-000081500000}"/>
    <cellStyle name="Normal 160 4_Additional Disclosures" xfId="16128" xr:uid="{00000000-0005-0000-0000-000082500000}"/>
    <cellStyle name="Normal 160 5" xfId="13356" xr:uid="{00000000-0005-0000-0000-000083500000}"/>
    <cellStyle name="Normal 160 5 2" xfId="23489" xr:uid="{00000000-0005-0000-0000-000084500000}"/>
    <cellStyle name="Normal 160 6" xfId="14499" xr:uid="{00000000-0005-0000-0000-000085500000}"/>
    <cellStyle name="Normal 160 6 2" xfId="23490" xr:uid="{00000000-0005-0000-0000-000086500000}"/>
    <cellStyle name="Normal 160 7" xfId="23467" xr:uid="{00000000-0005-0000-0000-000087500000}"/>
    <cellStyle name="Normal 160 8" xfId="31590" xr:uid="{00000000-0005-0000-0000-000088500000}"/>
    <cellStyle name="Normal 160 9" xfId="33370" xr:uid="{00000000-0005-0000-0000-000089500000}"/>
    <cellStyle name="Normal 160_Additional Disclosures" xfId="16121" xr:uid="{00000000-0005-0000-0000-00008A500000}"/>
    <cellStyle name="Normal 161" xfId="9174" xr:uid="{00000000-0005-0000-0000-00008B500000}"/>
    <cellStyle name="Normal 161 10" xfId="28833" xr:uid="{00000000-0005-0000-0000-00008C500000}"/>
    <cellStyle name="Normal 161 11" xfId="31591" xr:uid="{00000000-0005-0000-0000-00008D500000}"/>
    <cellStyle name="Normal 161 2" xfId="9175" xr:uid="{00000000-0005-0000-0000-00008E500000}"/>
    <cellStyle name="Normal 161 2 10" xfId="28706" xr:uid="{00000000-0005-0000-0000-00008F500000}"/>
    <cellStyle name="Normal 161 2 2" xfId="12223" xr:uid="{00000000-0005-0000-0000-000090500000}"/>
    <cellStyle name="Normal 161 2 2 2" xfId="14313" xr:uid="{00000000-0005-0000-0000-000091500000}"/>
    <cellStyle name="Normal 161 2 2 2 2" xfId="23494" xr:uid="{00000000-0005-0000-0000-000092500000}"/>
    <cellStyle name="Normal 161 2 2 3" xfId="15457" xr:uid="{00000000-0005-0000-0000-000093500000}"/>
    <cellStyle name="Normal 161 2 2 3 2" xfId="23495" xr:uid="{00000000-0005-0000-0000-000094500000}"/>
    <cellStyle name="Normal 161 2 2 4" xfId="23493" xr:uid="{00000000-0005-0000-0000-000095500000}"/>
    <cellStyle name="Normal 161 2 2_Additional Disclosures" xfId="16131" xr:uid="{00000000-0005-0000-0000-000096500000}"/>
    <cellStyle name="Normal 161 2 3" xfId="12224" xr:uid="{00000000-0005-0000-0000-000097500000}"/>
    <cellStyle name="Normal 161 2 3 2" xfId="23496" xr:uid="{00000000-0005-0000-0000-000098500000}"/>
    <cellStyle name="Normal 161 2 4" xfId="13802" xr:uid="{00000000-0005-0000-0000-000099500000}"/>
    <cellStyle name="Normal 161 2 4 2" xfId="23497" xr:uid="{00000000-0005-0000-0000-00009A500000}"/>
    <cellStyle name="Normal 161 2 5" xfId="14947" xr:uid="{00000000-0005-0000-0000-00009B500000}"/>
    <cellStyle name="Normal 161 2 5 2" xfId="23498" xr:uid="{00000000-0005-0000-0000-00009C500000}"/>
    <cellStyle name="Normal 161 2 6" xfId="23492" xr:uid="{00000000-0005-0000-0000-00009D500000}"/>
    <cellStyle name="Normal 161 2 7" xfId="28834" xr:uid="{00000000-0005-0000-0000-00009E500000}"/>
    <cellStyle name="Normal 161 2 8" xfId="28708" xr:uid="{00000000-0005-0000-0000-00009F500000}"/>
    <cellStyle name="Normal 161 2 9" xfId="28836" xr:uid="{00000000-0005-0000-0000-0000A0500000}"/>
    <cellStyle name="Normal 161 2_Additional Disclosures" xfId="16130" xr:uid="{00000000-0005-0000-0000-0000A1500000}"/>
    <cellStyle name="Normal 161 3" xfId="9176" xr:uid="{00000000-0005-0000-0000-0000A2500000}"/>
    <cellStyle name="Normal 161 3 2" xfId="12222" xr:uid="{00000000-0005-0000-0000-0000A3500000}"/>
    <cellStyle name="Normal 161 3 2 2" xfId="23500" xr:uid="{00000000-0005-0000-0000-0000A4500000}"/>
    <cellStyle name="Normal 161 3 3" xfId="14059" xr:uid="{00000000-0005-0000-0000-0000A5500000}"/>
    <cellStyle name="Normal 161 3 3 2" xfId="23501" xr:uid="{00000000-0005-0000-0000-0000A6500000}"/>
    <cellStyle name="Normal 161 3 4" xfId="15203" xr:uid="{00000000-0005-0000-0000-0000A7500000}"/>
    <cellStyle name="Normal 161 3 4 2" xfId="23502" xr:uid="{00000000-0005-0000-0000-0000A8500000}"/>
    <cellStyle name="Normal 161 3 5" xfId="23499" xr:uid="{00000000-0005-0000-0000-0000A9500000}"/>
    <cellStyle name="Normal 161 3_Additional Disclosures" xfId="16132" xr:uid="{00000000-0005-0000-0000-0000AA500000}"/>
    <cellStyle name="Normal 161 4" xfId="9177" xr:uid="{00000000-0005-0000-0000-0000AB500000}"/>
    <cellStyle name="Normal 161 4 2" xfId="23503" xr:uid="{00000000-0005-0000-0000-0000AC500000}"/>
    <cellStyle name="Normal 161 5" xfId="9178" xr:uid="{00000000-0005-0000-0000-0000AD500000}"/>
    <cellStyle name="Normal 161 5 2" xfId="23504" xr:uid="{00000000-0005-0000-0000-0000AE500000}"/>
    <cellStyle name="Normal 161 6" xfId="12225" xr:uid="{00000000-0005-0000-0000-0000AF500000}"/>
    <cellStyle name="Normal 161 6 2" xfId="23505" xr:uid="{00000000-0005-0000-0000-0000B0500000}"/>
    <cellStyle name="Normal 161 7" xfId="13548" xr:uid="{00000000-0005-0000-0000-0000B1500000}"/>
    <cellStyle name="Normal 161 7 2" xfId="23506" xr:uid="{00000000-0005-0000-0000-0000B2500000}"/>
    <cellStyle name="Normal 161 8" xfId="14693" xr:uid="{00000000-0005-0000-0000-0000B3500000}"/>
    <cellStyle name="Normal 161 8 2" xfId="23507" xr:uid="{00000000-0005-0000-0000-0000B4500000}"/>
    <cellStyle name="Normal 161 9" xfId="23491" xr:uid="{00000000-0005-0000-0000-0000B5500000}"/>
    <cellStyle name="Normal 161_Additional Disclosures" xfId="16129" xr:uid="{00000000-0005-0000-0000-0000B6500000}"/>
    <cellStyle name="Normal 162" xfId="9179" xr:uid="{00000000-0005-0000-0000-0000B7500000}"/>
    <cellStyle name="Normal 162 10" xfId="33391" xr:uid="{00000000-0005-0000-0000-0000B8500000}"/>
    <cellStyle name="Normal 162 2" xfId="9180" xr:uid="{00000000-0005-0000-0000-0000B9500000}"/>
    <cellStyle name="Normal 162 2 10" xfId="28705" xr:uid="{00000000-0005-0000-0000-0000BA500000}"/>
    <cellStyle name="Normal 162 2 11" xfId="33772" xr:uid="{00000000-0005-0000-0000-0000BB500000}"/>
    <cellStyle name="Normal 162 2 2" xfId="12220" xr:uid="{00000000-0005-0000-0000-0000BC500000}"/>
    <cellStyle name="Normal 162 2 2 2" xfId="14144" xr:uid="{00000000-0005-0000-0000-0000BD500000}"/>
    <cellStyle name="Normal 162 2 2 2 2" xfId="15288" xr:uid="{00000000-0005-0000-0000-0000BE500000}"/>
    <cellStyle name="Normal 162 2 2 2 2 2" xfId="23512" xr:uid="{00000000-0005-0000-0000-0000BF500000}"/>
    <cellStyle name="Normal 162 2 2 2 3" xfId="23511" xr:uid="{00000000-0005-0000-0000-0000C0500000}"/>
    <cellStyle name="Normal 162 2 2 2_Additional Disclosures" xfId="16136" xr:uid="{00000000-0005-0000-0000-0000C1500000}"/>
    <cellStyle name="Normal 162 2 2 3" xfId="13633" xr:uid="{00000000-0005-0000-0000-0000C2500000}"/>
    <cellStyle name="Normal 162 2 2 3 2" xfId="23513" xr:uid="{00000000-0005-0000-0000-0000C3500000}"/>
    <cellStyle name="Normal 162 2 2 4" xfId="14778" xr:uid="{00000000-0005-0000-0000-0000C4500000}"/>
    <cellStyle name="Normal 162 2 2 4 2" xfId="23514" xr:uid="{00000000-0005-0000-0000-0000C5500000}"/>
    <cellStyle name="Normal 162 2 2 5" xfId="23510" xr:uid="{00000000-0005-0000-0000-0000C6500000}"/>
    <cellStyle name="Normal 162 2 2_Additional Disclosures" xfId="16135" xr:uid="{00000000-0005-0000-0000-0000C7500000}"/>
    <cellStyle name="Normal 162 2 3" xfId="12221" xr:uid="{00000000-0005-0000-0000-0000C8500000}"/>
    <cellStyle name="Normal 162 2 3 2" xfId="13889" xr:uid="{00000000-0005-0000-0000-0000C9500000}"/>
    <cellStyle name="Normal 162 2 3 2 2" xfId="23516" xr:uid="{00000000-0005-0000-0000-0000CA500000}"/>
    <cellStyle name="Normal 162 2 3 3" xfId="15034" xr:uid="{00000000-0005-0000-0000-0000CB500000}"/>
    <cellStyle name="Normal 162 2 3 3 2" xfId="23517" xr:uid="{00000000-0005-0000-0000-0000CC500000}"/>
    <cellStyle name="Normal 162 2 3 4" xfId="23515" xr:uid="{00000000-0005-0000-0000-0000CD500000}"/>
    <cellStyle name="Normal 162 2 3_Additional Disclosures" xfId="16137" xr:uid="{00000000-0005-0000-0000-0000CE500000}"/>
    <cellStyle name="Normal 162 2 4" xfId="13378" xr:uid="{00000000-0005-0000-0000-0000CF500000}"/>
    <cellStyle name="Normal 162 2 4 2" xfId="23518" xr:uid="{00000000-0005-0000-0000-0000D0500000}"/>
    <cellStyle name="Normal 162 2 5" xfId="14522" xr:uid="{00000000-0005-0000-0000-0000D1500000}"/>
    <cellStyle name="Normal 162 2 5 2" xfId="23519" xr:uid="{00000000-0005-0000-0000-0000D2500000}"/>
    <cellStyle name="Normal 162 2 6" xfId="23509" xr:uid="{00000000-0005-0000-0000-0000D3500000}"/>
    <cellStyle name="Normal 162 2 7" xfId="28835" xr:uid="{00000000-0005-0000-0000-0000D4500000}"/>
    <cellStyle name="Normal 162 2 8" xfId="28707" xr:uid="{00000000-0005-0000-0000-0000D5500000}"/>
    <cellStyle name="Normal 162 2 9" xfId="28837" xr:uid="{00000000-0005-0000-0000-0000D6500000}"/>
    <cellStyle name="Normal 162 2_Additional Disclosures" xfId="16134" xr:uid="{00000000-0005-0000-0000-0000D7500000}"/>
    <cellStyle name="Normal 162 3" xfId="9181" xr:uid="{00000000-0005-0000-0000-0000D8500000}"/>
    <cellStyle name="Normal 162 3 2" xfId="10964" xr:uid="{00000000-0005-0000-0000-0000D9500000}"/>
    <cellStyle name="Normal 162 3 2 2" xfId="12384" xr:uid="{00000000-0005-0000-0000-0000DA500000}"/>
    <cellStyle name="Normal 162 3 2 2 2" xfId="23522" xr:uid="{00000000-0005-0000-0000-0000DB500000}"/>
    <cellStyle name="Normal 162 3 2 3" xfId="14104" xr:uid="{00000000-0005-0000-0000-0000DC500000}"/>
    <cellStyle name="Normal 162 3 2 3 2" xfId="23523" xr:uid="{00000000-0005-0000-0000-0000DD500000}"/>
    <cellStyle name="Normal 162 3 2 4" xfId="15248" xr:uid="{00000000-0005-0000-0000-0000DE500000}"/>
    <cellStyle name="Normal 162 3 2 4 2" xfId="23524" xr:uid="{00000000-0005-0000-0000-0000DF500000}"/>
    <cellStyle name="Normal 162 3 2 5" xfId="23521" xr:uid="{00000000-0005-0000-0000-0000E0500000}"/>
    <cellStyle name="Normal 162 3 2_Additional Disclosures" xfId="16139" xr:uid="{00000000-0005-0000-0000-0000E1500000}"/>
    <cellStyle name="Normal 162 3 3" xfId="11732" xr:uid="{00000000-0005-0000-0000-0000E2500000}"/>
    <cellStyle name="Normal 162 3 3 2" xfId="23525" xr:uid="{00000000-0005-0000-0000-0000E3500000}"/>
    <cellStyle name="Normal 162 3 4" xfId="13593" xr:uid="{00000000-0005-0000-0000-0000E4500000}"/>
    <cellStyle name="Normal 162 3 4 2" xfId="23526" xr:uid="{00000000-0005-0000-0000-0000E5500000}"/>
    <cellStyle name="Normal 162 3 5" xfId="14738" xr:uid="{00000000-0005-0000-0000-0000E6500000}"/>
    <cellStyle name="Normal 162 3 5 2" xfId="23527" xr:uid="{00000000-0005-0000-0000-0000E7500000}"/>
    <cellStyle name="Normal 162 3 6" xfId="23520" xr:uid="{00000000-0005-0000-0000-0000E8500000}"/>
    <cellStyle name="Normal 162 3 7" xfId="34000" xr:uid="{00000000-0005-0000-0000-0000E9500000}"/>
    <cellStyle name="Normal 162 3 8" xfId="34319" xr:uid="{00000000-0005-0000-0000-0000EA500000}"/>
    <cellStyle name="Normal 162 3_Additional Disclosures" xfId="16138" xr:uid="{00000000-0005-0000-0000-0000EB500000}"/>
    <cellStyle name="Normal 162 4" xfId="10963" xr:uid="{00000000-0005-0000-0000-0000EC500000}"/>
    <cellStyle name="Normal 162 4 2" xfId="12383" xr:uid="{00000000-0005-0000-0000-0000ED500000}"/>
    <cellStyle name="Normal 162 4 2 2" xfId="23529" xr:uid="{00000000-0005-0000-0000-0000EE500000}"/>
    <cellStyle name="Normal 162 4 3" xfId="13849" xr:uid="{00000000-0005-0000-0000-0000EF500000}"/>
    <cellStyle name="Normal 162 4 3 2" xfId="23530" xr:uid="{00000000-0005-0000-0000-0000F0500000}"/>
    <cellStyle name="Normal 162 4 4" xfId="14994" xr:uid="{00000000-0005-0000-0000-0000F1500000}"/>
    <cellStyle name="Normal 162 4 4 2" xfId="23531" xr:uid="{00000000-0005-0000-0000-0000F2500000}"/>
    <cellStyle name="Normal 162 4 5" xfId="23528" xr:uid="{00000000-0005-0000-0000-0000F3500000}"/>
    <cellStyle name="Normal 162 4 6" xfId="34214" xr:uid="{00000000-0005-0000-0000-0000F4500000}"/>
    <cellStyle name="Normal 162 4_Additional Disclosures" xfId="16140" xr:uid="{00000000-0005-0000-0000-0000F5500000}"/>
    <cellStyle name="Normal 162 5" xfId="11731" xr:uid="{00000000-0005-0000-0000-0000F6500000}"/>
    <cellStyle name="Normal 162 5 2" xfId="23532" xr:uid="{00000000-0005-0000-0000-0000F7500000}"/>
    <cellStyle name="Normal 162 6" xfId="13338" xr:uid="{00000000-0005-0000-0000-0000F8500000}"/>
    <cellStyle name="Normal 162 6 2" xfId="23533" xr:uid="{00000000-0005-0000-0000-0000F9500000}"/>
    <cellStyle name="Normal 162 7" xfId="14481" xr:uid="{00000000-0005-0000-0000-0000FA500000}"/>
    <cellStyle name="Normal 162 7 2" xfId="23534" xr:uid="{00000000-0005-0000-0000-0000FB500000}"/>
    <cellStyle name="Normal 162 8" xfId="23508" xr:uid="{00000000-0005-0000-0000-0000FC500000}"/>
    <cellStyle name="Normal 162 9" xfId="31592" xr:uid="{00000000-0005-0000-0000-0000FD500000}"/>
    <cellStyle name="Normal 162_Additional Disclosures" xfId="16133" xr:uid="{00000000-0005-0000-0000-0000FE500000}"/>
    <cellStyle name="Normal 163" xfId="9182" xr:uid="{00000000-0005-0000-0000-0000FF500000}"/>
    <cellStyle name="Normal 163 2" xfId="9183" xr:uid="{00000000-0005-0000-0000-000000510000}"/>
    <cellStyle name="Normal 163 2 2" xfId="14314" xr:uid="{00000000-0005-0000-0000-000001510000}"/>
    <cellStyle name="Normal 163 2 2 2" xfId="15458" xr:uid="{00000000-0005-0000-0000-000002510000}"/>
    <cellStyle name="Normal 163 2 2 2 2" xfId="23538" xr:uid="{00000000-0005-0000-0000-000003510000}"/>
    <cellStyle name="Normal 163 2 2 3" xfId="23537" xr:uid="{00000000-0005-0000-0000-000004510000}"/>
    <cellStyle name="Normal 163 2 2_Additional Disclosures" xfId="16143" xr:uid="{00000000-0005-0000-0000-000005510000}"/>
    <cellStyle name="Normal 163 2 3" xfId="13803" xr:uid="{00000000-0005-0000-0000-000006510000}"/>
    <cellStyle name="Normal 163 2 3 2" xfId="23539" xr:uid="{00000000-0005-0000-0000-000007510000}"/>
    <cellStyle name="Normal 163 2 4" xfId="14948" xr:uid="{00000000-0005-0000-0000-000008510000}"/>
    <cellStyle name="Normal 163 2 4 2" xfId="23540" xr:uid="{00000000-0005-0000-0000-000009510000}"/>
    <cellStyle name="Normal 163 2 5" xfId="23536" xr:uid="{00000000-0005-0000-0000-00000A510000}"/>
    <cellStyle name="Normal 163 2 6" xfId="28838" xr:uid="{00000000-0005-0000-0000-00000B510000}"/>
    <cellStyle name="Normal 163 2 7" xfId="28704" xr:uid="{00000000-0005-0000-0000-00000C510000}"/>
    <cellStyle name="Normal 163 2 8" xfId="28840" xr:uid="{00000000-0005-0000-0000-00000D510000}"/>
    <cellStyle name="Normal 163 2 9" xfId="28702" xr:uid="{00000000-0005-0000-0000-00000E510000}"/>
    <cellStyle name="Normal 163 2_Additional Disclosures" xfId="16142" xr:uid="{00000000-0005-0000-0000-00000F510000}"/>
    <cellStyle name="Normal 163 3" xfId="9184" xr:uid="{00000000-0005-0000-0000-000010510000}"/>
    <cellStyle name="Normal 163 3 2" xfId="10966" xr:uid="{00000000-0005-0000-0000-000011510000}"/>
    <cellStyle name="Normal 163 3 2 2" xfId="12386" xr:uid="{00000000-0005-0000-0000-000012510000}"/>
    <cellStyle name="Normal 163 3 2 2 2" xfId="23543" xr:uid="{00000000-0005-0000-0000-000013510000}"/>
    <cellStyle name="Normal 163 3 2 3" xfId="23542" xr:uid="{00000000-0005-0000-0000-000014510000}"/>
    <cellStyle name="Normal 163 3 3" xfId="11734" xr:uid="{00000000-0005-0000-0000-000015510000}"/>
    <cellStyle name="Normal 163 3 3 2" xfId="23544" xr:uid="{00000000-0005-0000-0000-000016510000}"/>
    <cellStyle name="Normal 163 3 4" xfId="14060" xr:uid="{00000000-0005-0000-0000-000017510000}"/>
    <cellStyle name="Normal 163 3 4 2" xfId="23545" xr:uid="{00000000-0005-0000-0000-000018510000}"/>
    <cellStyle name="Normal 163 3 5" xfId="15204" xr:uid="{00000000-0005-0000-0000-000019510000}"/>
    <cellStyle name="Normal 163 3 5 2" xfId="23546" xr:uid="{00000000-0005-0000-0000-00001A510000}"/>
    <cellStyle name="Normal 163 3 6" xfId="23541" xr:uid="{00000000-0005-0000-0000-00001B510000}"/>
    <cellStyle name="Normal 163 3_Additional Disclosures" xfId="16144" xr:uid="{00000000-0005-0000-0000-00001C510000}"/>
    <cellStyle name="Normal 163 4" xfId="10965" xr:uid="{00000000-0005-0000-0000-00001D510000}"/>
    <cellStyle name="Normal 163 4 2" xfId="12385" xr:uid="{00000000-0005-0000-0000-00001E510000}"/>
    <cellStyle name="Normal 163 4 2 2" xfId="23548" xr:uid="{00000000-0005-0000-0000-00001F510000}"/>
    <cellStyle name="Normal 163 4 3" xfId="23547" xr:uid="{00000000-0005-0000-0000-000020510000}"/>
    <cellStyle name="Normal 163 5" xfId="11733" xr:uid="{00000000-0005-0000-0000-000021510000}"/>
    <cellStyle name="Normal 163 5 2" xfId="23549" xr:uid="{00000000-0005-0000-0000-000022510000}"/>
    <cellStyle name="Normal 163 6" xfId="13549" xr:uid="{00000000-0005-0000-0000-000023510000}"/>
    <cellStyle name="Normal 163 6 2" xfId="23550" xr:uid="{00000000-0005-0000-0000-000024510000}"/>
    <cellStyle name="Normal 163 7" xfId="14694" xr:uid="{00000000-0005-0000-0000-000025510000}"/>
    <cellStyle name="Normal 163 7 2" xfId="23551" xr:uid="{00000000-0005-0000-0000-000026510000}"/>
    <cellStyle name="Normal 163 8" xfId="23535" xr:uid="{00000000-0005-0000-0000-000027510000}"/>
    <cellStyle name="Normal 163 9" xfId="31593" xr:uid="{00000000-0005-0000-0000-000028510000}"/>
    <cellStyle name="Normal 163_Additional Disclosures" xfId="16141" xr:uid="{00000000-0005-0000-0000-000029510000}"/>
    <cellStyle name="Normal 164" xfId="9185" xr:uid="{00000000-0005-0000-0000-00002A510000}"/>
    <cellStyle name="Normal 164 2" xfId="9186" xr:uid="{00000000-0005-0000-0000-00002B510000}"/>
    <cellStyle name="Normal 164 2 2" xfId="14315" xr:uid="{00000000-0005-0000-0000-00002C510000}"/>
    <cellStyle name="Normal 164 2 2 2" xfId="15459" xr:uid="{00000000-0005-0000-0000-00002D510000}"/>
    <cellStyle name="Normal 164 2 2 2 2" xfId="23555" xr:uid="{00000000-0005-0000-0000-00002E510000}"/>
    <cellStyle name="Normal 164 2 2 3" xfId="23554" xr:uid="{00000000-0005-0000-0000-00002F510000}"/>
    <cellStyle name="Normal 164 2 2_Additional Disclosures" xfId="16147" xr:uid="{00000000-0005-0000-0000-000030510000}"/>
    <cellStyle name="Normal 164 2 3" xfId="13804" xr:uid="{00000000-0005-0000-0000-000031510000}"/>
    <cellStyle name="Normal 164 2 3 2" xfId="23556" xr:uid="{00000000-0005-0000-0000-000032510000}"/>
    <cellStyle name="Normal 164 2 4" xfId="14949" xr:uid="{00000000-0005-0000-0000-000033510000}"/>
    <cellStyle name="Normal 164 2 4 2" xfId="23557" xr:uid="{00000000-0005-0000-0000-000034510000}"/>
    <cellStyle name="Normal 164 2 5" xfId="23553" xr:uid="{00000000-0005-0000-0000-000035510000}"/>
    <cellStyle name="Normal 164 2 6" xfId="28839" xr:uid="{00000000-0005-0000-0000-000036510000}"/>
    <cellStyle name="Normal 164 2 7" xfId="28703" xr:uid="{00000000-0005-0000-0000-000037510000}"/>
    <cellStyle name="Normal 164 2 8" xfId="28841" xr:uid="{00000000-0005-0000-0000-000038510000}"/>
    <cellStyle name="Normal 164 2 9" xfId="28701" xr:uid="{00000000-0005-0000-0000-000039510000}"/>
    <cellStyle name="Normal 164 2_Additional Disclosures" xfId="16146" xr:uid="{00000000-0005-0000-0000-00003A510000}"/>
    <cellStyle name="Normal 164 3" xfId="9187" xr:uid="{00000000-0005-0000-0000-00003B510000}"/>
    <cellStyle name="Normal 164 3 2" xfId="10968" xr:uid="{00000000-0005-0000-0000-00003C510000}"/>
    <cellStyle name="Normal 164 3 2 2" xfId="12388" xr:uid="{00000000-0005-0000-0000-00003D510000}"/>
    <cellStyle name="Normal 164 3 2 2 2" xfId="23560" xr:uid="{00000000-0005-0000-0000-00003E510000}"/>
    <cellStyle name="Normal 164 3 2 3" xfId="23559" xr:uid="{00000000-0005-0000-0000-00003F510000}"/>
    <cellStyle name="Normal 164 3 3" xfId="11736" xr:uid="{00000000-0005-0000-0000-000040510000}"/>
    <cellStyle name="Normal 164 3 3 2" xfId="23561" xr:uid="{00000000-0005-0000-0000-000041510000}"/>
    <cellStyle name="Normal 164 3 4" xfId="14061" xr:uid="{00000000-0005-0000-0000-000042510000}"/>
    <cellStyle name="Normal 164 3 4 2" xfId="23562" xr:uid="{00000000-0005-0000-0000-000043510000}"/>
    <cellStyle name="Normal 164 3 5" xfId="15205" xr:uid="{00000000-0005-0000-0000-000044510000}"/>
    <cellStyle name="Normal 164 3 5 2" xfId="23563" xr:uid="{00000000-0005-0000-0000-000045510000}"/>
    <cellStyle name="Normal 164 3 6" xfId="23558" xr:uid="{00000000-0005-0000-0000-000046510000}"/>
    <cellStyle name="Normal 164 3_Additional Disclosures" xfId="16148" xr:uid="{00000000-0005-0000-0000-000047510000}"/>
    <cellStyle name="Normal 164 4" xfId="10967" xr:uid="{00000000-0005-0000-0000-000048510000}"/>
    <cellStyle name="Normal 164 4 2" xfId="12387" xr:uid="{00000000-0005-0000-0000-000049510000}"/>
    <cellStyle name="Normal 164 4 2 2" xfId="23565" xr:uid="{00000000-0005-0000-0000-00004A510000}"/>
    <cellStyle name="Normal 164 4 3" xfId="23564" xr:uid="{00000000-0005-0000-0000-00004B510000}"/>
    <cellStyle name="Normal 164 5" xfId="11735" xr:uid="{00000000-0005-0000-0000-00004C510000}"/>
    <cellStyle name="Normal 164 5 2" xfId="23566" xr:uid="{00000000-0005-0000-0000-00004D510000}"/>
    <cellStyle name="Normal 164 6" xfId="13550" xr:uid="{00000000-0005-0000-0000-00004E510000}"/>
    <cellStyle name="Normal 164 6 2" xfId="23567" xr:uid="{00000000-0005-0000-0000-00004F510000}"/>
    <cellStyle name="Normal 164 7" xfId="14695" xr:uid="{00000000-0005-0000-0000-000050510000}"/>
    <cellStyle name="Normal 164 7 2" xfId="23568" xr:uid="{00000000-0005-0000-0000-000051510000}"/>
    <cellStyle name="Normal 164 8" xfId="23552" xr:uid="{00000000-0005-0000-0000-000052510000}"/>
    <cellStyle name="Normal 164 9" xfId="31594" xr:uid="{00000000-0005-0000-0000-000053510000}"/>
    <cellStyle name="Normal 164_Additional Disclosures" xfId="16145" xr:uid="{00000000-0005-0000-0000-000054510000}"/>
    <cellStyle name="Normal 165" xfId="9188" xr:uid="{00000000-0005-0000-0000-000055510000}"/>
    <cellStyle name="Normal 165 2" xfId="9189" xr:uid="{00000000-0005-0000-0000-000056510000}"/>
    <cellStyle name="Normal 165 2 2" xfId="10970" xr:uid="{00000000-0005-0000-0000-000057510000}"/>
    <cellStyle name="Normal 165 2 2 2" xfId="12390" xr:uid="{00000000-0005-0000-0000-000058510000}"/>
    <cellStyle name="Normal 165 2 2 2 2" xfId="23572" xr:uid="{00000000-0005-0000-0000-000059510000}"/>
    <cellStyle name="Normal 165 2 2 3" xfId="14316" xr:uid="{00000000-0005-0000-0000-00005A510000}"/>
    <cellStyle name="Normal 165 2 2 3 2" xfId="23573" xr:uid="{00000000-0005-0000-0000-00005B510000}"/>
    <cellStyle name="Normal 165 2 2 4" xfId="15460" xr:uid="{00000000-0005-0000-0000-00005C510000}"/>
    <cellStyle name="Normal 165 2 2 4 2" xfId="23574" xr:uid="{00000000-0005-0000-0000-00005D510000}"/>
    <cellStyle name="Normal 165 2 2 5" xfId="23571" xr:uid="{00000000-0005-0000-0000-00005E510000}"/>
    <cellStyle name="Normal 165 2 2_Additional Disclosures" xfId="16151" xr:uid="{00000000-0005-0000-0000-00005F510000}"/>
    <cellStyle name="Normal 165 2 3" xfId="11738" xr:uid="{00000000-0005-0000-0000-000060510000}"/>
    <cellStyle name="Normal 165 2 3 2" xfId="23575" xr:uid="{00000000-0005-0000-0000-000061510000}"/>
    <cellStyle name="Normal 165 2 4" xfId="13805" xr:uid="{00000000-0005-0000-0000-000062510000}"/>
    <cellStyle name="Normal 165 2 4 2" xfId="23576" xr:uid="{00000000-0005-0000-0000-000063510000}"/>
    <cellStyle name="Normal 165 2 5" xfId="14950" xr:uid="{00000000-0005-0000-0000-000064510000}"/>
    <cellStyle name="Normal 165 2 5 2" xfId="23577" xr:uid="{00000000-0005-0000-0000-000065510000}"/>
    <cellStyle name="Normal 165 2 6" xfId="23570" xr:uid="{00000000-0005-0000-0000-000066510000}"/>
    <cellStyle name="Normal 165 2_Additional Disclosures" xfId="16150" xr:uid="{00000000-0005-0000-0000-000067510000}"/>
    <cellStyle name="Normal 165 3" xfId="10969" xr:uid="{00000000-0005-0000-0000-000068510000}"/>
    <cellStyle name="Normal 165 3 2" xfId="12389" xr:uid="{00000000-0005-0000-0000-000069510000}"/>
    <cellStyle name="Normal 165 3 2 2" xfId="23579" xr:uid="{00000000-0005-0000-0000-00006A510000}"/>
    <cellStyle name="Normal 165 3 3" xfId="14062" xr:uid="{00000000-0005-0000-0000-00006B510000}"/>
    <cellStyle name="Normal 165 3 3 2" xfId="23580" xr:uid="{00000000-0005-0000-0000-00006C510000}"/>
    <cellStyle name="Normal 165 3 4" xfId="15206" xr:uid="{00000000-0005-0000-0000-00006D510000}"/>
    <cellStyle name="Normal 165 3 4 2" xfId="23581" xr:uid="{00000000-0005-0000-0000-00006E510000}"/>
    <cellStyle name="Normal 165 3 5" xfId="23578" xr:uid="{00000000-0005-0000-0000-00006F510000}"/>
    <cellStyle name="Normal 165 3_Additional Disclosures" xfId="16152" xr:uid="{00000000-0005-0000-0000-000070510000}"/>
    <cellStyle name="Normal 165 4" xfId="11737" xr:uid="{00000000-0005-0000-0000-000071510000}"/>
    <cellStyle name="Normal 165 4 2" xfId="23582" xr:uid="{00000000-0005-0000-0000-000072510000}"/>
    <cellStyle name="Normal 165 5" xfId="13551" xr:uid="{00000000-0005-0000-0000-000073510000}"/>
    <cellStyle name="Normal 165 5 2" xfId="23583" xr:uid="{00000000-0005-0000-0000-000074510000}"/>
    <cellStyle name="Normal 165 6" xfId="14696" xr:uid="{00000000-0005-0000-0000-000075510000}"/>
    <cellStyle name="Normal 165 6 2" xfId="23584" xr:uid="{00000000-0005-0000-0000-000076510000}"/>
    <cellStyle name="Normal 165 7" xfId="23569" xr:uid="{00000000-0005-0000-0000-000077510000}"/>
    <cellStyle name="Normal 165 8" xfId="31595" xr:uid="{00000000-0005-0000-0000-000078510000}"/>
    <cellStyle name="Normal 165_Additional Disclosures" xfId="16149" xr:uid="{00000000-0005-0000-0000-000079510000}"/>
    <cellStyle name="Normal 166" xfId="9190" xr:uid="{00000000-0005-0000-0000-00007A510000}"/>
    <cellStyle name="Normal 166 10" xfId="23585" xr:uid="{00000000-0005-0000-0000-00007B510000}"/>
    <cellStyle name="Normal 166 11" xfId="31596" xr:uid="{00000000-0005-0000-0000-00007C510000}"/>
    <cellStyle name="Normal 166 12" xfId="31597" xr:uid="{00000000-0005-0000-0000-00007D510000}"/>
    <cellStyle name="Normal 166 13" xfId="31598" xr:uid="{00000000-0005-0000-0000-00007E510000}"/>
    <cellStyle name="Normal 166 2" xfId="9191" xr:uid="{00000000-0005-0000-0000-00007F510000}"/>
    <cellStyle name="Normal 166 2 10" xfId="28698" xr:uid="{00000000-0005-0000-0000-000080510000}"/>
    <cellStyle name="Normal 166 2 11" xfId="31599" xr:uid="{00000000-0005-0000-0000-000081510000}"/>
    <cellStyle name="Normal 166 2 12" xfId="31600" xr:uid="{00000000-0005-0000-0000-000082510000}"/>
    <cellStyle name="Normal 166 2 13" xfId="31601" xr:uid="{00000000-0005-0000-0000-000083510000}"/>
    <cellStyle name="Normal 166 2 2" xfId="12218" xr:uid="{00000000-0005-0000-0000-000084510000}"/>
    <cellStyle name="Normal 166 2 2 2" xfId="14136" xr:uid="{00000000-0005-0000-0000-000085510000}"/>
    <cellStyle name="Normal 166 2 2 2 2" xfId="15280" xr:uid="{00000000-0005-0000-0000-000086510000}"/>
    <cellStyle name="Normal 166 2 2 2 2 2" xfId="23589" xr:uid="{00000000-0005-0000-0000-000087510000}"/>
    <cellStyle name="Normal 166 2 2 2 3" xfId="23588" xr:uid="{00000000-0005-0000-0000-000088510000}"/>
    <cellStyle name="Normal 166 2 2 2_Additional Disclosures" xfId="16156" xr:uid="{00000000-0005-0000-0000-000089510000}"/>
    <cellStyle name="Normal 166 2 2 3" xfId="13625" xr:uid="{00000000-0005-0000-0000-00008A510000}"/>
    <cellStyle name="Normal 166 2 2 3 2" xfId="23590" xr:uid="{00000000-0005-0000-0000-00008B510000}"/>
    <cellStyle name="Normal 166 2 2 4" xfId="14770" xr:uid="{00000000-0005-0000-0000-00008C510000}"/>
    <cellStyle name="Normal 166 2 2 4 2" xfId="23591" xr:uid="{00000000-0005-0000-0000-00008D510000}"/>
    <cellStyle name="Normal 166 2 2 5" xfId="23587" xr:uid="{00000000-0005-0000-0000-00008E510000}"/>
    <cellStyle name="Normal 166 2 2_Additional Disclosures" xfId="16155" xr:uid="{00000000-0005-0000-0000-00008F510000}"/>
    <cellStyle name="Normal 166 2 3" xfId="12219" xr:uid="{00000000-0005-0000-0000-000090510000}"/>
    <cellStyle name="Normal 166 2 3 2" xfId="13881" xr:uid="{00000000-0005-0000-0000-000091510000}"/>
    <cellStyle name="Normal 166 2 3 2 2" xfId="23593" xr:uid="{00000000-0005-0000-0000-000092510000}"/>
    <cellStyle name="Normal 166 2 3 3" xfId="15026" xr:uid="{00000000-0005-0000-0000-000093510000}"/>
    <cellStyle name="Normal 166 2 3 3 2" xfId="23594" xr:uid="{00000000-0005-0000-0000-000094510000}"/>
    <cellStyle name="Normal 166 2 3 4" xfId="23592" xr:uid="{00000000-0005-0000-0000-000095510000}"/>
    <cellStyle name="Normal 166 2 3_Additional Disclosures" xfId="16157" xr:uid="{00000000-0005-0000-0000-000096510000}"/>
    <cellStyle name="Normal 166 2 4" xfId="13370" xr:uid="{00000000-0005-0000-0000-000097510000}"/>
    <cellStyle name="Normal 166 2 4 2" xfId="23595" xr:uid="{00000000-0005-0000-0000-000098510000}"/>
    <cellStyle name="Normal 166 2 5" xfId="14514" xr:uid="{00000000-0005-0000-0000-000099510000}"/>
    <cellStyle name="Normal 166 2 5 2" xfId="23596" xr:uid="{00000000-0005-0000-0000-00009A510000}"/>
    <cellStyle name="Normal 166 2 6" xfId="23586" xr:uid="{00000000-0005-0000-0000-00009B510000}"/>
    <cellStyle name="Normal 166 2 7" xfId="28842" xr:uid="{00000000-0005-0000-0000-00009C510000}"/>
    <cellStyle name="Normal 166 2 8" xfId="28700" xr:uid="{00000000-0005-0000-0000-00009D510000}"/>
    <cellStyle name="Normal 166 2 9" xfId="28844" xr:uid="{00000000-0005-0000-0000-00009E510000}"/>
    <cellStyle name="Normal 166 2_Additional Disclosures" xfId="16154" xr:uid="{00000000-0005-0000-0000-00009F510000}"/>
    <cellStyle name="Normal 166 3" xfId="9192" xr:uid="{00000000-0005-0000-0000-0000A0510000}"/>
    <cellStyle name="Normal 166 3 10" xfId="31602" xr:uid="{00000000-0005-0000-0000-0000A1510000}"/>
    <cellStyle name="Normal 166 3 11" xfId="31603" xr:uid="{00000000-0005-0000-0000-0000A2510000}"/>
    <cellStyle name="Normal 166 3 2" xfId="12217" xr:uid="{00000000-0005-0000-0000-0000A3510000}"/>
    <cellStyle name="Normal 166 3 2 2" xfId="14096" xr:uid="{00000000-0005-0000-0000-0000A4510000}"/>
    <cellStyle name="Normal 166 3 2 2 2" xfId="23599" xr:uid="{00000000-0005-0000-0000-0000A5510000}"/>
    <cellStyle name="Normal 166 3 2 3" xfId="15240" xr:uid="{00000000-0005-0000-0000-0000A6510000}"/>
    <cellStyle name="Normal 166 3 2 3 2" xfId="23600" xr:uid="{00000000-0005-0000-0000-0000A7510000}"/>
    <cellStyle name="Normal 166 3 2 4" xfId="23598" xr:uid="{00000000-0005-0000-0000-0000A8510000}"/>
    <cellStyle name="Normal 166 3 2_Additional Disclosures" xfId="16159" xr:uid="{00000000-0005-0000-0000-0000A9510000}"/>
    <cellStyle name="Normal 166 3 3" xfId="13585" xr:uid="{00000000-0005-0000-0000-0000AA510000}"/>
    <cellStyle name="Normal 166 3 3 2" xfId="23601" xr:uid="{00000000-0005-0000-0000-0000AB510000}"/>
    <cellStyle name="Normal 166 3 4" xfId="14730" xr:uid="{00000000-0005-0000-0000-0000AC510000}"/>
    <cellStyle name="Normal 166 3 4 2" xfId="23602" xr:uid="{00000000-0005-0000-0000-0000AD510000}"/>
    <cellStyle name="Normal 166 3 5" xfId="23597" xr:uid="{00000000-0005-0000-0000-0000AE510000}"/>
    <cellStyle name="Normal 166 3 6" xfId="28843" xr:uid="{00000000-0005-0000-0000-0000AF510000}"/>
    <cellStyle name="Normal 166 3 7" xfId="28699" xr:uid="{00000000-0005-0000-0000-0000B0510000}"/>
    <cellStyle name="Normal 166 3 8" xfId="28847" xr:uid="{00000000-0005-0000-0000-0000B1510000}"/>
    <cellStyle name="Normal 166 3 9" xfId="28695" xr:uid="{00000000-0005-0000-0000-0000B2510000}"/>
    <cellStyle name="Normal 166 3_Additional Disclosures" xfId="16158" xr:uid="{00000000-0005-0000-0000-0000B3510000}"/>
    <cellStyle name="Normal 166 4" xfId="9193" xr:uid="{00000000-0005-0000-0000-0000B4510000}"/>
    <cellStyle name="Normal 166 4 2" xfId="13841" xr:uid="{00000000-0005-0000-0000-0000B5510000}"/>
    <cellStyle name="Normal 166 4 2 2" xfId="23604" xr:uid="{00000000-0005-0000-0000-0000B6510000}"/>
    <cellStyle name="Normal 166 4 3" xfId="14986" xr:uid="{00000000-0005-0000-0000-0000B7510000}"/>
    <cellStyle name="Normal 166 4 3 2" xfId="23605" xr:uid="{00000000-0005-0000-0000-0000B8510000}"/>
    <cellStyle name="Normal 166 4 4" xfId="23603" xr:uid="{00000000-0005-0000-0000-0000B9510000}"/>
    <cellStyle name="Normal 166 4_Additional Disclosures" xfId="16160" xr:uid="{00000000-0005-0000-0000-0000BA510000}"/>
    <cellStyle name="Normal 166 5" xfId="9194" xr:uid="{00000000-0005-0000-0000-0000BB510000}"/>
    <cellStyle name="Normal 166 5 2" xfId="10972" xr:uid="{00000000-0005-0000-0000-0000BC510000}"/>
    <cellStyle name="Normal 166 5 2 2" xfId="12392" xr:uid="{00000000-0005-0000-0000-0000BD510000}"/>
    <cellStyle name="Normal 166 5 2 2 2" xfId="23608" xr:uid="{00000000-0005-0000-0000-0000BE510000}"/>
    <cellStyle name="Normal 166 5 2 3" xfId="23607" xr:uid="{00000000-0005-0000-0000-0000BF510000}"/>
    <cellStyle name="Normal 166 5 3" xfId="11740" xr:uid="{00000000-0005-0000-0000-0000C0510000}"/>
    <cellStyle name="Normal 166 5 3 2" xfId="23609" xr:uid="{00000000-0005-0000-0000-0000C1510000}"/>
    <cellStyle name="Normal 166 5 4" xfId="23606" xr:uid="{00000000-0005-0000-0000-0000C2510000}"/>
    <cellStyle name="Normal 166 6" xfId="10971" xr:uid="{00000000-0005-0000-0000-0000C3510000}"/>
    <cellStyle name="Normal 166 6 2" xfId="12391" xr:uid="{00000000-0005-0000-0000-0000C4510000}"/>
    <cellStyle name="Normal 166 6 2 2" xfId="23611" xr:uid="{00000000-0005-0000-0000-0000C5510000}"/>
    <cellStyle name="Normal 166 6 3" xfId="23610" xr:uid="{00000000-0005-0000-0000-0000C6510000}"/>
    <cellStyle name="Normal 166 7" xfId="11739" xr:uid="{00000000-0005-0000-0000-0000C7510000}"/>
    <cellStyle name="Normal 166 7 2" xfId="23612" xr:uid="{00000000-0005-0000-0000-0000C8510000}"/>
    <cellStyle name="Normal 166 8" xfId="13331" xr:uid="{00000000-0005-0000-0000-0000C9510000}"/>
    <cellStyle name="Normal 166 8 2" xfId="23613" xr:uid="{00000000-0005-0000-0000-0000CA510000}"/>
    <cellStyle name="Normal 166 9" xfId="14473" xr:uid="{00000000-0005-0000-0000-0000CB510000}"/>
    <cellStyle name="Normal 166 9 2" xfId="23614" xr:uid="{00000000-0005-0000-0000-0000CC510000}"/>
    <cellStyle name="Normal 166_Additional Disclosures" xfId="16153" xr:uid="{00000000-0005-0000-0000-0000CD510000}"/>
    <cellStyle name="Normal 167" xfId="9195" xr:uid="{00000000-0005-0000-0000-0000CE510000}"/>
    <cellStyle name="Normal 167 10" xfId="28848" xr:uid="{00000000-0005-0000-0000-0000CF510000}"/>
    <cellStyle name="Normal 167 11" xfId="31604" xr:uid="{00000000-0005-0000-0000-0000D0510000}"/>
    <cellStyle name="Normal 167 2" xfId="9196" xr:uid="{00000000-0005-0000-0000-0000D1510000}"/>
    <cellStyle name="Normal 167 2 10" xfId="28694" xr:uid="{00000000-0005-0000-0000-0000D2510000}"/>
    <cellStyle name="Normal 167 2 2" xfId="12214" xr:uid="{00000000-0005-0000-0000-0000D3510000}"/>
    <cellStyle name="Normal 167 2 2 2" xfId="14317" xr:uid="{00000000-0005-0000-0000-0000D4510000}"/>
    <cellStyle name="Normal 167 2 2 2 2" xfId="23618" xr:uid="{00000000-0005-0000-0000-0000D5510000}"/>
    <cellStyle name="Normal 167 2 2 3" xfId="15461" xr:uid="{00000000-0005-0000-0000-0000D6510000}"/>
    <cellStyle name="Normal 167 2 2 3 2" xfId="23619" xr:uid="{00000000-0005-0000-0000-0000D7510000}"/>
    <cellStyle name="Normal 167 2 2 4" xfId="23617" xr:uid="{00000000-0005-0000-0000-0000D8510000}"/>
    <cellStyle name="Normal 167 2 2_Additional Disclosures" xfId="16163" xr:uid="{00000000-0005-0000-0000-0000D9510000}"/>
    <cellStyle name="Normal 167 2 3" xfId="12215" xr:uid="{00000000-0005-0000-0000-0000DA510000}"/>
    <cellStyle name="Normal 167 2 3 2" xfId="23620" xr:uid="{00000000-0005-0000-0000-0000DB510000}"/>
    <cellStyle name="Normal 167 2 4" xfId="13806" xr:uid="{00000000-0005-0000-0000-0000DC510000}"/>
    <cellStyle name="Normal 167 2 4 2" xfId="23621" xr:uid="{00000000-0005-0000-0000-0000DD510000}"/>
    <cellStyle name="Normal 167 2 5" xfId="14951" xr:uid="{00000000-0005-0000-0000-0000DE510000}"/>
    <cellStyle name="Normal 167 2 5 2" xfId="23622" xr:uid="{00000000-0005-0000-0000-0000DF510000}"/>
    <cellStyle name="Normal 167 2 6" xfId="23616" xr:uid="{00000000-0005-0000-0000-0000E0510000}"/>
    <cellStyle name="Normal 167 2 7" xfId="28846" xr:uid="{00000000-0005-0000-0000-0000E1510000}"/>
    <cellStyle name="Normal 167 2 8" xfId="28696" xr:uid="{00000000-0005-0000-0000-0000E2510000}"/>
    <cellStyle name="Normal 167 2 9" xfId="28849" xr:uid="{00000000-0005-0000-0000-0000E3510000}"/>
    <cellStyle name="Normal 167 2_Additional Disclosures" xfId="16162" xr:uid="{00000000-0005-0000-0000-0000E4510000}"/>
    <cellStyle name="Normal 167 3" xfId="12213" xr:uid="{00000000-0005-0000-0000-0000E5510000}"/>
    <cellStyle name="Normal 167 3 2" xfId="14063" xr:uid="{00000000-0005-0000-0000-0000E6510000}"/>
    <cellStyle name="Normal 167 3 2 2" xfId="23624" xr:uid="{00000000-0005-0000-0000-0000E7510000}"/>
    <cellStyle name="Normal 167 3 3" xfId="15207" xr:uid="{00000000-0005-0000-0000-0000E8510000}"/>
    <cellStyle name="Normal 167 3 3 2" xfId="23625" xr:uid="{00000000-0005-0000-0000-0000E9510000}"/>
    <cellStyle name="Normal 167 3 4" xfId="23623" xr:uid="{00000000-0005-0000-0000-0000EA510000}"/>
    <cellStyle name="Normal 167 3_Additional Disclosures" xfId="16164" xr:uid="{00000000-0005-0000-0000-0000EB510000}"/>
    <cellStyle name="Normal 167 4" xfId="12216" xr:uid="{00000000-0005-0000-0000-0000EC510000}"/>
    <cellStyle name="Normal 167 4 2" xfId="23626" xr:uid="{00000000-0005-0000-0000-0000ED510000}"/>
    <cellStyle name="Normal 167 5" xfId="13552" xr:uid="{00000000-0005-0000-0000-0000EE510000}"/>
    <cellStyle name="Normal 167 5 2" xfId="23627" xr:uid="{00000000-0005-0000-0000-0000EF510000}"/>
    <cellStyle name="Normal 167 6" xfId="14697" xr:uid="{00000000-0005-0000-0000-0000F0510000}"/>
    <cellStyle name="Normal 167 6 2" xfId="23628" xr:uid="{00000000-0005-0000-0000-0000F1510000}"/>
    <cellStyle name="Normal 167 7" xfId="23615" xr:uid="{00000000-0005-0000-0000-0000F2510000}"/>
    <cellStyle name="Normal 167 8" xfId="28845" xr:uid="{00000000-0005-0000-0000-0000F3510000}"/>
    <cellStyle name="Normal 167 9" xfId="28697" xr:uid="{00000000-0005-0000-0000-0000F4510000}"/>
    <cellStyle name="Normal 167_Additional Disclosures" xfId="16161" xr:uid="{00000000-0005-0000-0000-0000F5510000}"/>
    <cellStyle name="Normal 168" xfId="9197" xr:uid="{00000000-0005-0000-0000-0000F6510000}"/>
    <cellStyle name="Normal 168 2" xfId="9198" xr:uid="{00000000-0005-0000-0000-0000F7510000}"/>
    <cellStyle name="Normal 168 2 2" xfId="10974" xr:uid="{00000000-0005-0000-0000-0000F8510000}"/>
    <cellStyle name="Normal 168 2 2 2" xfId="12394" xr:uid="{00000000-0005-0000-0000-0000F9510000}"/>
    <cellStyle name="Normal 168 2 2 2 2" xfId="23632" xr:uid="{00000000-0005-0000-0000-0000FA510000}"/>
    <cellStyle name="Normal 168 2 2 3" xfId="14318" xr:uid="{00000000-0005-0000-0000-0000FB510000}"/>
    <cellStyle name="Normal 168 2 2 3 2" xfId="23633" xr:uid="{00000000-0005-0000-0000-0000FC510000}"/>
    <cellStyle name="Normal 168 2 2 4" xfId="15462" xr:uid="{00000000-0005-0000-0000-0000FD510000}"/>
    <cellStyle name="Normal 168 2 2 4 2" xfId="23634" xr:uid="{00000000-0005-0000-0000-0000FE510000}"/>
    <cellStyle name="Normal 168 2 2 5" xfId="23631" xr:uid="{00000000-0005-0000-0000-0000FF510000}"/>
    <cellStyle name="Normal 168 2 2_Additional Disclosures" xfId="16167" xr:uid="{00000000-0005-0000-0000-000000520000}"/>
    <cellStyle name="Normal 168 2 3" xfId="11742" xr:uid="{00000000-0005-0000-0000-000001520000}"/>
    <cellStyle name="Normal 168 2 3 2" xfId="23635" xr:uid="{00000000-0005-0000-0000-000002520000}"/>
    <cellStyle name="Normal 168 2 4" xfId="13807" xr:uid="{00000000-0005-0000-0000-000003520000}"/>
    <cellStyle name="Normal 168 2 4 2" xfId="23636" xr:uid="{00000000-0005-0000-0000-000004520000}"/>
    <cellStyle name="Normal 168 2 5" xfId="14952" xr:uid="{00000000-0005-0000-0000-000005520000}"/>
    <cellStyle name="Normal 168 2 5 2" xfId="23637" xr:uid="{00000000-0005-0000-0000-000006520000}"/>
    <cellStyle name="Normal 168 2 6" xfId="23630" xr:uid="{00000000-0005-0000-0000-000007520000}"/>
    <cellStyle name="Normal 168 2_Additional Disclosures" xfId="16166" xr:uid="{00000000-0005-0000-0000-000008520000}"/>
    <cellStyle name="Normal 168 3" xfId="10973" xr:uid="{00000000-0005-0000-0000-000009520000}"/>
    <cellStyle name="Normal 168 3 2" xfId="12393" xr:uid="{00000000-0005-0000-0000-00000A520000}"/>
    <cellStyle name="Normal 168 3 2 2" xfId="23639" xr:uid="{00000000-0005-0000-0000-00000B520000}"/>
    <cellStyle name="Normal 168 3 3" xfId="14064" xr:uid="{00000000-0005-0000-0000-00000C520000}"/>
    <cellStyle name="Normal 168 3 3 2" xfId="23640" xr:uid="{00000000-0005-0000-0000-00000D520000}"/>
    <cellStyle name="Normal 168 3 4" xfId="15208" xr:uid="{00000000-0005-0000-0000-00000E520000}"/>
    <cellStyle name="Normal 168 3 4 2" xfId="23641" xr:uid="{00000000-0005-0000-0000-00000F520000}"/>
    <cellStyle name="Normal 168 3 5" xfId="23638" xr:uid="{00000000-0005-0000-0000-000010520000}"/>
    <cellStyle name="Normal 168 3_Additional Disclosures" xfId="16168" xr:uid="{00000000-0005-0000-0000-000011520000}"/>
    <cellStyle name="Normal 168 4" xfId="11741" xr:uid="{00000000-0005-0000-0000-000012520000}"/>
    <cellStyle name="Normal 168 4 2" xfId="23642" xr:uid="{00000000-0005-0000-0000-000013520000}"/>
    <cellStyle name="Normal 168 5" xfId="13553" xr:uid="{00000000-0005-0000-0000-000014520000}"/>
    <cellStyle name="Normal 168 5 2" xfId="23643" xr:uid="{00000000-0005-0000-0000-000015520000}"/>
    <cellStyle name="Normal 168 6" xfId="14698" xr:uid="{00000000-0005-0000-0000-000016520000}"/>
    <cellStyle name="Normal 168 6 2" xfId="23644" xr:uid="{00000000-0005-0000-0000-000017520000}"/>
    <cellStyle name="Normal 168 7" xfId="23629" xr:uid="{00000000-0005-0000-0000-000018520000}"/>
    <cellStyle name="Normal 168 8" xfId="31605" xr:uid="{00000000-0005-0000-0000-000019520000}"/>
    <cellStyle name="Normal 168_Additional Disclosures" xfId="16165" xr:uid="{00000000-0005-0000-0000-00001A520000}"/>
    <cellStyle name="Normal 169" xfId="9199" xr:uid="{00000000-0005-0000-0000-00001B520000}"/>
    <cellStyle name="Normal 169 2" xfId="9200" xr:uid="{00000000-0005-0000-0000-00001C520000}"/>
    <cellStyle name="Normal 169 2 2" xfId="10976" xr:uid="{00000000-0005-0000-0000-00001D520000}"/>
    <cellStyle name="Normal 169 2 2 2" xfId="12396" xr:uid="{00000000-0005-0000-0000-00001E520000}"/>
    <cellStyle name="Normal 169 2 2 2 2" xfId="23648" xr:uid="{00000000-0005-0000-0000-00001F520000}"/>
    <cellStyle name="Normal 169 2 2 3" xfId="14319" xr:uid="{00000000-0005-0000-0000-000020520000}"/>
    <cellStyle name="Normal 169 2 2 3 2" xfId="23649" xr:uid="{00000000-0005-0000-0000-000021520000}"/>
    <cellStyle name="Normal 169 2 2 4" xfId="15463" xr:uid="{00000000-0005-0000-0000-000022520000}"/>
    <cellStyle name="Normal 169 2 2 4 2" xfId="23650" xr:uid="{00000000-0005-0000-0000-000023520000}"/>
    <cellStyle name="Normal 169 2 2 5" xfId="23647" xr:uid="{00000000-0005-0000-0000-000024520000}"/>
    <cellStyle name="Normal 169 2 2_Additional Disclosures" xfId="16171" xr:uid="{00000000-0005-0000-0000-000025520000}"/>
    <cellStyle name="Normal 169 2 3" xfId="11744" xr:uid="{00000000-0005-0000-0000-000026520000}"/>
    <cellStyle name="Normal 169 2 3 2" xfId="23651" xr:uid="{00000000-0005-0000-0000-000027520000}"/>
    <cellStyle name="Normal 169 2 4" xfId="13808" xr:uid="{00000000-0005-0000-0000-000028520000}"/>
    <cellStyle name="Normal 169 2 4 2" xfId="23652" xr:uid="{00000000-0005-0000-0000-000029520000}"/>
    <cellStyle name="Normal 169 2 5" xfId="14953" xr:uid="{00000000-0005-0000-0000-00002A520000}"/>
    <cellStyle name="Normal 169 2 5 2" xfId="23653" xr:uid="{00000000-0005-0000-0000-00002B520000}"/>
    <cellStyle name="Normal 169 2 6" xfId="23646" xr:uid="{00000000-0005-0000-0000-00002C520000}"/>
    <cellStyle name="Normal 169 2_Additional Disclosures" xfId="16170" xr:uid="{00000000-0005-0000-0000-00002D520000}"/>
    <cellStyle name="Normal 169 3" xfId="10975" xr:uid="{00000000-0005-0000-0000-00002E520000}"/>
    <cellStyle name="Normal 169 3 2" xfId="12395" xr:uid="{00000000-0005-0000-0000-00002F520000}"/>
    <cellStyle name="Normal 169 3 2 2" xfId="23655" xr:uid="{00000000-0005-0000-0000-000030520000}"/>
    <cellStyle name="Normal 169 3 3" xfId="14065" xr:uid="{00000000-0005-0000-0000-000031520000}"/>
    <cellStyle name="Normal 169 3 3 2" xfId="23656" xr:uid="{00000000-0005-0000-0000-000032520000}"/>
    <cellStyle name="Normal 169 3 4" xfId="15209" xr:uid="{00000000-0005-0000-0000-000033520000}"/>
    <cellStyle name="Normal 169 3 4 2" xfId="23657" xr:uid="{00000000-0005-0000-0000-000034520000}"/>
    <cellStyle name="Normal 169 3 5" xfId="23654" xr:uid="{00000000-0005-0000-0000-000035520000}"/>
    <cellStyle name="Normal 169 3_Additional Disclosures" xfId="16172" xr:uid="{00000000-0005-0000-0000-000036520000}"/>
    <cellStyle name="Normal 169 4" xfId="11743" xr:uid="{00000000-0005-0000-0000-000037520000}"/>
    <cellStyle name="Normal 169 4 2" xfId="23658" xr:uid="{00000000-0005-0000-0000-000038520000}"/>
    <cellStyle name="Normal 169 5" xfId="13554" xr:uid="{00000000-0005-0000-0000-000039520000}"/>
    <cellStyle name="Normal 169 5 2" xfId="23659" xr:uid="{00000000-0005-0000-0000-00003A520000}"/>
    <cellStyle name="Normal 169 6" xfId="14699" xr:uid="{00000000-0005-0000-0000-00003B520000}"/>
    <cellStyle name="Normal 169 6 2" xfId="23660" xr:uid="{00000000-0005-0000-0000-00003C520000}"/>
    <cellStyle name="Normal 169 7" xfId="23645" xr:uid="{00000000-0005-0000-0000-00003D520000}"/>
    <cellStyle name="Normal 169 8" xfId="31606" xr:uid="{00000000-0005-0000-0000-00003E520000}"/>
    <cellStyle name="Normal 169_Additional Disclosures" xfId="16169" xr:uid="{00000000-0005-0000-0000-00003F520000}"/>
    <cellStyle name="Normal 17" xfId="549" xr:uid="{00000000-0005-0000-0000-000040520000}"/>
    <cellStyle name="Normal 17 10" xfId="28691" xr:uid="{00000000-0005-0000-0000-000041520000}"/>
    <cellStyle name="Normal 17 11" xfId="31607" xr:uid="{00000000-0005-0000-0000-000042520000}"/>
    <cellStyle name="Normal 17 12" xfId="31608" xr:uid="{00000000-0005-0000-0000-000043520000}"/>
    <cellStyle name="Normal 17 13" xfId="31609" xr:uid="{00000000-0005-0000-0000-000044520000}"/>
    <cellStyle name="Normal 17 2" xfId="9201" xr:uid="{00000000-0005-0000-0000-000045520000}"/>
    <cellStyle name="Normal 17 2 10" xfId="33409" xr:uid="{00000000-0005-0000-0000-000046520000}"/>
    <cellStyle name="Normal 17 2 2" xfId="10977" xr:uid="{00000000-0005-0000-0000-000047520000}"/>
    <cellStyle name="Normal 17 2 2 2" xfId="12397" xr:uid="{00000000-0005-0000-0000-000048520000}"/>
    <cellStyle name="Normal 17 2 2 2 2" xfId="23664" xr:uid="{00000000-0005-0000-0000-000049520000}"/>
    <cellStyle name="Normal 17 2 2 3" xfId="14185" xr:uid="{00000000-0005-0000-0000-00004A520000}"/>
    <cellStyle name="Normal 17 2 2 3 2" xfId="23665" xr:uid="{00000000-0005-0000-0000-00004B520000}"/>
    <cellStyle name="Normal 17 2 2 4" xfId="15329" xr:uid="{00000000-0005-0000-0000-00004C520000}"/>
    <cellStyle name="Normal 17 2 2 4 2" xfId="23666" xr:uid="{00000000-0005-0000-0000-00004D520000}"/>
    <cellStyle name="Normal 17 2 2 5" xfId="23663" xr:uid="{00000000-0005-0000-0000-00004E520000}"/>
    <cellStyle name="Normal 17 2 2 6" xfId="33790" xr:uid="{00000000-0005-0000-0000-00004F520000}"/>
    <cellStyle name="Normal 17 2 2_Additional Disclosures" xfId="16175" xr:uid="{00000000-0005-0000-0000-000050520000}"/>
    <cellStyle name="Normal 17 2 3" xfId="11745" xr:uid="{00000000-0005-0000-0000-000051520000}"/>
    <cellStyle name="Normal 17 2 3 2" xfId="23667" xr:uid="{00000000-0005-0000-0000-000052520000}"/>
    <cellStyle name="Normal 17 2 3 3" xfId="34018" xr:uid="{00000000-0005-0000-0000-000053520000}"/>
    <cellStyle name="Normal 17 2 4" xfId="13674" xr:uid="{00000000-0005-0000-0000-000054520000}"/>
    <cellStyle name="Normal 17 2 4 2" xfId="23668" xr:uid="{00000000-0005-0000-0000-000055520000}"/>
    <cellStyle name="Normal 17 2 4 3" xfId="34232" xr:uid="{00000000-0005-0000-0000-000056520000}"/>
    <cellStyle name="Normal 17 2 5" xfId="14819" xr:uid="{00000000-0005-0000-0000-000057520000}"/>
    <cellStyle name="Normal 17 2 5 2" xfId="23669" xr:uid="{00000000-0005-0000-0000-000058520000}"/>
    <cellStyle name="Normal 17 2 6" xfId="23662" xr:uid="{00000000-0005-0000-0000-000059520000}"/>
    <cellStyle name="Normal 17 2 7" xfId="31610" xr:uid="{00000000-0005-0000-0000-00005A520000}"/>
    <cellStyle name="Normal 17 2 8" xfId="31611" xr:uid="{00000000-0005-0000-0000-00005B520000}"/>
    <cellStyle name="Normal 17 2 9" xfId="31612" xr:uid="{00000000-0005-0000-0000-00005C520000}"/>
    <cellStyle name="Normal 17 2_Additional Disclosures" xfId="16174" xr:uid="{00000000-0005-0000-0000-00005D520000}"/>
    <cellStyle name="Normal 17 3" xfId="9202" xr:uid="{00000000-0005-0000-0000-00005E520000}"/>
    <cellStyle name="Normal 17 3 2" xfId="10978" xr:uid="{00000000-0005-0000-0000-00005F520000}"/>
    <cellStyle name="Normal 17 3 2 2" xfId="12398" xr:uid="{00000000-0005-0000-0000-000060520000}"/>
    <cellStyle name="Normal 17 3 2 2 2" xfId="23672" xr:uid="{00000000-0005-0000-0000-000061520000}"/>
    <cellStyle name="Normal 17 3 2 3" xfId="23671" xr:uid="{00000000-0005-0000-0000-000062520000}"/>
    <cellStyle name="Normal 17 3 3" xfId="11746" xr:uid="{00000000-0005-0000-0000-000063520000}"/>
    <cellStyle name="Normal 17 3 3 2" xfId="23673" xr:uid="{00000000-0005-0000-0000-000064520000}"/>
    <cellStyle name="Normal 17 3 4" xfId="13930" xr:uid="{00000000-0005-0000-0000-000065520000}"/>
    <cellStyle name="Normal 17 3 4 2" xfId="23674" xr:uid="{00000000-0005-0000-0000-000066520000}"/>
    <cellStyle name="Normal 17 3 5" xfId="15075" xr:uid="{00000000-0005-0000-0000-000067520000}"/>
    <cellStyle name="Normal 17 3 5 2" xfId="23675" xr:uid="{00000000-0005-0000-0000-000068520000}"/>
    <cellStyle name="Normal 17 3 6" xfId="23670" xr:uid="{00000000-0005-0000-0000-000069520000}"/>
    <cellStyle name="Normal 17 3 7" xfId="31613" xr:uid="{00000000-0005-0000-0000-00006A520000}"/>
    <cellStyle name="Normal 17 3 8" xfId="31614" xr:uid="{00000000-0005-0000-0000-00006B520000}"/>
    <cellStyle name="Normal 17 3_Additional Disclosures" xfId="16176" xr:uid="{00000000-0005-0000-0000-00006C520000}"/>
    <cellStyle name="Normal 17 4" xfId="13419" xr:uid="{00000000-0005-0000-0000-00006D520000}"/>
    <cellStyle name="Normal 17 4 2" xfId="23676" xr:uid="{00000000-0005-0000-0000-00006E520000}"/>
    <cellStyle name="Normal 17 5" xfId="14563" xr:uid="{00000000-0005-0000-0000-00006F520000}"/>
    <cellStyle name="Normal 17 5 2" xfId="23677" xr:uid="{00000000-0005-0000-0000-000070520000}"/>
    <cellStyle name="Normal 17 6" xfId="23661" xr:uid="{00000000-0005-0000-0000-000071520000}"/>
    <cellStyle name="Normal 17 7" xfId="28850" xr:uid="{00000000-0005-0000-0000-000072520000}"/>
    <cellStyle name="Normal 17 8" xfId="28693" xr:uid="{00000000-0005-0000-0000-000073520000}"/>
    <cellStyle name="Normal 17 9" xfId="28852" xr:uid="{00000000-0005-0000-0000-000074520000}"/>
    <cellStyle name="Normal 17_Additional Disclosures" xfId="16173" xr:uid="{00000000-0005-0000-0000-000075520000}"/>
    <cellStyle name="Normal 170" xfId="9203" xr:uid="{00000000-0005-0000-0000-000076520000}"/>
    <cellStyle name="Normal 170 10" xfId="23678" xr:uid="{00000000-0005-0000-0000-000077520000}"/>
    <cellStyle name="Normal 170 11" xfId="31615" xr:uid="{00000000-0005-0000-0000-000078520000}"/>
    <cellStyle name="Normal 170 2" xfId="9204" xr:uid="{00000000-0005-0000-0000-000079520000}"/>
    <cellStyle name="Normal 170 2 10" xfId="28689" xr:uid="{00000000-0005-0000-0000-00007A520000}"/>
    <cellStyle name="Normal 170 2 2" xfId="12211" xr:uid="{00000000-0005-0000-0000-00007B520000}"/>
    <cellStyle name="Normal 170 2 2 2" xfId="14320" xr:uid="{00000000-0005-0000-0000-00007C520000}"/>
    <cellStyle name="Normal 170 2 2 2 2" xfId="23681" xr:uid="{00000000-0005-0000-0000-00007D520000}"/>
    <cellStyle name="Normal 170 2 2 3" xfId="15464" xr:uid="{00000000-0005-0000-0000-00007E520000}"/>
    <cellStyle name="Normal 170 2 2 3 2" xfId="23682" xr:uid="{00000000-0005-0000-0000-00007F520000}"/>
    <cellStyle name="Normal 170 2 2 4" xfId="23680" xr:uid="{00000000-0005-0000-0000-000080520000}"/>
    <cellStyle name="Normal 170 2 2_Additional Disclosures" xfId="16179" xr:uid="{00000000-0005-0000-0000-000081520000}"/>
    <cellStyle name="Normal 170 2 3" xfId="12212" xr:uid="{00000000-0005-0000-0000-000082520000}"/>
    <cellStyle name="Normal 170 2 3 2" xfId="23683" xr:uid="{00000000-0005-0000-0000-000083520000}"/>
    <cellStyle name="Normal 170 2 4" xfId="13809" xr:uid="{00000000-0005-0000-0000-000084520000}"/>
    <cellStyle name="Normal 170 2 4 2" xfId="23684" xr:uid="{00000000-0005-0000-0000-000085520000}"/>
    <cellStyle name="Normal 170 2 5" xfId="14954" xr:uid="{00000000-0005-0000-0000-000086520000}"/>
    <cellStyle name="Normal 170 2 5 2" xfId="23685" xr:uid="{00000000-0005-0000-0000-000087520000}"/>
    <cellStyle name="Normal 170 2 6" xfId="23679" xr:uid="{00000000-0005-0000-0000-000088520000}"/>
    <cellStyle name="Normal 170 2 7" xfId="28851" xr:uid="{00000000-0005-0000-0000-000089520000}"/>
    <cellStyle name="Normal 170 2 8" xfId="28692" xr:uid="{00000000-0005-0000-0000-00008A520000}"/>
    <cellStyle name="Normal 170 2 9" xfId="28854" xr:uid="{00000000-0005-0000-0000-00008B520000}"/>
    <cellStyle name="Normal 170 2_Additional Disclosures" xfId="16178" xr:uid="{00000000-0005-0000-0000-00008C520000}"/>
    <cellStyle name="Normal 170 3" xfId="9205" xr:uid="{00000000-0005-0000-0000-00008D520000}"/>
    <cellStyle name="Normal 170 3 2" xfId="12210" xr:uid="{00000000-0005-0000-0000-00008E520000}"/>
    <cellStyle name="Normal 170 3 2 2" xfId="23687" xr:uid="{00000000-0005-0000-0000-00008F520000}"/>
    <cellStyle name="Normal 170 3 3" xfId="14066" xr:uid="{00000000-0005-0000-0000-000090520000}"/>
    <cellStyle name="Normal 170 3 3 2" xfId="23688" xr:uid="{00000000-0005-0000-0000-000091520000}"/>
    <cellStyle name="Normal 170 3 4" xfId="15210" xr:uid="{00000000-0005-0000-0000-000092520000}"/>
    <cellStyle name="Normal 170 3 4 2" xfId="23689" xr:uid="{00000000-0005-0000-0000-000093520000}"/>
    <cellStyle name="Normal 170 3 5" xfId="23686" xr:uid="{00000000-0005-0000-0000-000094520000}"/>
    <cellStyle name="Normal 170 3_Additional Disclosures" xfId="16180" xr:uid="{00000000-0005-0000-0000-000095520000}"/>
    <cellStyle name="Normal 170 4" xfId="9206" xr:uid="{00000000-0005-0000-0000-000096520000}"/>
    <cellStyle name="Normal 170 4 2" xfId="23690" xr:uid="{00000000-0005-0000-0000-000097520000}"/>
    <cellStyle name="Normal 170 5" xfId="9207" xr:uid="{00000000-0005-0000-0000-000098520000}"/>
    <cellStyle name="Normal 170 5 2" xfId="10980" xr:uid="{00000000-0005-0000-0000-000099520000}"/>
    <cellStyle name="Normal 170 5 2 2" xfId="12400" xr:uid="{00000000-0005-0000-0000-00009A520000}"/>
    <cellStyle name="Normal 170 5 2 2 2" xfId="23693" xr:uid="{00000000-0005-0000-0000-00009B520000}"/>
    <cellStyle name="Normal 170 5 2 3" xfId="23692" xr:uid="{00000000-0005-0000-0000-00009C520000}"/>
    <cellStyle name="Normal 170 5 3" xfId="11748" xr:uid="{00000000-0005-0000-0000-00009D520000}"/>
    <cellStyle name="Normal 170 5 3 2" xfId="23694" xr:uid="{00000000-0005-0000-0000-00009E520000}"/>
    <cellStyle name="Normal 170 5 4" xfId="23691" xr:uid="{00000000-0005-0000-0000-00009F520000}"/>
    <cellStyle name="Normal 170 6" xfId="10979" xr:uid="{00000000-0005-0000-0000-0000A0520000}"/>
    <cellStyle name="Normal 170 6 2" xfId="12399" xr:uid="{00000000-0005-0000-0000-0000A1520000}"/>
    <cellStyle name="Normal 170 6 2 2" xfId="23696" xr:uid="{00000000-0005-0000-0000-0000A2520000}"/>
    <cellStyle name="Normal 170 6 3" xfId="23695" xr:uid="{00000000-0005-0000-0000-0000A3520000}"/>
    <cellStyle name="Normal 170 7" xfId="11747" xr:uid="{00000000-0005-0000-0000-0000A4520000}"/>
    <cellStyle name="Normal 170 7 2" xfId="23697" xr:uid="{00000000-0005-0000-0000-0000A5520000}"/>
    <cellStyle name="Normal 170 8" xfId="13555" xr:uid="{00000000-0005-0000-0000-0000A6520000}"/>
    <cellStyle name="Normal 170 8 2" xfId="23698" xr:uid="{00000000-0005-0000-0000-0000A7520000}"/>
    <cellStyle name="Normal 170 9" xfId="14700" xr:uid="{00000000-0005-0000-0000-0000A8520000}"/>
    <cellStyle name="Normal 170 9 2" xfId="23699" xr:uid="{00000000-0005-0000-0000-0000A9520000}"/>
    <cellStyle name="Normal 170_Additional Disclosures" xfId="16177" xr:uid="{00000000-0005-0000-0000-0000AA520000}"/>
    <cellStyle name="Normal 171" xfId="9208" xr:uid="{00000000-0005-0000-0000-0000AB520000}"/>
    <cellStyle name="Normal 171 2" xfId="9209" xr:uid="{00000000-0005-0000-0000-0000AC520000}"/>
    <cellStyle name="Normal 171 2 10" xfId="28687" xr:uid="{00000000-0005-0000-0000-0000AD520000}"/>
    <cellStyle name="Normal 171 2 2" xfId="12208" xr:uid="{00000000-0005-0000-0000-0000AE520000}"/>
    <cellStyle name="Normal 171 2 2 2" xfId="14321" xr:uid="{00000000-0005-0000-0000-0000AF520000}"/>
    <cellStyle name="Normal 171 2 2 2 2" xfId="23703" xr:uid="{00000000-0005-0000-0000-0000B0520000}"/>
    <cellStyle name="Normal 171 2 2 3" xfId="15465" xr:uid="{00000000-0005-0000-0000-0000B1520000}"/>
    <cellStyle name="Normal 171 2 2 3 2" xfId="23704" xr:uid="{00000000-0005-0000-0000-0000B2520000}"/>
    <cellStyle name="Normal 171 2 2 4" xfId="23702" xr:uid="{00000000-0005-0000-0000-0000B3520000}"/>
    <cellStyle name="Normal 171 2 2_Additional Disclosures" xfId="16183" xr:uid="{00000000-0005-0000-0000-0000B4520000}"/>
    <cellStyle name="Normal 171 2 3" xfId="12209" xr:uid="{00000000-0005-0000-0000-0000B5520000}"/>
    <cellStyle name="Normal 171 2 3 2" xfId="23705" xr:uid="{00000000-0005-0000-0000-0000B6520000}"/>
    <cellStyle name="Normal 171 2 4" xfId="13810" xr:uid="{00000000-0005-0000-0000-0000B7520000}"/>
    <cellStyle name="Normal 171 2 4 2" xfId="23706" xr:uid="{00000000-0005-0000-0000-0000B8520000}"/>
    <cellStyle name="Normal 171 2 5" xfId="14955" xr:uid="{00000000-0005-0000-0000-0000B9520000}"/>
    <cellStyle name="Normal 171 2 5 2" xfId="23707" xr:uid="{00000000-0005-0000-0000-0000BA520000}"/>
    <cellStyle name="Normal 171 2 6" xfId="23701" xr:uid="{00000000-0005-0000-0000-0000BB520000}"/>
    <cellStyle name="Normal 171 2 7" xfId="28853" xr:uid="{00000000-0005-0000-0000-0000BC520000}"/>
    <cellStyle name="Normal 171 2 8" xfId="28690" xr:uid="{00000000-0005-0000-0000-0000BD520000}"/>
    <cellStyle name="Normal 171 2 9" xfId="28856" xr:uid="{00000000-0005-0000-0000-0000BE520000}"/>
    <cellStyle name="Normal 171 2_Additional Disclosures" xfId="16182" xr:uid="{00000000-0005-0000-0000-0000BF520000}"/>
    <cellStyle name="Normal 171 3" xfId="9210" xr:uid="{00000000-0005-0000-0000-0000C0520000}"/>
    <cellStyle name="Normal 171 3 2" xfId="10982" xr:uid="{00000000-0005-0000-0000-0000C1520000}"/>
    <cellStyle name="Normal 171 3 2 2" xfId="12402" xr:uid="{00000000-0005-0000-0000-0000C2520000}"/>
    <cellStyle name="Normal 171 3 2 2 2" xfId="23710" xr:uid="{00000000-0005-0000-0000-0000C3520000}"/>
    <cellStyle name="Normal 171 3 2 3" xfId="23709" xr:uid="{00000000-0005-0000-0000-0000C4520000}"/>
    <cellStyle name="Normal 171 3 3" xfId="11750" xr:uid="{00000000-0005-0000-0000-0000C5520000}"/>
    <cellStyle name="Normal 171 3 3 2" xfId="23711" xr:uid="{00000000-0005-0000-0000-0000C6520000}"/>
    <cellStyle name="Normal 171 3 4" xfId="14067" xr:uid="{00000000-0005-0000-0000-0000C7520000}"/>
    <cellStyle name="Normal 171 3 4 2" xfId="23712" xr:uid="{00000000-0005-0000-0000-0000C8520000}"/>
    <cellStyle name="Normal 171 3 5" xfId="15211" xr:uid="{00000000-0005-0000-0000-0000C9520000}"/>
    <cellStyle name="Normal 171 3 5 2" xfId="23713" xr:uid="{00000000-0005-0000-0000-0000CA520000}"/>
    <cellStyle name="Normal 171 3 6" xfId="23708" xr:uid="{00000000-0005-0000-0000-0000CB520000}"/>
    <cellStyle name="Normal 171 3_Additional Disclosures" xfId="16184" xr:uid="{00000000-0005-0000-0000-0000CC520000}"/>
    <cellStyle name="Normal 171 4" xfId="10981" xr:uid="{00000000-0005-0000-0000-0000CD520000}"/>
    <cellStyle name="Normal 171 4 2" xfId="12401" xr:uid="{00000000-0005-0000-0000-0000CE520000}"/>
    <cellStyle name="Normal 171 4 2 2" xfId="23715" xr:uid="{00000000-0005-0000-0000-0000CF520000}"/>
    <cellStyle name="Normal 171 4 3" xfId="23714" xr:uid="{00000000-0005-0000-0000-0000D0520000}"/>
    <cellStyle name="Normal 171 5" xfId="11749" xr:uid="{00000000-0005-0000-0000-0000D1520000}"/>
    <cellStyle name="Normal 171 5 2" xfId="23716" xr:uid="{00000000-0005-0000-0000-0000D2520000}"/>
    <cellStyle name="Normal 171 6" xfId="13556" xr:uid="{00000000-0005-0000-0000-0000D3520000}"/>
    <cellStyle name="Normal 171 6 2" xfId="23717" xr:uid="{00000000-0005-0000-0000-0000D4520000}"/>
    <cellStyle name="Normal 171 7" xfId="14701" xr:uid="{00000000-0005-0000-0000-0000D5520000}"/>
    <cellStyle name="Normal 171 7 2" xfId="23718" xr:uid="{00000000-0005-0000-0000-0000D6520000}"/>
    <cellStyle name="Normal 171 8" xfId="23700" xr:uid="{00000000-0005-0000-0000-0000D7520000}"/>
    <cellStyle name="Normal 171 9" xfId="31616" xr:uid="{00000000-0005-0000-0000-0000D8520000}"/>
    <cellStyle name="Normal 171_Additional Disclosures" xfId="16181" xr:uid="{00000000-0005-0000-0000-0000D9520000}"/>
    <cellStyle name="Normal 172" xfId="9211" xr:uid="{00000000-0005-0000-0000-0000DA520000}"/>
    <cellStyle name="Normal 172 10" xfId="31617" xr:uid="{00000000-0005-0000-0000-0000DB520000}"/>
    <cellStyle name="Normal 172 11" xfId="31618" xr:uid="{00000000-0005-0000-0000-0000DC520000}"/>
    <cellStyle name="Normal 172 2" xfId="9212" xr:uid="{00000000-0005-0000-0000-0000DD520000}"/>
    <cellStyle name="Normal 172 2 10" xfId="28686" xr:uid="{00000000-0005-0000-0000-0000DE520000}"/>
    <cellStyle name="Normal 172 2 11" xfId="31619" xr:uid="{00000000-0005-0000-0000-0000DF520000}"/>
    <cellStyle name="Normal 172 2 12" xfId="31620" xr:uid="{00000000-0005-0000-0000-0000E0520000}"/>
    <cellStyle name="Normal 172 2 13" xfId="31621" xr:uid="{00000000-0005-0000-0000-0000E1520000}"/>
    <cellStyle name="Normal 172 2 2" xfId="12206" xr:uid="{00000000-0005-0000-0000-0000E2520000}"/>
    <cellStyle name="Normal 172 2 2 2" xfId="14137" xr:uid="{00000000-0005-0000-0000-0000E3520000}"/>
    <cellStyle name="Normal 172 2 2 2 2" xfId="15281" xr:uid="{00000000-0005-0000-0000-0000E4520000}"/>
    <cellStyle name="Normal 172 2 2 2 2 2" xfId="23723" xr:uid="{00000000-0005-0000-0000-0000E5520000}"/>
    <cellStyle name="Normal 172 2 2 2 3" xfId="23722" xr:uid="{00000000-0005-0000-0000-0000E6520000}"/>
    <cellStyle name="Normal 172 2 2 2_Additional Disclosures" xfId="16188" xr:uid="{00000000-0005-0000-0000-0000E7520000}"/>
    <cellStyle name="Normal 172 2 2 3" xfId="13626" xr:uid="{00000000-0005-0000-0000-0000E8520000}"/>
    <cellStyle name="Normal 172 2 2 3 2" xfId="23724" xr:uid="{00000000-0005-0000-0000-0000E9520000}"/>
    <cellStyle name="Normal 172 2 2 4" xfId="14771" xr:uid="{00000000-0005-0000-0000-0000EA520000}"/>
    <cellStyle name="Normal 172 2 2 4 2" xfId="23725" xr:uid="{00000000-0005-0000-0000-0000EB520000}"/>
    <cellStyle name="Normal 172 2 2 5" xfId="23721" xr:uid="{00000000-0005-0000-0000-0000EC520000}"/>
    <cellStyle name="Normal 172 2 2_Additional Disclosures" xfId="16187" xr:uid="{00000000-0005-0000-0000-0000ED520000}"/>
    <cellStyle name="Normal 172 2 3" xfId="12207" xr:uid="{00000000-0005-0000-0000-0000EE520000}"/>
    <cellStyle name="Normal 172 2 3 2" xfId="13882" xr:uid="{00000000-0005-0000-0000-0000EF520000}"/>
    <cellStyle name="Normal 172 2 3 2 2" xfId="23727" xr:uid="{00000000-0005-0000-0000-0000F0520000}"/>
    <cellStyle name="Normal 172 2 3 3" xfId="15027" xr:uid="{00000000-0005-0000-0000-0000F1520000}"/>
    <cellStyle name="Normal 172 2 3 3 2" xfId="23728" xr:uid="{00000000-0005-0000-0000-0000F2520000}"/>
    <cellStyle name="Normal 172 2 3 4" xfId="23726" xr:uid="{00000000-0005-0000-0000-0000F3520000}"/>
    <cellStyle name="Normal 172 2 3_Additional Disclosures" xfId="16189" xr:uid="{00000000-0005-0000-0000-0000F4520000}"/>
    <cellStyle name="Normal 172 2 4" xfId="13371" xr:uid="{00000000-0005-0000-0000-0000F5520000}"/>
    <cellStyle name="Normal 172 2 4 2" xfId="23729" xr:uid="{00000000-0005-0000-0000-0000F6520000}"/>
    <cellStyle name="Normal 172 2 5" xfId="14515" xr:uid="{00000000-0005-0000-0000-0000F7520000}"/>
    <cellStyle name="Normal 172 2 5 2" xfId="23730" xr:uid="{00000000-0005-0000-0000-0000F8520000}"/>
    <cellStyle name="Normal 172 2 6" xfId="23720" xr:uid="{00000000-0005-0000-0000-0000F9520000}"/>
    <cellStyle name="Normal 172 2 7" xfId="28855" xr:uid="{00000000-0005-0000-0000-0000FA520000}"/>
    <cellStyle name="Normal 172 2 8" xfId="28688" xr:uid="{00000000-0005-0000-0000-0000FB520000}"/>
    <cellStyle name="Normal 172 2 9" xfId="28857" xr:uid="{00000000-0005-0000-0000-0000FC520000}"/>
    <cellStyle name="Normal 172 2_Additional Disclosures" xfId="16186" xr:uid="{00000000-0005-0000-0000-0000FD520000}"/>
    <cellStyle name="Normal 172 3" xfId="9213" xr:uid="{00000000-0005-0000-0000-0000FE520000}"/>
    <cellStyle name="Normal 172 3 2" xfId="10984" xr:uid="{00000000-0005-0000-0000-0000FF520000}"/>
    <cellStyle name="Normal 172 3 2 2" xfId="12404" xr:uid="{00000000-0005-0000-0000-000000530000}"/>
    <cellStyle name="Normal 172 3 2 2 2" xfId="23733" xr:uid="{00000000-0005-0000-0000-000001530000}"/>
    <cellStyle name="Normal 172 3 2 3" xfId="14097" xr:uid="{00000000-0005-0000-0000-000002530000}"/>
    <cellStyle name="Normal 172 3 2 3 2" xfId="23734" xr:uid="{00000000-0005-0000-0000-000003530000}"/>
    <cellStyle name="Normal 172 3 2 4" xfId="15241" xr:uid="{00000000-0005-0000-0000-000004530000}"/>
    <cellStyle name="Normal 172 3 2 4 2" xfId="23735" xr:uid="{00000000-0005-0000-0000-000005530000}"/>
    <cellStyle name="Normal 172 3 2 5" xfId="23732" xr:uid="{00000000-0005-0000-0000-000006530000}"/>
    <cellStyle name="Normal 172 3 2_Additional Disclosures" xfId="16191" xr:uid="{00000000-0005-0000-0000-000007530000}"/>
    <cellStyle name="Normal 172 3 3" xfId="11752" xr:uid="{00000000-0005-0000-0000-000008530000}"/>
    <cellStyle name="Normal 172 3 3 2" xfId="23736" xr:uid="{00000000-0005-0000-0000-000009530000}"/>
    <cellStyle name="Normal 172 3 4" xfId="13586" xr:uid="{00000000-0005-0000-0000-00000A530000}"/>
    <cellStyle name="Normal 172 3 4 2" xfId="23737" xr:uid="{00000000-0005-0000-0000-00000B530000}"/>
    <cellStyle name="Normal 172 3 5" xfId="14731" xr:uid="{00000000-0005-0000-0000-00000C530000}"/>
    <cellStyle name="Normal 172 3 5 2" xfId="23738" xr:uid="{00000000-0005-0000-0000-00000D530000}"/>
    <cellStyle name="Normal 172 3 6" xfId="23731" xr:uid="{00000000-0005-0000-0000-00000E530000}"/>
    <cellStyle name="Normal 172 3 7" xfId="31622" xr:uid="{00000000-0005-0000-0000-00000F530000}"/>
    <cellStyle name="Normal 172 3_Additional Disclosures" xfId="16190" xr:uid="{00000000-0005-0000-0000-000010530000}"/>
    <cellStyle name="Normal 172 4" xfId="10983" xr:uid="{00000000-0005-0000-0000-000011530000}"/>
    <cellStyle name="Normal 172 4 2" xfId="12403" xr:uid="{00000000-0005-0000-0000-000012530000}"/>
    <cellStyle name="Normal 172 4 2 2" xfId="23740" xr:uid="{00000000-0005-0000-0000-000013530000}"/>
    <cellStyle name="Normal 172 4 3" xfId="13842" xr:uid="{00000000-0005-0000-0000-000014530000}"/>
    <cellStyle name="Normal 172 4 3 2" xfId="23741" xr:uid="{00000000-0005-0000-0000-000015530000}"/>
    <cellStyle name="Normal 172 4 4" xfId="14987" xr:uid="{00000000-0005-0000-0000-000016530000}"/>
    <cellStyle name="Normal 172 4 4 2" xfId="23742" xr:uid="{00000000-0005-0000-0000-000017530000}"/>
    <cellStyle name="Normal 172 4 5" xfId="23739" xr:uid="{00000000-0005-0000-0000-000018530000}"/>
    <cellStyle name="Normal 172 4_Additional Disclosures" xfId="16192" xr:uid="{00000000-0005-0000-0000-000019530000}"/>
    <cellStyle name="Normal 172 5" xfId="11751" xr:uid="{00000000-0005-0000-0000-00001A530000}"/>
    <cellStyle name="Normal 172 5 2" xfId="23743" xr:uid="{00000000-0005-0000-0000-00001B530000}"/>
    <cellStyle name="Normal 172 6" xfId="13332" xr:uid="{00000000-0005-0000-0000-00001C530000}"/>
    <cellStyle name="Normal 172 6 2" xfId="23744" xr:uid="{00000000-0005-0000-0000-00001D530000}"/>
    <cellStyle name="Normal 172 7" xfId="14474" xr:uid="{00000000-0005-0000-0000-00001E530000}"/>
    <cellStyle name="Normal 172 7 2" xfId="23745" xr:uid="{00000000-0005-0000-0000-00001F530000}"/>
    <cellStyle name="Normal 172 8" xfId="23719" xr:uid="{00000000-0005-0000-0000-000020530000}"/>
    <cellStyle name="Normal 172 9" xfId="31623" xr:uid="{00000000-0005-0000-0000-000021530000}"/>
    <cellStyle name="Normal 172_Additional Disclosures" xfId="16185" xr:uid="{00000000-0005-0000-0000-000022530000}"/>
    <cellStyle name="Normal 173" xfId="9214" xr:uid="{00000000-0005-0000-0000-000023530000}"/>
    <cellStyle name="Normal 173 2" xfId="9215" xr:uid="{00000000-0005-0000-0000-000024530000}"/>
    <cellStyle name="Normal 173 2 2" xfId="10986" xr:uid="{00000000-0005-0000-0000-000025530000}"/>
    <cellStyle name="Normal 173 2 2 2" xfId="12406" xr:uid="{00000000-0005-0000-0000-000026530000}"/>
    <cellStyle name="Normal 173 2 2 2 2" xfId="23749" xr:uid="{00000000-0005-0000-0000-000027530000}"/>
    <cellStyle name="Normal 173 2 2 3" xfId="14322" xr:uid="{00000000-0005-0000-0000-000028530000}"/>
    <cellStyle name="Normal 173 2 2 3 2" xfId="23750" xr:uid="{00000000-0005-0000-0000-000029530000}"/>
    <cellStyle name="Normal 173 2 2 4" xfId="15466" xr:uid="{00000000-0005-0000-0000-00002A530000}"/>
    <cellStyle name="Normal 173 2 2 4 2" xfId="23751" xr:uid="{00000000-0005-0000-0000-00002B530000}"/>
    <cellStyle name="Normal 173 2 2 5" xfId="23748" xr:uid="{00000000-0005-0000-0000-00002C530000}"/>
    <cellStyle name="Normal 173 2 2_Additional Disclosures" xfId="16195" xr:uid="{00000000-0005-0000-0000-00002D530000}"/>
    <cellStyle name="Normal 173 2 3" xfId="11754" xr:uid="{00000000-0005-0000-0000-00002E530000}"/>
    <cellStyle name="Normal 173 2 3 2" xfId="23752" xr:uid="{00000000-0005-0000-0000-00002F530000}"/>
    <cellStyle name="Normal 173 2 4" xfId="13811" xr:uid="{00000000-0005-0000-0000-000030530000}"/>
    <cellStyle name="Normal 173 2 4 2" xfId="23753" xr:uid="{00000000-0005-0000-0000-000031530000}"/>
    <cellStyle name="Normal 173 2 5" xfId="14956" xr:uid="{00000000-0005-0000-0000-000032530000}"/>
    <cellStyle name="Normal 173 2 5 2" xfId="23754" xr:uid="{00000000-0005-0000-0000-000033530000}"/>
    <cellStyle name="Normal 173 2 6" xfId="23747" xr:uid="{00000000-0005-0000-0000-000034530000}"/>
    <cellStyle name="Normal 173 2_Additional Disclosures" xfId="16194" xr:uid="{00000000-0005-0000-0000-000035530000}"/>
    <cellStyle name="Normal 173 3" xfId="10985" xr:uid="{00000000-0005-0000-0000-000036530000}"/>
    <cellStyle name="Normal 173 3 2" xfId="12405" xr:uid="{00000000-0005-0000-0000-000037530000}"/>
    <cellStyle name="Normal 173 3 2 2" xfId="23756" xr:uid="{00000000-0005-0000-0000-000038530000}"/>
    <cellStyle name="Normal 173 3 3" xfId="14068" xr:uid="{00000000-0005-0000-0000-000039530000}"/>
    <cellStyle name="Normal 173 3 3 2" xfId="23757" xr:uid="{00000000-0005-0000-0000-00003A530000}"/>
    <cellStyle name="Normal 173 3 4" xfId="15212" xr:uid="{00000000-0005-0000-0000-00003B530000}"/>
    <cellStyle name="Normal 173 3 4 2" xfId="23758" xr:uid="{00000000-0005-0000-0000-00003C530000}"/>
    <cellStyle name="Normal 173 3 5" xfId="23755" xr:uid="{00000000-0005-0000-0000-00003D530000}"/>
    <cellStyle name="Normal 173 3_Additional Disclosures" xfId="16196" xr:uid="{00000000-0005-0000-0000-00003E530000}"/>
    <cellStyle name="Normal 173 4" xfId="11753" xr:uid="{00000000-0005-0000-0000-00003F530000}"/>
    <cellStyle name="Normal 173 4 2" xfId="23759" xr:uid="{00000000-0005-0000-0000-000040530000}"/>
    <cellStyle name="Normal 173 5" xfId="13557" xr:uid="{00000000-0005-0000-0000-000041530000}"/>
    <cellStyle name="Normal 173 5 2" xfId="23760" xr:uid="{00000000-0005-0000-0000-000042530000}"/>
    <cellStyle name="Normal 173 6" xfId="14702" xr:uid="{00000000-0005-0000-0000-000043530000}"/>
    <cellStyle name="Normal 173 6 2" xfId="23761" xr:uid="{00000000-0005-0000-0000-000044530000}"/>
    <cellStyle name="Normal 173 7" xfId="23746" xr:uid="{00000000-0005-0000-0000-000045530000}"/>
    <cellStyle name="Normal 173 8" xfId="31624" xr:uid="{00000000-0005-0000-0000-000046530000}"/>
    <cellStyle name="Normal 173_Additional Disclosures" xfId="16193" xr:uid="{00000000-0005-0000-0000-000047530000}"/>
    <cellStyle name="Normal 174" xfId="9216" xr:uid="{00000000-0005-0000-0000-000048530000}"/>
    <cellStyle name="Normal 174 2" xfId="9217" xr:uid="{00000000-0005-0000-0000-000049530000}"/>
    <cellStyle name="Normal 174 2 10" xfId="28683" xr:uid="{00000000-0005-0000-0000-00004A530000}"/>
    <cellStyle name="Normal 174 2 2" xfId="12204" xr:uid="{00000000-0005-0000-0000-00004B530000}"/>
    <cellStyle name="Normal 174 2 2 2" xfId="14323" xr:uid="{00000000-0005-0000-0000-00004C530000}"/>
    <cellStyle name="Normal 174 2 2 2 2" xfId="23765" xr:uid="{00000000-0005-0000-0000-00004D530000}"/>
    <cellStyle name="Normal 174 2 2 3" xfId="15467" xr:uid="{00000000-0005-0000-0000-00004E530000}"/>
    <cellStyle name="Normal 174 2 2 3 2" xfId="23766" xr:uid="{00000000-0005-0000-0000-00004F530000}"/>
    <cellStyle name="Normal 174 2 2 4" xfId="23764" xr:uid="{00000000-0005-0000-0000-000050530000}"/>
    <cellStyle name="Normal 174 2 2_Additional Disclosures" xfId="16199" xr:uid="{00000000-0005-0000-0000-000051530000}"/>
    <cellStyle name="Normal 174 2 3" xfId="12205" xr:uid="{00000000-0005-0000-0000-000052530000}"/>
    <cellStyle name="Normal 174 2 3 2" xfId="23767" xr:uid="{00000000-0005-0000-0000-000053530000}"/>
    <cellStyle name="Normal 174 2 4" xfId="13812" xr:uid="{00000000-0005-0000-0000-000054530000}"/>
    <cellStyle name="Normal 174 2 4 2" xfId="23768" xr:uid="{00000000-0005-0000-0000-000055530000}"/>
    <cellStyle name="Normal 174 2 5" xfId="14957" xr:uid="{00000000-0005-0000-0000-000056530000}"/>
    <cellStyle name="Normal 174 2 5 2" xfId="23769" xr:uid="{00000000-0005-0000-0000-000057530000}"/>
    <cellStyle name="Normal 174 2 6" xfId="23763" xr:uid="{00000000-0005-0000-0000-000058530000}"/>
    <cellStyle name="Normal 174 2 7" xfId="28858" xr:uid="{00000000-0005-0000-0000-000059530000}"/>
    <cellStyle name="Normal 174 2 8" xfId="28685" xr:uid="{00000000-0005-0000-0000-00005A530000}"/>
    <cellStyle name="Normal 174 2 9" xfId="28860" xr:uid="{00000000-0005-0000-0000-00005B530000}"/>
    <cellStyle name="Normal 174 2_Additional Disclosures" xfId="16198" xr:uid="{00000000-0005-0000-0000-00005C530000}"/>
    <cellStyle name="Normal 174 3" xfId="9218" xr:uid="{00000000-0005-0000-0000-00005D530000}"/>
    <cellStyle name="Normal 174 3 2" xfId="10988" xr:uid="{00000000-0005-0000-0000-00005E530000}"/>
    <cellStyle name="Normal 174 3 2 2" xfId="12408" xr:uid="{00000000-0005-0000-0000-00005F530000}"/>
    <cellStyle name="Normal 174 3 2 2 2" xfId="23772" xr:uid="{00000000-0005-0000-0000-000060530000}"/>
    <cellStyle name="Normal 174 3 2 3" xfId="23771" xr:uid="{00000000-0005-0000-0000-000061530000}"/>
    <cellStyle name="Normal 174 3 3" xfId="11756" xr:uid="{00000000-0005-0000-0000-000062530000}"/>
    <cellStyle name="Normal 174 3 3 2" xfId="23773" xr:uid="{00000000-0005-0000-0000-000063530000}"/>
    <cellStyle name="Normal 174 3 4" xfId="14069" xr:uid="{00000000-0005-0000-0000-000064530000}"/>
    <cellStyle name="Normal 174 3 4 2" xfId="23774" xr:uid="{00000000-0005-0000-0000-000065530000}"/>
    <cellStyle name="Normal 174 3 5" xfId="15213" xr:uid="{00000000-0005-0000-0000-000066530000}"/>
    <cellStyle name="Normal 174 3 5 2" xfId="23775" xr:uid="{00000000-0005-0000-0000-000067530000}"/>
    <cellStyle name="Normal 174 3 6" xfId="23770" xr:uid="{00000000-0005-0000-0000-000068530000}"/>
    <cellStyle name="Normal 174 3_Additional Disclosures" xfId="16200" xr:uid="{00000000-0005-0000-0000-000069530000}"/>
    <cellStyle name="Normal 174 4" xfId="10987" xr:uid="{00000000-0005-0000-0000-00006A530000}"/>
    <cellStyle name="Normal 174 4 2" xfId="12407" xr:uid="{00000000-0005-0000-0000-00006B530000}"/>
    <cellStyle name="Normal 174 4 2 2" xfId="23777" xr:uid="{00000000-0005-0000-0000-00006C530000}"/>
    <cellStyle name="Normal 174 4 3" xfId="23776" xr:uid="{00000000-0005-0000-0000-00006D530000}"/>
    <cellStyle name="Normal 174 5" xfId="11755" xr:uid="{00000000-0005-0000-0000-00006E530000}"/>
    <cellStyle name="Normal 174 5 2" xfId="23778" xr:uid="{00000000-0005-0000-0000-00006F530000}"/>
    <cellStyle name="Normal 174 6" xfId="13558" xr:uid="{00000000-0005-0000-0000-000070530000}"/>
    <cellStyle name="Normal 174 6 2" xfId="23779" xr:uid="{00000000-0005-0000-0000-000071530000}"/>
    <cellStyle name="Normal 174 7" xfId="14703" xr:uid="{00000000-0005-0000-0000-000072530000}"/>
    <cellStyle name="Normal 174 7 2" xfId="23780" xr:uid="{00000000-0005-0000-0000-000073530000}"/>
    <cellStyle name="Normal 174 8" xfId="23762" xr:uid="{00000000-0005-0000-0000-000074530000}"/>
    <cellStyle name="Normal 174 9" xfId="31625" xr:uid="{00000000-0005-0000-0000-000075530000}"/>
    <cellStyle name="Normal 174_Additional Disclosures" xfId="16197" xr:uid="{00000000-0005-0000-0000-000076530000}"/>
    <cellStyle name="Normal 175" xfId="9219" xr:uid="{00000000-0005-0000-0000-000077530000}"/>
    <cellStyle name="Normal 175 2" xfId="9220" xr:uid="{00000000-0005-0000-0000-000078530000}"/>
    <cellStyle name="Normal 175 2 10" xfId="28682" xr:uid="{00000000-0005-0000-0000-000079530000}"/>
    <cellStyle name="Normal 175 2 2" xfId="12202" xr:uid="{00000000-0005-0000-0000-00007A530000}"/>
    <cellStyle name="Normal 175 2 2 2" xfId="14324" xr:uid="{00000000-0005-0000-0000-00007B530000}"/>
    <cellStyle name="Normal 175 2 2 2 2" xfId="23784" xr:uid="{00000000-0005-0000-0000-00007C530000}"/>
    <cellStyle name="Normal 175 2 2 3" xfId="15468" xr:uid="{00000000-0005-0000-0000-00007D530000}"/>
    <cellStyle name="Normal 175 2 2 3 2" xfId="23785" xr:uid="{00000000-0005-0000-0000-00007E530000}"/>
    <cellStyle name="Normal 175 2 2 4" xfId="23783" xr:uid="{00000000-0005-0000-0000-00007F530000}"/>
    <cellStyle name="Normal 175 2 2_Additional Disclosures" xfId="16203" xr:uid="{00000000-0005-0000-0000-000080530000}"/>
    <cellStyle name="Normal 175 2 3" xfId="12203" xr:uid="{00000000-0005-0000-0000-000081530000}"/>
    <cellStyle name="Normal 175 2 3 2" xfId="23786" xr:uid="{00000000-0005-0000-0000-000082530000}"/>
    <cellStyle name="Normal 175 2 4" xfId="13813" xr:uid="{00000000-0005-0000-0000-000083530000}"/>
    <cellStyle name="Normal 175 2 4 2" xfId="23787" xr:uid="{00000000-0005-0000-0000-000084530000}"/>
    <cellStyle name="Normal 175 2 5" xfId="14958" xr:uid="{00000000-0005-0000-0000-000085530000}"/>
    <cellStyle name="Normal 175 2 5 2" xfId="23788" xr:uid="{00000000-0005-0000-0000-000086530000}"/>
    <cellStyle name="Normal 175 2 6" xfId="23782" xr:uid="{00000000-0005-0000-0000-000087530000}"/>
    <cellStyle name="Normal 175 2 7" xfId="28859" xr:uid="{00000000-0005-0000-0000-000088530000}"/>
    <cellStyle name="Normal 175 2 8" xfId="28684" xr:uid="{00000000-0005-0000-0000-000089530000}"/>
    <cellStyle name="Normal 175 2 9" xfId="28863" xr:uid="{00000000-0005-0000-0000-00008A530000}"/>
    <cellStyle name="Normal 175 2_Additional Disclosures" xfId="16202" xr:uid="{00000000-0005-0000-0000-00008B530000}"/>
    <cellStyle name="Normal 175 3" xfId="9221" xr:uid="{00000000-0005-0000-0000-00008C530000}"/>
    <cellStyle name="Normal 175 3 2" xfId="10990" xr:uid="{00000000-0005-0000-0000-00008D530000}"/>
    <cellStyle name="Normal 175 3 2 2" xfId="12410" xr:uid="{00000000-0005-0000-0000-00008E530000}"/>
    <cellStyle name="Normal 175 3 2 2 2" xfId="23791" xr:uid="{00000000-0005-0000-0000-00008F530000}"/>
    <cellStyle name="Normal 175 3 2 3" xfId="23790" xr:uid="{00000000-0005-0000-0000-000090530000}"/>
    <cellStyle name="Normal 175 3 3" xfId="11758" xr:uid="{00000000-0005-0000-0000-000091530000}"/>
    <cellStyle name="Normal 175 3 3 2" xfId="23792" xr:uid="{00000000-0005-0000-0000-000092530000}"/>
    <cellStyle name="Normal 175 3 4" xfId="14070" xr:uid="{00000000-0005-0000-0000-000093530000}"/>
    <cellStyle name="Normal 175 3 4 2" xfId="23793" xr:uid="{00000000-0005-0000-0000-000094530000}"/>
    <cellStyle name="Normal 175 3 5" xfId="15214" xr:uid="{00000000-0005-0000-0000-000095530000}"/>
    <cellStyle name="Normal 175 3 5 2" xfId="23794" xr:uid="{00000000-0005-0000-0000-000096530000}"/>
    <cellStyle name="Normal 175 3 6" xfId="23789" xr:uid="{00000000-0005-0000-0000-000097530000}"/>
    <cellStyle name="Normal 175 3_Additional Disclosures" xfId="16204" xr:uid="{00000000-0005-0000-0000-000098530000}"/>
    <cellStyle name="Normal 175 4" xfId="10989" xr:uid="{00000000-0005-0000-0000-000099530000}"/>
    <cellStyle name="Normal 175 4 2" xfId="12409" xr:uid="{00000000-0005-0000-0000-00009A530000}"/>
    <cellStyle name="Normal 175 4 2 2" xfId="23796" xr:uid="{00000000-0005-0000-0000-00009B530000}"/>
    <cellStyle name="Normal 175 4 3" xfId="23795" xr:uid="{00000000-0005-0000-0000-00009C530000}"/>
    <cellStyle name="Normal 175 5" xfId="11757" xr:uid="{00000000-0005-0000-0000-00009D530000}"/>
    <cellStyle name="Normal 175 5 2" xfId="23797" xr:uid="{00000000-0005-0000-0000-00009E530000}"/>
    <cellStyle name="Normal 175 6" xfId="13559" xr:uid="{00000000-0005-0000-0000-00009F530000}"/>
    <cellStyle name="Normal 175 6 2" xfId="23798" xr:uid="{00000000-0005-0000-0000-0000A0530000}"/>
    <cellStyle name="Normal 175 7" xfId="14704" xr:uid="{00000000-0005-0000-0000-0000A1530000}"/>
    <cellStyle name="Normal 175 7 2" xfId="23799" xr:uid="{00000000-0005-0000-0000-0000A2530000}"/>
    <cellStyle name="Normal 175 8" xfId="23781" xr:uid="{00000000-0005-0000-0000-0000A3530000}"/>
    <cellStyle name="Normal 175 9" xfId="31626" xr:uid="{00000000-0005-0000-0000-0000A4530000}"/>
    <cellStyle name="Normal 175_Additional Disclosures" xfId="16201" xr:uid="{00000000-0005-0000-0000-0000A5530000}"/>
    <cellStyle name="Normal 176" xfId="9222" xr:uid="{00000000-0005-0000-0000-0000A6530000}"/>
    <cellStyle name="Normal 176 2" xfId="9223" xr:uid="{00000000-0005-0000-0000-0000A7530000}"/>
    <cellStyle name="Normal 176 2 2" xfId="10992" xr:uid="{00000000-0005-0000-0000-0000A8530000}"/>
    <cellStyle name="Normal 176 2 2 2" xfId="12412" xr:uid="{00000000-0005-0000-0000-0000A9530000}"/>
    <cellStyle name="Normal 176 2 2 2 2" xfId="23803" xr:uid="{00000000-0005-0000-0000-0000AA530000}"/>
    <cellStyle name="Normal 176 2 2 3" xfId="14325" xr:uid="{00000000-0005-0000-0000-0000AB530000}"/>
    <cellStyle name="Normal 176 2 2 3 2" xfId="23804" xr:uid="{00000000-0005-0000-0000-0000AC530000}"/>
    <cellStyle name="Normal 176 2 2 4" xfId="15469" xr:uid="{00000000-0005-0000-0000-0000AD530000}"/>
    <cellStyle name="Normal 176 2 2 4 2" xfId="23805" xr:uid="{00000000-0005-0000-0000-0000AE530000}"/>
    <cellStyle name="Normal 176 2 2 5" xfId="23802" xr:uid="{00000000-0005-0000-0000-0000AF530000}"/>
    <cellStyle name="Normal 176 2 2_Additional Disclosures" xfId="16207" xr:uid="{00000000-0005-0000-0000-0000B0530000}"/>
    <cellStyle name="Normal 176 2 3" xfId="11760" xr:uid="{00000000-0005-0000-0000-0000B1530000}"/>
    <cellStyle name="Normal 176 2 3 2" xfId="23806" xr:uid="{00000000-0005-0000-0000-0000B2530000}"/>
    <cellStyle name="Normal 176 2 4" xfId="13814" xr:uid="{00000000-0005-0000-0000-0000B3530000}"/>
    <cellStyle name="Normal 176 2 4 2" xfId="23807" xr:uid="{00000000-0005-0000-0000-0000B4530000}"/>
    <cellStyle name="Normal 176 2 5" xfId="14959" xr:uid="{00000000-0005-0000-0000-0000B5530000}"/>
    <cellStyle name="Normal 176 2 5 2" xfId="23808" xr:uid="{00000000-0005-0000-0000-0000B6530000}"/>
    <cellStyle name="Normal 176 2 6" xfId="23801" xr:uid="{00000000-0005-0000-0000-0000B7530000}"/>
    <cellStyle name="Normal 176 2_Additional Disclosures" xfId="16206" xr:uid="{00000000-0005-0000-0000-0000B8530000}"/>
    <cellStyle name="Normal 176 3" xfId="10991" xr:uid="{00000000-0005-0000-0000-0000B9530000}"/>
    <cellStyle name="Normal 176 3 2" xfId="12411" xr:uid="{00000000-0005-0000-0000-0000BA530000}"/>
    <cellStyle name="Normal 176 3 2 2" xfId="23810" xr:uid="{00000000-0005-0000-0000-0000BB530000}"/>
    <cellStyle name="Normal 176 3 3" xfId="14071" xr:uid="{00000000-0005-0000-0000-0000BC530000}"/>
    <cellStyle name="Normal 176 3 3 2" xfId="23811" xr:uid="{00000000-0005-0000-0000-0000BD530000}"/>
    <cellStyle name="Normal 176 3 4" xfId="15215" xr:uid="{00000000-0005-0000-0000-0000BE530000}"/>
    <cellStyle name="Normal 176 3 4 2" xfId="23812" xr:uid="{00000000-0005-0000-0000-0000BF530000}"/>
    <cellStyle name="Normal 176 3 5" xfId="23809" xr:uid="{00000000-0005-0000-0000-0000C0530000}"/>
    <cellStyle name="Normal 176 3_Additional Disclosures" xfId="16208" xr:uid="{00000000-0005-0000-0000-0000C1530000}"/>
    <cellStyle name="Normal 176 4" xfId="11759" xr:uid="{00000000-0005-0000-0000-0000C2530000}"/>
    <cellStyle name="Normal 176 4 2" xfId="23813" xr:uid="{00000000-0005-0000-0000-0000C3530000}"/>
    <cellStyle name="Normal 176 5" xfId="13560" xr:uid="{00000000-0005-0000-0000-0000C4530000}"/>
    <cellStyle name="Normal 176 5 2" xfId="23814" xr:uid="{00000000-0005-0000-0000-0000C5530000}"/>
    <cellStyle name="Normal 176 6" xfId="14705" xr:uid="{00000000-0005-0000-0000-0000C6530000}"/>
    <cellStyle name="Normal 176 6 2" xfId="23815" xr:uid="{00000000-0005-0000-0000-0000C7530000}"/>
    <cellStyle name="Normal 176 7" xfId="23800" xr:uid="{00000000-0005-0000-0000-0000C8530000}"/>
    <cellStyle name="Normal 176 8" xfId="31627" xr:uid="{00000000-0005-0000-0000-0000C9530000}"/>
    <cellStyle name="Normal 176_Additional Disclosures" xfId="16205" xr:uid="{00000000-0005-0000-0000-0000CA530000}"/>
    <cellStyle name="Normal 177" xfId="9224" xr:uid="{00000000-0005-0000-0000-0000CB530000}"/>
    <cellStyle name="Normal 177 10" xfId="28866" xr:uid="{00000000-0005-0000-0000-0000CC530000}"/>
    <cellStyle name="Normal 177 11" xfId="31628" xr:uid="{00000000-0005-0000-0000-0000CD530000}"/>
    <cellStyle name="Normal 177 12" xfId="33373" xr:uid="{00000000-0005-0000-0000-0000CE530000}"/>
    <cellStyle name="Normal 177 2" xfId="9225" xr:uid="{00000000-0005-0000-0000-0000CF530000}"/>
    <cellStyle name="Normal 177 2 10" xfId="28677" xr:uid="{00000000-0005-0000-0000-0000D0530000}"/>
    <cellStyle name="Normal 177 2 11" xfId="33756" xr:uid="{00000000-0005-0000-0000-0000D1530000}"/>
    <cellStyle name="Normal 177 2 2" xfId="12199" xr:uid="{00000000-0005-0000-0000-0000D2530000}"/>
    <cellStyle name="Normal 177 2 2 2" xfId="14156" xr:uid="{00000000-0005-0000-0000-0000D3530000}"/>
    <cellStyle name="Normal 177 2 2 2 2" xfId="15300" xr:uid="{00000000-0005-0000-0000-0000D4530000}"/>
    <cellStyle name="Normal 177 2 2 2 2 2" xfId="23820" xr:uid="{00000000-0005-0000-0000-0000D5530000}"/>
    <cellStyle name="Normal 177 2 2 2 3" xfId="23819" xr:uid="{00000000-0005-0000-0000-0000D6530000}"/>
    <cellStyle name="Normal 177 2 2 2_Additional Disclosures" xfId="16212" xr:uid="{00000000-0005-0000-0000-0000D7530000}"/>
    <cellStyle name="Normal 177 2 2 3" xfId="13645" xr:uid="{00000000-0005-0000-0000-0000D8530000}"/>
    <cellStyle name="Normal 177 2 2 3 2" xfId="23821" xr:uid="{00000000-0005-0000-0000-0000D9530000}"/>
    <cellStyle name="Normal 177 2 2 4" xfId="14790" xr:uid="{00000000-0005-0000-0000-0000DA530000}"/>
    <cellStyle name="Normal 177 2 2 4 2" xfId="23822" xr:uid="{00000000-0005-0000-0000-0000DB530000}"/>
    <cellStyle name="Normal 177 2 2 5" xfId="23818" xr:uid="{00000000-0005-0000-0000-0000DC530000}"/>
    <cellStyle name="Normal 177 2 2_Additional Disclosures" xfId="16211" xr:uid="{00000000-0005-0000-0000-0000DD530000}"/>
    <cellStyle name="Normal 177 2 3" xfId="12200" xr:uid="{00000000-0005-0000-0000-0000DE530000}"/>
    <cellStyle name="Normal 177 2 3 2" xfId="13901" xr:uid="{00000000-0005-0000-0000-0000DF530000}"/>
    <cellStyle name="Normal 177 2 3 2 2" xfId="23824" xr:uid="{00000000-0005-0000-0000-0000E0530000}"/>
    <cellStyle name="Normal 177 2 3 3" xfId="15046" xr:uid="{00000000-0005-0000-0000-0000E1530000}"/>
    <cellStyle name="Normal 177 2 3 3 2" xfId="23825" xr:uid="{00000000-0005-0000-0000-0000E2530000}"/>
    <cellStyle name="Normal 177 2 3 4" xfId="23823" xr:uid="{00000000-0005-0000-0000-0000E3530000}"/>
    <cellStyle name="Normal 177 2 3_Additional Disclosures" xfId="16213" xr:uid="{00000000-0005-0000-0000-0000E4530000}"/>
    <cellStyle name="Normal 177 2 4" xfId="13390" xr:uid="{00000000-0005-0000-0000-0000E5530000}"/>
    <cellStyle name="Normal 177 2 4 2" xfId="23826" xr:uid="{00000000-0005-0000-0000-0000E6530000}"/>
    <cellStyle name="Normal 177 2 5" xfId="14534" xr:uid="{00000000-0005-0000-0000-0000E7530000}"/>
    <cellStyle name="Normal 177 2 5 2" xfId="23827" xr:uid="{00000000-0005-0000-0000-0000E8530000}"/>
    <cellStyle name="Normal 177 2 6" xfId="23817" xr:uid="{00000000-0005-0000-0000-0000E9530000}"/>
    <cellStyle name="Normal 177 2 7" xfId="28862" xr:uid="{00000000-0005-0000-0000-0000EA530000}"/>
    <cellStyle name="Normal 177 2 8" xfId="28680" xr:uid="{00000000-0005-0000-0000-0000EB530000}"/>
    <cellStyle name="Normal 177 2 9" xfId="28867" xr:uid="{00000000-0005-0000-0000-0000EC530000}"/>
    <cellStyle name="Normal 177 2_Additional Disclosures" xfId="16210" xr:uid="{00000000-0005-0000-0000-0000ED530000}"/>
    <cellStyle name="Normal 177 3" xfId="12198" xr:uid="{00000000-0005-0000-0000-0000EE530000}"/>
    <cellStyle name="Normal 177 3 2" xfId="14116" xr:uid="{00000000-0005-0000-0000-0000EF530000}"/>
    <cellStyle name="Normal 177 3 2 2" xfId="15260" xr:uid="{00000000-0005-0000-0000-0000F0530000}"/>
    <cellStyle name="Normal 177 3 2 2 2" xfId="23830" xr:uid="{00000000-0005-0000-0000-0000F1530000}"/>
    <cellStyle name="Normal 177 3 2 3" xfId="23829" xr:uid="{00000000-0005-0000-0000-0000F2530000}"/>
    <cellStyle name="Normal 177 3 2_Additional Disclosures" xfId="16215" xr:uid="{00000000-0005-0000-0000-0000F3530000}"/>
    <cellStyle name="Normal 177 3 3" xfId="13605" xr:uid="{00000000-0005-0000-0000-0000F4530000}"/>
    <cellStyle name="Normal 177 3 3 2" xfId="23831" xr:uid="{00000000-0005-0000-0000-0000F5530000}"/>
    <cellStyle name="Normal 177 3 4" xfId="14750" xr:uid="{00000000-0005-0000-0000-0000F6530000}"/>
    <cellStyle name="Normal 177 3 4 2" xfId="23832" xr:uid="{00000000-0005-0000-0000-0000F7530000}"/>
    <cellStyle name="Normal 177 3 5" xfId="23828" xr:uid="{00000000-0005-0000-0000-0000F8530000}"/>
    <cellStyle name="Normal 177 3 6" xfId="33984" xr:uid="{00000000-0005-0000-0000-0000F9530000}"/>
    <cellStyle name="Normal 177 3 7" xfId="34313" xr:uid="{00000000-0005-0000-0000-0000FA530000}"/>
    <cellStyle name="Normal 177 3_Additional Disclosures" xfId="16214" xr:uid="{00000000-0005-0000-0000-0000FB530000}"/>
    <cellStyle name="Normal 177 4" xfId="12201" xr:uid="{00000000-0005-0000-0000-0000FC530000}"/>
    <cellStyle name="Normal 177 4 2" xfId="13861" xr:uid="{00000000-0005-0000-0000-0000FD530000}"/>
    <cellStyle name="Normal 177 4 2 2" xfId="23834" xr:uid="{00000000-0005-0000-0000-0000FE530000}"/>
    <cellStyle name="Normal 177 4 3" xfId="15006" xr:uid="{00000000-0005-0000-0000-0000FF530000}"/>
    <cellStyle name="Normal 177 4 3 2" xfId="23835" xr:uid="{00000000-0005-0000-0000-000000540000}"/>
    <cellStyle name="Normal 177 4 4" xfId="23833" xr:uid="{00000000-0005-0000-0000-000001540000}"/>
    <cellStyle name="Normal 177 4 5" xfId="34198" xr:uid="{00000000-0005-0000-0000-000002540000}"/>
    <cellStyle name="Normal 177 4_Additional Disclosures" xfId="16216" xr:uid="{00000000-0005-0000-0000-000003540000}"/>
    <cellStyle name="Normal 177 5" xfId="13350" xr:uid="{00000000-0005-0000-0000-000004540000}"/>
    <cellStyle name="Normal 177 5 2" xfId="23836" xr:uid="{00000000-0005-0000-0000-000005540000}"/>
    <cellStyle name="Normal 177 6" xfId="14493" xr:uid="{00000000-0005-0000-0000-000006540000}"/>
    <cellStyle name="Normal 177 6 2" xfId="23837" xr:uid="{00000000-0005-0000-0000-000007540000}"/>
    <cellStyle name="Normal 177 7" xfId="23816" xr:uid="{00000000-0005-0000-0000-000008540000}"/>
    <cellStyle name="Normal 177 8" xfId="28861" xr:uid="{00000000-0005-0000-0000-000009540000}"/>
    <cellStyle name="Normal 177 9" xfId="28681" xr:uid="{00000000-0005-0000-0000-00000A540000}"/>
    <cellStyle name="Normal 177_Additional Disclosures" xfId="16209" xr:uid="{00000000-0005-0000-0000-00000B540000}"/>
    <cellStyle name="Normal 178" xfId="9226" xr:uid="{00000000-0005-0000-0000-00000C540000}"/>
    <cellStyle name="Normal 178 10" xfId="28869" xr:uid="{00000000-0005-0000-0000-00000D540000}"/>
    <cellStyle name="Normal 178 11" xfId="31629" xr:uid="{00000000-0005-0000-0000-00000E540000}"/>
    <cellStyle name="Normal 178 2" xfId="9227" xr:uid="{00000000-0005-0000-0000-00000F540000}"/>
    <cellStyle name="Normal 178 2 10" xfId="28675" xr:uid="{00000000-0005-0000-0000-000010540000}"/>
    <cellStyle name="Normal 178 2 2" xfId="12195" xr:uid="{00000000-0005-0000-0000-000011540000}"/>
    <cellStyle name="Normal 178 2 2 2" xfId="14326" xr:uid="{00000000-0005-0000-0000-000012540000}"/>
    <cellStyle name="Normal 178 2 2 2 2" xfId="23841" xr:uid="{00000000-0005-0000-0000-000013540000}"/>
    <cellStyle name="Normal 178 2 2 3" xfId="15470" xr:uid="{00000000-0005-0000-0000-000014540000}"/>
    <cellStyle name="Normal 178 2 2 3 2" xfId="23842" xr:uid="{00000000-0005-0000-0000-000015540000}"/>
    <cellStyle name="Normal 178 2 2 4" xfId="23840" xr:uid="{00000000-0005-0000-0000-000016540000}"/>
    <cellStyle name="Normal 178 2 2_Additional Disclosures" xfId="16219" xr:uid="{00000000-0005-0000-0000-000017540000}"/>
    <cellStyle name="Normal 178 2 3" xfId="12196" xr:uid="{00000000-0005-0000-0000-000018540000}"/>
    <cellStyle name="Normal 178 2 3 2" xfId="23843" xr:uid="{00000000-0005-0000-0000-000019540000}"/>
    <cellStyle name="Normal 178 2 4" xfId="13815" xr:uid="{00000000-0005-0000-0000-00001A540000}"/>
    <cellStyle name="Normal 178 2 4 2" xfId="23844" xr:uid="{00000000-0005-0000-0000-00001B540000}"/>
    <cellStyle name="Normal 178 2 5" xfId="14960" xr:uid="{00000000-0005-0000-0000-00001C540000}"/>
    <cellStyle name="Normal 178 2 5 2" xfId="23845" xr:uid="{00000000-0005-0000-0000-00001D540000}"/>
    <cellStyle name="Normal 178 2 6" xfId="23839" xr:uid="{00000000-0005-0000-0000-00001E540000}"/>
    <cellStyle name="Normal 178 2 7" xfId="28865" xr:uid="{00000000-0005-0000-0000-00001F540000}"/>
    <cellStyle name="Normal 178 2 8" xfId="28678" xr:uid="{00000000-0005-0000-0000-000020540000}"/>
    <cellStyle name="Normal 178 2 9" xfId="28870" xr:uid="{00000000-0005-0000-0000-000021540000}"/>
    <cellStyle name="Normal 178 2_Additional Disclosures" xfId="16218" xr:uid="{00000000-0005-0000-0000-000022540000}"/>
    <cellStyle name="Normal 178 3" xfId="12194" xr:uid="{00000000-0005-0000-0000-000023540000}"/>
    <cellStyle name="Normal 178 3 2" xfId="14072" xr:uid="{00000000-0005-0000-0000-000024540000}"/>
    <cellStyle name="Normal 178 3 2 2" xfId="23847" xr:uid="{00000000-0005-0000-0000-000025540000}"/>
    <cellStyle name="Normal 178 3 3" xfId="15216" xr:uid="{00000000-0005-0000-0000-000026540000}"/>
    <cellStyle name="Normal 178 3 3 2" xfId="23848" xr:uid="{00000000-0005-0000-0000-000027540000}"/>
    <cellStyle name="Normal 178 3 4" xfId="23846" xr:uid="{00000000-0005-0000-0000-000028540000}"/>
    <cellStyle name="Normal 178 3_Additional Disclosures" xfId="16220" xr:uid="{00000000-0005-0000-0000-000029540000}"/>
    <cellStyle name="Normal 178 4" xfId="12197" xr:uid="{00000000-0005-0000-0000-00002A540000}"/>
    <cellStyle name="Normal 178 4 2" xfId="23849" xr:uid="{00000000-0005-0000-0000-00002B540000}"/>
    <cellStyle name="Normal 178 5" xfId="13561" xr:uid="{00000000-0005-0000-0000-00002C540000}"/>
    <cellStyle name="Normal 178 5 2" xfId="23850" xr:uid="{00000000-0005-0000-0000-00002D540000}"/>
    <cellStyle name="Normal 178 6" xfId="14706" xr:uid="{00000000-0005-0000-0000-00002E540000}"/>
    <cellStyle name="Normal 178 6 2" xfId="23851" xr:uid="{00000000-0005-0000-0000-00002F540000}"/>
    <cellStyle name="Normal 178 7" xfId="23838" xr:uid="{00000000-0005-0000-0000-000030540000}"/>
    <cellStyle name="Normal 178 8" xfId="28864" xr:uid="{00000000-0005-0000-0000-000031540000}"/>
    <cellStyle name="Normal 178 9" xfId="28679" xr:uid="{00000000-0005-0000-0000-000032540000}"/>
    <cellStyle name="Normal 178_Additional Disclosures" xfId="16217" xr:uid="{00000000-0005-0000-0000-000033540000}"/>
    <cellStyle name="Normal 179" xfId="9228" xr:uid="{00000000-0005-0000-0000-000034540000}"/>
    <cellStyle name="Normal 179 2" xfId="9229" xr:uid="{00000000-0005-0000-0000-000035540000}"/>
    <cellStyle name="Normal 179 2 2" xfId="10994" xr:uid="{00000000-0005-0000-0000-000036540000}"/>
    <cellStyle name="Normal 179 2 2 2" xfId="12414" xr:uid="{00000000-0005-0000-0000-000037540000}"/>
    <cellStyle name="Normal 179 2 2 2 2" xfId="23855" xr:uid="{00000000-0005-0000-0000-000038540000}"/>
    <cellStyle name="Normal 179 2 2 3" xfId="14327" xr:uid="{00000000-0005-0000-0000-000039540000}"/>
    <cellStyle name="Normal 179 2 2 3 2" xfId="23856" xr:uid="{00000000-0005-0000-0000-00003A540000}"/>
    <cellStyle name="Normal 179 2 2 4" xfId="15471" xr:uid="{00000000-0005-0000-0000-00003B540000}"/>
    <cellStyle name="Normal 179 2 2 4 2" xfId="23857" xr:uid="{00000000-0005-0000-0000-00003C540000}"/>
    <cellStyle name="Normal 179 2 2 5" xfId="23854" xr:uid="{00000000-0005-0000-0000-00003D540000}"/>
    <cellStyle name="Normal 179 2 2_Additional Disclosures" xfId="16223" xr:uid="{00000000-0005-0000-0000-00003E540000}"/>
    <cellStyle name="Normal 179 2 3" xfId="11762" xr:uid="{00000000-0005-0000-0000-00003F540000}"/>
    <cellStyle name="Normal 179 2 3 2" xfId="23858" xr:uid="{00000000-0005-0000-0000-000040540000}"/>
    <cellStyle name="Normal 179 2 4" xfId="13816" xr:uid="{00000000-0005-0000-0000-000041540000}"/>
    <cellStyle name="Normal 179 2 4 2" xfId="23859" xr:uid="{00000000-0005-0000-0000-000042540000}"/>
    <cellStyle name="Normal 179 2 5" xfId="14961" xr:uid="{00000000-0005-0000-0000-000043540000}"/>
    <cellStyle name="Normal 179 2 5 2" xfId="23860" xr:uid="{00000000-0005-0000-0000-000044540000}"/>
    <cellStyle name="Normal 179 2 6" xfId="23853" xr:uid="{00000000-0005-0000-0000-000045540000}"/>
    <cellStyle name="Normal 179 2_Additional Disclosures" xfId="16222" xr:uid="{00000000-0005-0000-0000-000046540000}"/>
    <cellStyle name="Normal 179 3" xfId="10993" xr:uid="{00000000-0005-0000-0000-000047540000}"/>
    <cellStyle name="Normal 179 3 2" xfId="12413" xr:uid="{00000000-0005-0000-0000-000048540000}"/>
    <cellStyle name="Normal 179 3 2 2" xfId="23862" xr:uid="{00000000-0005-0000-0000-000049540000}"/>
    <cellStyle name="Normal 179 3 3" xfId="14073" xr:uid="{00000000-0005-0000-0000-00004A540000}"/>
    <cellStyle name="Normal 179 3 3 2" xfId="23863" xr:uid="{00000000-0005-0000-0000-00004B540000}"/>
    <cellStyle name="Normal 179 3 4" xfId="15217" xr:uid="{00000000-0005-0000-0000-00004C540000}"/>
    <cellStyle name="Normal 179 3 4 2" xfId="23864" xr:uid="{00000000-0005-0000-0000-00004D540000}"/>
    <cellStyle name="Normal 179 3 5" xfId="23861" xr:uid="{00000000-0005-0000-0000-00004E540000}"/>
    <cellStyle name="Normal 179 3_Additional Disclosures" xfId="16224" xr:uid="{00000000-0005-0000-0000-00004F540000}"/>
    <cellStyle name="Normal 179 4" xfId="11761" xr:uid="{00000000-0005-0000-0000-000050540000}"/>
    <cellStyle name="Normal 179 4 2" xfId="23865" xr:uid="{00000000-0005-0000-0000-000051540000}"/>
    <cellStyle name="Normal 179 5" xfId="13562" xr:uid="{00000000-0005-0000-0000-000052540000}"/>
    <cellStyle name="Normal 179 5 2" xfId="23866" xr:uid="{00000000-0005-0000-0000-000053540000}"/>
    <cellStyle name="Normal 179 6" xfId="14707" xr:uid="{00000000-0005-0000-0000-000054540000}"/>
    <cellStyle name="Normal 179 6 2" xfId="23867" xr:uid="{00000000-0005-0000-0000-000055540000}"/>
    <cellStyle name="Normal 179 7" xfId="23852" xr:uid="{00000000-0005-0000-0000-000056540000}"/>
    <cellStyle name="Normal 179 8" xfId="31630" xr:uid="{00000000-0005-0000-0000-000057540000}"/>
    <cellStyle name="Normal 179_Additional Disclosures" xfId="16221" xr:uid="{00000000-0005-0000-0000-000058540000}"/>
    <cellStyle name="Normal 18" xfId="550" xr:uid="{00000000-0005-0000-0000-000059540000}"/>
    <cellStyle name="Normal 18 10" xfId="28872" xr:uid="{00000000-0005-0000-0000-00005A540000}"/>
    <cellStyle name="Normal 18 11" xfId="31631" xr:uid="{00000000-0005-0000-0000-00005B540000}"/>
    <cellStyle name="Normal 18 12" xfId="31632" xr:uid="{00000000-0005-0000-0000-00005C540000}"/>
    <cellStyle name="Normal 18 2" xfId="9230" xr:uid="{00000000-0005-0000-0000-00005D540000}"/>
    <cellStyle name="Normal 18 2 10" xfId="31633" xr:uid="{00000000-0005-0000-0000-00005E540000}"/>
    <cellStyle name="Normal 18 2 11" xfId="31634" xr:uid="{00000000-0005-0000-0000-00005F540000}"/>
    <cellStyle name="Normal 18 2 2" xfId="10995" xr:uid="{00000000-0005-0000-0000-000060540000}"/>
    <cellStyle name="Normal 18 2 2 2" xfId="12415" xr:uid="{00000000-0005-0000-0000-000061540000}"/>
    <cellStyle name="Normal 18 2 2 2 2" xfId="23871" xr:uid="{00000000-0005-0000-0000-000062540000}"/>
    <cellStyle name="Normal 18 2 2 3" xfId="14186" xr:uid="{00000000-0005-0000-0000-000063540000}"/>
    <cellStyle name="Normal 18 2 2 3 2" xfId="23872" xr:uid="{00000000-0005-0000-0000-000064540000}"/>
    <cellStyle name="Normal 18 2 2 4" xfId="15330" xr:uid="{00000000-0005-0000-0000-000065540000}"/>
    <cellStyle name="Normal 18 2 2 4 2" xfId="23873" xr:uid="{00000000-0005-0000-0000-000066540000}"/>
    <cellStyle name="Normal 18 2 2 5" xfId="23870" xr:uid="{00000000-0005-0000-0000-000067540000}"/>
    <cellStyle name="Normal 18 2 2 6" xfId="31635" xr:uid="{00000000-0005-0000-0000-000068540000}"/>
    <cellStyle name="Normal 18 2 2_Additional Disclosures" xfId="16227" xr:uid="{00000000-0005-0000-0000-000069540000}"/>
    <cellStyle name="Normal 18 2 3" xfId="11763" xr:uid="{00000000-0005-0000-0000-00006A540000}"/>
    <cellStyle name="Normal 18 2 3 2" xfId="23874" xr:uid="{00000000-0005-0000-0000-00006B540000}"/>
    <cellStyle name="Normal 18 2 3 3" xfId="31636" xr:uid="{00000000-0005-0000-0000-00006C540000}"/>
    <cellStyle name="Normal 18 2 4" xfId="13675" xr:uid="{00000000-0005-0000-0000-00006D540000}"/>
    <cellStyle name="Normal 18 2 4 2" xfId="23875" xr:uid="{00000000-0005-0000-0000-00006E540000}"/>
    <cellStyle name="Normal 18 2 5" xfId="14820" xr:uid="{00000000-0005-0000-0000-00006F540000}"/>
    <cellStyle name="Normal 18 2 5 2" xfId="23876" xr:uid="{00000000-0005-0000-0000-000070540000}"/>
    <cellStyle name="Normal 18 2 6" xfId="23869" xr:uid="{00000000-0005-0000-0000-000071540000}"/>
    <cellStyle name="Normal 18 2 7" xfId="31637" xr:uid="{00000000-0005-0000-0000-000072540000}"/>
    <cellStyle name="Normal 18 2 8" xfId="31638" xr:uid="{00000000-0005-0000-0000-000073540000}"/>
    <cellStyle name="Normal 18 2 9" xfId="31639" xr:uid="{00000000-0005-0000-0000-000074540000}"/>
    <cellStyle name="Normal 18 2_Additional Disclosures" xfId="16226" xr:uid="{00000000-0005-0000-0000-000075540000}"/>
    <cellStyle name="Normal 18 3" xfId="9231" xr:uid="{00000000-0005-0000-0000-000076540000}"/>
    <cellStyle name="Normal 18 3 2" xfId="10996" xr:uid="{00000000-0005-0000-0000-000077540000}"/>
    <cellStyle name="Normal 18 3 2 2" xfId="12416" xr:uid="{00000000-0005-0000-0000-000078540000}"/>
    <cellStyle name="Normal 18 3 2 2 2" xfId="23879" xr:uid="{00000000-0005-0000-0000-000079540000}"/>
    <cellStyle name="Normal 18 3 2 3" xfId="23878" xr:uid="{00000000-0005-0000-0000-00007A540000}"/>
    <cellStyle name="Normal 18 3 2 4" xfId="33791" xr:uid="{00000000-0005-0000-0000-00007B540000}"/>
    <cellStyle name="Normal 18 3 3" xfId="11764" xr:uid="{00000000-0005-0000-0000-00007C540000}"/>
    <cellStyle name="Normal 18 3 3 2" xfId="23880" xr:uid="{00000000-0005-0000-0000-00007D540000}"/>
    <cellStyle name="Normal 18 3 3 3" xfId="34019" xr:uid="{00000000-0005-0000-0000-00007E540000}"/>
    <cellStyle name="Normal 18 3 4" xfId="13931" xr:uid="{00000000-0005-0000-0000-00007F540000}"/>
    <cellStyle name="Normal 18 3 4 2" xfId="23881" xr:uid="{00000000-0005-0000-0000-000080540000}"/>
    <cellStyle name="Normal 18 3 4 3" xfId="34233" xr:uid="{00000000-0005-0000-0000-000081540000}"/>
    <cellStyle name="Normal 18 3 5" xfId="15076" xr:uid="{00000000-0005-0000-0000-000082540000}"/>
    <cellStyle name="Normal 18 3 5 2" xfId="23882" xr:uid="{00000000-0005-0000-0000-000083540000}"/>
    <cellStyle name="Normal 18 3 6" xfId="23877" xr:uid="{00000000-0005-0000-0000-000084540000}"/>
    <cellStyle name="Normal 18 3 7" xfId="31640" xr:uid="{00000000-0005-0000-0000-000085540000}"/>
    <cellStyle name="Normal 18 3 8" xfId="31641" xr:uid="{00000000-0005-0000-0000-000086540000}"/>
    <cellStyle name="Normal 18 3 9" xfId="33410" xr:uid="{00000000-0005-0000-0000-000087540000}"/>
    <cellStyle name="Normal 18 3_Additional Disclosures" xfId="16228" xr:uid="{00000000-0005-0000-0000-000088540000}"/>
    <cellStyle name="Normal 18 4" xfId="12851" xr:uid="{00000000-0005-0000-0000-000089540000}"/>
    <cellStyle name="Normal 18 4 2" xfId="23883" xr:uid="{00000000-0005-0000-0000-00008A540000}"/>
    <cellStyle name="Normal 18 4 3" xfId="31642" xr:uid="{00000000-0005-0000-0000-00008B540000}"/>
    <cellStyle name="Normal 18 5" xfId="13420" xr:uid="{00000000-0005-0000-0000-00008C540000}"/>
    <cellStyle name="Normal 18 5 2" xfId="23884" xr:uid="{00000000-0005-0000-0000-00008D540000}"/>
    <cellStyle name="Normal 18 6" xfId="14564" xr:uid="{00000000-0005-0000-0000-00008E540000}"/>
    <cellStyle name="Normal 18 6 2" xfId="23885" xr:uid="{00000000-0005-0000-0000-00008F540000}"/>
    <cellStyle name="Normal 18 7" xfId="23868" xr:uid="{00000000-0005-0000-0000-000090540000}"/>
    <cellStyle name="Normal 18 8" xfId="28868" xr:uid="{00000000-0005-0000-0000-000091540000}"/>
    <cellStyle name="Normal 18 9" xfId="28676" xr:uid="{00000000-0005-0000-0000-000092540000}"/>
    <cellStyle name="Normal 18_Additional Disclosures" xfId="16225" xr:uid="{00000000-0005-0000-0000-000093540000}"/>
    <cellStyle name="Normal 180" xfId="9232" xr:uid="{00000000-0005-0000-0000-000094540000}"/>
    <cellStyle name="Normal 180 2" xfId="9233" xr:uid="{00000000-0005-0000-0000-000095540000}"/>
    <cellStyle name="Normal 180 2 2" xfId="14328" xr:uid="{00000000-0005-0000-0000-000096540000}"/>
    <cellStyle name="Normal 180 2 2 2" xfId="15472" xr:uid="{00000000-0005-0000-0000-000097540000}"/>
    <cellStyle name="Normal 180 2 2 2 2" xfId="23889" xr:uid="{00000000-0005-0000-0000-000098540000}"/>
    <cellStyle name="Normal 180 2 2 3" xfId="23888" xr:uid="{00000000-0005-0000-0000-000099540000}"/>
    <cellStyle name="Normal 180 2 2_Additional Disclosures" xfId="16231" xr:uid="{00000000-0005-0000-0000-00009A540000}"/>
    <cellStyle name="Normal 180 2 3" xfId="13817" xr:uid="{00000000-0005-0000-0000-00009B540000}"/>
    <cellStyle name="Normal 180 2 3 2" xfId="23890" xr:uid="{00000000-0005-0000-0000-00009C540000}"/>
    <cellStyle name="Normal 180 2 4" xfId="14962" xr:uid="{00000000-0005-0000-0000-00009D540000}"/>
    <cellStyle name="Normal 180 2 4 2" xfId="23891" xr:uid="{00000000-0005-0000-0000-00009E540000}"/>
    <cellStyle name="Normal 180 2 5" xfId="23887" xr:uid="{00000000-0005-0000-0000-00009F540000}"/>
    <cellStyle name="Normal 180 2 6" xfId="28871" xr:uid="{00000000-0005-0000-0000-0000A0540000}"/>
    <cellStyle name="Normal 180 2 7" xfId="28674" xr:uid="{00000000-0005-0000-0000-0000A1540000}"/>
    <cellStyle name="Normal 180 2 8" xfId="28874" xr:uid="{00000000-0005-0000-0000-0000A2540000}"/>
    <cellStyle name="Normal 180 2 9" xfId="28672" xr:uid="{00000000-0005-0000-0000-0000A3540000}"/>
    <cellStyle name="Normal 180 2_Additional Disclosures" xfId="16230" xr:uid="{00000000-0005-0000-0000-0000A4540000}"/>
    <cellStyle name="Normal 180 3" xfId="9234" xr:uid="{00000000-0005-0000-0000-0000A5540000}"/>
    <cellStyle name="Normal 180 3 2" xfId="10998" xr:uid="{00000000-0005-0000-0000-0000A6540000}"/>
    <cellStyle name="Normal 180 3 2 2" xfId="12418" xr:uid="{00000000-0005-0000-0000-0000A7540000}"/>
    <cellStyle name="Normal 180 3 2 2 2" xfId="23894" xr:uid="{00000000-0005-0000-0000-0000A8540000}"/>
    <cellStyle name="Normal 180 3 2 3" xfId="23893" xr:uid="{00000000-0005-0000-0000-0000A9540000}"/>
    <cellStyle name="Normal 180 3 3" xfId="11766" xr:uid="{00000000-0005-0000-0000-0000AA540000}"/>
    <cellStyle name="Normal 180 3 3 2" xfId="23895" xr:uid="{00000000-0005-0000-0000-0000AB540000}"/>
    <cellStyle name="Normal 180 3 4" xfId="14074" xr:uid="{00000000-0005-0000-0000-0000AC540000}"/>
    <cellStyle name="Normal 180 3 4 2" xfId="23896" xr:uid="{00000000-0005-0000-0000-0000AD540000}"/>
    <cellStyle name="Normal 180 3 5" xfId="15218" xr:uid="{00000000-0005-0000-0000-0000AE540000}"/>
    <cellStyle name="Normal 180 3 5 2" xfId="23897" xr:uid="{00000000-0005-0000-0000-0000AF540000}"/>
    <cellStyle name="Normal 180 3 6" xfId="23892" xr:uid="{00000000-0005-0000-0000-0000B0540000}"/>
    <cellStyle name="Normal 180 3_Additional Disclosures" xfId="16232" xr:uid="{00000000-0005-0000-0000-0000B1540000}"/>
    <cellStyle name="Normal 180 4" xfId="10997" xr:uid="{00000000-0005-0000-0000-0000B2540000}"/>
    <cellStyle name="Normal 180 4 2" xfId="12417" xr:uid="{00000000-0005-0000-0000-0000B3540000}"/>
    <cellStyle name="Normal 180 4 2 2" xfId="23899" xr:uid="{00000000-0005-0000-0000-0000B4540000}"/>
    <cellStyle name="Normal 180 4 3" xfId="23898" xr:uid="{00000000-0005-0000-0000-0000B5540000}"/>
    <cellStyle name="Normal 180 5" xfId="11765" xr:uid="{00000000-0005-0000-0000-0000B6540000}"/>
    <cellStyle name="Normal 180 5 2" xfId="23900" xr:uid="{00000000-0005-0000-0000-0000B7540000}"/>
    <cellStyle name="Normal 180 6" xfId="13563" xr:uid="{00000000-0005-0000-0000-0000B8540000}"/>
    <cellStyle name="Normal 180 6 2" xfId="23901" xr:uid="{00000000-0005-0000-0000-0000B9540000}"/>
    <cellStyle name="Normal 180 7" xfId="14708" xr:uid="{00000000-0005-0000-0000-0000BA540000}"/>
    <cellStyle name="Normal 180 7 2" xfId="23902" xr:uid="{00000000-0005-0000-0000-0000BB540000}"/>
    <cellStyle name="Normal 180 8" xfId="23886" xr:uid="{00000000-0005-0000-0000-0000BC540000}"/>
    <cellStyle name="Normal 180 9" xfId="31643" xr:uid="{00000000-0005-0000-0000-0000BD540000}"/>
    <cellStyle name="Normal 180_Additional Disclosures" xfId="16229" xr:uid="{00000000-0005-0000-0000-0000BE540000}"/>
    <cellStyle name="Normal 181" xfId="9235" xr:uid="{00000000-0005-0000-0000-0000BF540000}"/>
    <cellStyle name="Normal 181 2" xfId="9236" xr:uid="{00000000-0005-0000-0000-0000C0540000}"/>
    <cellStyle name="Normal 181 2 2" xfId="11000" xr:uid="{00000000-0005-0000-0000-0000C1540000}"/>
    <cellStyle name="Normal 181 2 2 2" xfId="12420" xr:uid="{00000000-0005-0000-0000-0000C2540000}"/>
    <cellStyle name="Normal 181 2 2 2 2" xfId="23906" xr:uid="{00000000-0005-0000-0000-0000C3540000}"/>
    <cellStyle name="Normal 181 2 2 3" xfId="14329" xr:uid="{00000000-0005-0000-0000-0000C4540000}"/>
    <cellStyle name="Normal 181 2 2 3 2" xfId="23907" xr:uid="{00000000-0005-0000-0000-0000C5540000}"/>
    <cellStyle name="Normal 181 2 2 4" xfId="15473" xr:uid="{00000000-0005-0000-0000-0000C6540000}"/>
    <cellStyle name="Normal 181 2 2 4 2" xfId="23908" xr:uid="{00000000-0005-0000-0000-0000C7540000}"/>
    <cellStyle name="Normal 181 2 2 5" xfId="23905" xr:uid="{00000000-0005-0000-0000-0000C8540000}"/>
    <cellStyle name="Normal 181 2 2_Additional Disclosures" xfId="16235" xr:uid="{00000000-0005-0000-0000-0000C9540000}"/>
    <cellStyle name="Normal 181 2 3" xfId="11768" xr:uid="{00000000-0005-0000-0000-0000CA540000}"/>
    <cellStyle name="Normal 181 2 3 2" xfId="23909" xr:uid="{00000000-0005-0000-0000-0000CB540000}"/>
    <cellStyle name="Normal 181 2 4" xfId="13818" xr:uid="{00000000-0005-0000-0000-0000CC540000}"/>
    <cellStyle name="Normal 181 2 4 2" xfId="23910" xr:uid="{00000000-0005-0000-0000-0000CD540000}"/>
    <cellStyle name="Normal 181 2 5" xfId="14963" xr:uid="{00000000-0005-0000-0000-0000CE540000}"/>
    <cellStyle name="Normal 181 2 5 2" xfId="23911" xr:uid="{00000000-0005-0000-0000-0000CF540000}"/>
    <cellStyle name="Normal 181 2 6" xfId="23904" xr:uid="{00000000-0005-0000-0000-0000D0540000}"/>
    <cellStyle name="Normal 181 2_Additional Disclosures" xfId="16234" xr:uid="{00000000-0005-0000-0000-0000D1540000}"/>
    <cellStyle name="Normal 181 3" xfId="10999" xr:uid="{00000000-0005-0000-0000-0000D2540000}"/>
    <cellStyle name="Normal 181 3 2" xfId="12419" xr:uid="{00000000-0005-0000-0000-0000D3540000}"/>
    <cellStyle name="Normal 181 3 2 2" xfId="23913" xr:uid="{00000000-0005-0000-0000-0000D4540000}"/>
    <cellStyle name="Normal 181 3 3" xfId="14075" xr:uid="{00000000-0005-0000-0000-0000D5540000}"/>
    <cellStyle name="Normal 181 3 3 2" xfId="23914" xr:uid="{00000000-0005-0000-0000-0000D6540000}"/>
    <cellStyle name="Normal 181 3 4" xfId="15219" xr:uid="{00000000-0005-0000-0000-0000D7540000}"/>
    <cellStyle name="Normal 181 3 4 2" xfId="23915" xr:uid="{00000000-0005-0000-0000-0000D8540000}"/>
    <cellStyle name="Normal 181 3 5" xfId="23912" xr:uid="{00000000-0005-0000-0000-0000D9540000}"/>
    <cellStyle name="Normal 181 3_Additional Disclosures" xfId="16236" xr:uid="{00000000-0005-0000-0000-0000DA540000}"/>
    <cellStyle name="Normal 181 4" xfId="11767" xr:uid="{00000000-0005-0000-0000-0000DB540000}"/>
    <cellStyle name="Normal 181 4 2" xfId="23916" xr:uid="{00000000-0005-0000-0000-0000DC540000}"/>
    <cellStyle name="Normal 181 5" xfId="13564" xr:uid="{00000000-0005-0000-0000-0000DD540000}"/>
    <cellStyle name="Normal 181 5 2" xfId="23917" xr:uid="{00000000-0005-0000-0000-0000DE540000}"/>
    <cellStyle name="Normal 181 6" xfId="14709" xr:uid="{00000000-0005-0000-0000-0000DF540000}"/>
    <cellStyle name="Normal 181 6 2" xfId="23918" xr:uid="{00000000-0005-0000-0000-0000E0540000}"/>
    <cellStyle name="Normal 181 7" xfId="23903" xr:uid="{00000000-0005-0000-0000-0000E1540000}"/>
    <cellStyle name="Normal 181 8" xfId="31644" xr:uid="{00000000-0005-0000-0000-0000E2540000}"/>
    <cellStyle name="Normal 181_Additional Disclosures" xfId="16233" xr:uid="{00000000-0005-0000-0000-0000E3540000}"/>
    <cellStyle name="Normal 182" xfId="9237" xr:uid="{00000000-0005-0000-0000-0000E4540000}"/>
    <cellStyle name="Normal 182 2" xfId="9238" xr:uid="{00000000-0005-0000-0000-0000E5540000}"/>
    <cellStyle name="Normal 182 2 10" xfId="28670" xr:uid="{00000000-0005-0000-0000-0000E6540000}"/>
    <cellStyle name="Normal 182 2 2" xfId="12192" xr:uid="{00000000-0005-0000-0000-0000E7540000}"/>
    <cellStyle name="Normal 182 2 2 2" xfId="14330" xr:uid="{00000000-0005-0000-0000-0000E8540000}"/>
    <cellStyle name="Normal 182 2 2 2 2" xfId="23922" xr:uid="{00000000-0005-0000-0000-0000E9540000}"/>
    <cellStyle name="Normal 182 2 2 3" xfId="15474" xr:uid="{00000000-0005-0000-0000-0000EA540000}"/>
    <cellStyle name="Normal 182 2 2 3 2" xfId="23923" xr:uid="{00000000-0005-0000-0000-0000EB540000}"/>
    <cellStyle name="Normal 182 2 2 4" xfId="23921" xr:uid="{00000000-0005-0000-0000-0000EC540000}"/>
    <cellStyle name="Normal 182 2 2_Additional Disclosures" xfId="16239" xr:uid="{00000000-0005-0000-0000-0000ED540000}"/>
    <cellStyle name="Normal 182 2 3" xfId="12193" xr:uid="{00000000-0005-0000-0000-0000EE540000}"/>
    <cellStyle name="Normal 182 2 3 2" xfId="23924" xr:uid="{00000000-0005-0000-0000-0000EF540000}"/>
    <cellStyle name="Normal 182 2 4" xfId="13819" xr:uid="{00000000-0005-0000-0000-0000F0540000}"/>
    <cellStyle name="Normal 182 2 4 2" xfId="23925" xr:uid="{00000000-0005-0000-0000-0000F1540000}"/>
    <cellStyle name="Normal 182 2 5" xfId="14964" xr:uid="{00000000-0005-0000-0000-0000F2540000}"/>
    <cellStyle name="Normal 182 2 5 2" xfId="23926" xr:uid="{00000000-0005-0000-0000-0000F3540000}"/>
    <cellStyle name="Normal 182 2 6" xfId="23920" xr:uid="{00000000-0005-0000-0000-0000F4540000}"/>
    <cellStyle name="Normal 182 2 7" xfId="28873" xr:uid="{00000000-0005-0000-0000-0000F5540000}"/>
    <cellStyle name="Normal 182 2 8" xfId="28673" xr:uid="{00000000-0005-0000-0000-0000F6540000}"/>
    <cellStyle name="Normal 182 2 9" xfId="28876" xr:uid="{00000000-0005-0000-0000-0000F7540000}"/>
    <cellStyle name="Normal 182 2_Additional Disclosures" xfId="16238" xr:uid="{00000000-0005-0000-0000-0000F8540000}"/>
    <cellStyle name="Normal 182 3" xfId="9239" xr:uid="{00000000-0005-0000-0000-0000F9540000}"/>
    <cellStyle name="Normal 182 3 2" xfId="11002" xr:uid="{00000000-0005-0000-0000-0000FA540000}"/>
    <cellStyle name="Normal 182 3 2 2" xfId="12422" xr:uid="{00000000-0005-0000-0000-0000FB540000}"/>
    <cellStyle name="Normal 182 3 2 2 2" xfId="23929" xr:uid="{00000000-0005-0000-0000-0000FC540000}"/>
    <cellStyle name="Normal 182 3 2 3" xfId="23928" xr:uid="{00000000-0005-0000-0000-0000FD540000}"/>
    <cellStyle name="Normal 182 3 3" xfId="11770" xr:uid="{00000000-0005-0000-0000-0000FE540000}"/>
    <cellStyle name="Normal 182 3 3 2" xfId="23930" xr:uid="{00000000-0005-0000-0000-0000FF540000}"/>
    <cellStyle name="Normal 182 3 4" xfId="14076" xr:uid="{00000000-0005-0000-0000-000000550000}"/>
    <cellStyle name="Normal 182 3 4 2" xfId="23931" xr:uid="{00000000-0005-0000-0000-000001550000}"/>
    <cellStyle name="Normal 182 3 5" xfId="15220" xr:uid="{00000000-0005-0000-0000-000002550000}"/>
    <cellStyle name="Normal 182 3 5 2" xfId="23932" xr:uid="{00000000-0005-0000-0000-000003550000}"/>
    <cellStyle name="Normal 182 3 6" xfId="23927" xr:uid="{00000000-0005-0000-0000-000004550000}"/>
    <cellStyle name="Normal 182 3_Additional Disclosures" xfId="16240" xr:uid="{00000000-0005-0000-0000-000005550000}"/>
    <cellStyle name="Normal 182 4" xfId="11001" xr:uid="{00000000-0005-0000-0000-000006550000}"/>
    <cellStyle name="Normal 182 4 2" xfId="12421" xr:uid="{00000000-0005-0000-0000-000007550000}"/>
    <cellStyle name="Normal 182 4 2 2" xfId="23934" xr:uid="{00000000-0005-0000-0000-000008550000}"/>
    <cellStyle name="Normal 182 4 3" xfId="23933" xr:uid="{00000000-0005-0000-0000-000009550000}"/>
    <cellStyle name="Normal 182 5" xfId="11769" xr:uid="{00000000-0005-0000-0000-00000A550000}"/>
    <cellStyle name="Normal 182 5 2" xfId="23935" xr:uid="{00000000-0005-0000-0000-00000B550000}"/>
    <cellStyle name="Normal 182 6" xfId="13565" xr:uid="{00000000-0005-0000-0000-00000C550000}"/>
    <cellStyle name="Normal 182 6 2" xfId="23936" xr:uid="{00000000-0005-0000-0000-00000D550000}"/>
    <cellStyle name="Normal 182 7" xfId="14710" xr:uid="{00000000-0005-0000-0000-00000E550000}"/>
    <cellStyle name="Normal 182 7 2" xfId="23937" xr:uid="{00000000-0005-0000-0000-00000F550000}"/>
    <cellStyle name="Normal 182 8" xfId="23919" xr:uid="{00000000-0005-0000-0000-000010550000}"/>
    <cellStyle name="Normal 182 9" xfId="31645" xr:uid="{00000000-0005-0000-0000-000011550000}"/>
    <cellStyle name="Normal 182_Additional Disclosures" xfId="16237" xr:uid="{00000000-0005-0000-0000-000012550000}"/>
    <cellStyle name="Normal 183" xfId="9240" xr:uid="{00000000-0005-0000-0000-000013550000}"/>
    <cellStyle name="Normal 183 10" xfId="28878" xr:uid="{00000000-0005-0000-0000-000014550000}"/>
    <cellStyle name="Normal 183 11" xfId="31646" xr:uid="{00000000-0005-0000-0000-000015550000}"/>
    <cellStyle name="Normal 183 2" xfId="12190" xr:uid="{00000000-0005-0000-0000-000016550000}"/>
    <cellStyle name="Normal 183 2 2" xfId="12189" xr:uid="{00000000-0005-0000-0000-000017550000}"/>
    <cellStyle name="Normal 183 2 2 2" xfId="14331" xr:uid="{00000000-0005-0000-0000-000018550000}"/>
    <cellStyle name="Normal 183 2 2 2 2" xfId="23941" xr:uid="{00000000-0005-0000-0000-000019550000}"/>
    <cellStyle name="Normal 183 2 2 3" xfId="15475" xr:uid="{00000000-0005-0000-0000-00001A550000}"/>
    <cellStyle name="Normal 183 2 2 3 2" xfId="23942" xr:uid="{00000000-0005-0000-0000-00001B550000}"/>
    <cellStyle name="Normal 183 2 2 4" xfId="23940" xr:uid="{00000000-0005-0000-0000-00001C550000}"/>
    <cellStyle name="Normal 183 2 2_Additional Disclosures" xfId="16243" xr:uid="{00000000-0005-0000-0000-00001D550000}"/>
    <cellStyle name="Normal 183 2 3" xfId="13820" xr:uid="{00000000-0005-0000-0000-00001E550000}"/>
    <cellStyle name="Normal 183 2 3 2" xfId="23943" xr:uid="{00000000-0005-0000-0000-00001F550000}"/>
    <cellStyle name="Normal 183 2 4" xfId="14965" xr:uid="{00000000-0005-0000-0000-000020550000}"/>
    <cellStyle name="Normal 183 2 4 2" xfId="23944" xr:uid="{00000000-0005-0000-0000-000021550000}"/>
    <cellStyle name="Normal 183 2 5" xfId="23939" xr:uid="{00000000-0005-0000-0000-000022550000}"/>
    <cellStyle name="Normal 183 2_Additional Disclosures" xfId="16242" xr:uid="{00000000-0005-0000-0000-000023550000}"/>
    <cellStyle name="Normal 183 3" xfId="12188" xr:uid="{00000000-0005-0000-0000-000024550000}"/>
    <cellStyle name="Normal 183 3 2" xfId="14077" xr:uid="{00000000-0005-0000-0000-000025550000}"/>
    <cellStyle name="Normal 183 3 2 2" xfId="23946" xr:uid="{00000000-0005-0000-0000-000026550000}"/>
    <cellStyle name="Normal 183 3 3" xfId="15221" xr:uid="{00000000-0005-0000-0000-000027550000}"/>
    <cellStyle name="Normal 183 3 3 2" xfId="23947" xr:uid="{00000000-0005-0000-0000-000028550000}"/>
    <cellStyle name="Normal 183 3 4" xfId="23945" xr:uid="{00000000-0005-0000-0000-000029550000}"/>
    <cellStyle name="Normal 183 3_Additional Disclosures" xfId="16244" xr:uid="{00000000-0005-0000-0000-00002A550000}"/>
    <cellStyle name="Normal 183 4" xfId="12191" xr:uid="{00000000-0005-0000-0000-00002B550000}"/>
    <cellStyle name="Normal 183 4 2" xfId="23948" xr:uid="{00000000-0005-0000-0000-00002C550000}"/>
    <cellStyle name="Normal 183 5" xfId="13566" xr:uid="{00000000-0005-0000-0000-00002D550000}"/>
    <cellStyle name="Normal 183 5 2" xfId="23949" xr:uid="{00000000-0005-0000-0000-00002E550000}"/>
    <cellStyle name="Normal 183 6" xfId="14711" xr:uid="{00000000-0005-0000-0000-00002F550000}"/>
    <cellStyle name="Normal 183 6 2" xfId="23950" xr:uid="{00000000-0005-0000-0000-000030550000}"/>
    <cellStyle name="Normal 183 7" xfId="23938" xr:uid="{00000000-0005-0000-0000-000031550000}"/>
    <cellStyle name="Normal 183 8" xfId="28875" xr:uid="{00000000-0005-0000-0000-000032550000}"/>
    <cellStyle name="Normal 183 9" xfId="28671" xr:uid="{00000000-0005-0000-0000-000033550000}"/>
    <cellStyle name="Normal 183_Additional Disclosures" xfId="16241" xr:uid="{00000000-0005-0000-0000-000034550000}"/>
    <cellStyle name="Normal 184" xfId="9241" xr:uid="{00000000-0005-0000-0000-000035550000}"/>
    <cellStyle name="Normal 184 2" xfId="9242" xr:uid="{00000000-0005-0000-0000-000036550000}"/>
    <cellStyle name="Normal 184 2 2" xfId="11004" xr:uid="{00000000-0005-0000-0000-000037550000}"/>
    <cellStyle name="Normal 184 2 2 2" xfId="12424" xr:uid="{00000000-0005-0000-0000-000038550000}"/>
    <cellStyle name="Normal 184 2 2 2 2" xfId="23954" xr:uid="{00000000-0005-0000-0000-000039550000}"/>
    <cellStyle name="Normal 184 2 2 3" xfId="14332" xr:uid="{00000000-0005-0000-0000-00003A550000}"/>
    <cellStyle name="Normal 184 2 2 3 2" xfId="23955" xr:uid="{00000000-0005-0000-0000-00003B550000}"/>
    <cellStyle name="Normal 184 2 2 4" xfId="15476" xr:uid="{00000000-0005-0000-0000-00003C550000}"/>
    <cellStyle name="Normal 184 2 2 4 2" xfId="23956" xr:uid="{00000000-0005-0000-0000-00003D550000}"/>
    <cellStyle name="Normal 184 2 2 5" xfId="23953" xr:uid="{00000000-0005-0000-0000-00003E550000}"/>
    <cellStyle name="Normal 184 2 2_Additional Disclosures" xfId="16247" xr:uid="{00000000-0005-0000-0000-00003F550000}"/>
    <cellStyle name="Normal 184 2 3" xfId="11772" xr:uid="{00000000-0005-0000-0000-000040550000}"/>
    <cellStyle name="Normal 184 2 3 2" xfId="23957" xr:uid="{00000000-0005-0000-0000-000041550000}"/>
    <cellStyle name="Normal 184 2 4" xfId="13821" xr:uid="{00000000-0005-0000-0000-000042550000}"/>
    <cellStyle name="Normal 184 2 4 2" xfId="23958" xr:uid="{00000000-0005-0000-0000-000043550000}"/>
    <cellStyle name="Normal 184 2 5" xfId="14966" xr:uid="{00000000-0005-0000-0000-000044550000}"/>
    <cellStyle name="Normal 184 2 5 2" xfId="23959" xr:uid="{00000000-0005-0000-0000-000045550000}"/>
    <cellStyle name="Normal 184 2 6" xfId="23952" xr:uid="{00000000-0005-0000-0000-000046550000}"/>
    <cellStyle name="Normal 184 2_Additional Disclosures" xfId="16246" xr:uid="{00000000-0005-0000-0000-000047550000}"/>
    <cellStyle name="Normal 184 3" xfId="11003" xr:uid="{00000000-0005-0000-0000-000048550000}"/>
    <cellStyle name="Normal 184 3 2" xfId="12423" xr:uid="{00000000-0005-0000-0000-000049550000}"/>
    <cellStyle name="Normal 184 3 2 2" xfId="23961" xr:uid="{00000000-0005-0000-0000-00004A550000}"/>
    <cellStyle name="Normal 184 3 3" xfId="14078" xr:uid="{00000000-0005-0000-0000-00004B550000}"/>
    <cellStyle name="Normal 184 3 3 2" xfId="23962" xr:uid="{00000000-0005-0000-0000-00004C550000}"/>
    <cellStyle name="Normal 184 3 4" xfId="15222" xr:uid="{00000000-0005-0000-0000-00004D550000}"/>
    <cellStyle name="Normal 184 3 4 2" xfId="23963" xr:uid="{00000000-0005-0000-0000-00004E550000}"/>
    <cellStyle name="Normal 184 3 5" xfId="23960" xr:uid="{00000000-0005-0000-0000-00004F550000}"/>
    <cellStyle name="Normal 184 3_Additional Disclosures" xfId="16248" xr:uid="{00000000-0005-0000-0000-000050550000}"/>
    <cellStyle name="Normal 184 4" xfId="11771" xr:uid="{00000000-0005-0000-0000-000051550000}"/>
    <cellStyle name="Normal 184 4 2" xfId="23964" xr:uid="{00000000-0005-0000-0000-000052550000}"/>
    <cellStyle name="Normal 184 5" xfId="13567" xr:uid="{00000000-0005-0000-0000-000053550000}"/>
    <cellStyle name="Normal 184 5 2" xfId="23965" xr:uid="{00000000-0005-0000-0000-000054550000}"/>
    <cellStyle name="Normal 184 6" xfId="14712" xr:uid="{00000000-0005-0000-0000-000055550000}"/>
    <cellStyle name="Normal 184 6 2" xfId="23966" xr:uid="{00000000-0005-0000-0000-000056550000}"/>
    <cellStyle name="Normal 184 7" xfId="23951" xr:uid="{00000000-0005-0000-0000-000057550000}"/>
    <cellStyle name="Normal 184 8" xfId="31647" xr:uid="{00000000-0005-0000-0000-000058550000}"/>
    <cellStyle name="Normal 184_Additional Disclosures" xfId="16245" xr:uid="{00000000-0005-0000-0000-000059550000}"/>
    <cellStyle name="Normal 185" xfId="9243" xr:uid="{00000000-0005-0000-0000-00005A550000}"/>
    <cellStyle name="Normal 185 2" xfId="9244" xr:uid="{00000000-0005-0000-0000-00005B550000}"/>
    <cellStyle name="Normal 185 2 10" xfId="28667" xr:uid="{00000000-0005-0000-0000-00005C550000}"/>
    <cellStyle name="Normal 185 2 2" xfId="12823" xr:uid="{00000000-0005-0000-0000-00005D550000}"/>
    <cellStyle name="Normal 185 2 2 2" xfId="14333" xr:uid="{00000000-0005-0000-0000-00005E550000}"/>
    <cellStyle name="Normal 185 2 2 2 2" xfId="23970" xr:uid="{00000000-0005-0000-0000-00005F550000}"/>
    <cellStyle name="Normal 185 2 2 3" xfId="15477" xr:uid="{00000000-0005-0000-0000-000060550000}"/>
    <cellStyle name="Normal 185 2 2 3 2" xfId="23971" xr:uid="{00000000-0005-0000-0000-000061550000}"/>
    <cellStyle name="Normal 185 2 2 4" xfId="23969" xr:uid="{00000000-0005-0000-0000-000062550000}"/>
    <cellStyle name="Normal 185 2 2_Additional Disclosures" xfId="16251" xr:uid="{00000000-0005-0000-0000-000063550000}"/>
    <cellStyle name="Normal 185 2 3" xfId="12187" xr:uid="{00000000-0005-0000-0000-000064550000}"/>
    <cellStyle name="Normal 185 2 3 2" xfId="23972" xr:uid="{00000000-0005-0000-0000-000065550000}"/>
    <cellStyle name="Normal 185 2 4" xfId="13822" xr:uid="{00000000-0005-0000-0000-000066550000}"/>
    <cellStyle name="Normal 185 2 4 2" xfId="23973" xr:uid="{00000000-0005-0000-0000-000067550000}"/>
    <cellStyle name="Normal 185 2 5" xfId="14967" xr:uid="{00000000-0005-0000-0000-000068550000}"/>
    <cellStyle name="Normal 185 2 5 2" xfId="23974" xr:uid="{00000000-0005-0000-0000-000069550000}"/>
    <cellStyle name="Normal 185 2 6" xfId="23968" xr:uid="{00000000-0005-0000-0000-00006A550000}"/>
    <cellStyle name="Normal 185 2 7" xfId="28877" xr:uid="{00000000-0005-0000-0000-00006B550000}"/>
    <cellStyle name="Normal 185 2 8" xfId="28669" xr:uid="{00000000-0005-0000-0000-00006C550000}"/>
    <cellStyle name="Normal 185 2 9" xfId="28880" xr:uid="{00000000-0005-0000-0000-00006D550000}"/>
    <cellStyle name="Normal 185 2_Additional Disclosures" xfId="16250" xr:uid="{00000000-0005-0000-0000-00006E550000}"/>
    <cellStyle name="Normal 185 3" xfId="9245" xr:uid="{00000000-0005-0000-0000-00006F550000}"/>
    <cellStyle name="Normal 185 3 2" xfId="11006" xr:uid="{00000000-0005-0000-0000-000070550000}"/>
    <cellStyle name="Normal 185 3 2 2" xfId="12426" xr:uid="{00000000-0005-0000-0000-000071550000}"/>
    <cellStyle name="Normal 185 3 2 2 2" xfId="23977" xr:uid="{00000000-0005-0000-0000-000072550000}"/>
    <cellStyle name="Normal 185 3 2 3" xfId="23976" xr:uid="{00000000-0005-0000-0000-000073550000}"/>
    <cellStyle name="Normal 185 3 3" xfId="11774" xr:uid="{00000000-0005-0000-0000-000074550000}"/>
    <cellStyle name="Normal 185 3 3 2" xfId="23978" xr:uid="{00000000-0005-0000-0000-000075550000}"/>
    <cellStyle name="Normal 185 3 4" xfId="14079" xr:uid="{00000000-0005-0000-0000-000076550000}"/>
    <cellStyle name="Normal 185 3 4 2" xfId="23979" xr:uid="{00000000-0005-0000-0000-000077550000}"/>
    <cellStyle name="Normal 185 3 5" xfId="15223" xr:uid="{00000000-0005-0000-0000-000078550000}"/>
    <cellStyle name="Normal 185 3 5 2" xfId="23980" xr:uid="{00000000-0005-0000-0000-000079550000}"/>
    <cellStyle name="Normal 185 3 6" xfId="23975" xr:uid="{00000000-0005-0000-0000-00007A550000}"/>
    <cellStyle name="Normal 185 3_Additional Disclosures" xfId="16252" xr:uid="{00000000-0005-0000-0000-00007B550000}"/>
    <cellStyle name="Normal 185 4" xfId="11005" xr:uid="{00000000-0005-0000-0000-00007C550000}"/>
    <cellStyle name="Normal 185 4 2" xfId="12425" xr:uid="{00000000-0005-0000-0000-00007D550000}"/>
    <cellStyle name="Normal 185 4 2 2" xfId="23982" xr:uid="{00000000-0005-0000-0000-00007E550000}"/>
    <cellStyle name="Normal 185 4 3" xfId="23981" xr:uid="{00000000-0005-0000-0000-00007F550000}"/>
    <cellStyle name="Normal 185 5" xfId="11773" xr:uid="{00000000-0005-0000-0000-000080550000}"/>
    <cellStyle name="Normal 185 5 2" xfId="23983" xr:uid="{00000000-0005-0000-0000-000081550000}"/>
    <cellStyle name="Normal 185 6" xfId="13568" xr:uid="{00000000-0005-0000-0000-000082550000}"/>
    <cellStyle name="Normal 185 6 2" xfId="23984" xr:uid="{00000000-0005-0000-0000-000083550000}"/>
    <cellStyle name="Normal 185 7" xfId="14713" xr:uid="{00000000-0005-0000-0000-000084550000}"/>
    <cellStyle name="Normal 185 7 2" xfId="23985" xr:uid="{00000000-0005-0000-0000-000085550000}"/>
    <cellStyle name="Normal 185 8" xfId="23967" xr:uid="{00000000-0005-0000-0000-000086550000}"/>
    <cellStyle name="Normal 185 9" xfId="31648" xr:uid="{00000000-0005-0000-0000-000087550000}"/>
    <cellStyle name="Normal 185_Additional Disclosures" xfId="16249" xr:uid="{00000000-0005-0000-0000-000088550000}"/>
    <cellStyle name="Normal 186" xfId="9246" xr:uid="{00000000-0005-0000-0000-000089550000}"/>
    <cellStyle name="Normal 186 2" xfId="9247" xr:uid="{00000000-0005-0000-0000-00008A550000}"/>
    <cellStyle name="Normal 186 2 2" xfId="11008" xr:uid="{00000000-0005-0000-0000-00008B550000}"/>
    <cellStyle name="Normal 186 2 2 2" xfId="12428" xr:uid="{00000000-0005-0000-0000-00008C550000}"/>
    <cellStyle name="Normal 186 2 2 2 2" xfId="23989" xr:uid="{00000000-0005-0000-0000-00008D550000}"/>
    <cellStyle name="Normal 186 2 2 3" xfId="14334" xr:uid="{00000000-0005-0000-0000-00008E550000}"/>
    <cellStyle name="Normal 186 2 2 3 2" xfId="23990" xr:uid="{00000000-0005-0000-0000-00008F550000}"/>
    <cellStyle name="Normal 186 2 2 4" xfId="15478" xr:uid="{00000000-0005-0000-0000-000090550000}"/>
    <cellStyle name="Normal 186 2 2 4 2" xfId="23991" xr:uid="{00000000-0005-0000-0000-000091550000}"/>
    <cellStyle name="Normal 186 2 2 5" xfId="23988" xr:uid="{00000000-0005-0000-0000-000092550000}"/>
    <cellStyle name="Normal 186 2 2_Additional Disclosures" xfId="16255" xr:uid="{00000000-0005-0000-0000-000093550000}"/>
    <cellStyle name="Normal 186 2 3" xfId="11776" xr:uid="{00000000-0005-0000-0000-000094550000}"/>
    <cellStyle name="Normal 186 2 3 2" xfId="23992" xr:uid="{00000000-0005-0000-0000-000095550000}"/>
    <cellStyle name="Normal 186 2 4" xfId="13823" xr:uid="{00000000-0005-0000-0000-000096550000}"/>
    <cellStyle name="Normal 186 2 4 2" xfId="23993" xr:uid="{00000000-0005-0000-0000-000097550000}"/>
    <cellStyle name="Normal 186 2 5" xfId="14968" xr:uid="{00000000-0005-0000-0000-000098550000}"/>
    <cellStyle name="Normal 186 2 5 2" xfId="23994" xr:uid="{00000000-0005-0000-0000-000099550000}"/>
    <cellStyle name="Normal 186 2 6" xfId="23987" xr:uid="{00000000-0005-0000-0000-00009A550000}"/>
    <cellStyle name="Normal 186 2_Additional Disclosures" xfId="16254" xr:uid="{00000000-0005-0000-0000-00009B550000}"/>
    <cellStyle name="Normal 186 3" xfId="11007" xr:uid="{00000000-0005-0000-0000-00009C550000}"/>
    <cellStyle name="Normal 186 3 2" xfId="12427" xr:uid="{00000000-0005-0000-0000-00009D550000}"/>
    <cellStyle name="Normal 186 3 2 2" xfId="23996" xr:uid="{00000000-0005-0000-0000-00009E550000}"/>
    <cellStyle name="Normal 186 3 3" xfId="14080" xr:uid="{00000000-0005-0000-0000-00009F550000}"/>
    <cellStyle name="Normal 186 3 3 2" xfId="23997" xr:uid="{00000000-0005-0000-0000-0000A0550000}"/>
    <cellStyle name="Normal 186 3 4" xfId="15224" xr:uid="{00000000-0005-0000-0000-0000A1550000}"/>
    <cellStyle name="Normal 186 3 4 2" xfId="23998" xr:uid="{00000000-0005-0000-0000-0000A2550000}"/>
    <cellStyle name="Normal 186 3 5" xfId="23995" xr:uid="{00000000-0005-0000-0000-0000A3550000}"/>
    <cellStyle name="Normal 186 3_Additional Disclosures" xfId="16256" xr:uid="{00000000-0005-0000-0000-0000A4550000}"/>
    <cellStyle name="Normal 186 4" xfId="11775" xr:uid="{00000000-0005-0000-0000-0000A5550000}"/>
    <cellStyle name="Normal 186 4 2" xfId="23999" xr:uid="{00000000-0005-0000-0000-0000A6550000}"/>
    <cellStyle name="Normal 186 5" xfId="13569" xr:uid="{00000000-0005-0000-0000-0000A7550000}"/>
    <cellStyle name="Normal 186 5 2" xfId="24000" xr:uid="{00000000-0005-0000-0000-0000A8550000}"/>
    <cellStyle name="Normal 186 6" xfId="14714" xr:uid="{00000000-0005-0000-0000-0000A9550000}"/>
    <cellStyle name="Normal 186 6 2" xfId="24001" xr:uid="{00000000-0005-0000-0000-0000AA550000}"/>
    <cellStyle name="Normal 186 7" xfId="23986" xr:uid="{00000000-0005-0000-0000-0000AB550000}"/>
    <cellStyle name="Normal 186 8" xfId="31649" xr:uid="{00000000-0005-0000-0000-0000AC550000}"/>
    <cellStyle name="Normal 186_Additional Disclosures" xfId="16253" xr:uid="{00000000-0005-0000-0000-0000AD550000}"/>
    <cellStyle name="Normal 187" xfId="9248" xr:uid="{00000000-0005-0000-0000-0000AE550000}"/>
    <cellStyle name="Normal 187 2" xfId="9249" xr:uid="{00000000-0005-0000-0000-0000AF550000}"/>
    <cellStyle name="Normal 187 2 10" xfId="28666" xr:uid="{00000000-0005-0000-0000-0000B0550000}"/>
    <cellStyle name="Normal 187 2 2" xfId="12185" xr:uid="{00000000-0005-0000-0000-0000B1550000}"/>
    <cellStyle name="Normal 187 2 2 2" xfId="14335" xr:uid="{00000000-0005-0000-0000-0000B2550000}"/>
    <cellStyle name="Normal 187 2 2 2 2" xfId="24005" xr:uid="{00000000-0005-0000-0000-0000B3550000}"/>
    <cellStyle name="Normal 187 2 2 3" xfId="15479" xr:uid="{00000000-0005-0000-0000-0000B4550000}"/>
    <cellStyle name="Normal 187 2 2 3 2" xfId="24006" xr:uid="{00000000-0005-0000-0000-0000B5550000}"/>
    <cellStyle name="Normal 187 2 2 4" xfId="24004" xr:uid="{00000000-0005-0000-0000-0000B6550000}"/>
    <cellStyle name="Normal 187 2 2_Additional Disclosures" xfId="16259" xr:uid="{00000000-0005-0000-0000-0000B7550000}"/>
    <cellStyle name="Normal 187 2 3" xfId="12186" xr:uid="{00000000-0005-0000-0000-0000B8550000}"/>
    <cellStyle name="Normal 187 2 3 2" xfId="24007" xr:uid="{00000000-0005-0000-0000-0000B9550000}"/>
    <cellStyle name="Normal 187 2 4" xfId="13824" xr:uid="{00000000-0005-0000-0000-0000BA550000}"/>
    <cellStyle name="Normal 187 2 4 2" xfId="24008" xr:uid="{00000000-0005-0000-0000-0000BB550000}"/>
    <cellStyle name="Normal 187 2 5" xfId="14969" xr:uid="{00000000-0005-0000-0000-0000BC550000}"/>
    <cellStyle name="Normal 187 2 5 2" xfId="24009" xr:uid="{00000000-0005-0000-0000-0000BD550000}"/>
    <cellStyle name="Normal 187 2 6" xfId="24003" xr:uid="{00000000-0005-0000-0000-0000BE550000}"/>
    <cellStyle name="Normal 187 2 7" xfId="28879" xr:uid="{00000000-0005-0000-0000-0000BF550000}"/>
    <cellStyle name="Normal 187 2 8" xfId="28668" xr:uid="{00000000-0005-0000-0000-0000C0550000}"/>
    <cellStyle name="Normal 187 2 9" xfId="28881" xr:uid="{00000000-0005-0000-0000-0000C1550000}"/>
    <cellStyle name="Normal 187 2_Additional Disclosures" xfId="16258" xr:uid="{00000000-0005-0000-0000-0000C2550000}"/>
    <cellStyle name="Normal 187 3" xfId="9250" xr:uid="{00000000-0005-0000-0000-0000C3550000}"/>
    <cellStyle name="Normal 187 3 2" xfId="11010" xr:uid="{00000000-0005-0000-0000-0000C4550000}"/>
    <cellStyle name="Normal 187 3 2 2" xfId="12430" xr:uid="{00000000-0005-0000-0000-0000C5550000}"/>
    <cellStyle name="Normal 187 3 2 2 2" xfId="24012" xr:uid="{00000000-0005-0000-0000-0000C6550000}"/>
    <cellStyle name="Normal 187 3 2 3" xfId="24011" xr:uid="{00000000-0005-0000-0000-0000C7550000}"/>
    <cellStyle name="Normal 187 3 3" xfId="11778" xr:uid="{00000000-0005-0000-0000-0000C8550000}"/>
    <cellStyle name="Normal 187 3 3 2" xfId="24013" xr:uid="{00000000-0005-0000-0000-0000C9550000}"/>
    <cellStyle name="Normal 187 3 4" xfId="14081" xr:uid="{00000000-0005-0000-0000-0000CA550000}"/>
    <cellStyle name="Normal 187 3 4 2" xfId="24014" xr:uid="{00000000-0005-0000-0000-0000CB550000}"/>
    <cellStyle name="Normal 187 3 5" xfId="15225" xr:uid="{00000000-0005-0000-0000-0000CC550000}"/>
    <cellStyle name="Normal 187 3 5 2" xfId="24015" xr:uid="{00000000-0005-0000-0000-0000CD550000}"/>
    <cellStyle name="Normal 187 3 6" xfId="24010" xr:uid="{00000000-0005-0000-0000-0000CE550000}"/>
    <cellStyle name="Normal 187 3_Additional Disclosures" xfId="16260" xr:uid="{00000000-0005-0000-0000-0000CF550000}"/>
    <cellStyle name="Normal 187 4" xfId="11009" xr:uid="{00000000-0005-0000-0000-0000D0550000}"/>
    <cellStyle name="Normal 187 4 2" xfId="12429" xr:uid="{00000000-0005-0000-0000-0000D1550000}"/>
    <cellStyle name="Normal 187 4 2 2" xfId="24017" xr:uid="{00000000-0005-0000-0000-0000D2550000}"/>
    <cellStyle name="Normal 187 4 3" xfId="24016" xr:uid="{00000000-0005-0000-0000-0000D3550000}"/>
    <cellStyle name="Normal 187 5" xfId="11777" xr:uid="{00000000-0005-0000-0000-0000D4550000}"/>
    <cellStyle name="Normal 187 5 2" xfId="24018" xr:uid="{00000000-0005-0000-0000-0000D5550000}"/>
    <cellStyle name="Normal 187 6" xfId="13570" xr:uid="{00000000-0005-0000-0000-0000D6550000}"/>
    <cellStyle name="Normal 187 6 2" xfId="24019" xr:uid="{00000000-0005-0000-0000-0000D7550000}"/>
    <cellStyle name="Normal 187 7" xfId="14715" xr:uid="{00000000-0005-0000-0000-0000D8550000}"/>
    <cellStyle name="Normal 187 7 2" xfId="24020" xr:uid="{00000000-0005-0000-0000-0000D9550000}"/>
    <cellStyle name="Normal 187 8" xfId="24002" xr:uid="{00000000-0005-0000-0000-0000DA550000}"/>
    <cellStyle name="Normal 187 9" xfId="31650" xr:uid="{00000000-0005-0000-0000-0000DB550000}"/>
    <cellStyle name="Normal 187_Additional Disclosures" xfId="16257" xr:uid="{00000000-0005-0000-0000-0000DC550000}"/>
    <cellStyle name="Normal 188" xfId="9251" xr:uid="{00000000-0005-0000-0000-0000DD550000}"/>
    <cellStyle name="Normal 188 10" xfId="31651" xr:uid="{00000000-0005-0000-0000-0000DE550000}"/>
    <cellStyle name="Normal 188 11" xfId="31652" xr:uid="{00000000-0005-0000-0000-0000DF550000}"/>
    <cellStyle name="Normal 188 12" xfId="31653" xr:uid="{00000000-0005-0000-0000-0000E0550000}"/>
    <cellStyle name="Normal 188 2" xfId="9252" xr:uid="{00000000-0005-0000-0000-0000E1550000}"/>
    <cellStyle name="Normal 188 2 10" xfId="31654" xr:uid="{00000000-0005-0000-0000-0000E2550000}"/>
    <cellStyle name="Normal 188 2 11" xfId="31655" xr:uid="{00000000-0005-0000-0000-0000E3550000}"/>
    <cellStyle name="Normal 188 2 2" xfId="11012" xr:uid="{00000000-0005-0000-0000-0000E4550000}"/>
    <cellStyle name="Normal 188 2 2 2" xfId="12432" xr:uid="{00000000-0005-0000-0000-0000E5550000}"/>
    <cellStyle name="Normal 188 2 2 2 2" xfId="24024" xr:uid="{00000000-0005-0000-0000-0000E6550000}"/>
    <cellStyle name="Normal 188 2 2 3" xfId="14336" xr:uid="{00000000-0005-0000-0000-0000E7550000}"/>
    <cellStyle name="Normal 188 2 2 3 2" xfId="24025" xr:uid="{00000000-0005-0000-0000-0000E8550000}"/>
    <cellStyle name="Normal 188 2 2 4" xfId="15480" xr:uid="{00000000-0005-0000-0000-0000E9550000}"/>
    <cellStyle name="Normal 188 2 2 4 2" xfId="24026" xr:uid="{00000000-0005-0000-0000-0000EA550000}"/>
    <cellStyle name="Normal 188 2 2 5" xfId="24023" xr:uid="{00000000-0005-0000-0000-0000EB550000}"/>
    <cellStyle name="Normal 188 2 2_Additional Disclosures" xfId="16263" xr:uid="{00000000-0005-0000-0000-0000EC550000}"/>
    <cellStyle name="Normal 188 2 3" xfId="11780" xr:uid="{00000000-0005-0000-0000-0000ED550000}"/>
    <cellStyle name="Normal 188 2 3 2" xfId="24027" xr:uid="{00000000-0005-0000-0000-0000EE550000}"/>
    <cellStyle name="Normal 188 2 4" xfId="13825" xr:uid="{00000000-0005-0000-0000-0000EF550000}"/>
    <cellStyle name="Normal 188 2 4 2" xfId="24028" xr:uid="{00000000-0005-0000-0000-0000F0550000}"/>
    <cellStyle name="Normal 188 2 5" xfId="14970" xr:uid="{00000000-0005-0000-0000-0000F1550000}"/>
    <cellStyle name="Normal 188 2 5 2" xfId="24029" xr:uid="{00000000-0005-0000-0000-0000F2550000}"/>
    <cellStyle name="Normal 188 2 6" xfId="24022" xr:uid="{00000000-0005-0000-0000-0000F3550000}"/>
    <cellStyle name="Normal 188 2 7" xfId="31656" xr:uid="{00000000-0005-0000-0000-0000F4550000}"/>
    <cellStyle name="Normal 188 2 8" xfId="31657" xr:uid="{00000000-0005-0000-0000-0000F5550000}"/>
    <cellStyle name="Normal 188 2 9" xfId="31658" xr:uid="{00000000-0005-0000-0000-0000F6550000}"/>
    <cellStyle name="Normal 188 2_Additional Disclosures" xfId="16262" xr:uid="{00000000-0005-0000-0000-0000F7550000}"/>
    <cellStyle name="Normal 188 3" xfId="11011" xr:uid="{00000000-0005-0000-0000-0000F8550000}"/>
    <cellStyle name="Normal 188 3 2" xfId="12431" xr:uid="{00000000-0005-0000-0000-0000F9550000}"/>
    <cellStyle name="Normal 188 3 2 2" xfId="24031" xr:uid="{00000000-0005-0000-0000-0000FA550000}"/>
    <cellStyle name="Normal 188 3 3" xfId="14082" xr:uid="{00000000-0005-0000-0000-0000FB550000}"/>
    <cellStyle name="Normal 188 3 3 2" xfId="24032" xr:uid="{00000000-0005-0000-0000-0000FC550000}"/>
    <cellStyle name="Normal 188 3 4" xfId="15226" xr:uid="{00000000-0005-0000-0000-0000FD550000}"/>
    <cellStyle name="Normal 188 3 4 2" xfId="24033" xr:uid="{00000000-0005-0000-0000-0000FE550000}"/>
    <cellStyle name="Normal 188 3 5" xfId="24030" xr:uid="{00000000-0005-0000-0000-0000FF550000}"/>
    <cellStyle name="Normal 188 3 6" xfId="31659" xr:uid="{00000000-0005-0000-0000-000000560000}"/>
    <cellStyle name="Normal 188 3_Additional Disclosures" xfId="16264" xr:uid="{00000000-0005-0000-0000-000001560000}"/>
    <cellStyle name="Normal 188 4" xfId="11779" xr:uid="{00000000-0005-0000-0000-000002560000}"/>
    <cellStyle name="Normal 188 4 2" xfId="24034" xr:uid="{00000000-0005-0000-0000-000003560000}"/>
    <cellStyle name="Normal 188 5" xfId="13571" xr:uid="{00000000-0005-0000-0000-000004560000}"/>
    <cellStyle name="Normal 188 5 2" xfId="24035" xr:uid="{00000000-0005-0000-0000-000005560000}"/>
    <cellStyle name="Normal 188 6" xfId="14716" xr:uid="{00000000-0005-0000-0000-000006560000}"/>
    <cellStyle name="Normal 188 6 2" xfId="24036" xr:uid="{00000000-0005-0000-0000-000007560000}"/>
    <cellStyle name="Normal 188 7" xfId="24021" xr:uid="{00000000-0005-0000-0000-000008560000}"/>
    <cellStyle name="Normal 188 8" xfId="31660" xr:uid="{00000000-0005-0000-0000-000009560000}"/>
    <cellStyle name="Normal 188 9" xfId="31661" xr:uid="{00000000-0005-0000-0000-00000A560000}"/>
    <cellStyle name="Normal 188_Additional Disclosures" xfId="16261" xr:uid="{00000000-0005-0000-0000-00000B560000}"/>
    <cellStyle name="Normal 189" xfId="9253" xr:uid="{00000000-0005-0000-0000-00000C560000}"/>
    <cellStyle name="Normal 189 2" xfId="9254" xr:uid="{00000000-0005-0000-0000-00000D560000}"/>
    <cellStyle name="Normal 189 2 2" xfId="11014" xr:uid="{00000000-0005-0000-0000-00000E560000}"/>
    <cellStyle name="Normal 189 2 2 2" xfId="12434" xr:uid="{00000000-0005-0000-0000-00000F560000}"/>
    <cellStyle name="Normal 189 2 2 2 2" xfId="24040" xr:uid="{00000000-0005-0000-0000-000010560000}"/>
    <cellStyle name="Normal 189 2 2 3" xfId="14337" xr:uid="{00000000-0005-0000-0000-000011560000}"/>
    <cellStyle name="Normal 189 2 2 3 2" xfId="24041" xr:uid="{00000000-0005-0000-0000-000012560000}"/>
    <cellStyle name="Normal 189 2 2 4" xfId="15481" xr:uid="{00000000-0005-0000-0000-000013560000}"/>
    <cellStyle name="Normal 189 2 2 4 2" xfId="24042" xr:uid="{00000000-0005-0000-0000-000014560000}"/>
    <cellStyle name="Normal 189 2 2 5" xfId="24039" xr:uid="{00000000-0005-0000-0000-000015560000}"/>
    <cellStyle name="Normal 189 2 2_Additional Disclosures" xfId="16267" xr:uid="{00000000-0005-0000-0000-000016560000}"/>
    <cellStyle name="Normal 189 2 3" xfId="11782" xr:uid="{00000000-0005-0000-0000-000017560000}"/>
    <cellStyle name="Normal 189 2 3 2" xfId="24043" xr:uid="{00000000-0005-0000-0000-000018560000}"/>
    <cellStyle name="Normal 189 2 4" xfId="13826" xr:uid="{00000000-0005-0000-0000-000019560000}"/>
    <cellStyle name="Normal 189 2 4 2" xfId="24044" xr:uid="{00000000-0005-0000-0000-00001A560000}"/>
    <cellStyle name="Normal 189 2 5" xfId="14971" xr:uid="{00000000-0005-0000-0000-00001B560000}"/>
    <cellStyle name="Normal 189 2 5 2" xfId="24045" xr:uid="{00000000-0005-0000-0000-00001C560000}"/>
    <cellStyle name="Normal 189 2 6" xfId="24038" xr:uid="{00000000-0005-0000-0000-00001D560000}"/>
    <cellStyle name="Normal 189 2_Additional Disclosures" xfId="16266" xr:uid="{00000000-0005-0000-0000-00001E560000}"/>
    <cellStyle name="Normal 189 3" xfId="11013" xr:uid="{00000000-0005-0000-0000-00001F560000}"/>
    <cellStyle name="Normal 189 3 2" xfId="12433" xr:uid="{00000000-0005-0000-0000-000020560000}"/>
    <cellStyle name="Normal 189 3 2 2" xfId="24047" xr:uid="{00000000-0005-0000-0000-000021560000}"/>
    <cellStyle name="Normal 189 3 3" xfId="14083" xr:uid="{00000000-0005-0000-0000-000022560000}"/>
    <cellStyle name="Normal 189 3 3 2" xfId="24048" xr:uid="{00000000-0005-0000-0000-000023560000}"/>
    <cellStyle name="Normal 189 3 4" xfId="15227" xr:uid="{00000000-0005-0000-0000-000024560000}"/>
    <cellStyle name="Normal 189 3 4 2" xfId="24049" xr:uid="{00000000-0005-0000-0000-000025560000}"/>
    <cellStyle name="Normal 189 3 5" xfId="24046" xr:uid="{00000000-0005-0000-0000-000026560000}"/>
    <cellStyle name="Normal 189 3_Additional Disclosures" xfId="16268" xr:uid="{00000000-0005-0000-0000-000027560000}"/>
    <cellStyle name="Normal 189 4" xfId="11781" xr:uid="{00000000-0005-0000-0000-000028560000}"/>
    <cellStyle name="Normal 189 4 2" xfId="24050" xr:uid="{00000000-0005-0000-0000-000029560000}"/>
    <cellStyle name="Normal 189 5" xfId="13572" xr:uid="{00000000-0005-0000-0000-00002A560000}"/>
    <cellStyle name="Normal 189 5 2" xfId="24051" xr:uid="{00000000-0005-0000-0000-00002B560000}"/>
    <cellStyle name="Normal 189 6" xfId="14717" xr:uid="{00000000-0005-0000-0000-00002C560000}"/>
    <cellStyle name="Normal 189 6 2" xfId="24052" xr:uid="{00000000-0005-0000-0000-00002D560000}"/>
    <cellStyle name="Normal 189 7" xfId="24037" xr:uid="{00000000-0005-0000-0000-00002E560000}"/>
    <cellStyle name="Normal 189 8" xfId="31662" xr:uid="{00000000-0005-0000-0000-00002F560000}"/>
    <cellStyle name="Normal 189_Additional Disclosures" xfId="16265" xr:uid="{00000000-0005-0000-0000-000030560000}"/>
    <cellStyle name="Normal 19" xfId="53" xr:uid="{00000000-0005-0000-0000-000031560000}"/>
    <cellStyle name="Normal 19 10" xfId="28663" xr:uid="{00000000-0005-0000-0000-000032560000}"/>
    <cellStyle name="Normal 19 11" xfId="31663" xr:uid="{00000000-0005-0000-0000-000033560000}"/>
    <cellStyle name="Normal 19 12" xfId="31664" xr:uid="{00000000-0005-0000-0000-000034560000}"/>
    <cellStyle name="Normal 19 13" xfId="551" xr:uid="{00000000-0005-0000-0000-000035560000}"/>
    <cellStyle name="Normal 19 2" xfId="9255" xr:uid="{00000000-0005-0000-0000-000036560000}"/>
    <cellStyle name="Normal 19 2 10" xfId="33411" xr:uid="{00000000-0005-0000-0000-000037560000}"/>
    <cellStyle name="Normal 19 2 2" xfId="11015" xr:uid="{00000000-0005-0000-0000-000038560000}"/>
    <cellStyle name="Normal 19 2 2 2" xfId="12435" xr:uid="{00000000-0005-0000-0000-000039560000}"/>
    <cellStyle name="Normal 19 2 2 2 2" xfId="24056" xr:uid="{00000000-0005-0000-0000-00003A560000}"/>
    <cellStyle name="Normal 19 2 2 3" xfId="14187" xr:uid="{00000000-0005-0000-0000-00003B560000}"/>
    <cellStyle name="Normal 19 2 2 3 2" xfId="24057" xr:uid="{00000000-0005-0000-0000-00003C560000}"/>
    <cellStyle name="Normal 19 2 2 4" xfId="15331" xr:uid="{00000000-0005-0000-0000-00003D560000}"/>
    <cellStyle name="Normal 19 2 2 4 2" xfId="24058" xr:uid="{00000000-0005-0000-0000-00003E560000}"/>
    <cellStyle name="Normal 19 2 2 5" xfId="24055" xr:uid="{00000000-0005-0000-0000-00003F560000}"/>
    <cellStyle name="Normal 19 2 2 6" xfId="33792" xr:uid="{00000000-0005-0000-0000-000040560000}"/>
    <cellStyle name="Normal 19 2 2_Additional Disclosures" xfId="16271" xr:uid="{00000000-0005-0000-0000-000041560000}"/>
    <cellStyle name="Normal 19 2 3" xfId="11783" xr:uid="{00000000-0005-0000-0000-000042560000}"/>
    <cellStyle name="Normal 19 2 3 2" xfId="24059" xr:uid="{00000000-0005-0000-0000-000043560000}"/>
    <cellStyle name="Normal 19 2 3 3" xfId="34020" xr:uid="{00000000-0005-0000-0000-000044560000}"/>
    <cellStyle name="Normal 19 2 4" xfId="13676" xr:uid="{00000000-0005-0000-0000-000045560000}"/>
    <cellStyle name="Normal 19 2 4 2" xfId="24060" xr:uid="{00000000-0005-0000-0000-000046560000}"/>
    <cellStyle name="Normal 19 2 4 3" xfId="34234" xr:uid="{00000000-0005-0000-0000-000047560000}"/>
    <cellStyle name="Normal 19 2 5" xfId="14821" xr:uid="{00000000-0005-0000-0000-000048560000}"/>
    <cellStyle name="Normal 19 2 5 2" xfId="24061" xr:uid="{00000000-0005-0000-0000-000049560000}"/>
    <cellStyle name="Normal 19 2 6" xfId="24054" xr:uid="{00000000-0005-0000-0000-00004A560000}"/>
    <cellStyle name="Normal 19 2 7" xfId="31665" xr:uid="{00000000-0005-0000-0000-00004B560000}"/>
    <cellStyle name="Normal 19 2 8" xfId="31666" xr:uid="{00000000-0005-0000-0000-00004C560000}"/>
    <cellStyle name="Normal 19 2 9" xfId="31667" xr:uid="{00000000-0005-0000-0000-00004D560000}"/>
    <cellStyle name="Normal 19 2_Additional Disclosures" xfId="16270" xr:uid="{00000000-0005-0000-0000-00004E560000}"/>
    <cellStyle name="Normal 19 3" xfId="9256" xr:uid="{00000000-0005-0000-0000-00004F560000}"/>
    <cellStyle name="Normal 19 3 2" xfId="11016" xr:uid="{00000000-0005-0000-0000-000050560000}"/>
    <cellStyle name="Normal 19 3 2 2" xfId="12436" xr:uid="{00000000-0005-0000-0000-000051560000}"/>
    <cellStyle name="Normal 19 3 2 2 2" xfId="24064" xr:uid="{00000000-0005-0000-0000-000052560000}"/>
    <cellStyle name="Normal 19 3 2 3" xfId="24063" xr:uid="{00000000-0005-0000-0000-000053560000}"/>
    <cellStyle name="Normal 19 3 3" xfId="11784" xr:uid="{00000000-0005-0000-0000-000054560000}"/>
    <cellStyle name="Normal 19 3 3 2" xfId="24065" xr:uid="{00000000-0005-0000-0000-000055560000}"/>
    <cellStyle name="Normal 19 3 4" xfId="13932" xr:uid="{00000000-0005-0000-0000-000056560000}"/>
    <cellStyle name="Normal 19 3 4 2" xfId="24066" xr:uid="{00000000-0005-0000-0000-000057560000}"/>
    <cellStyle name="Normal 19 3 5" xfId="15077" xr:uid="{00000000-0005-0000-0000-000058560000}"/>
    <cellStyle name="Normal 19 3 5 2" xfId="24067" xr:uid="{00000000-0005-0000-0000-000059560000}"/>
    <cellStyle name="Normal 19 3 6" xfId="24062" xr:uid="{00000000-0005-0000-0000-00005A560000}"/>
    <cellStyle name="Normal 19 3 7" xfId="31668" xr:uid="{00000000-0005-0000-0000-00005B560000}"/>
    <cellStyle name="Normal 19 3 8" xfId="31669" xr:uid="{00000000-0005-0000-0000-00005C560000}"/>
    <cellStyle name="Normal 19 3_Additional Disclosures" xfId="16272" xr:uid="{00000000-0005-0000-0000-00005D560000}"/>
    <cellStyle name="Normal 19 4" xfId="13421" xr:uid="{00000000-0005-0000-0000-00005E560000}"/>
    <cellStyle name="Normal 19 4 2" xfId="24068" xr:uid="{00000000-0005-0000-0000-00005F560000}"/>
    <cellStyle name="Normal 19 5" xfId="14565" xr:uid="{00000000-0005-0000-0000-000060560000}"/>
    <cellStyle name="Normal 19 5 2" xfId="24069" xr:uid="{00000000-0005-0000-0000-000061560000}"/>
    <cellStyle name="Normal 19 6" xfId="24053" xr:uid="{00000000-0005-0000-0000-000062560000}"/>
    <cellStyle name="Normal 19 7" xfId="28882" xr:uid="{00000000-0005-0000-0000-000063560000}"/>
    <cellStyle name="Normal 19 8" xfId="28665" xr:uid="{00000000-0005-0000-0000-000064560000}"/>
    <cellStyle name="Normal 19 9" xfId="28884" xr:uid="{00000000-0005-0000-0000-000065560000}"/>
    <cellStyle name="Normal 19_Additional Disclosures" xfId="16269" xr:uid="{00000000-0005-0000-0000-000066560000}"/>
    <cellStyle name="Normal 190" xfId="9257" xr:uid="{00000000-0005-0000-0000-000067560000}"/>
    <cellStyle name="Normal 190 2" xfId="9258" xr:uid="{00000000-0005-0000-0000-000068560000}"/>
    <cellStyle name="Normal 190 2 10" xfId="28661" xr:uid="{00000000-0005-0000-0000-000069560000}"/>
    <cellStyle name="Normal 190 2 2" xfId="12183" xr:uid="{00000000-0005-0000-0000-00006A560000}"/>
    <cellStyle name="Normal 190 2 2 2" xfId="14338" xr:uid="{00000000-0005-0000-0000-00006B560000}"/>
    <cellStyle name="Normal 190 2 2 2 2" xfId="24073" xr:uid="{00000000-0005-0000-0000-00006C560000}"/>
    <cellStyle name="Normal 190 2 2 3" xfId="15482" xr:uid="{00000000-0005-0000-0000-00006D560000}"/>
    <cellStyle name="Normal 190 2 2 3 2" xfId="24074" xr:uid="{00000000-0005-0000-0000-00006E560000}"/>
    <cellStyle name="Normal 190 2 2 4" xfId="24072" xr:uid="{00000000-0005-0000-0000-00006F560000}"/>
    <cellStyle name="Normal 190 2 2_Additional Disclosures" xfId="16275" xr:uid="{00000000-0005-0000-0000-000070560000}"/>
    <cellStyle name="Normal 190 2 3" xfId="12184" xr:uid="{00000000-0005-0000-0000-000071560000}"/>
    <cellStyle name="Normal 190 2 3 2" xfId="24075" xr:uid="{00000000-0005-0000-0000-000072560000}"/>
    <cellStyle name="Normal 190 2 4" xfId="13827" xr:uid="{00000000-0005-0000-0000-000073560000}"/>
    <cellStyle name="Normal 190 2 4 2" xfId="24076" xr:uid="{00000000-0005-0000-0000-000074560000}"/>
    <cellStyle name="Normal 190 2 5" xfId="14972" xr:uid="{00000000-0005-0000-0000-000075560000}"/>
    <cellStyle name="Normal 190 2 5 2" xfId="24077" xr:uid="{00000000-0005-0000-0000-000076560000}"/>
    <cellStyle name="Normal 190 2 6" xfId="24071" xr:uid="{00000000-0005-0000-0000-000077560000}"/>
    <cellStyle name="Normal 190 2 7" xfId="28883" xr:uid="{00000000-0005-0000-0000-000078560000}"/>
    <cellStyle name="Normal 190 2 8" xfId="28664" xr:uid="{00000000-0005-0000-0000-000079560000}"/>
    <cellStyle name="Normal 190 2 9" xfId="28886" xr:uid="{00000000-0005-0000-0000-00007A560000}"/>
    <cellStyle name="Normal 190 2_Additional Disclosures" xfId="16274" xr:uid="{00000000-0005-0000-0000-00007B560000}"/>
    <cellStyle name="Normal 190 3" xfId="9259" xr:uid="{00000000-0005-0000-0000-00007C560000}"/>
    <cellStyle name="Normal 190 3 2" xfId="11018" xr:uid="{00000000-0005-0000-0000-00007D560000}"/>
    <cellStyle name="Normal 190 3 2 2" xfId="12438" xr:uid="{00000000-0005-0000-0000-00007E560000}"/>
    <cellStyle name="Normal 190 3 2 2 2" xfId="24080" xr:uid="{00000000-0005-0000-0000-00007F560000}"/>
    <cellStyle name="Normal 190 3 2 3" xfId="24079" xr:uid="{00000000-0005-0000-0000-000080560000}"/>
    <cellStyle name="Normal 190 3 3" xfId="11786" xr:uid="{00000000-0005-0000-0000-000081560000}"/>
    <cellStyle name="Normal 190 3 3 2" xfId="24081" xr:uid="{00000000-0005-0000-0000-000082560000}"/>
    <cellStyle name="Normal 190 3 4" xfId="14084" xr:uid="{00000000-0005-0000-0000-000083560000}"/>
    <cellStyle name="Normal 190 3 4 2" xfId="24082" xr:uid="{00000000-0005-0000-0000-000084560000}"/>
    <cellStyle name="Normal 190 3 5" xfId="15228" xr:uid="{00000000-0005-0000-0000-000085560000}"/>
    <cellStyle name="Normal 190 3 5 2" xfId="24083" xr:uid="{00000000-0005-0000-0000-000086560000}"/>
    <cellStyle name="Normal 190 3 6" xfId="24078" xr:uid="{00000000-0005-0000-0000-000087560000}"/>
    <cellStyle name="Normal 190 3_Additional Disclosures" xfId="16276" xr:uid="{00000000-0005-0000-0000-000088560000}"/>
    <cellStyle name="Normal 190 4" xfId="11017" xr:uid="{00000000-0005-0000-0000-000089560000}"/>
    <cellStyle name="Normal 190 4 2" xfId="12437" xr:uid="{00000000-0005-0000-0000-00008A560000}"/>
    <cellStyle name="Normal 190 4 2 2" xfId="24085" xr:uid="{00000000-0005-0000-0000-00008B560000}"/>
    <cellStyle name="Normal 190 4 3" xfId="24084" xr:uid="{00000000-0005-0000-0000-00008C560000}"/>
    <cellStyle name="Normal 190 5" xfId="11785" xr:uid="{00000000-0005-0000-0000-00008D560000}"/>
    <cellStyle name="Normal 190 5 2" xfId="24086" xr:uid="{00000000-0005-0000-0000-00008E560000}"/>
    <cellStyle name="Normal 190 6" xfId="13573" xr:uid="{00000000-0005-0000-0000-00008F560000}"/>
    <cellStyle name="Normal 190 6 2" xfId="24087" xr:uid="{00000000-0005-0000-0000-000090560000}"/>
    <cellStyle name="Normal 190 7" xfId="14718" xr:uid="{00000000-0005-0000-0000-000091560000}"/>
    <cellStyle name="Normal 190 7 2" xfId="24088" xr:uid="{00000000-0005-0000-0000-000092560000}"/>
    <cellStyle name="Normal 190 8" xfId="24070" xr:uid="{00000000-0005-0000-0000-000093560000}"/>
    <cellStyle name="Normal 190 9" xfId="31670" xr:uid="{00000000-0005-0000-0000-000094560000}"/>
    <cellStyle name="Normal 190_Additional Disclosures" xfId="16273" xr:uid="{00000000-0005-0000-0000-000095560000}"/>
    <cellStyle name="Normal 191" xfId="9260" xr:uid="{00000000-0005-0000-0000-000096560000}"/>
    <cellStyle name="Normal 191 2" xfId="9261" xr:uid="{00000000-0005-0000-0000-000097560000}"/>
    <cellStyle name="Normal 191 2 2" xfId="11020" xr:uid="{00000000-0005-0000-0000-000098560000}"/>
    <cellStyle name="Normal 191 2 2 2" xfId="12440" xr:uid="{00000000-0005-0000-0000-000099560000}"/>
    <cellStyle name="Normal 191 2 2 2 2" xfId="24092" xr:uid="{00000000-0005-0000-0000-00009A560000}"/>
    <cellStyle name="Normal 191 2 2 3" xfId="14339" xr:uid="{00000000-0005-0000-0000-00009B560000}"/>
    <cellStyle name="Normal 191 2 2 3 2" xfId="24093" xr:uid="{00000000-0005-0000-0000-00009C560000}"/>
    <cellStyle name="Normal 191 2 2 4" xfId="15483" xr:uid="{00000000-0005-0000-0000-00009D560000}"/>
    <cellStyle name="Normal 191 2 2 4 2" xfId="24094" xr:uid="{00000000-0005-0000-0000-00009E560000}"/>
    <cellStyle name="Normal 191 2 2 5" xfId="24091" xr:uid="{00000000-0005-0000-0000-00009F560000}"/>
    <cellStyle name="Normal 191 2 2_Additional Disclosures" xfId="16279" xr:uid="{00000000-0005-0000-0000-0000A0560000}"/>
    <cellStyle name="Normal 191 2 3" xfId="11788" xr:uid="{00000000-0005-0000-0000-0000A1560000}"/>
    <cellStyle name="Normal 191 2 3 2" xfId="24095" xr:uid="{00000000-0005-0000-0000-0000A2560000}"/>
    <cellStyle name="Normal 191 2 4" xfId="13828" xr:uid="{00000000-0005-0000-0000-0000A3560000}"/>
    <cellStyle name="Normal 191 2 4 2" xfId="24096" xr:uid="{00000000-0005-0000-0000-0000A4560000}"/>
    <cellStyle name="Normal 191 2 5" xfId="14973" xr:uid="{00000000-0005-0000-0000-0000A5560000}"/>
    <cellStyle name="Normal 191 2 5 2" xfId="24097" xr:uid="{00000000-0005-0000-0000-0000A6560000}"/>
    <cellStyle name="Normal 191 2 6" xfId="24090" xr:uid="{00000000-0005-0000-0000-0000A7560000}"/>
    <cellStyle name="Normal 191 2_Additional Disclosures" xfId="16278" xr:uid="{00000000-0005-0000-0000-0000A8560000}"/>
    <cellStyle name="Normal 191 3" xfId="11019" xr:uid="{00000000-0005-0000-0000-0000A9560000}"/>
    <cellStyle name="Normal 191 3 2" xfId="12439" xr:uid="{00000000-0005-0000-0000-0000AA560000}"/>
    <cellStyle name="Normal 191 3 2 2" xfId="24099" xr:uid="{00000000-0005-0000-0000-0000AB560000}"/>
    <cellStyle name="Normal 191 3 3" xfId="14085" xr:uid="{00000000-0005-0000-0000-0000AC560000}"/>
    <cellStyle name="Normal 191 3 3 2" xfId="24100" xr:uid="{00000000-0005-0000-0000-0000AD560000}"/>
    <cellStyle name="Normal 191 3 4" xfId="15229" xr:uid="{00000000-0005-0000-0000-0000AE560000}"/>
    <cellStyle name="Normal 191 3 4 2" xfId="24101" xr:uid="{00000000-0005-0000-0000-0000AF560000}"/>
    <cellStyle name="Normal 191 3 5" xfId="24098" xr:uid="{00000000-0005-0000-0000-0000B0560000}"/>
    <cellStyle name="Normal 191 3_Additional Disclosures" xfId="16280" xr:uid="{00000000-0005-0000-0000-0000B1560000}"/>
    <cellStyle name="Normal 191 4" xfId="11787" xr:uid="{00000000-0005-0000-0000-0000B2560000}"/>
    <cellStyle name="Normal 191 4 2" xfId="24102" xr:uid="{00000000-0005-0000-0000-0000B3560000}"/>
    <cellStyle name="Normal 191 5" xfId="13574" xr:uid="{00000000-0005-0000-0000-0000B4560000}"/>
    <cellStyle name="Normal 191 5 2" xfId="24103" xr:uid="{00000000-0005-0000-0000-0000B5560000}"/>
    <cellStyle name="Normal 191 6" xfId="14719" xr:uid="{00000000-0005-0000-0000-0000B6560000}"/>
    <cellStyle name="Normal 191 6 2" xfId="24104" xr:uid="{00000000-0005-0000-0000-0000B7560000}"/>
    <cellStyle name="Normal 191 7" xfId="24089" xr:uid="{00000000-0005-0000-0000-0000B8560000}"/>
    <cellStyle name="Normal 191 8" xfId="31671" xr:uid="{00000000-0005-0000-0000-0000B9560000}"/>
    <cellStyle name="Normal 191_Additional Disclosures" xfId="16277" xr:uid="{00000000-0005-0000-0000-0000BA560000}"/>
    <cellStyle name="Normal 192" xfId="9262" xr:uid="{00000000-0005-0000-0000-0000BB560000}"/>
    <cellStyle name="Normal 192 2" xfId="9263" xr:uid="{00000000-0005-0000-0000-0000BC560000}"/>
    <cellStyle name="Normal 192 2 2" xfId="14340" xr:uid="{00000000-0005-0000-0000-0000BD560000}"/>
    <cellStyle name="Normal 192 2 2 2" xfId="15484" xr:uid="{00000000-0005-0000-0000-0000BE560000}"/>
    <cellStyle name="Normal 192 2 2 2 2" xfId="24108" xr:uid="{00000000-0005-0000-0000-0000BF560000}"/>
    <cellStyle name="Normal 192 2 2 3" xfId="24107" xr:uid="{00000000-0005-0000-0000-0000C0560000}"/>
    <cellStyle name="Normal 192 2 2_Additional Disclosures" xfId="16283" xr:uid="{00000000-0005-0000-0000-0000C1560000}"/>
    <cellStyle name="Normal 192 2 3" xfId="13829" xr:uid="{00000000-0005-0000-0000-0000C2560000}"/>
    <cellStyle name="Normal 192 2 3 2" xfId="24109" xr:uid="{00000000-0005-0000-0000-0000C3560000}"/>
    <cellStyle name="Normal 192 2 4" xfId="14974" xr:uid="{00000000-0005-0000-0000-0000C4560000}"/>
    <cellStyle name="Normal 192 2 4 2" xfId="24110" xr:uid="{00000000-0005-0000-0000-0000C5560000}"/>
    <cellStyle name="Normal 192 2 5" xfId="24106" xr:uid="{00000000-0005-0000-0000-0000C6560000}"/>
    <cellStyle name="Normal 192 2 6" xfId="28885" xr:uid="{00000000-0005-0000-0000-0000C7560000}"/>
    <cellStyle name="Normal 192 2 7" xfId="28662" xr:uid="{00000000-0005-0000-0000-0000C8560000}"/>
    <cellStyle name="Normal 192 2 8" xfId="28887" xr:uid="{00000000-0005-0000-0000-0000C9560000}"/>
    <cellStyle name="Normal 192 2 9" xfId="28660" xr:uid="{00000000-0005-0000-0000-0000CA560000}"/>
    <cellStyle name="Normal 192 2_Additional Disclosures" xfId="16282" xr:uid="{00000000-0005-0000-0000-0000CB560000}"/>
    <cellStyle name="Normal 192 3" xfId="9264" xr:uid="{00000000-0005-0000-0000-0000CC560000}"/>
    <cellStyle name="Normal 192 3 2" xfId="11022" xr:uid="{00000000-0005-0000-0000-0000CD560000}"/>
    <cellStyle name="Normal 192 3 2 2" xfId="12442" xr:uid="{00000000-0005-0000-0000-0000CE560000}"/>
    <cellStyle name="Normal 192 3 2 2 2" xfId="24113" xr:uid="{00000000-0005-0000-0000-0000CF560000}"/>
    <cellStyle name="Normal 192 3 2 3" xfId="24112" xr:uid="{00000000-0005-0000-0000-0000D0560000}"/>
    <cellStyle name="Normal 192 3 3" xfId="11790" xr:uid="{00000000-0005-0000-0000-0000D1560000}"/>
    <cellStyle name="Normal 192 3 3 2" xfId="24114" xr:uid="{00000000-0005-0000-0000-0000D2560000}"/>
    <cellStyle name="Normal 192 3 4" xfId="14086" xr:uid="{00000000-0005-0000-0000-0000D3560000}"/>
    <cellStyle name="Normal 192 3 4 2" xfId="24115" xr:uid="{00000000-0005-0000-0000-0000D4560000}"/>
    <cellStyle name="Normal 192 3 5" xfId="15230" xr:uid="{00000000-0005-0000-0000-0000D5560000}"/>
    <cellStyle name="Normal 192 3 5 2" xfId="24116" xr:uid="{00000000-0005-0000-0000-0000D6560000}"/>
    <cellStyle name="Normal 192 3 6" xfId="24111" xr:uid="{00000000-0005-0000-0000-0000D7560000}"/>
    <cellStyle name="Normal 192 3_Additional Disclosures" xfId="16284" xr:uid="{00000000-0005-0000-0000-0000D8560000}"/>
    <cellStyle name="Normal 192 4" xfId="11021" xr:uid="{00000000-0005-0000-0000-0000D9560000}"/>
    <cellStyle name="Normal 192 4 2" xfId="12441" xr:uid="{00000000-0005-0000-0000-0000DA560000}"/>
    <cellStyle name="Normal 192 4 2 2" xfId="24118" xr:uid="{00000000-0005-0000-0000-0000DB560000}"/>
    <cellStyle name="Normal 192 4 3" xfId="24117" xr:uid="{00000000-0005-0000-0000-0000DC560000}"/>
    <cellStyle name="Normal 192 5" xfId="11789" xr:uid="{00000000-0005-0000-0000-0000DD560000}"/>
    <cellStyle name="Normal 192 5 2" xfId="24119" xr:uid="{00000000-0005-0000-0000-0000DE560000}"/>
    <cellStyle name="Normal 192 6" xfId="13575" xr:uid="{00000000-0005-0000-0000-0000DF560000}"/>
    <cellStyle name="Normal 192 6 2" xfId="24120" xr:uid="{00000000-0005-0000-0000-0000E0560000}"/>
    <cellStyle name="Normal 192 7" xfId="14720" xr:uid="{00000000-0005-0000-0000-0000E1560000}"/>
    <cellStyle name="Normal 192 7 2" xfId="24121" xr:uid="{00000000-0005-0000-0000-0000E2560000}"/>
    <cellStyle name="Normal 192 8" xfId="24105" xr:uid="{00000000-0005-0000-0000-0000E3560000}"/>
    <cellStyle name="Normal 192 9" xfId="31672" xr:uid="{00000000-0005-0000-0000-0000E4560000}"/>
    <cellStyle name="Normal 192_Additional Disclosures" xfId="16281" xr:uid="{00000000-0005-0000-0000-0000E5560000}"/>
    <cellStyle name="Normal 193" xfId="9265" xr:uid="{00000000-0005-0000-0000-0000E6560000}"/>
    <cellStyle name="Normal 193 2" xfId="9266" xr:uid="{00000000-0005-0000-0000-0000E7560000}"/>
    <cellStyle name="Normal 193 2 2" xfId="11024" xr:uid="{00000000-0005-0000-0000-0000E8560000}"/>
    <cellStyle name="Normal 193 2 2 2" xfId="12444" xr:uid="{00000000-0005-0000-0000-0000E9560000}"/>
    <cellStyle name="Normal 193 2 2 2 2" xfId="24125" xr:uid="{00000000-0005-0000-0000-0000EA560000}"/>
    <cellStyle name="Normal 193 2 2 3" xfId="14341" xr:uid="{00000000-0005-0000-0000-0000EB560000}"/>
    <cellStyle name="Normal 193 2 2 3 2" xfId="24126" xr:uid="{00000000-0005-0000-0000-0000EC560000}"/>
    <cellStyle name="Normal 193 2 2 4" xfId="15485" xr:uid="{00000000-0005-0000-0000-0000ED560000}"/>
    <cellStyle name="Normal 193 2 2 4 2" xfId="24127" xr:uid="{00000000-0005-0000-0000-0000EE560000}"/>
    <cellStyle name="Normal 193 2 2 5" xfId="24124" xr:uid="{00000000-0005-0000-0000-0000EF560000}"/>
    <cellStyle name="Normal 193 2 2_Additional Disclosures" xfId="16287" xr:uid="{00000000-0005-0000-0000-0000F0560000}"/>
    <cellStyle name="Normal 193 2 3" xfId="11792" xr:uid="{00000000-0005-0000-0000-0000F1560000}"/>
    <cellStyle name="Normal 193 2 3 2" xfId="24128" xr:uid="{00000000-0005-0000-0000-0000F2560000}"/>
    <cellStyle name="Normal 193 2 4" xfId="13830" xr:uid="{00000000-0005-0000-0000-0000F3560000}"/>
    <cellStyle name="Normal 193 2 4 2" xfId="24129" xr:uid="{00000000-0005-0000-0000-0000F4560000}"/>
    <cellStyle name="Normal 193 2 5" xfId="14975" xr:uid="{00000000-0005-0000-0000-0000F5560000}"/>
    <cellStyle name="Normal 193 2 5 2" xfId="24130" xr:uid="{00000000-0005-0000-0000-0000F6560000}"/>
    <cellStyle name="Normal 193 2 6" xfId="24123" xr:uid="{00000000-0005-0000-0000-0000F7560000}"/>
    <cellStyle name="Normal 193 2_Additional Disclosures" xfId="16286" xr:uid="{00000000-0005-0000-0000-0000F8560000}"/>
    <cellStyle name="Normal 193 3" xfId="11023" xr:uid="{00000000-0005-0000-0000-0000F9560000}"/>
    <cellStyle name="Normal 193 3 2" xfId="12443" xr:uid="{00000000-0005-0000-0000-0000FA560000}"/>
    <cellStyle name="Normal 193 3 2 2" xfId="24132" xr:uid="{00000000-0005-0000-0000-0000FB560000}"/>
    <cellStyle name="Normal 193 3 3" xfId="14087" xr:uid="{00000000-0005-0000-0000-0000FC560000}"/>
    <cellStyle name="Normal 193 3 3 2" xfId="24133" xr:uid="{00000000-0005-0000-0000-0000FD560000}"/>
    <cellStyle name="Normal 193 3 4" xfId="15231" xr:uid="{00000000-0005-0000-0000-0000FE560000}"/>
    <cellStyle name="Normal 193 3 4 2" xfId="24134" xr:uid="{00000000-0005-0000-0000-0000FF560000}"/>
    <cellStyle name="Normal 193 3 5" xfId="24131" xr:uid="{00000000-0005-0000-0000-000000570000}"/>
    <cellStyle name="Normal 193 3_Additional Disclosures" xfId="16288" xr:uid="{00000000-0005-0000-0000-000001570000}"/>
    <cellStyle name="Normal 193 4" xfId="11791" xr:uid="{00000000-0005-0000-0000-000002570000}"/>
    <cellStyle name="Normal 193 4 2" xfId="24135" xr:uid="{00000000-0005-0000-0000-000003570000}"/>
    <cellStyle name="Normal 193 5" xfId="13576" xr:uid="{00000000-0005-0000-0000-000004570000}"/>
    <cellStyle name="Normal 193 5 2" xfId="24136" xr:uid="{00000000-0005-0000-0000-000005570000}"/>
    <cellStyle name="Normal 193 6" xfId="14721" xr:uid="{00000000-0005-0000-0000-000006570000}"/>
    <cellStyle name="Normal 193 6 2" xfId="24137" xr:uid="{00000000-0005-0000-0000-000007570000}"/>
    <cellStyle name="Normal 193 7" xfId="24122" xr:uid="{00000000-0005-0000-0000-000008570000}"/>
    <cellStyle name="Normal 193 8" xfId="31673" xr:uid="{00000000-0005-0000-0000-000009570000}"/>
    <cellStyle name="Normal 193_Additional Disclosures" xfId="16285" xr:uid="{00000000-0005-0000-0000-00000A570000}"/>
    <cellStyle name="Normal 194" xfId="9267" xr:uid="{00000000-0005-0000-0000-00000B570000}"/>
    <cellStyle name="Normal 194 2" xfId="9268" xr:uid="{00000000-0005-0000-0000-00000C570000}"/>
    <cellStyle name="Normal 194 2 2" xfId="11026" xr:uid="{00000000-0005-0000-0000-00000D570000}"/>
    <cellStyle name="Normal 194 2 2 2" xfId="12446" xr:uid="{00000000-0005-0000-0000-00000E570000}"/>
    <cellStyle name="Normal 194 2 2 2 2" xfId="24141" xr:uid="{00000000-0005-0000-0000-00000F570000}"/>
    <cellStyle name="Normal 194 2 2 3" xfId="14342" xr:uid="{00000000-0005-0000-0000-000010570000}"/>
    <cellStyle name="Normal 194 2 2 3 2" xfId="24142" xr:uid="{00000000-0005-0000-0000-000011570000}"/>
    <cellStyle name="Normal 194 2 2 4" xfId="15486" xr:uid="{00000000-0005-0000-0000-000012570000}"/>
    <cellStyle name="Normal 194 2 2 4 2" xfId="24143" xr:uid="{00000000-0005-0000-0000-000013570000}"/>
    <cellStyle name="Normal 194 2 2 5" xfId="24140" xr:uid="{00000000-0005-0000-0000-000014570000}"/>
    <cellStyle name="Normal 194 2 2_Additional Disclosures" xfId="16291" xr:uid="{00000000-0005-0000-0000-000015570000}"/>
    <cellStyle name="Normal 194 2 3" xfId="11794" xr:uid="{00000000-0005-0000-0000-000016570000}"/>
    <cellStyle name="Normal 194 2 3 2" xfId="24144" xr:uid="{00000000-0005-0000-0000-000017570000}"/>
    <cellStyle name="Normal 194 2 4" xfId="13831" xr:uid="{00000000-0005-0000-0000-000018570000}"/>
    <cellStyle name="Normal 194 2 4 2" xfId="24145" xr:uid="{00000000-0005-0000-0000-000019570000}"/>
    <cellStyle name="Normal 194 2 5" xfId="14976" xr:uid="{00000000-0005-0000-0000-00001A570000}"/>
    <cellStyle name="Normal 194 2 5 2" xfId="24146" xr:uid="{00000000-0005-0000-0000-00001B570000}"/>
    <cellStyle name="Normal 194 2 6" xfId="24139" xr:uid="{00000000-0005-0000-0000-00001C570000}"/>
    <cellStyle name="Normal 194 2_Additional Disclosures" xfId="16290" xr:uid="{00000000-0005-0000-0000-00001D570000}"/>
    <cellStyle name="Normal 194 3" xfId="11025" xr:uid="{00000000-0005-0000-0000-00001E570000}"/>
    <cellStyle name="Normal 194 3 2" xfId="12445" xr:uid="{00000000-0005-0000-0000-00001F570000}"/>
    <cellStyle name="Normal 194 3 2 2" xfId="24148" xr:uid="{00000000-0005-0000-0000-000020570000}"/>
    <cellStyle name="Normal 194 3 3" xfId="14088" xr:uid="{00000000-0005-0000-0000-000021570000}"/>
    <cellStyle name="Normal 194 3 3 2" xfId="24149" xr:uid="{00000000-0005-0000-0000-000022570000}"/>
    <cellStyle name="Normal 194 3 4" xfId="15232" xr:uid="{00000000-0005-0000-0000-000023570000}"/>
    <cellStyle name="Normal 194 3 4 2" xfId="24150" xr:uid="{00000000-0005-0000-0000-000024570000}"/>
    <cellStyle name="Normal 194 3 5" xfId="24147" xr:uid="{00000000-0005-0000-0000-000025570000}"/>
    <cellStyle name="Normal 194 3_Additional Disclosures" xfId="16292" xr:uid="{00000000-0005-0000-0000-000026570000}"/>
    <cellStyle name="Normal 194 4" xfId="11793" xr:uid="{00000000-0005-0000-0000-000027570000}"/>
    <cellStyle name="Normal 194 4 2" xfId="24151" xr:uid="{00000000-0005-0000-0000-000028570000}"/>
    <cellStyle name="Normal 194 5" xfId="13577" xr:uid="{00000000-0005-0000-0000-000029570000}"/>
    <cellStyle name="Normal 194 5 2" xfId="24152" xr:uid="{00000000-0005-0000-0000-00002A570000}"/>
    <cellStyle name="Normal 194 6" xfId="14722" xr:uid="{00000000-0005-0000-0000-00002B570000}"/>
    <cellStyle name="Normal 194 6 2" xfId="24153" xr:uid="{00000000-0005-0000-0000-00002C570000}"/>
    <cellStyle name="Normal 194 7" xfId="24138" xr:uid="{00000000-0005-0000-0000-00002D570000}"/>
    <cellStyle name="Normal 194 8" xfId="31674" xr:uid="{00000000-0005-0000-0000-00002E570000}"/>
    <cellStyle name="Normal 194_Additional Disclosures" xfId="16289" xr:uid="{00000000-0005-0000-0000-00002F570000}"/>
    <cellStyle name="Normal 195" xfId="9269" xr:uid="{00000000-0005-0000-0000-000030570000}"/>
    <cellStyle name="Normal 195 2" xfId="9270" xr:uid="{00000000-0005-0000-0000-000031570000}"/>
    <cellStyle name="Normal 195 2 2" xfId="11028" xr:uid="{00000000-0005-0000-0000-000032570000}"/>
    <cellStyle name="Normal 195 2 2 2" xfId="12448" xr:uid="{00000000-0005-0000-0000-000033570000}"/>
    <cellStyle name="Normal 195 2 2 2 2" xfId="24157" xr:uid="{00000000-0005-0000-0000-000034570000}"/>
    <cellStyle name="Normal 195 2 2 3" xfId="14343" xr:uid="{00000000-0005-0000-0000-000035570000}"/>
    <cellStyle name="Normal 195 2 2 3 2" xfId="24158" xr:uid="{00000000-0005-0000-0000-000036570000}"/>
    <cellStyle name="Normal 195 2 2 4" xfId="15487" xr:uid="{00000000-0005-0000-0000-000037570000}"/>
    <cellStyle name="Normal 195 2 2 4 2" xfId="24159" xr:uid="{00000000-0005-0000-0000-000038570000}"/>
    <cellStyle name="Normal 195 2 2 5" xfId="24156" xr:uid="{00000000-0005-0000-0000-000039570000}"/>
    <cellStyle name="Normal 195 2 2_Additional Disclosures" xfId="16295" xr:uid="{00000000-0005-0000-0000-00003A570000}"/>
    <cellStyle name="Normal 195 2 3" xfId="11796" xr:uid="{00000000-0005-0000-0000-00003B570000}"/>
    <cellStyle name="Normal 195 2 3 2" xfId="24160" xr:uid="{00000000-0005-0000-0000-00003C570000}"/>
    <cellStyle name="Normal 195 2 4" xfId="13832" xr:uid="{00000000-0005-0000-0000-00003D570000}"/>
    <cellStyle name="Normal 195 2 4 2" xfId="24161" xr:uid="{00000000-0005-0000-0000-00003E570000}"/>
    <cellStyle name="Normal 195 2 5" xfId="14977" xr:uid="{00000000-0005-0000-0000-00003F570000}"/>
    <cellStyle name="Normal 195 2 5 2" xfId="24162" xr:uid="{00000000-0005-0000-0000-000040570000}"/>
    <cellStyle name="Normal 195 2 6" xfId="24155" xr:uid="{00000000-0005-0000-0000-000041570000}"/>
    <cellStyle name="Normal 195 2_Additional Disclosures" xfId="16294" xr:uid="{00000000-0005-0000-0000-000042570000}"/>
    <cellStyle name="Normal 195 3" xfId="11027" xr:uid="{00000000-0005-0000-0000-000043570000}"/>
    <cellStyle name="Normal 195 3 2" xfId="12447" xr:uid="{00000000-0005-0000-0000-000044570000}"/>
    <cellStyle name="Normal 195 3 2 2" xfId="24164" xr:uid="{00000000-0005-0000-0000-000045570000}"/>
    <cellStyle name="Normal 195 3 3" xfId="14089" xr:uid="{00000000-0005-0000-0000-000046570000}"/>
    <cellStyle name="Normal 195 3 3 2" xfId="24165" xr:uid="{00000000-0005-0000-0000-000047570000}"/>
    <cellStyle name="Normal 195 3 4" xfId="15233" xr:uid="{00000000-0005-0000-0000-000048570000}"/>
    <cellStyle name="Normal 195 3 4 2" xfId="24166" xr:uid="{00000000-0005-0000-0000-000049570000}"/>
    <cellStyle name="Normal 195 3 5" xfId="24163" xr:uid="{00000000-0005-0000-0000-00004A570000}"/>
    <cellStyle name="Normal 195 3_Additional Disclosures" xfId="16296" xr:uid="{00000000-0005-0000-0000-00004B570000}"/>
    <cellStyle name="Normal 195 4" xfId="11795" xr:uid="{00000000-0005-0000-0000-00004C570000}"/>
    <cellStyle name="Normal 195 4 2" xfId="24167" xr:uid="{00000000-0005-0000-0000-00004D570000}"/>
    <cellStyle name="Normal 195 5" xfId="13578" xr:uid="{00000000-0005-0000-0000-00004E570000}"/>
    <cellStyle name="Normal 195 5 2" xfId="24168" xr:uid="{00000000-0005-0000-0000-00004F570000}"/>
    <cellStyle name="Normal 195 6" xfId="14723" xr:uid="{00000000-0005-0000-0000-000050570000}"/>
    <cellStyle name="Normal 195 6 2" xfId="24169" xr:uid="{00000000-0005-0000-0000-000051570000}"/>
    <cellStyle name="Normal 195 7" xfId="24154" xr:uid="{00000000-0005-0000-0000-000052570000}"/>
    <cellStyle name="Normal 195 8" xfId="31675" xr:uid="{00000000-0005-0000-0000-000053570000}"/>
    <cellStyle name="Normal 195_Additional Disclosures" xfId="16293" xr:uid="{00000000-0005-0000-0000-000054570000}"/>
    <cellStyle name="Normal 196" xfId="9271" xr:uid="{00000000-0005-0000-0000-000055570000}"/>
    <cellStyle name="Normal 196 10" xfId="28891" xr:uid="{00000000-0005-0000-0000-000056570000}"/>
    <cellStyle name="Normal 196 11" xfId="31676" xr:uid="{00000000-0005-0000-0000-000057570000}"/>
    <cellStyle name="Normal 196 2" xfId="9272" xr:uid="{00000000-0005-0000-0000-000058570000}"/>
    <cellStyle name="Normal 196 2 10" xfId="28656" xr:uid="{00000000-0005-0000-0000-000059570000}"/>
    <cellStyle name="Normal 196 2 2" xfId="12180" xr:uid="{00000000-0005-0000-0000-00005A570000}"/>
    <cellStyle name="Normal 196 2 2 2" xfId="14344" xr:uid="{00000000-0005-0000-0000-00005B570000}"/>
    <cellStyle name="Normal 196 2 2 2 2" xfId="24173" xr:uid="{00000000-0005-0000-0000-00005C570000}"/>
    <cellStyle name="Normal 196 2 2 3" xfId="15488" xr:uid="{00000000-0005-0000-0000-00005D570000}"/>
    <cellStyle name="Normal 196 2 2 3 2" xfId="24174" xr:uid="{00000000-0005-0000-0000-00005E570000}"/>
    <cellStyle name="Normal 196 2 2 4" xfId="24172" xr:uid="{00000000-0005-0000-0000-00005F570000}"/>
    <cellStyle name="Normal 196 2 2_Additional Disclosures" xfId="16299" xr:uid="{00000000-0005-0000-0000-000060570000}"/>
    <cellStyle name="Normal 196 2 3" xfId="12181" xr:uid="{00000000-0005-0000-0000-000061570000}"/>
    <cellStyle name="Normal 196 2 3 2" xfId="24175" xr:uid="{00000000-0005-0000-0000-000062570000}"/>
    <cellStyle name="Normal 196 2 4" xfId="13833" xr:uid="{00000000-0005-0000-0000-000063570000}"/>
    <cellStyle name="Normal 196 2 4 2" xfId="24176" xr:uid="{00000000-0005-0000-0000-000064570000}"/>
    <cellStyle name="Normal 196 2 5" xfId="14978" xr:uid="{00000000-0005-0000-0000-000065570000}"/>
    <cellStyle name="Normal 196 2 5 2" xfId="24177" xr:uid="{00000000-0005-0000-0000-000066570000}"/>
    <cellStyle name="Normal 196 2 6" xfId="24171" xr:uid="{00000000-0005-0000-0000-000067570000}"/>
    <cellStyle name="Normal 196 2 7" xfId="28889" xr:uid="{00000000-0005-0000-0000-000068570000}"/>
    <cellStyle name="Normal 196 2 8" xfId="28658" xr:uid="{00000000-0005-0000-0000-000069570000}"/>
    <cellStyle name="Normal 196 2 9" xfId="28892" xr:uid="{00000000-0005-0000-0000-00006A570000}"/>
    <cellStyle name="Normal 196 2_Additional Disclosures" xfId="16298" xr:uid="{00000000-0005-0000-0000-00006B570000}"/>
    <cellStyle name="Normal 196 3" xfId="12179" xr:uid="{00000000-0005-0000-0000-00006C570000}"/>
    <cellStyle name="Normal 196 3 2" xfId="14090" xr:uid="{00000000-0005-0000-0000-00006D570000}"/>
    <cellStyle name="Normal 196 3 2 2" xfId="24179" xr:uid="{00000000-0005-0000-0000-00006E570000}"/>
    <cellStyle name="Normal 196 3 3" xfId="15234" xr:uid="{00000000-0005-0000-0000-00006F570000}"/>
    <cellStyle name="Normal 196 3 3 2" xfId="24180" xr:uid="{00000000-0005-0000-0000-000070570000}"/>
    <cellStyle name="Normal 196 3 4" xfId="24178" xr:uid="{00000000-0005-0000-0000-000071570000}"/>
    <cellStyle name="Normal 196 3_Additional Disclosures" xfId="16300" xr:uid="{00000000-0005-0000-0000-000072570000}"/>
    <cellStyle name="Normal 196 4" xfId="12182" xr:uid="{00000000-0005-0000-0000-000073570000}"/>
    <cellStyle name="Normal 196 4 2" xfId="24181" xr:uid="{00000000-0005-0000-0000-000074570000}"/>
    <cellStyle name="Normal 196 5" xfId="13579" xr:uid="{00000000-0005-0000-0000-000075570000}"/>
    <cellStyle name="Normal 196 5 2" xfId="24182" xr:uid="{00000000-0005-0000-0000-000076570000}"/>
    <cellStyle name="Normal 196 6" xfId="14724" xr:uid="{00000000-0005-0000-0000-000077570000}"/>
    <cellStyle name="Normal 196 6 2" xfId="24183" xr:uid="{00000000-0005-0000-0000-000078570000}"/>
    <cellStyle name="Normal 196 7" xfId="24170" xr:uid="{00000000-0005-0000-0000-000079570000}"/>
    <cellStyle name="Normal 196 8" xfId="28888" xr:uid="{00000000-0005-0000-0000-00007A570000}"/>
    <cellStyle name="Normal 196 9" xfId="28659" xr:uid="{00000000-0005-0000-0000-00007B570000}"/>
    <cellStyle name="Normal 196_Additional Disclosures" xfId="16297" xr:uid="{00000000-0005-0000-0000-00007C570000}"/>
    <cellStyle name="Normal 197" xfId="9273" xr:uid="{00000000-0005-0000-0000-00007D570000}"/>
    <cellStyle name="Normal 197 2" xfId="9274" xr:uid="{00000000-0005-0000-0000-00007E570000}"/>
    <cellStyle name="Normal 197 2 2" xfId="11030" xr:uid="{00000000-0005-0000-0000-00007F570000}"/>
    <cellStyle name="Normal 197 2 2 2" xfId="12450" xr:uid="{00000000-0005-0000-0000-000080570000}"/>
    <cellStyle name="Normal 197 2 2 2 2" xfId="24187" xr:uid="{00000000-0005-0000-0000-000081570000}"/>
    <cellStyle name="Normal 197 2 2 3" xfId="14345" xr:uid="{00000000-0005-0000-0000-000082570000}"/>
    <cellStyle name="Normal 197 2 2 3 2" xfId="24188" xr:uid="{00000000-0005-0000-0000-000083570000}"/>
    <cellStyle name="Normal 197 2 2 4" xfId="15489" xr:uid="{00000000-0005-0000-0000-000084570000}"/>
    <cellStyle name="Normal 197 2 2 4 2" xfId="24189" xr:uid="{00000000-0005-0000-0000-000085570000}"/>
    <cellStyle name="Normal 197 2 2 5" xfId="24186" xr:uid="{00000000-0005-0000-0000-000086570000}"/>
    <cellStyle name="Normal 197 2 2_Additional Disclosures" xfId="16303" xr:uid="{00000000-0005-0000-0000-000087570000}"/>
    <cellStyle name="Normal 197 2 3" xfId="11798" xr:uid="{00000000-0005-0000-0000-000088570000}"/>
    <cellStyle name="Normal 197 2 3 2" xfId="24190" xr:uid="{00000000-0005-0000-0000-000089570000}"/>
    <cellStyle name="Normal 197 2 4" xfId="13834" xr:uid="{00000000-0005-0000-0000-00008A570000}"/>
    <cellStyle name="Normal 197 2 4 2" xfId="24191" xr:uid="{00000000-0005-0000-0000-00008B570000}"/>
    <cellStyle name="Normal 197 2 5" xfId="14979" xr:uid="{00000000-0005-0000-0000-00008C570000}"/>
    <cellStyle name="Normal 197 2 5 2" xfId="24192" xr:uid="{00000000-0005-0000-0000-00008D570000}"/>
    <cellStyle name="Normal 197 2 6" xfId="24185" xr:uid="{00000000-0005-0000-0000-00008E570000}"/>
    <cellStyle name="Normal 197 2_Additional Disclosures" xfId="16302" xr:uid="{00000000-0005-0000-0000-00008F570000}"/>
    <cellStyle name="Normal 197 3" xfId="11029" xr:uid="{00000000-0005-0000-0000-000090570000}"/>
    <cellStyle name="Normal 197 3 2" xfId="12449" xr:uid="{00000000-0005-0000-0000-000091570000}"/>
    <cellStyle name="Normal 197 3 2 2" xfId="24194" xr:uid="{00000000-0005-0000-0000-000092570000}"/>
    <cellStyle name="Normal 197 3 3" xfId="14091" xr:uid="{00000000-0005-0000-0000-000093570000}"/>
    <cellStyle name="Normal 197 3 3 2" xfId="24195" xr:uid="{00000000-0005-0000-0000-000094570000}"/>
    <cellStyle name="Normal 197 3 4" xfId="15235" xr:uid="{00000000-0005-0000-0000-000095570000}"/>
    <cellStyle name="Normal 197 3 4 2" xfId="24196" xr:uid="{00000000-0005-0000-0000-000096570000}"/>
    <cellStyle name="Normal 197 3 5" xfId="24193" xr:uid="{00000000-0005-0000-0000-000097570000}"/>
    <cellStyle name="Normal 197 3_Additional Disclosures" xfId="16304" xr:uid="{00000000-0005-0000-0000-000098570000}"/>
    <cellStyle name="Normal 197 4" xfId="11797" xr:uid="{00000000-0005-0000-0000-000099570000}"/>
    <cellStyle name="Normal 197 4 2" xfId="24197" xr:uid="{00000000-0005-0000-0000-00009A570000}"/>
    <cellStyle name="Normal 197 5" xfId="13580" xr:uid="{00000000-0005-0000-0000-00009B570000}"/>
    <cellStyle name="Normal 197 5 2" xfId="24198" xr:uid="{00000000-0005-0000-0000-00009C570000}"/>
    <cellStyle name="Normal 197 6" xfId="14725" xr:uid="{00000000-0005-0000-0000-00009D570000}"/>
    <cellStyle name="Normal 197 6 2" xfId="24199" xr:uid="{00000000-0005-0000-0000-00009E570000}"/>
    <cellStyle name="Normal 197 7" xfId="24184" xr:uid="{00000000-0005-0000-0000-00009F570000}"/>
    <cellStyle name="Normal 197 8" xfId="31677" xr:uid="{00000000-0005-0000-0000-0000A0570000}"/>
    <cellStyle name="Normal 197_Additional Disclosures" xfId="16301" xr:uid="{00000000-0005-0000-0000-0000A1570000}"/>
    <cellStyle name="Normal 198" xfId="9275" xr:uid="{00000000-0005-0000-0000-0000A2570000}"/>
    <cellStyle name="Normal 198 10" xfId="33363" xr:uid="{00000000-0005-0000-0000-0000A3570000}"/>
    <cellStyle name="Normal 198 2" xfId="9276" xr:uid="{00000000-0005-0000-0000-0000A4570000}"/>
    <cellStyle name="Normal 198 2 10" xfId="28654" xr:uid="{00000000-0005-0000-0000-0000A5570000}"/>
    <cellStyle name="Normal 198 2 11" xfId="33747" xr:uid="{00000000-0005-0000-0000-0000A6570000}"/>
    <cellStyle name="Normal 198 2 2" xfId="12177" xr:uid="{00000000-0005-0000-0000-0000A7570000}"/>
    <cellStyle name="Normal 198 2 2 2" xfId="14170" xr:uid="{00000000-0005-0000-0000-0000A8570000}"/>
    <cellStyle name="Normal 198 2 2 2 2" xfId="15314" xr:uid="{00000000-0005-0000-0000-0000A9570000}"/>
    <cellStyle name="Normal 198 2 2 2 2 2" xfId="24204" xr:uid="{00000000-0005-0000-0000-0000AA570000}"/>
    <cellStyle name="Normal 198 2 2 2 3" xfId="24203" xr:uid="{00000000-0005-0000-0000-0000AB570000}"/>
    <cellStyle name="Normal 198 2 2 2_Additional Disclosures" xfId="16308" xr:uid="{00000000-0005-0000-0000-0000AC570000}"/>
    <cellStyle name="Normal 198 2 2 3" xfId="13659" xr:uid="{00000000-0005-0000-0000-0000AD570000}"/>
    <cellStyle name="Normal 198 2 2 3 2" xfId="24205" xr:uid="{00000000-0005-0000-0000-0000AE570000}"/>
    <cellStyle name="Normal 198 2 2 4" xfId="14804" xr:uid="{00000000-0005-0000-0000-0000AF570000}"/>
    <cellStyle name="Normal 198 2 2 4 2" xfId="24206" xr:uid="{00000000-0005-0000-0000-0000B0570000}"/>
    <cellStyle name="Normal 198 2 2 5" xfId="24202" xr:uid="{00000000-0005-0000-0000-0000B1570000}"/>
    <cellStyle name="Normal 198 2 2_Additional Disclosures" xfId="16307" xr:uid="{00000000-0005-0000-0000-0000B2570000}"/>
    <cellStyle name="Normal 198 2 3" xfId="12178" xr:uid="{00000000-0005-0000-0000-0000B3570000}"/>
    <cellStyle name="Normal 198 2 3 2" xfId="13915" xr:uid="{00000000-0005-0000-0000-0000B4570000}"/>
    <cellStyle name="Normal 198 2 3 2 2" xfId="24208" xr:uid="{00000000-0005-0000-0000-0000B5570000}"/>
    <cellStyle name="Normal 198 2 3 3" xfId="15060" xr:uid="{00000000-0005-0000-0000-0000B6570000}"/>
    <cellStyle name="Normal 198 2 3 3 2" xfId="24209" xr:uid="{00000000-0005-0000-0000-0000B7570000}"/>
    <cellStyle name="Normal 198 2 3 4" xfId="24207" xr:uid="{00000000-0005-0000-0000-0000B8570000}"/>
    <cellStyle name="Normal 198 2 3_Additional Disclosures" xfId="16309" xr:uid="{00000000-0005-0000-0000-0000B9570000}"/>
    <cellStyle name="Normal 198 2 4" xfId="13404" xr:uid="{00000000-0005-0000-0000-0000BA570000}"/>
    <cellStyle name="Normal 198 2 4 2" xfId="24210" xr:uid="{00000000-0005-0000-0000-0000BB570000}"/>
    <cellStyle name="Normal 198 2 5" xfId="14548" xr:uid="{00000000-0005-0000-0000-0000BC570000}"/>
    <cellStyle name="Normal 198 2 5 2" xfId="24211" xr:uid="{00000000-0005-0000-0000-0000BD570000}"/>
    <cellStyle name="Normal 198 2 6" xfId="24201" xr:uid="{00000000-0005-0000-0000-0000BE570000}"/>
    <cellStyle name="Normal 198 2 7" xfId="28890" xr:uid="{00000000-0005-0000-0000-0000BF570000}"/>
    <cellStyle name="Normal 198 2 8" xfId="28657" xr:uid="{00000000-0005-0000-0000-0000C0570000}"/>
    <cellStyle name="Normal 198 2 9" xfId="28894" xr:uid="{00000000-0005-0000-0000-0000C1570000}"/>
    <cellStyle name="Normal 198 2_Additional Disclosures" xfId="16306" xr:uid="{00000000-0005-0000-0000-0000C2570000}"/>
    <cellStyle name="Normal 198 3" xfId="9277" xr:uid="{00000000-0005-0000-0000-0000C3570000}"/>
    <cellStyle name="Normal 198 3 2" xfId="11032" xr:uid="{00000000-0005-0000-0000-0000C4570000}"/>
    <cellStyle name="Normal 198 3 2 2" xfId="12452" xr:uid="{00000000-0005-0000-0000-0000C5570000}"/>
    <cellStyle name="Normal 198 3 2 2 2" xfId="24214" xr:uid="{00000000-0005-0000-0000-0000C6570000}"/>
    <cellStyle name="Normal 198 3 2 3" xfId="14130" xr:uid="{00000000-0005-0000-0000-0000C7570000}"/>
    <cellStyle name="Normal 198 3 2 3 2" xfId="24215" xr:uid="{00000000-0005-0000-0000-0000C8570000}"/>
    <cellStyle name="Normal 198 3 2 4" xfId="15274" xr:uid="{00000000-0005-0000-0000-0000C9570000}"/>
    <cellStyle name="Normal 198 3 2 4 2" xfId="24216" xr:uid="{00000000-0005-0000-0000-0000CA570000}"/>
    <cellStyle name="Normal 198 3 2 5" xfId="24213" xr:uid="{00000000-0005-0000-0000-0000CB570000}"/>
    <cellStyle name="Normal 198 3 2_Additional Disclosures" xfId="16311" xr:uid="{00000000-0005-0000-0000-0000CC570000}"/>
    <cellStyle name="Normal 198 3 3" xfId="11800" xr:uid="{00000000-0005-0000-0000-0000CD570000}"/>
    <cellStyle name="Normal 198 3 3 2" xfId="24217" xr:uid="{00000000-0005-0000-0000-0000CE570000}"/>
    <cellStyle name="Normal 198 3 4" xfId="13619" xr:uid="{00000000-0005-0000-0000-0000CF570000}"/>
    <cellStyle name="Normal 198 3 4 2" xfId="24218" xr:uid="{00000000-0005-0000-0000-0000D0570000}"/>
    <cellStyle name="Normal 198 3 5" xfId="14764" xr:uid="{00000000-0005-0000-0000-0000D1570000}"/>
    <cellStyle name="Normal 198 3 5 2" xfId="24219" xr:uid="{00000000-0005-0000-0000-0000D2570000}"/>
    <cellStyle name="Normal 198 3 6" xfId="24212" xr:uid="{00000000-0005-0000-0000-0000D3570000}"/>
    <cellStyle name="Normal 198 3 7" xfId="33975" xr:uid="{00000000-0005-0000-0000-0000D4570000}"/>
    <cellStyle name="Normal 198 3 8" xfId="34306" xr:uid="{00000000-0005-0000-0000-0000D5570000}"/>
    <cellStyle name="Normal 198 3_Additional Disclosures" xfId="16310" xr:uid="{00000000-0005-0000-0000-0000D6570000}"/>
    <cellStyle name="Normal 198 4" xfId="11031" xr:uid="{00000000-0005-0000-0000-0000D7570000}"/>
    <cellStyle name="Normal 198 4 2" xfId="12451" xr:uid="{00000000-0005-0000-0000-0000D8570000}"/>
    <cellStyle name="Normal 198 4 2 2" xfId="24221" xr:uid="{00000000-0005-0000-0000-0000D9570000}"/>
    <cellStyle name="Normal 198 4 3" xfId="13875" xr:uid="{00000000-0005-0000-0000-0000DA570000}"/>
    <cellStyle name="Normal 198 4 3 2" xfId="24222" xr:uid="{00000000-0005-0000-0000-0000DB570000}"/>
    <cellStyle name="Normal 198 4 4" xfId="15020" xr:uid="{00000000-0005-0000-0000-0000DC570000}"/>
    <cellStyle name="Normal 198 4 4 2" xfId="24223" xr:uid="{00000000-0005-0000-0000-0000DD570000}"/>
    <cellStyle name="Normal 198 4 5" xfId="24220" xr:uid="{00000000-0005-0000-0000-0000DE570000}"/>
    <cellStyle name="Normal 198 4 6" xfId="34189" xr:uid="{00000000-0005-0000-0000-0000DF570000}"/>
    <cellStyle name="Normal 198 4_Additional Disclosures" xfId="16312" xr:uid="{00000000-0005-0000-0000-0000E0570000}"/>
    <cellStyle name="Normal 198 5" xfId="11799" xr:uid="{00000000-0005-0000-0000-0000E1570000}"/>
    <cellStyle name="Normal 198 5 2" xfId="24224" xr:uid="{00000000-0005-0000-0000-0000E2570000}"/>
    <cellStyle name="Normal 198 6" xfId="13364" xr:uid="{00000000-0005-0000-0000-0000E3570000}"/>
    <cellStyle name="Normal 198 6 2" xfId="24225" xr:uid="{00000000-0005-0000-0000-0000E4570000}"/>
    <cellStyle name="Normal 198 7" xfId="14507" xr:uid="{00000000-0005-0000-0000-0000E5570000}"/>
    <cellStyle name="Normal 198 7 2" xfId="24226" xr:uid="{00000000-0005-0000-0000-0000E6570000}"/>
    <cellStyle name="Normal 198 8" xfId="24200" xr:uid="{00000000-0005-0000-0000-0000E7570000}"/>
    <cellStyle name="Normal 198 9" xfId="31678" xr:uid="{00000000-0005-0000-0000-0000E8570000}"/>
    <cellStyle name="Normal 198_Additional Disclosures" xfId="16305" xr:uid="{00000000-0005-0000-0000-0000E9570000}"/>
    <cellStyle name="Normal 199" xfId="9278" xr:uid="{00000000-0005-0000-0000-0000EA570000}"/>
    <cellStyle name="Normal 199 10" xfId="24227" xr:uid="{00000000-0005-0000-0000-0000EB570000}"/>
    <cellStyle name="Normal 199 11" xfId="31679" xr:uid="{00000000-0005-0000-0000-0000EC570000}"/>
    <cellStyle name="Normal 199 12" xfId="33258" xr:uid="{00000000-0005-0000-0000-0000ED570000}"/>
    <cellStyle name="Normal 199 2" xfId="9279" xr:uid="{00000000-0005-0000-0000-0000EE570000}"/>
    <cellStyle name="Normal 199 2 10" xfId="28651" xr:uid="{00000000-0005-0000-0000-0000EF570000}"/>
    <cellStyle name="Normal 199 2 11" xfId="33356" xr:uid="{00000000-0005-0000-0000-0000F0570000}"/>
    <cellStyle name="Normal 199 2 2" xfId="12175" xr:uid="{00000000-0005-0000-0000-0000F1570000}"/>
    <cellStyle name="Normal 199 2 2 2" xfId="14346" xr:uid="{00000000-0005-0000-0000-0000F2570000}"/>
    <cellStyle name="Normal 199 2 2 2 2" xfId="24230" xr:uid="{00000000-0005-0000-0000-0000F3570000}"/>
    <cellStyle name="Normal 199 2 2 3" xfId="15490" xr:uid="{00000000-0005-0000-0000-0000F4570000}"/>
    <cellStyle name="Normal 199 2 2 3 2" xfId="24231" xr:uid="{00000000-0005-0000-0000-0000F5570000}"/>
    <cellStyle name="Normal 199 2 2 4" xfId="24229" xr:uid="{00000000-0005-0000-0000-0000F6570000}"/>
    <cellStyle name="Normal 199 2 2 5" xfId="33740" xr:uid="{00000000-0005-0000-0000-0000F7570000}"/>
    <cellStyle name="Normal 199 2 2_Additional Disclosures" xfId="16315" xr:uid="{00000000-0005-0000-0000-0000F8570000}"/>
    <cellStyle name="Normal 199 2 3" xfId="12176" xr:uid="{00000000-0005-0000-0000-0000F9570000}"/>
    <cellStyle name="Normal 199 2 3 2" xfId="24232" xr:uid="{00000000-0005-0000-0000-0000FA570000}"/>
    <cellStyle name="Normal 199 2 3 3" xfId="33969" xr:uid="{00000000-0005-0000-0000-0000FB570000}"/>
    <cellStyle name="Normal 199 2 4" xfId="13835" xr:uid="{00000000-0005-0000-0000-0000FC570000}"/>
    <cellStyle name="Normal 199 2 4 2" xfId="24233" xr:uid="{00000000-0005-0000-0000-0000FD570000}"/>
    <cellStyle name="Normal 199 2 4 3" xfId="34183" xr:uid="{00000000-0005-0000-0000-0000FE570000}"/>
    <cellStyle name="Normal 199 2 5" xfId="14980" xr:uid="{00000000-0005-0000-0000-0000FF570000}"/>
    <cellStyle name="Normal 199 2 5 2" xfId="24234" xr:uid="{00000000-0005-0000-0000-000000580000}"/>
    <cellStyle name="Normal 199 2 6" xfId="24228" xr:uid="{00000000-0005-0000-0000-000001580000}"/>
    <cellStyle name="Normal 199 2 7" xfId="28893" xr:uid="{00000000-0005-0000-0000-000002580000}"/>
    <cellStyle name="Normal 199 2 8" xfId="28655" xr:uid="{00000000-0005-0000-0000-000003580000}"/>
    <cellStyle name="Normal 199 2 9" xfId="28898" xr:uid="{00000000-0005-0000-0000-000004580000}"/>
    <cellStyle name="Normal 199 2_Additional Disclosures" xfId="16314" xr:uid="{00000000-0005-0000-0000-000005580000}"/>
    <cellStyle name="Normal 199 3" xfId="9280" xr:uid="{00000000-0005-0000-0000-000006580000}"/>
    <cellStyle name="Normal 199 3 2" xfId="12174" xr:uid="{00000000-0005-0000-0000-000007580000}"/>
    <cellStyle name="Normal 199 3 2 2" xfId="24236" xr:uid="{00000000-0005-0000-0000-000008580000}"/>
    <cellStyle name="Normal 199 3 3" xfId="14092" xr:uid="{00000000-0005-0000-0000-000009580000}"/>
    <cellStyle name="Normal 199 3 3 2" xfId="24237" xr:uid="{00000000-0005-0000-0000-00000A580000}"/>
    <cellStyle name="Normal 199 3 4" xfId="15236" xr:uid="{00000000-0005-0000-0000-00000B580000}"/>
    <cellStyle name="Normal 199 3 4 2" xfId="24238" xr:uid="{00000000-0005-0000-0000-00000C580000}"/>
    <cellStyle name="Normal 199 3 5" xfId="24235" xr:uid="{00000000-0005-0000-0000-00000D580000}"/>
    <cellStyle name="Normal 199 3 6" xfId="33643" xr:uid="{00000000-0005-0000-0000-00000E580000}"/>
    <cellStyle name="Normal 199 3_Additional Disclosures" xfId="16316" xr:uid="{00000000-0005-0000-0000-00000F580000}"/>
    <cellStyle name="Normal 199 4" xfId="9281" xr:uid="{00000000-0005-0000-0000-000010580000}"/>
    <cellStyle name="Normal 199 4 2" xfId="24239" xr:uid="{00000000-0005-0000-0000-000011580000}"/>
    <cellStyle name="Normal 199 4 3" xfId="33871" xr:uid="{00000000-0005-0000-0000-000012580000}"/>
    <cellStyle name="Normal 199 5" xfId="9282" xr:uid="{00000000-0005-0000-0000-000013580000}"/>
    <cellStyle name="Normal 199 5 2" xfId="11034" xr:uid="{00000000-0005-0000-0000-000014580000}"/>
    <cellStyle name="Normal 199 5 2 2" xfId="12454" xr:uid="{00000000-0005-0000-0000-000015580000}"/>
    <cellStyle name="Normal 199 5 2 2 2" xfId="24242" xr:uid="{00000000-0005-0000-0000-000016580000}"/>
    <cellStyle name="Normal 199 5 2 3" xfId="24241" xr:uid="{00000000-0005-0000-0000-000017580000}"/>
    <cellStyle name="Normal 199 5 3" xfId="11802" xr:uid="{00000000-0005-0000-0000-000018580000}"/>
    <cellStyle name="Normal 199 5 3 2" xfId="24243" xr:uid="{00000000-0005-0000-0000-000019580000}"/>
    <cellStyle name="Normal 199 5 4" xfId="24240" xr:uid="{00000000-0005-0000-0000-00001A580000}"/>
    <cellStyle name="Normal 199 5 5" xfId="34086" xr:uid="{00000000-0005-0000-0000-00001B580000}"/>
    <cellStyle name="Normal 199 6" xfId="11033" xr:uid="{00000000-0005-0000-0000-00001C580000}"/>
    <cellStyle name="Normal 199 6 2" xfId="12453" xr:uid="{00000000-0005-0000-0000-00001D580000}"/>
    <cellStyle name="Normal 199 6 2 2" xfId="24245" xr:uid="{00000000-0005-0000-0000-00001E580000}"/>
    <cellStyle name="Normal 199 6 3" xfId="24244" xr:uid="{00000000-0005-0000-0000-00001F580000}"/>
    <cellStyle name="Normal 199 7" xfId="11801" xr:uid="{00000000-0005-0000-0000-000020580000}"/>
    <cellStyle name="Normal 199 7 2" xfId="24246" xr:uid="{00000000-0005-0000-0000-000021580000}"/>
    <cellStyle name="Normal 199 8" xfId="13581" xr:uid="{00000000-0005-0000-0000-000022580000}"/>
    <cellStyle name="Normal 199 8 2" xfId="24247" xr:uid="{00000000-0005-0000-0000-000023580000}"/>
    <cellStyle name="Normal 199 9" xfId="14726" xr:uid="{00000000-0005-0000-0000-000024580000}"/>
    <cellStyle name="Normal 199 9 2" xfId="24248" xr:uid="{00000000-0005-0000-0000-000025580000}"/>
    <cellStyle name="Normal 199_Additional Disclosures" xfId="16313" xr:uid="{00000000-0005-0000-0000-000026580000}"/>
    <cellStyle name="Normal 2" xfId="7" xr:uid="{00000000-0005-0000-0000-000027580000}"/>
    <cellStyle name="Normal 2 10" xfId="335" xr:uid="{00000000-0005-0000-0000-000028580000}"/>
    <cellStyle name="Normal 2 10 2" xfId="24250" xr:uid="{00000000-0005-0000-0000-000029580000}"/>
    <cellStyle name="Normal 2 10 2 2" xfId="31680" xr:uid="{00000000-0005-0000-0000-00002A580000}"/>
    <cellStyle name="Normal 2 10 3" xfId="31681" xr:uid="{00000000-0005-0000-0000-00002B580000}"/>
    <cellStyle name="Normal 2 10 4" xfId="31682" xr:uid="{00000000-0005-0000-0000-00002C580000}"/>
    <cellStyle name="Normal 2 10 5" xfId="9283" xr:uid="{00000000-0005-0000-0000-00002D580000}"/>
    <cellStyle name="Normal 2 11" xfId="287" xr:uid="{00000000-0005-0000-0000-00002E580000}"/>
    <cellStyle name="Normal 2 11 2" xfId="24251" xr:uid="{00000000-0005-0000-0000-00002F580000}"/>
    <cellStyle name="Normal 2 11 2 2" xfId="31683" xr:uid="{00000000-0005-0000-0000-000030580000}"/>
    <cellStyle name="Normal 2 11 3" xfId="31684" xr:uid="{00000000-0005-0000-0000-000031580000}"/>
    <cellStyle name="Normal 2 11 4" xfId="31685" xr:uid="{00000000-0005-0000-0000-000032580000}"/>
    <cellStyle name="Normal 2 11 5" xfId="9284" xr:uid="{00000000-0005-0000-0000-000033580000}"/>
    <cellStyle name="Normal 2 12" xfId="333" xr:uid="{00000000-0005-0000-0000-000034580000}"/>
    <cellStyle name="Normal 2 12 2" xfId="24252" xr:uid="{00000000-0005-0000-0000-000035580000}"/>
    <cellStyle name="Normal 2 12 2 2" xfId="31686" xr:uid="{00000000-0005-0000-0000-000036580000}"/>
    <cellStyle name="Normal 2 12 3" xfId="31687" xr:uid="{00000000-0005-0000-0000-000037580000}"/>
    <cellStyle name="Normal 2 12 4" xfId="31688" xr:uid="{00000000-0005-0000-0000-000038580000}"/>
    <cellStyle name="Normal 2 12 5" xfId="9285" xr:uid="{00000000-0005-0000-0000-000039580000}"/>
    <cellStyle name="Normal 2 13" xfId="288" xr:uid="{00000000-0005-0000-0000-00003A580000}"/>
    <cellStyle name="Normal 2 13 2" xfId="24253" xr:uid="{00000000-0005-0000-0000-00003B580000}"/>
    <cellStyle name="Normal 2 13 2 2" xfId="31689" xr:uid="{00000000-0005-0000-0000-00003C580000}"/>
    <cellStyle name="Normal 2 13 3" xfId="31690" xr:uid="{00000000-0005-0000-0000-00003D580000}"/>
    <cellStyle name="Normal 2 13 4" xfId="31691" xr:uid="{00000000-0005-0000-0000-00003E580000}"/>
    <cellStyle name="Normal 2 13 5" xfId="9286" xr:uid="{00000000-0005-0000-0000-00003F580000}"/>
    <cellStyle name="Normal 2 14" xfId="355" xr:uid="{00000000-0005-0000-0000-000040580000}"/>
    <cellStyle name="Normal 2 14 10" xfId="31692" xr:uid="{00000000-0005-0000-0000-000041580000}"/>
    <cellStyle name="Normal 2 14 11" xfId="33176" xr:uid="{00000000-0005-0000-0000-000042580000}"/>
    <cellStyle name="Normal 2 14 12" xfId="9287" xr:uid="{00000000-0005-0000-0000-000043580000}"/>
    <cellStyle name="Normal 2 14 2" xfId="13252" xr:uid="{00000000-0005-0000-0000-000044580000}"/>
    <cellStyle name="Normal 2 14 2 2" xfId="13253" xr:uid="{00000000-0005-0000-0000-000045580000}"/>
    <cellStyle name="Normal 2 14 2 2 2" xfId="13254" xr:uid="{00000000-0005-0000-0000-000046580000}"/>
    <cellStyle name="Normal 2 14 2 2 2 2" xfId="13255" xr:uid="{00000000-0005-0000-0000-000047580000}"/>
    <cellStyle name="Normal 2 14 2 2 2 2 2" xfId="24258" xr:uid="{00000000-0005-0000-0000-000048580000}"/>
    <cellStyle name="Normal 2 14 2 2 2 2 3" xfId="33731" xr:uid="{00000000-0005-0000-0000-000049580000}"/>
    <cellStyle name="Normal 2 14 2 2 2 3" xfId="24257" xr:uid="{00000000-0005-0000-0000-00004A580000}"/>
    <cellStyle name="Normal 2 14 2 2 2 3 2" xfId="33960" xr:uid="{00000000-0005-0000-0000-00004B580000}"/>
    <cellStyle name="Normal 2 14 2 2 2 4" xfId="34174" xr:uid="{00000000-0005-0000-0000-00004C580000}"/>
    <cellStyle name="Normal 2 14 2 2 2 5" xfId="33347" xr:uid="{00000000-0005-0000-0000-00004D580000}"/>
    <cellStyle name="Normal 2 14 2 2 2_loan Analysis " xfId="13256" xr:uid="{00000000-0005-0000-0000-00004E580000}"/>
    <cellStyle name="Normal 2 14 2 2 3" xfId="13257" xr:uid="{00000000-0005-0000-0000-00004F580000}"/>
    <cellStyle name="Normal 2 14 2 2 3 2" xfId="24259" xr:uid="{00000000-0005-0000-0000-000050580000}"/>
    <cellStyle name="Normal 2 14 2 2 3 3" xfId="33633" xr:uid="{00000000-0005-0000-0000-000051580000}"/>
    <cellStyle name="Normal 2 14 2 2 4" xfId="24256" xr:uid="{00000000-0005-0000-0000-000052580000}"/>
    <cellStyle name="Normal 2 14 2 2 4 2" xfId="33862" xr:uid="{00000000-0005-0000-0000-000053580000}"/>
    <cellStyle name="Normal 2 14 2 2 5" xfId="34077" xr:uid="{00000000-0005-0000-0000-000054580000}"/>
    <cellStyle name="Normal 2 14 2 2 6" xfId="33248" xr:uid="{00000000-0005-0000-0000-000055580000}"/>
    <cellStyle name="Normal 2 14 2 2_loan Analysis " xfId="13258" xr:uid="{00000000-0005-0000-0000-000056580000}"/>
    <cellStyle name="Normal 2 14 2 3" xfId="13259" xr:uid="{00000000-0005-0000-0000-000057580000}"/>
    <cellStyle name="Normal 2 14 2 3 2" xfId="13260" xr:uid="{00000000-0005-0000-0000-000058580000}"/>
    <cellStyle name="Normal 2 14 2 3 2 2" xfId="24261" xr:uid="{00000000-0005-0000-0000-000059580000}"/>
    <cellStyle name="Normal 2 14 2 3 2 3" xfId="33727" xr:uid="{00000000-0005-0000-0000-00005A580000}"/>
    <cellStyle name="Normal 2 14 2 3 3" xfId="24260" xr:uid="{00000000-0005-0000-0000-00005B580000}"/>
    <cellStyle name="Normal 2 14 2 3 3 2" xfId="33956" xr:uid="{00000000-0005-0000-0000-00005C580000}"/>
    <cellStyle name="Normal 2 14 2 3 4" xfId="34170" xr:uid="{00000000-0005-0000-0000-00005D580000}"/>
    <cellStyle name="Normal 2 14 2 3 5" xfId="33343" xr:uid="{00000000-0005-0000-0000-00005E580000}"/>
    <cellStyle name="Normal 2 14 2 3_loan Analysis " xfId="13261" xr:uid="{00000000-0005-0000-0000-00005F580000}"/>
    <cellStyle name="Normal 2 14 2 4" xfId="13262" xr:uid="{00000000-0005-0000-0000-000060580000}"/>
    <cellStyle name="Normal 2 14 2 4 2" xfId="24262" xr:uid="{00000000-0005-0000-0000-000061580000}"/>
    <cellStyle name="Normal 2 14 2 4 3" xfId="33625" xr:uid="{00000000-0005-0000-0000-000062580000}"/>
    <cellStyle name="Normal 2 14 2 5" xfId="24255" xr:uid="{00000000-0005-0000-0000-000063580000}"/>
    <cellStyle name="Normal 2 14 2 5 2" xfId="33854" xr:uid="{00000000-0005-0000-0000-000064580000}"/>
    <cellStyle name="Normal 2 14 2 6" xfId="34073" xr:uid="{00000000-0005-0000-0000-000065580000}"/>
    <cellStyle name="Normal 2 14 2 7" xfId="33241" xr:uid="{00000000-0005-0000-0000-000066580000}"/>
    <cellStyle name="Normal 2 14 2_loan Analysis " xfId="13263" xr:uid="{00000000-0005-0000-0000-000067580000}"/>
    <cellStyle name="Normal 2 14 3" xfId="13264" xr:uid="{00000000-0005-0000-0000-000068580000}"/>
    <cellStyle name="Normal 2 14 3 2" xfId="13265" xr:uid="{00000000-0005-0000-0000-000069580000}"/>
    <cellStyle name="Normal 2 14 3 2 2" xfId="24264" xr:uid="{00000000-0005-0000-0000-00006A580000}"/>
    <cellStyle name="Normal 2 14 3 2 3" xfId="33686" xr:uid="{00000000-0005-0000-0000-00006B580000}"/>
    <cellStyle name="Normal 2 14 3 3" xfId="24263" xr:uid="{00000000-0005-0000-0000-00006C580000}"/>
    <cellStyle name="Normal 2 14 3 3 2" xfId="33914" xr:uid="{00000000-0005-0000-0000-00006D580000}"/>
    <cellStyle name="Normal 2 14 3 4" xfId="34129" xr:uid="{00000000-0005-0000-0000-00006E580000}"/>
    <cellStyle name="Normal 2 14 3 5" xfId="33302" xr:uid="{00000000-0005-0000-0000-00006F580000}"/>
    <cellStyle name="Normal 2 14 3_loan Analysis " xfId="13266" xr:uid="{00000000-0005-0000-0000-000070580000}"/>
    <cellStyle name="Normal 2 14 4" xfId="13267" xr:uid="{00000000-0005-0000-0000-000071580000}"/>
    <cellStyle name="Normal 2 14 4 2" xfId="24265" xr:uid="{00000000-0005-0000-0000-000072580000}"/>
    <cellStyle name="Normal 2 14 4 3" xfId="31693" xr:uid="{00000000-0005-0000-0000-000073580000}"/>
    <cellStyle name="Normal 2 14 4 4" xfId="33536" xr:uid="{00000000-0005-0000-0000-000074580000}"/>
    <cellStyle name="Normal 2 14 5" xfId="24254" xr:uid="{00000000-0005-0000-0000-000075580000}"/>
    <cellStyle name="Normal 2 14 5 2" xfId="33495" xr:uid="{00000000-0005-0000-0000-000076580000}"/>
    <cellStyle name="Normal 2 14 6" xfId="28895" xr:uid="{00000000-0005-0000-0000-000077580000}"/>
    <cellStyle name="Normal 2 14 6 2" xfId="33535" xr:uid="{00000000-0005-0000-0000-000078580000}"/>
    <cellStyle name="Normal 2 14 7" xfId="28653" xr:uid="{00000000-0005-0000-0000-000079580000}"/>
    <cellStyle name="Normal 2 14 8" xfId="28902" xr:uid="{00000000-0005-0000-0000-00007A580000}"/>
    <cellStyle name="Normal 2 14 9" xfId="28646" xr:uid="{00000000-0005-0000-0000-00007B580000}"/>
    <cellStyle name="Normal 2 14_loan Analysis " xfId="13268" xr:uid="{00000000-0005-0000-0000-00007C580000}"/>
    <cellStyle name="Normal 2 15" xfId="275" xr:uid="{00000000-0005-0000-0000-00007D580000}"/>
    <cellStyle name="Normal 2 15 10" xfId="31694" xr:uid="{00000000-0005-0000-0000-00007E580000}"/>
    <cellStyle name="Normal 2 15 11" xfId="33177" xr:uid="{00000000-0005-0000-0000-00007F580000}"/>
    <cellStyle name="Normal 2 15 12" xfId="9288" xr:uid="{00000000-0005-0000-0000-000080580000}"/>
    <cellStyle name="Normal 2 15 2" xfId="13269" xr:uid="{00000000-0005-0000-0000-000081580000}"/>
    <cellStyle name="Normal 2 15 2 2" xfId="13270" xr:uid="{00000000-0005-0000-0000-000082580000}"/>
    <cellStyle name="Normal 2 15 2 2 2" xfId="13271" xr:uid="{00000000-0005-0000-0000-000083580000}"/>
    <cellStyle name="Normal 2 15 2 2 2 2" xfId="24269" xr:uid="{00000000-0005-0000-0000-000084580000}"/>
    <cellStyle name="Normal 2 15 2 2 2 3" xfId="33728" xr:uid="{00000000-0005-0000-0000-000085580000}"/>
    <cellStyle name="Normal 2 15 2 2 3" xfId="24268" xr:uid="{00000000-0005-0000-0000-000086580000}"/>
    <cellStyle name="Normal 2 15 2 2 3 2" xfId="33957" xr:uid="{00000000-0005-0000-0000-000087580000}"/>
    <cellStyle name="Normal 2 15 2 2 4" xfId="34171" xr:uid="{00000000-0005-0000-0000-000088580000}"/>
    <cellStyle name="Normal 2 15 2 2 5" xfId="33344" xr:uid="{00000000-0005-0000-0000-000089580000}"/>
    <cellStyle name="Normal 2 15 2 2_loan Analysis " xfId="13272" xr:uid="{00000000-0005-0000-0000-00008A580000}"/>
    <cellStyle name="Normal 2 15 2 3" xfId="13273" xr:uid="{00000000-0005-0000-0000-00008B580000}"/>
    <cellStyle name="Normal 2 15 2 3 2" xfId="24270" xr:uid="{00000000-0005-0000-0000-00008C580000}"/>
    <cellStyle name="Normal 2 15 2 3 3" xfId="33626" xr:uid="{00000000-0005-0000-0000-00008D580000}"/>
    <cellStyle name="Normal 2 15 2 4" xfId="24267" xr:uid="{00000000-0005-0000-0000-00008E580000}"/>
    <cellStyle name="Normal 2 15 2 4 2" xfId="33855" xr:uid="{00000000-0005-0000-0000-00008F580000}"/>
    <cellStyle name="Normal 2 15 2 5" xfId="34074" xr:uid="{00000000-0005-0000-0000-000090580000}"/>
    <cellStyle name="Normal 2 15 2 6" xfId="33242" xr:uid="{00000000-0005-0000-0000-000091580000}"/>
    <cellStyle name="Normal 2 15 2_loan Analysis " xfId="13274" xr:uid="{00000000-0005-0000-0000-000092580000}"/>
    <cellStyle name="Normal 2 15 3" xfId="13275" xr:uid="{00000000-0005-0000-0000-000093580000}"/>
    <cellStyle name="Normal 2 15 3 2" xfId="13276" xr:uid="{00000000-0005-0000-0000-000094580000}"/>
    <cellStyle name="Normal 2 15 3 2 2" xfId="24272" xr:uid="{00000000-0005-0000-0000-000095580000}"/>
    <cellStyle name="Normal 2 15 3 2 3" xfId="33687" xr:uid="{00000000-0005-0000-0000-000096580000}"/>
    <cellStyle name="Normal 2 15 3 3" xfId="24271" xr:uid="{00000000-0005-0000-0000-000097580000}"/>
    <cellStyle name="Normal 2 15 3 3 2" xfId="33915" xr:uid="{00000000-0005-0000-0000-000098580000}"/>
    <cellStyle name="Normal 2 15 3 4" xfId="34130" xr:uid="{00000000-0005-0000-0000-000099580000}"/>
    <cellStyle name="Normal 2 15 3 5" xfId="33303" xr:uid="{00000000-0005-0000-0000-00009A580000}"/>
    <cellStyle name="Normal 2 15 3_loan Analysis " xfId="13277" xr:uid="{00000000-0005-0000-0000-00009B580000}"/>
    <cellStyle name="Normal 2 15 4" xfId="13278" xr:uid="{00000000-0005-0000-0000-00009C580000}"/>
    <cellStyle name="Normal 2 15 4 2" xfId="24273" xr:uid="{00000000-0005-0000-0000-00009D580000}"/>
    <cellStyle name="Normal 2 15 4 3" xfId="31695" xr:uid="{00000000-0005-0000-0000-00009E580000}"/>
    <cellStyle name="Normal 2 15 4 4" xfId="33537" xr:uid="{00000000-0005-0000-0000-00009F580000}"/>
    <cellStyle name="Normal 2 15 5" xfId="24266" xr:uid="{00000000-0005-0000-0000-0000A0580000}"/>
    <cellStyle name="Normal 2 15 5 2" xfId="33494" xr:uid="{00000000-0005-0000-0000-0000A1580000}"/>
    <cellStyle name="Normal 2 15 6" xfId="28896" xr:uid="{00000000-0005-0000-0000-0000A2580000}"/>
    <cellStyle name="Normal 2 15 6 2" xfId="33538" xr:uid="{00000000-0005-0000-0000-0000A3580000}"/>
    <cellStyle name="Normal 2 15 7" xfId="28652" xr:uid="{00000000-0005-0000-0000-0000A4580000}"/>
    <cellStyle name="Normal 2 15 8" xfId="28903" xr:uid="{00000000-0005-0000-0000-0000A5580000}"/>
    <cellStyle name="Normal 2 15 9" xfId="28645" xr:uid="{00000000-0005-0000-0000-0000A6580000}"/>
    <cellStyle name="Normal 2 15_loan Analysis " xfId="13279" xr:uid="{00000000-0005-0000-0000-0000A7580000}"/>
    <cellStyle name="Normal 2 16" xfId="249" xr:uid="{00000000-0005-0000-0000-0000A8580000}"/>
    <cellStyle name="Normal 2 16 10" xfId="33240" xr:uid="{00000000-0005-0000-0000-0000A9580000}"/>
    <cellStyle name="Normal 2 16 11" xfId="9289" xr:uid="{00000000-0005-0000-0000-0000AA580000}"/>
    <cellStyle name="Normal 2 16 2" xfId="13280" xr:uid="{00000000-0005-0000-0000-0000AB580000}"/>
    <cellStyle name="Normal 2 16 2 2" xfId="13281" xr:uid="{00000000-0005-0000-0000-0000AC580000}"/>
    <cellStyle name="Normal 2 16 2 2 2" xfId="24276" xr:uid="{00000000-0005-0000-0000-0000AD580000}"/>
    <cellStyle name="Normal 2 16 2 2 3" xfId="33726" xr:uid="{00000000-0005-0000-0000-0000AE580000}"/>
    <cellStyle name="Normal 2 16 2 3" xfId="24275" xr:uid="{00000000-0005-0000-0000-0000AF580000}"/>
    <cellStyle name="Normal 2 16 2 3 2" xfId="33955" xr:uid="{00000000-0005-0000-0000-0000B0580000}"/>
    <cellStyle name="Normal 2 16 2 4" xfId="34169" xr:uid="{00000000-0005-0000-0000-0000B1580000}"/>
    <cellStyle name="Normal 2 16 2 5" xfId="33342" xr:uid="{00000000-0005-0000-0000-0000B2580000}"/>
    <cellStyle name="Normal 2 16 2_loan Analysis " xfId="13282" xr:uid="{00000000-0005-0000-0000-0000B3580000}"/>
    <cellStyle name="Normal 2 16 3" xfId="13283" xr:uid="{00000000-0005-0000-0000-0000B4580000}"/>
    <cellStyle name="Normal 2 16 3 2" xfId="24277" xr:uid="{00000000-0005-0000-0000-0000B5580000}"/>
    <cellStyle name="Normal 2 16 3 3" xfId="31696" xr:uid="{00000000-0005-0000-0000-0000B6580000}"/>
    <cellStyle name="Normal 2 16 3 4" xfId="33624" xr:uid="{00000000-0005-0000-0000-0000B7580000}"/>
    <cellStyle name="Normal 2 16 4" xfId="24274" xr:uid="{00000000-0005-0000-0000-0000B8580000}"/>
    <cellStyle name="Normal 2 16 4 2" xfId="33853" xr:uid="{00000000-0005-0000-0000-0000B9580000}"/>
    <cellStyle name="Normal 2 16 5" xfId="28897" xr:uid="{00000000-0005-0000-0000-0000BA580000}"/>
    <cellStyle name="Normal 2 16 5 2" xfId="34072" xr:uid="{00000000-0005-0000-0000-0000BB580000}"/>
    <cellStyle name="Normal 2 16 6" xfId="28650" xr:uid="{00000000-0005-0000-0000-0000BC580000}"/>
    <cellStyle name="Normal 2 16 7" xfId="28905" xr:uid="{00000000-0005-0000-0000-0000BD580000}"/>
    <cellStyle name="Normal 2 16 8" xfId="28643" xr:uid="{00000000-0005-0000-0000-0000BE580000}"/>
    <cellStyle name="Normal 2 16 9" xfId="31697" xr:uid="{00000000-0005-0000-0000-0000BF580000}"/>
    <cellStyle name="Normal 2 16_loan Analysis " xfId="13284" xr:uid="{00000000-0005-0000-0000-0000C0580000}"/>
    <cellStyle name="Normal 2 17" xfId="283" xr:uid="{00000000-0005-0000-0000-0000C1580000}"/>
    <cellStyle name="Normal 2 17 10" xfId="33247" xr:uid="{00000000-0005-0000-0000-0000C2580000}"/>
    <cellStyle name="Normal 2 17 11" xfId="9290" xr:uid="{00000000-0005-0000-0000-0000C3580000}"/>
    <cellStyle name="Normal 2 17 2" xfId="13285" xr:uid="{00000000-0005-0000-0000-0000C4580000}"/>
    <cellStyle name="Normal 2 17 2 2" xfId="13286" xr:uid="{00000000-0005-0000-0000-0000C5580000}"/>
    <cellStyle name="Normal 2 17 2 2 2" xfId="24280" xr:uid="{00000000-0005-0000-0000-0000C6580000}"/>
    <cellStyle name="Normal 2 17 2 2 3" xfId="33730" xr:uid="{00000000-0005-0000-0000-0000C7580000}"/>
    <cellStyle name="Normal 2 17 2 3" xfId="24279" xr:uid="{00000000-0005-0000-0000-0000C8580000}"/>
    <cellStyle name="Normal 2 17 2 3 2" xfId="33959" xr:uid="{00000000-0005-0000-0000-0000C9580000}"/>
    <cellStyle name="Normal 2 17 2 4" xfId="34173" xr:uid="{00000000-0005-0000-0000-0000CA580000}"/>
    <cellStyle name="Normal 2 17 2 5" xfId="33346" xr:uid="{00000000-0005-0000-0000-0000CB580000}"/>
    <cellStyle name="Normal 2 17 2_loan Analysis " xfId="13287" xr:uid="{00000000-0005-0000-0000-0000CC580000}"/>
    <cellStyle name="Normal 2 17 3" xfId="13288" xr:uid="{00000000-0005-0000-0000-0000CD580000}"/>
    <cellStyle name="Normal 2 17 3 2" xfId="24281" xr:uid="{00000000-0005-0000-0000-0000CE580000}"/>
    <cellStyle name="Normal 2 17 3 3" xfId="31698" xr:uid="{00000000-0005-0000-0000-0000CF580000}"/>
    <cellStyle name="Normal 2 17 3 4" xfId="33632" xr:uid="{00000000-0005-0000-0000-0000D0580000}"/>
    <cellStyle name="Normal 2 17 4" xfId="24278" xr:uid="{00000000-0005-0000-0000-0000D1580000}"/>
    <cellStyle name="Normal 2 17 4 2" xfId="33861" xr:uid="{00000000-0005-0000-0000-0000D2580000}"/>
    <cellStyle name="Normal 2 17 5" xfId="28899" xr:uid="{00000000-0005-0000-0000-0000D3580000}"/>
    <cellStyle name="Normal 2 17 5 2" xfId="34076" xr:uid="{00000000-0005-0000-0000-0000D4580000}"/>
    <cellStyle name="Normal 2 17 6" xfId="28649" xr:uid="{00000000-0005-0000-0000-0000D5580000}"/>
    <cellStyle name="Normal 2 17 7" xfId="28906" xr:uid="{00000000-0005-0000-0000-0000D6580000}"/>
    <cellStyle name="Normal 2 17 8" xfId="28642" xr:uid="{00000000-0005-0000-0000-0000D7580000}"/>
    <cellStyle name="Normal 2 17 9" xfId="31699" xr:uid="{00000000-0005-0000-0000-0000D8580000}"/>
    <cellStyle name="Normal 2 17_loan Analysis " xfId="13289" xr:uid="{00000000-0005-0000-0000-0000D9580000}"/>
    <cellStyle name="Normal 2 18" xfId="350" xr:uid="{00000000-0005-0000-0000-0000DA580000}"/>
    <cellStyle name="Normal 2 18 2" xfId="13290" xr:uid="{00000000-0005-0000-0000-0000DB580000}"/>
    <cellStyle name="Normal 2 18 2 2" xfId="24283" xr:uid="{00000000-0005-0000-0000-0000DC580000}"/>
    <cellStyle name="Normal 2 18 2 3" xfId="33685" xr:uid="{00000000-0005-0000-0000-0000DD580000}"/>
    <cellStyle name="Normal 2 18 3" xfId="24282" xr:uid="{00000000-0005-0000-0000-0000DE580000}"/>
    <cellStyle name="Normal 2 18 3 2" xfId="33913" xr:uid="{00000000-0005-0000-0000-0000DF580000}"/>
    <cellStyle name="Normal 2 18 4" xfId="31700" xr:uid="{00000000-0005-0000-0000-0000E0580000}"/>
    <cellStyle name="Normal 2 18 4 2" xfId="34128" xr:uid="{00000000-0005-0000-0000-0000E1580000}"/>
    <cellStyle name="Normal 2 18 5" xfId="33301" xr:uid="{00000000-0005-0000-0000-0000E2580000}"/>
    <cellStyle name="Normal 2 18 6" xfId="9291" xr:uid="{00000000-0005-0000-0000-0000E3580000}"/>
    <cellStyle name="Normal 2 18_loan Analysis " xfId="13291" xr:uid="{00000000-0005-0000-0000-0000E4580000}"/>
    <cellStyle name="Normal 2 19" xfId="290" xr:uid="{00000000-0005-0000-0000-0000E5580000}"/>
    <cellStyle name="Normal 2 19 2" xfId="13292" xr:uid="{00000000-0005-0000-0000-0000E6580000}"/>
    <cellStyle name="Normal 2 19 2 2" xfId="24285" xr:uid="{00000000-0005-0000-0000-0000E7580000}"/>
    <cellStyle name="Normal 2 19 3" xfId="24284" xr:uid="{00000000-0005-0000-0000-0000E8580000}"/>
    <cellStyle name="Normal 2 19 4" xfId="31701" xr:uid="{00000000-0005-0000-0000-0000E9580000}"/>
    <cellStyle name="Normal 2 19 5" xfId="33534" xr:uid="{00000000-0005-0000-0000-0000EA580000}"/>
    <cellStyle name="Normal 2 19 6" xfId="9292" xr:uid="{00000000-0005-0000-0000-0000EB580000}"/>
    <cellStyle name="Normal 2 19_loan Analysis " xfId="13293" xr:uid="{00000000-0005-0000-0000-0000EC580000}"/>
    <cellStyle name="Normal 2 2" xfId="169" xr:uid="{00000000-0005-0000-0000-0000ED580000}"/>
    <cellStyle name="Normal 2 2 10" xfId="13294" xr:uid="{00000000-0005-0000-0000-0000EE580000}"/>
    <cellStyle name="Normal 2 2 10 2" xfId="24287" xr:uid="{00000000-0005-0000-0000-0000EF580000}"/>
    <cellStyle name="Normal 2 2 10 3" xfId="31702" xr:uid="{00000000-0005-0000-0000-0000F0580000}"/>
    <cellStyle name="Normal 2 2 11" xfId="13295" xr:uid="{00000000-0005-0000-0000-0000F1580000}"/>
    <cellStyle name="Normal 2 2 11 2" xfId="24288" xr:uid="{00000000-0005-0000-0000-0000F2580000}"/>
    <cellStyle name="Normal 2 2 12" xfId="24286" xr:uid="{00000000-0005-0000-0000-0000F3580000}"/>
    <cellStyle name="Normal 2 2 13" xfId="31703" xr:uid="{00000000-0005-0000-0000-0000F4580000}"/>
    <cellStyle name="Normal 2 2 14" xfId="31704" xr:uid="{00000000-0005-0000-0000-0000F5580000}"/>
    <cellStyle name="Normal 2 2 15" xfId="31705" xr:uid="{00000000-0005-0000-0000-0000F6580000}"/>
    <cellStyle name="Normal 2 2 16" xfId="31706" xr:uid="{00000000-0005-0000-0000-0000F7580000}"/>
    <cellStyle name="Normal 2 2 17" xfId="31707" xr:uid="{00000000-0005-0000-0000-0000F8580000}"/>
    <cellStyle name="Normal 2 2 2" xfId="367" xr:uid="{00000000-0005-0000-0000-0000F9580000}"/>
    <cellStyle name="Normal 2 2 2 10" xfId="13296" xr:uid="{00000000-0005-0000-0000-0000FA580000}"/>
    <cellStyle name="Normal 2 2 2 10 2" xfId="24290" xr:uid="{00000000-0005-0000-0000-0000FB580000}"/>
    <cellStyle name="Normal 2 2 2 10 3" xfId="31708" xr:uid="{00000000-0005-0000-0000-0000FC580000}"/>
    <cellStyle name="Normal 2 2 2 10 4" xfId="31709" xr:uid="{00000000-0005-0000-0000-0000FD580000}"/>
    <cellStyle name="Normal 2 2 2 10 5" xfId="31710" xr:uid="{00000000-0005-0000-0000-0000FE580000}"/>
    <cellStyle name="Normal 2 2 2 11" xfId="13297" xr:uid="{00000000-0005-0000-0000-0000FF580000}"/>
    <cellStyle name="Normal 2 2 2 11 2" xfId="24291" xr:uid="{00000000-0005-0000-0000-000000590000}"/>
    <cellStyle name="Normal 2 2 2 11 3" xfId="31711" xr:uid="{00000000-0005-0000-0000-000001590000}"/>
    <cellStyle name="Normal 2 2 2 12" xfId="13407" xr:uid="{00000000-0005-0000-0000-000002590000}"/>
    <cellStyle name="Normal 2 2 2 12 2" xfId="24292" xr:uid="{00000000-0005-0000-0000-000003590000}"/>
    <cellStyle name="Normal 2 2 2 13" xfId="14551" xr:uid="{00000000-0005-0000-0000-000004590000}"/>
    <cellStyle name="Normal 2 2 2 13 2" xfId="24293" xr:uid="{00000000-0005-0000-0000-000005590000}"/>
    <cellStyle name="Normal 2 2 2 14" xfId="24289" xr:uid="{00000000-0005-0000-0000-000006590000}"/>
    <cellStyle name="Normal 2 2 2 15" xfId="31712" xr:uid="{00000000-0005-0000-0000-000007590000}"/>
    <cellStyle name="Normal 2 2 2 16" xfId="31713" xr:uid="{00000000-0005-0000-0000-000008590000}"/>
    <cellStyle name="Normal 2 2 2 17" xfId="31714" xr:uid="{00000000-0005-0000-0000-000009590000}"/>
    <cellStyle name="Normal 2 2 2 18" xfId="31715" xr:uid="{00000000-0005-0000-0000-00000A590000}"/>
    <cellStyle name="Normal 2 2 2 19" xfId="31716" xr:uid="{00000000-0005-0000-0000-00000B590000}"/>
    <cellStyle name="Normal 2 2 2 2" xfId="9293" xr:uid="{00000000-0005-0000-0000-00000C590000}"/>
    <cellStyle name="Normal 2 2 2 2 10" xfId="28641" xr:uid="{00000000-0005-0000-0000-00000D590000}"/>
    <cellStyle name="Normal 2 2 2 2 11" xfId="31717" xr:uid="{00000000-0005-0000-0000-00000E590000}"/>
    <cellStyle name="Normal 2 2 2 2 2" xfId="9294" xr:uid="{00000000-0005-0000-0000-00000F590000}"/>
    <cellStyle name="Normal 2 2 2 2 2 10" xfId="31718" xr:uid="{00000000-0005-0000-0000-000010590000}"/>
    <cellStyle name="Normal 2 2 2 2 2 11" xfId="31719" xr:uid="{00000000-0005-0000-0000-000011590000}"/>
    <cellStyle name="Normal 2 2 2 2 2 2" xfId="12173" xr:uid="{00000000-0005-0000-0000-000012590000}"/>
    <cellStyle name="Normal 2 2 2 2 2 2 2" xfId="14173" xr:uid="{00000000-0005-0000-0000-000013590000}"/>
    <cellStyle name="Normal 2 2 2 2 2 2 2 2" xfId="24297" xr:uid="{00000000-0005-0000-0000-000014590000}"/>
    <cellStyle name="Normal 2 2 2 2 2 2 2 2 2" xfId="31720" xr:uid="{00000000-0005-0000-0000-000015590000}"/>
    <cellStyle name="Normal 2 2 2 2 2 2 2 2 3" xfId="31721" xr:uid="{00000000-0005-0000-0000-000016590000}"/>
    <cellStyle name="Normal 2 2 2 2 2 2 2 3" xfId="31722" xr:uid="{00000000-0005-0000-0000-000017590000}"/>
    <cellStyle name="Normal 2 2 2 2 2 2 2 3 2" xfId="31723" xr:uid="{00000000-0005-0000-0000-000018590000}"/>
    <cellStyle name="Normal 2 2 2 2 2 2 2 4" xfId="31724" xr:uid="{00000000-0005-0000-0000-000019590000}"/>
    <cellStyle name="Normal 2 2 2 2 2 2 3" xfId="15317" xr:uid="{00000000-0005-0000-0000-00001A590000}"/>
    <cellStyle name="Normal 2 2 2 2 2 2 3 2" xfId="24298" xr:uid="{00000000-0005-0000-0000-00001B590000}"/>
    <cellStyle name="Normal 2 2 2 2 2 2 3 3" xfId="31725" xr:uid="{00000000-0005-0000-0000-00001C590000}"/>
    <cellStyle name="Normal 2 2 2 2 2 2 4" xfId="24296" xr:uid="{00000000-0005-0000-0000-00001D590000}"/>
    <cellStyle name="Normal 2 2 2 2 2 2 4 2" xfId="31726" xr:uid="{00000000-0005-0000-0000-00001E590000}"/>
    <cellStyle name="Normal 2 2 2 2 2 2 5" xfId="31727" xr:uid="{00000000-0005-0000-0000-00001F590000}"/>
    <cellStyle name="Normal 2 2 2 2 2 2 6" xfId="31728" xr:uid="{00000000-0005-0000-0000-000020590000}"/>
    <cellStyle name="Normal 2 2 2 2 2 2_Additional Disclosures" xfId="16321" xr:uid="{00000000-0005-0000-0000-000021590000}"/>
    <cellStyle name="Normal 2 2 2 2 2 3" xfId="13662" xr:uid="{00000000-0005-0000-0000-000022590000}"/>
    <cellStyle name="Normal 2 2 2 2 2 3 2" xfId="24299" xr:uid="{00000000-0005-0000-0000-000023590000}"/>
    <cellStyle name="Normal 2 2 2 2 2 3 2 2" xfId="31729" xr:uid="{00000000-0005-0000-0000-000024590000}"/>
    <cellStyle name="Normal 2 2 2 2 2 3 3" xfId="31730" xr:uid="{00000000-0005-0000-0000-000025590000}"/>
    <cellStyle name="Normal 2 2 2 2 2 3 4" xfId="31731" xr:uid="{00000000-0005-0000-0000-000026590000}"/>
    <cellStyle name="Normal 2 2 2 2 2 4" xfId="14807" xr:uid="{00000000-0005-0000-0000-000027590000}"/>
    <cellStyle name="Normal 2 2 2 2 2 4 2" xfId="24300" xr:uid="{00000000-0005-0000-0000-000028590000}"/>
    <cellStyle name="Normal 2 2 2 2 2 4 3" xfId="31732" xr:uid="{00000000-0005-0000-0000-000029590000}"/>
    <cellStyle name="Normal 2 2 2 2 2 5" xfId="24295" xr:uid="{00000000-0005-0000-0000-00002A590000}"/>
    <cellStyle name="Normal 2 2 2 2 2 5 2" xfId="31733" xr:uid="{00000000-0005-0000-0000-00002B590000}"/>
    <cellStyle name="Normal 2 2 2 2 2 6" xfId="28901" xr:uid="{00000000-0005-0000-0000-00002C590000}"/>
    <cellStyle name="Normal 2 2 2 2 2 7" xfId="28647" xr:uid="{00000000-0005-0000-0000-00002D590000}"/>
    <cellStyle name="Normal 2 2 2 2 2 8" xfId="28908" xr:uid="{00000000-0005-0000-0000-00002E590000}"/>
    <cellStyle name="Normal 2 2 2 2 2 9" xfId="28640" xr:uid="{00000000-0005-0000-0000-00002F590000}"/>
    <cellStyle name="Normal 2 2 2 2 2_Additional Disclosures" xfId="16320" xr:uid="{00000000-0005-0000-0000-000030590000}"/>
    <cellStyle name="Normal 2 2 2 2 3" xfId="466" xr:uid="{00000000-0005-0000-0000-000031590000}"/>
    <cellStyle name="Normal 2 2 2 2 3 2" xfId="13918" xr:uid="{00000000-0005-0000-0000-000032590000}"/>
    <cellStyle name="Normal 2 2 2 2 3 2 2" xfId="469" xr:uid="{00000000-0005-0000-0000-000033590000}"/>
    <cellStyle name="Normal 2 2 2 2 3 2 2 2" xfId="24302" xr:uid="{00000000-0005-0000-0000-000034590000}"/>
    <cellStyle name="Normal 2 2 2 2 3 2 3" xfId="31734" xr:uid="{00000000-0005-0000-0000-000035590000}"/>
    <cellStyle name="Normal 2 2 2 2 3 3" xfId="15063" xr:uid="{00000000-0005-0000-0000-000036590000}"/>
    <cellStyle name="Normal 2 2 2 2 3 3 2" xfId="24303" xr:uid="{00000000-0005-0000-0000-000037590000}"/>
    <cellStyle name="Normal 2 2 2 2 3 4" xfId="24301" xr:uid="{00000000-0005-0000-0000-000038590000}"/>
    <cellStyle name="Normal 2 2 2 2 3 5" xfId="31735" xr:uid="{00000000-0005-0000-0000-000039590000}"/>
    <cellStyle name="Normal 2 2 2 2 3_Additional Disclosures" xfId="16322" xr:uid="{00000000-0005-0000-0000-00003A590000}"/>
    <cellStyle name="Normal 2 2 2 2 4" xfId="13435" xr:uid="{00000000-0005-0000-0000-00003B590000}"/>
    <cellStyle name="Normal 2 2 2 2 4 2" xfId="24304" xr:uid="{00000000-0005-0000-0000-00003C590000}"/>
    <cellStyle name="Normal 2 2 2 2 4 2 2" xfId="31736" xr:uid="{00000000-0005-0000-0000-00003D590000}"/>
    <cellStyle name="Normal 2 2 2 2 4 3" xfId="31737" xr:uid="{00000000-0005-0000-0000-00003E590000}"/>
    <cellStyle name="Normal 2 2 2 2 4 4" xfId="31738" xr:uid="{00000000-0005-0000-0000-00003F590000}"/>
    <cellStyle name="Normal 2 2 2 2 5" xfId="14579" xr:uid="{00000000-0005-0000-0000-000040590000}"/>
    <cellStyle name="Normal 2 2 2 2 5 2" xfId="24305" xr:uid="{00000000-0005-0000-0000-000041590000}"/>
    <cellStyle name="Normal 2 2 2 2 5 3" xfId="31739" xr:uid="{00000000-0005-0000-0000-000042590000}"/>
    <cellStyle name="Normal 2 2 2 2 5 4" xfId="31740" xr:uid="{00000000-0005-0000-0000-000043590000}"/>
    <cellStyle name="Normal 2 2 2 2 6" xfId="24294" xr:uid="{00000000-0005-0000-0000-000044590000}"/>
    <cellStyle name="Normal 2 2 2 2 6 2" xfId="31741" xr:uid="{00000000-0005-0000-0000-000045590000}"/>
    <cellStyle name="Normal 2 2 2 2 7" xfId="28900" xr:uid="{00000000-0005-0000-0000-000046590000}"/>
    <cellStyle name="Normal 2 2 2 2 8" xfId="28648" xr:uid="{00000000-0005-0000-0000-000047590000}"/>
    <cellStyle name="Normal 2 2 2 2 9" xfId="28907" xr:uid="{00000000-0005-0000-0000-000048590000}"/>
    <cellStyle name="Normal 2 2 2 2_Additional Disclosures" xfId="16319" xr:uid="{00000000-0005-0000-0000-000049590000}"/>
    <cellStyle name="Normal 2 2 2 20" xfId="553" xr:uid="{00000000-0005-0000-0000-00004A590000}"/>
    <cellStyle name="Normal 2 2 2 3" xfId="9295" xr:uid="{00000000-0005-0000-0000-00004B590000}"/>
    <cellStyle name="Normal 2 2 2 3 2" xfId="24306" xr:uid="{00000000-0005-0000-0000-00004C590000}"/>
    <cellStyle name="Normal 2 2 2 3 2 2" xfId="31742" xr:uid="{00000000-0005-0000-0000-00004D590000}"/>
    <cellStyle name="Normal 2 2 2 3 3" xfId="31743" xr:uid="{00000000-0005-0000-0000-00004E590000}"/>
    <cellStyle name="Normal 2 2 2 3 4" xfId="31744" xr:uid="{00000000-0005-0000-0000-00004F590000}"/>
    <cellStyle name="Normal 2 2 2 4" xfId="9296" xr:uid="{00000000-0005-0000-0000-000050590000}"/>
    <cellStyle name="Normal 2 2 2 4 2" xfId="24307" xr:uid="{00000000-0005-0000-0000-000051590000}"/>
    <cellStyle name="Normal 2 2 2 4 3" xfId="31745" xr:uid="{00000000-0005-0000-0000-000052590000}"/>
    <cellStyle name="Normal 2 2 2 4 4" xfId="31746" xr:uid="{00000000-0005-0000-0000-000053590000}"/>
    <cellStyle name="Normal 2 2 2 5" xfId="9297" xr:uid="{00000000-0005-0000-0000-000054590000}"/>
    <cellStyle name="Normal 2 2 2 5 2" xfId="24308" xr:uid="{00000000-0005-0000-0000-000055590000}"/>
    <cellStyle name="Normal 2 2 2 5 2 2" xfId="31747" xr:uid="{00000000-0005-0000-0000-000056590000}"/>
    <cellStyle name="Normal 2 2 2 5 3" xfId="31748" xr:uid="{00000000-0005-0000-0000-000057590000}"/>
    <cellStyle name="Normal 2 2 2 5 4" xfId="31749" xr:uid="{00000000-0005-0000-0000-000058590000}"/>
    <cellStyle name="Normal 2 2 2 6" xfId="9298" xr:uid="{00000000-0005-0000-0000-000059590000}"/>
    <cellStyle name="Normal 2 2 2 6 2" xfId="24309" xr:uid="{00000000-0005-0000-0000-00005A590000}"/>
    <cellStyle name="Normal 2 2 2 6 3" xfId="31750" xr:uid="{00000000-0005-0000-0000-00005B590000}"/>
    <cellStyle name="Normal 2 2 2 6 4" xfId="31751" xr:uid="{00000000-0005-0000-0000-00005C590000}"/>
    <cellStyle name="Normal 2 2 2 7" xfId="9299" xr:uid="{00000000-0005-0000-0000-00005D590000}"/>
    <cellStyle name="Normal 2 2 2 7 2" xfId="11035" xr:uid="{00000000-0005-0000-0000-00005E590000}"/>
    <cellStyle name="Normal 2 2 2 7 2 2" xfId="12455" xr:uid="{00000000-0005-0000-0000-00005F590000}"/>
    <cellStyle name="Normal 2 2 2 7 2 2 2" xfId="24312" xr:uid="{00000000-0005-0000-0000-000060590000}"/>
    <cellStyle name="Normal 2 2 2 7 2 3" xfId="24311" xr:uid="{00000000-0005-0000-0000-000061590000}"/>
    <cellStyle name="Normal 2 2 2 7 3" xfId="11803" xr:uid="{00000000-0005-0000-0000-000062590000}"/>
    <cellStyle name="Normal 2 2 2 7 3 2" xfId="24313" xr:uid="{00000000-0005-0000-0000-000063590000}"/>
    <cellStyle name="Normal 2 2 2 7 4" xfId="24310" xr:uid="{00000000-0005-0000-0000-000064590000}"/>
    <cellStyle name="Normal 2 2 2 7 5" xfId="31752" xr:uid="{00000000-0005-0000-0000-000065590000}"/>
    <cellStyle name="Normal 2 2 2 7 6" xfId="31753" xr:uid="{00000000-0005-0000-0000-000066590000}"/>
    <cellStyle name="Normal 2 2 2 8" xfId="9300" xr:uid="{00000000-0005-0000-0000-000067590000}"/>
    <cellStyle name="Normal 2 2 2 8 2" xfId="11036" xr:uid="{00000000-0005-0000-0000-000068590000}"/>
    <cellStyle name="Normal 2 2 2 8 2 2" xfId="12456" xr:uid="{00000000-0005-0000-0000-000069590000}"/>
    <cellStyle name="Normal 2 2 2 8 2 2 2" xfId="24316" xr:uid="{00000000-0005-0000-0000-00006A590000}"/>
    <cellStyle name="Normal 2 2 2 8 2 3" xfId="24315" xr:uid="{00000000-0005-0000-0000-00006B590000}"/>
    <cellStyle name="Normal 2 2 2 8 3" xfId="11804" xr:uid="{00000000-0005-0000-0000-00006C590000}"/>
    <cellStyle name="Normal 2 2 2 8 3 2" xfId="24317" xr:uid="{00000000-0005-0000-0000-00006D590000}"/>
    <cellStyle name="Normal 2 2 2 8 4" xfId="24314" xr:uid="{00000000-0005-0000-0000-00006E590000}"/>
    <cellStyle name="Normal 2 2 2 8 5" xfId="31754" xr:uid="{00000000-0005-0000-0000-00006F590000}"/>
    <cellStyle name="Normal 2 2 2 8 6" xfId="31755" xr:uid="{00000000-0005-0000-0000-000070590000}"/>
    <cellStyle name="Normal 2 2 2 9" xfId="13298" xr:uid="{00000000-0005-0000-0000-000071590000}"/>
    <cellStyle name="Normal 2 2 2 9 2" xfId="24318" xr:uid="{00000000-0005-0000-0000-000072590000}"/>
    <cellStyle name="Normal 2 2 2_Additional Disclosures" xfId="16318" xr:uid="{00000000-0005-0000-0000-000073590000}"/>
    <cellStyle name="Normal 2 2 3" xfId="9301" xr:uid="{00000000-0005-0000-0000-000074590000}"/>
    <cellStyle name="Normal 2 2 3 10" xfId="31756" xr:uid="{00000000-0005-0000-0000-000075590000}"/>
    <cellStyle name="Normal 2 2 3 11" xfId="31757" xr:uid="{00000000-0005-0000-0000-000076590000}"/>
    <cellStyle name="Normal 2 2 3 12" xfId="31758" xr:uid="{00000000-0005-0000-0000-000077590000}"/>
    <cellStyle name="Normal 2 2 3 13" xfId="31759" xr:uid="{00000000-0005-0000-0000-000078590000}"/>
    <cellStyle name="Normal 2 2 3 14" xfId="31760" xr:uid="{00000000-0005-0000-0000-000079590000}"/>
    <cellStyle name="Normal 2 2 3 2" xfId="12172" xr:uid="{00000000-0005-0000-0000-00007A590000}"/>
    <cellStyle name="Normal 2 2 3 2 2" xfId="14133" xr:uid="{00000000-0005-0000-0000-00007B590000}"/>
    <cellStyle name="Normal 2 2 3 2 2 2" xfId="24321" xr:uid="{00000000-0005-0000-0000-00007C590000}"/>
    <cellStyle name="Normal 2 2 3 2 3" xfId="15277" xr:uid="{00000000-0005-0000-0000-00007D590000}"/>
    <cellStyle name="Normal 2 2 3 2 3 2" xfId="24322" xr:uid="{00000000-0005-0000-0000-00007E590000}"/>
    <cellStyle name="Normal 2 2 3 2 4" xfId="24320" xr:uid="{00000000-0005-0000-0000-00007F590000}"/>
    <cellStyle name="Normal 2 2 3 2 5" xfId="31761" xr:uid="{00000000-0005-0000-0000-000080590000}"/>
    <cellStyle name="Normal 2 2 3 2_Additional Disclosures" xfId="16324" xr:uid="{00000000-0005-0000-0000-000081590000}"/>
    <cellStyle name="Normal 2 2 3 3" xfId="13622" xr:uid="{00000000-0005-0000-0000-000082590000}"/>
    <cellStyle name="Normal 2 2 3 3 2" xfId="24323" xr:uid="{00000000-0005-0000-0000-000083590000}"/>
    <cellStyle name="Normal 2 2 3 4" xfId="14767" xr:uid="{00000000-0005-0000-0000-000084590000}"/>
    <cellStyle name="Normal 2 2 3 4 2" xfId="24324" xr:uid="{00000000-0005-0000-0000-000085590000}"/>
    <cellStyle name="Normal 2 2 3 5" xfId="24319" xr:uid="{00000000-0005-0000-0000-000086590000}"/>
    <cellStyle name="Normal 2 2 3 6" xfId="28904" xr:uid="{00000000-0005-0000-0000-000087590000}"/>
    <cellStyle name="Normal 2 2 3 7" xfId="28644" xr:uid="{00000000-0005-0000-0000-000088590000}"/>
    <cellStyle name="Normal 2 2 3 8" xfId="28909" xr:uid="{00000000-0005-0000-0000-000089590000}"/>
    <cellStyle name="Normal 2 2 3 9" xfId="28639" xr:uid="{00000000-0005-0000-0000-00008A590000}"/>
    <cellStyle name="Normal 2 2 3_Additional Disclosures" xfId="16323" xr:uid="{00000000-0005-0000-0000-00008B590000}"/>
    <cellStyle name="Normal 2 2 4" xfId="9302" xr:uid="{00000000-0005-0000-0000-00008C590000}"/>
    <cellStyle name="Normal 2 2 4 2" xfId="12171" xr:uid="{00000000-0005-0000-0000-00008D590000}"/>
    <cellStyle name="Normal 2 2 4 2 2" xfId="24326" xr:uid="{00000000-0005-0000-0000-00008E590000}"/>
    <cellStyle name="Normal 2 2 4 2 3" xfId="31762" xr:uid="{00000000-0005-0000-0000-00008F590000}"/>
    <cellStyle name="Normal 2 2 4 3" xfId="13878" xr:uid="{00000000-0005-0000-0000-000090590000}"/>
    <cellStyle name="Normal 2 2 4 3 2" xfId="24327" xr:uid="{00000000-0005-0000-0000-000091590000}"/>
    <cellStyle name="Normal 2 2 4 4" xfId="15023" xr:uid="{00000000-0005-0000-0000-000092590000}"/>
    <cellStyle name="Normal 2 2 4 4 2" xfId="24328" xr:uid="{00000000-0005-0000-0000-000093590000}"/>
    <cellStyle name="Normal 2 2 4 5" xfId="24325" xr:uid="{00000000-0005-0000-0000-000094590000}"/>
    <cellStyle name="Normal 2 2 4 6" xfId="31763" xr:uid="{00000000-0005-0000-0000-000095590000}"/>
    <cellStyle name="Normal 2 2 4 7" xfId="31764" xr:uid="{00000000-0005-0000-0000-000096590000}"/>
    <cellStyle name="Normal 2 2 4 8" xfId="31765" xr:uid="{00000000-0005-0000-0000-000097590000}"/>
    <cellStyle name="Normal 2 2 4 9" xfId="31766" xr:uid="{00000000-0005-0000-0000-000098590000}"/>
    <cellStyle name="Normal 2 2 4_Additional Disclosures" xfId="16325" xr:uid="{00000000-0005-0000-0000-000099590000}"/>
    <cellStyle name="Normal 2 2 5" xfId="9303" xr:uid="{00000000-0005-0000-0000-00009A590000}"/>
    <cellStyle name="Normal 2 2 5 2" xfId="24329" xr:uid="{00000000-0005-0000-0000-00009B590000}"/>
    <cellStyle name="Normal 2 2 5 3" xfId="31767" xr:uid="{00000000-0005-0000-0000-00009C590000}"/>
    <cellStyle name="Normal 2 2 5 4" xfId="31768" xr:uid="{00000000-0005-0000-0000-00009D590000}"/>
    <cellStyle name="Normal 2 2 5 5" xfId="31769" xr:uid="{00000000-0005-0000-0000-00009E590000}"/>
    <cellStyle name="Normal 2 2 5 6" xfId="31770" xr:uid="{00000000-0005-0000-0000-00009F590000}"/>
    <cellStyle name="Normal 2 2 6" xfId="12882" xr:uid="{00000000-0005-0000-0000-0000A0590000}"/>
    <cellStyle name="Normal 2 2 6 2" xfId="24330" xr:uid="{00000000-0005-0000-0000-0000A1590000}"/>
    <cellStyle name="Normal 2 2 6 3" xfId="31771" xr:uid="{00000000-0005-0000-0000-0000A2590000}"/>
    <cellStyle name="Normal 2 2 6 4" xfId="31772" xr:uid="{00000000-0005-0000-0000-0000A3590000}"/>
    <cellStyle name="Normal 2 2 6 5" xfId="31773" xr:uid="{00000000-0005-0000-0000-0000A4590000}"/>
    <cellStyle name="Normal 2 2 7" xfId="12883" xr:uid="{00000000-0005-0000-0000-0000A5590000}"/>
    <cellStyle name="Normal 2 2 7 2" xfId="24331" xr:uid="{00000000-0005-0000-0000-0000A6590000}"/>
    <cellStyle name="Normal 2 2 7 3" xfId="31774" xr:uid="{00000000-0005-0000-0000-0000A7590000}"/>
    <cellStyle name="Normal 2 2 7 4" xfId="31775" xr:uid="{00000000-0005-0000-0000-0000A8590000}"/>
    <cellStyle name="Normal 2 2 8" xfId="13299" xr:uid="{00000000-0005-0000-0000-0000A9590000}"/>
    <cellStyle name="Normal 2 2 8 2" xfId="24332" xr:uid="{00000000-0005-0000-0000-0000AA590000}"/>
    <cellStyle name="Normal 2 2 9" xfId="13300" xr:uid="{00000000-0005-0000-0000-0000AB590000}"/>
    <cellStyle name="Normal 2 2 9 2" xfId="24333" xr:uid="{00000000-0005-0000-0000-0000AC590000}"/>
    <cellStyle name="Normal 2 2_CommerzBank Frankfurt-EURO" xfId="31776" xr:uid="{00000000-0005-0000-0000-0000AD590000}"/>
    <cellStyle name="Normal 2 20" xfId="219" xr:uid="{00000000-0005-0000-0000-0000AE590000}"/>
    <cellStyle name="Normal 2 20 2" xfId="13301" xr:uid="{00000000-0005-0000-0000-0000AF590000}"/>
    <cellStyle name="Normal 2 20 2 2" xfId="24335" xr:uid="{00000000-0005-0000-0000-0000B0590000}"/>
    <cellStyle name="Normal 2 20 3" xfId="24334" xr:uid="{00000000-0005-0000-0000-0000B1590000}"/>
    <cellStyle name="Normal 2 20 4" xfId="31777" xr:uid="{00000000-0005-0000-0000-0000B2590000}"/>
    <cellStyle name="Normal 2 20 5" xfId="33496" xr:uid="{00000000-0005-0000-0000-0000B3590000}"/>
    <cellStyle name="Normal 2 20 6" xfId="9304" xr:uid="{00000000-0005-0000-0000-0000B4590000}"/>
    <cellStyle name="Normal 2 20_loan Analysis " xfId="13302" xr:uid="{00000000-0005-0000-0000-0000B5590000}"/>
    <cellStyle name="Normal 2 21" xfId="227" xr:uid="{00000000-0005-0000-0000-0000B6590000}"/>
    <cellStyle name="Normal 2 21 2" xfId="13303" xr:uid="{00000000-0005-0000-0000-0000B7590000}"/>
    <cellStyle name="Normal 2 21 2 2" xfId="24337" xr:uid="{00000000-0005-0000-0000-0000B8590000}"/>
    <cellStyle name="Normal 2 21 3" xfId="24336" xr:uid="{00000000-0005-0000-0000-0000B9590000}"/>
    <cellStyle name="Normal 2 21 4" xfId="31778" xr:uid="{00000000-0005-0000-0000-0000BA590000}"/>
    <cellStyle name="Normal 2 21 5" xfId="33533" xr:uid="{00000000-0005-0000-0000-0000BB590000}"/>
    <cellStyle name="Normal 2 21 6" xfId="9305" xr:uid="{00000000-0005-0000-0000-0000BC590000}"/>
    <cellStyle name="Normal 2 21_loan Analysis " xfId="13304" xr:uid="{00000000-0005-0000-0000-0000BD590000}"/>
    <cellStyle name="Normal 2 22" xfId="344" xr:uid="{00000000-0005-0000-0000-0000BE590000}"/>
    <cellStyle name="Normal 2 22 2" xfId="13305" xr:uid="{00000000-0005-0000-0000-0000BF590000}"/>
    <cellStyle name="Normal 2 22 2 2" xfId="24339" xr:uid="{00000000-0005-0000-0000-0000C0590000}"/>
    <cellStyle name="Normal 2 22 3" xfId="24338" xr:uid="{00000000-0005-0000-0000-0000C1590000}"/>
    <cellStyle name="Normal 2 22 4" xfId="31779" xr:uid="{00000000-0005-0000-0000-0000C2590000}"/>
    <cellStyle name="Normal 2 22 5" xfId="9306" xr:uid="{00000000-0005-0000-0000-0000C3590000}"/>
    <cellStyle name="Normal 2 22_loan Analysis " xfId="13306" xr:uid="{00000000-0005-0000-0000-0000C4590000}"/>
    <cellStyle name="Normal 2 23" xfId="281" xr:uid="{00000000-0005-0000-0000-0000C5590000}"/>
    <cellStyle name="Normal 2 23 2" xfId="13307" xr:uid="{00000000-0005-0000-0000-0000C6590000}"/>
    <cellStyle name="Normal 2 23 2 2" xfId="24341" xr:uid="{00000000-0005-0000-0000-0000C7590000}"/>
    <cellStyle name="Normal 2 23 3" xfId="24340" xr:uid="{00000000-0005-0000-0000-0000C8590000}"/>
    <cellStyle name="Normal 2 23 4" xfId="31780" xr:uid="{00000000-0005-0000-0000-0000C9590000}"/>
    <cellStyle name="Normal 2 23 5" xfId="9307" xr:uid="{00000000-0005-0000-0000-0000CA590000}"/>
    <cellStyle name="Normal 2 23_loan Analysis " xfId="13308" xr:uid="{00000000-0005-0000-0000-0000CB590000}"/>
    <cellStyle name="Normal 2 24" xfId="340" xr:uid="{00000000-0005-0000-0000-0000CC590000}"/>
    <cellStyle name="Normal 2 24 2" xfId="24342" xr:uid="{00000000-0005-0000-0000-0000CD590000}"/>
    <cellStyle name="Normal 2 24 2 2" xfId="31781" xr:uid="{00000000-0005-0000-0000-0000CE590000}"/>
    <cellStyle name="Normal 2 24 2 3" xfId="31782" xr:uid="{00000000-0005-0000-0000-0000CF590000}"/>
    <cellStyle name="Normal 2 24 3" xfId="31783" xr:uid="{00000000-0005-0000-0000-0000D0590000}"/>
    <cellStyle name="Normal 2 24 4" xfId="31784" xr:uid="{00000000-0005-0000-0000-0000D1590000}"/>
    <cellStyle name="Normal 2 24 5" xfId="9308" xr:uid="{00000000-0005-0000-0000-0000D2590000}"/>
    <cellStyle name="Normal 2 25" xfId="251" xr:uid="{00000000-0005-0000-0000-0000D3590000}"/>
    <cellStyle name="Normal 2 25 2" xfId="24343" xr:uid="{00000000-0005-0000-0000-0000D4590000}"/>
    <cellStyle name="Normal 2 25 2 2" xfId="31785" xr:uid="{00000000-0005-0000-0000-0000D5590000}"/>
    <cellStyle name="Normal 2 25 2 3" xfId="31786" xr:uid="{00000000-0005-0000-0000-0000D6590000}"/>
    <cellStyle name="Normal 2 25 3" xfId="31787" xr:uid="{00000000-0005-0000-0000-0000D7590000}"/>
    <cellStyle name="Normal 2 25 4" xfId="31788" xr:uid="{00000000-0005-0000-0000-0000D8590000}"/>
    <cellStyle name="Normal 2 25 5" xfId="9309" xr:uid="{00000000-0005-0000-0000-0000D9590000}"/>
    <cellStyle name="Normal 2 26" xfId="339" xr:uid="{00000000-0005-0000-0000-0000DA590000}"/>
    <cellStyle name="Normal 2 26 2" xfId="24344" xr:uid="{00000000-0005-0000-0000-0000DB590000}"/>
    <cellStyle name="Normal 2 26 3" xfId="31789" xr:uid="{00000000-0005-0000-0000-0000DC590000}"/>
    <cellStyle name="Normal 2 26 4" xfId="31790" xr:uid="{00000000-0005-0000-0000-0000DD590000}"/>
    <cellStyle name="Normal 2 26 5" xfId="31791" xr:uid="{00000000-0005-0000-0000-0000DE590000}"/>
    <cellStyle name="Normal 2 26 6" xfId="9310" xr:uid="{00000000-0005-0000-0000-0000DF590000}"/>
    <cellStyle name="Normal 2 27" xfId="223" xr:uid="{00000000-0005-0000-0000-0000E0590000}"/>
    <cellStyle name="Normal 2 27 2" xfId="24345" xr:uid="{00000000-0005-0000-0000-0000E1590000}"/>
    <cellStyle name="Normal 2 27 3" xfId="9311" xr:uid="{00000000-0005-0000-0000-0000E2590000}"/>
    <cellStyle name="Normal 2 28" xfId="168" xr:uid="{00000000-0005-0000-0000-0000E3590000}"/>
    <cellStyle name="Normal 2 28 2" xfId="465" xr:uid="{00000000-0005-0000-0000-0000E4590000}"/>
    <cellStyle name="Normal 2 28 2 2" xfId="24346" xr:uid="{00000000-0005-0000-0000-0000E5590000}"/>
    <cellStyle name="Normal 2 28 3" xfId="9312" xr:uid="{00000000-0005-0000-0000-0000E6590000}"/>
    <cellStyle name="Normal 2 29" xfId="9313" xr:uid="{00000000-0005-0000-0000-0000E7590000}"/>
    <cellStyle name="Normal 2 29 2" xfId="24347" xr:uid="{00000000-0005-0000-0000-0000E8590000}"/>
    <cellStyle name="Normal 2 3" xfId="278" xr:uid="{00000000-0005-0000-0000-0000E9590000}"/>
    <cellStyle name="Normal 2 3 10" xfId="31792" xr:uid="{00000000-0005-0000-0000-0000EA590000}"/>
    <cellStyle name="Normal 2 3 10 2" xfId="31793" xr:uid="{00000000-0005-0000-0000-0000EB590000}"/>
    <cellStyle name="Normal 2 3 10 3" xfId="31794" xr:uid="{00000000-0005-0000-0000-0000EC590000}"/>
    <cellStyle name="Normal 2 3 11" xfId="31795" xr:uid="{00000000-0005-0000-0000-0000ED590000}"/>
    <cellStyle name="Normal 2 3 12" xfId="31796" xr:uid="{00000000-0005-0000-0000-0000EE590000}"/>
    <cellStyle name="Normal 2 3 13" xfId="33179" xr:uid="{00000000-0005-0000-0000-0000EF590000}"/>
    <cellStyle name="Normal 2 3 14" xfId="9314" xr:uid="{00000000-0005-0000-0000-0000F0590000}"/>
    <cellStyle name="Normal 2 3 2" xfId="9315" xr:uid="{00000000-0005-0000-0000-0000F1590000}"/>
    <cellStyle name="Normal 2 3 2 2" xfId="9316" xr:uid="{00000000-0005-0000-0000-0000F2590000}"/>
    <cellStyle name="Normal 2 3 2 2 2" xfId="24350" xr:uid="{00000000-0005-0000-0000-0000F3590000}"/>
    <cellStyle name="Normal 2 3 2 2 2 2" xfId="31797" xr:uid="{00000000-0005-0000-0000-0000F4590000}"/>
    <cellStyle name="Normal 2 3 2 3" xfId="9317" xr:uid="{00000000-0005-0000-0000-0000F5590000}"/>
    <cellStyle name="Normal 2 3 2 3 2" xfId="24351" xr:uid="{00000000-0005-0000-0000-0000F6590000}"/>
    <cellStyle name="Normal 2 3 2 3 3" xfId="31798" xr:uid="{00000000-0005-0000-0000-0000F7590000}"/>
    <cellStyle name="Normal 2 3 2 4" xfId="9318" xr:uid="{00000000-0005-0000-0000-0000F8590000}"/>
    <cellStyle name="Normal 2 3 2 4 2" xfId="24352" xr:uid="{00000000-0005-0000-0000-0000F9590000}"/>
    <cellStyle name="Normal 2 3 2 5" xfId="9319" xr:uid="{00000000-0005-0000-0000-0000FA590000}"/>
    <cellStyle name="Normal 2 3 2 5 2" xfId="24353" xr:uid="{00000000-0005-0000-0000-0000FB590000}"/>
    <cellStyle name="Normal 2 3 2 6" xfId="24349" xr:uid="{00000000-0005-0000-0000-0000FC590000}"/>
    <cellStyle name="Normal 2 3 2_loan Analysis " xfId="13309" xr:uid="{00000000-0005-0000-0000-0000FD590000}"/>
    <cellStyle name="Normal 2 3 3" xfId="12852" xr:uid="{00000000-0005-0000-0000-0000FE590000}"/>
    <cellStyle name="Normal 2 3 3 2" xfId="24354" xr:uid="{00000000-0005-0000-0000-0000FF590000}"/>
    <cellStyle name="Normal 2 3 3 3" xfId="31799" xr:uid="{00000000-0005-0000-0000-0000005A0000}"/>
    <cellStyle name="Normal 2 3 3 4" xfId="31800" xr:uid="{00000000-0005-0000-0000-0000015A0000}"/>
    <cellStyle name="Normal 2 3 3 5" xfId="31801" xr:uid="{00000000-0005-0000-0000-0000025A0000}"/>
    <cellStyle name="Normal 2 3 4" xfId="12853" xr:uid="{00000000-0005-0000-0000-0000035A0000}"/>
    <cellStyle name="Normal 2 3 4 2" xfId="24355" xr:uid="{00000000-0005-0000-0000-0000045A0000}"/>
    <cellStyle name="Normal 2 3 4 3" xfId="31802" xr:uid="{00000000-0005-0000-0000-0000055A0000}"/>
    <cellStyle name="Normal 2 3 4 4" xfId="31803" xr:uid="{00000000-0005-0000-0000-0000065A0000}"/>
    <cellStyle name="Normal 2 3 4 5" xfId="31804" xr:uid="{00000000-0005-0000-0000-0000075A0000}"/>
    <cellStyle name="Normal 2 3 5" xfId="12854" xr:uid="{00000000-0005-0000-0000-0000085A0000}"/>
    <cellStyle name="Normal 2 3 5 2" xfId="24356" xr:uid="{00000000-0005-0000-0000-0000095A0000}"/>
    <cellStyle name="Normal 2 3 5 3" xfId="31805" xr:uid="{00000000-0005-0000-0000-00000A5A0000}"/>
    <cellStyle name="Normal 2 3 5 4" xfId="31806" xr:uid="{00000000-0005-0000-0000-00000B5A0000}"/>
    <cellStyle name="Normal 2 3 5 5" xfId="31807" xr:uid="{00000000-0005-0000-0000-00000C5A0000}"/>
    <cellStyle name="Normal 2 3 6" xfId="12884" xr:uid="{00000000-0005-0000-0000-00000D5A0000}"/>
    <cellStyle name="Normal 2 3 6 2" xfId="24357" xr:uid="{00000000-0005-0000-0000-00000E5A0000}"/>
    <cellStyle name="Normal 2 3 6 3" xfId="31808" xr:uid="{00000000-0005-0000-0000-00000F5A0000}"/>
    <cellStyle name="Normal 2 3 6 4" xfId="31809" xr:uid="{00000000-0005-0000-0000-0000105A0000}"/>
    <cellStyle name="Normal 2 3 7" xfId="24348" xr:uid="{00000000-0005-0000-0000-0000115A0000}"/>
    <cellStyle name="Normal 2 3 7 2" xfId="31810" xr:uid="{00000000-0005-0000-0000-0000125A0000}"/>
    <cellStyle name="Normal 2 3 7 3" xfId="31811" xr:uid="{00000000-0005-0000-0000-0000135A0000}"/>
    <cellStyle name="Normal 2 3 8" xfId="31812" xr:uid="{00000000-0005-0000-0000-0000145A0000}"/>
    <cellStyle name="Normal 2 3 8 2" xfId="31813" xr:uid="{00000000-0005-0000-0000-0000155A0000}"/>
    <cellStyle name="Normal 2 3 8 3" xfId="31814" xr:uid="{00000000-0005-0000-0000-0000165A0000}"/>
    <cellStyle name="Normal 2 3 9" xfId="31815" xr:uid="{00000000-0005-0000-0000-0000175A0000}"/>
    <cellStyle name="Normal 2 3 9 2" xfId="31816" xr:uid="{00000000-0005-0000-0000-0000185A0000}"/>
    <cellStyle name="Normal 2 3 9 3" xfId="31817" xr:uid="{00000000-0005-0000-0000-0000195A0000}"/>
    <cellStyle name="Normal 2 3_Additional Disclosures" xfId="16326" xr:uid="{00000000-0005-0000-0000-00001A5A0000}"/>
    <cellStyle name="Normal 2 30" xfId="9320" xr:uid="{00000000-0005-0000-0000-00001B5A0000}"/>
    <cellStyle name="Normal 2 30 2" xfId="24358" xr:uid="{00000000-0005-0000-0000-00001C5A0000}"/>
    <cellStyle name="Normal 2 31" xfId="9321" xr:uid="{00000000-0005-0000-0000-00001D5A0000}"/>
    <cellStyle name="Normal 2 31 2" xfId="24359" xr:uid="{00000000-0005-0000-0000-00001E5A0000}"/>
    <cellStyle name="Normal 2 32" xfId="9322" xr:uid="{00000000-0005-0000-0000-00001F5A0000}"/>
    <cellStyle name="Normal 2 32 2" xfId="24360" xr:uid="{00000000-0005-0000-0000-0000205A0000}"/>
    <cellStyle name="Normal 2 33" xfId="9323" xr:uid="{00000000-0005-0000-0000-0000215A0000}"/>
    <cellStyle name="Normal 2 33 2" xfId="24361" xr:uid="{00000000-0005-0000-0000-0000225A0000}"/>
    <cellStyle name="Normal 2 34" xfId="9324" xr:uid="{00000000-0005-0000-0000-0000235A0000}"/>
    <cellStyle name="Normal 2 34 2" xfId="24362" xr:uid="{00000000-0005-0000-0000-0000245A0000}"/>
    <cellStyle name="Normal 2 35" xfId="9325" xr:uid="{00000000-0005-0000-0000-0000255A0000}"/>
    <cellStyle name="Normal 2 35 2" xfId="24363" xr:uid="{00000000-0005-0000-0000-0000265A0000}"/>
    <cellStyle name="Normal 2 36" xfId="9326" xr:uid="{00000000-0005-0000-0000-0000275A0000}"/>
    <cellStyle name="Normal 2 36 2" xfId="24364" xr:uid="{00000000-0005-0000-0000-0000285A0000}"/>
    <cellStyle name="Normal 2 37" xfId="9327" xr:uid="{00000000-0005-0000-0000-0000295A0000}"/>
    <cellStyle name="Normal 2 37 2" xfId="24365" xr:uid="{00000000-0005-0000-0000-00002A5A0000}"/>
    <cellStyle name="Normal 2 38" xfId="9328" xr:uid="{00000000-0005-0000-0000-00002B5A0000}"/>
    <cellStyle name="Normal 2 38 2" xfId="24366" xr:uid="{00000000-0005-0000-0000-00002C5A0000}"/>
    <cellStyle name="Normal 2 39" xfId="9329" xr:uid="{00000000-0005-0000-0000-00002D5A0000}"/>
    <cellStyle name="Normal 2 39 2" xfId="24367" xr:uid="{00000000-0005-0000-0000-00002E5A0000}"/>
    <cellStyle name="Normal 2 4" xfId="342" xr:uid="{00000000-0005-0000-0000-00002F5A0000}"/>
    <cellStyle name="Normal 2 4 10" xfId="31818" xr:uid="{00000000-0005-0000-0000-0000305A0000}"/>
    <cellStyle name="Normal 2 4 11" xfId="31819" xr:uid="{00000000-0005-0000-0000-0000315A0000}"/>
    <cellStyle name="Normal 2 4 12" xfId="9330" xr:uid="{00000000-0005-0000-0000-0000325A0000}"/>
    <cellStyle name="Normal 2 4 2" xfId="9331" xr:uid="{00000000-0005-0000-0000-0000335A0000}"/>
    <cellStyle name="Normal 2 4 2 2" xfId="24369" xr:uid="{00000000-0005-0000-0000-0000345A0000}"/>
    <cellStyle name="Normal 2 4 2 2 2" xfId="31820" xr:uid="{00000000-0005-0000-0000-0000355A0000}"/>
    <cellStyle name="Normal 2 4 2 3" xfId="31821" xr:uid="{00000000-0005-0000-0000-0000365A0000}"/>
    <cellStyle name="Normal 2 4 2 4" xfId="31822" xr:uid="{00000000-0005-0000-0000-0000375A0000}"/>
    <cellStyle name="Normal 2 4 2 5" xfId="31823" xr:uid="{00000000-0005-0000-0000-0000385A0000}"/>
    <cellStyle name="Normal 2 4 3" xfId="9332" xr:uid="{00000000-0005-0000-0000-0000395A0000}"/>
    <cellStyle name="Normal 2 4 3 2" xfId="24370" xr:uid="{00000000-0005-0000-0000-00003A5A0000}"/>
    <cellStyle name="Normal 2 4 3 3" xfId="31824" xr:uid="{00000000-0005-0000-0000-00003B5A0000}"/>
    <cellStyle name="Normal 2 4 4" xfId="9333" xr:uid="{00000000-0005-0000-0000-00003C5A0000}"/>
    <cellStyle name="Normal 2 4 4 2" xfId="24371" xr:uid="{00000000-0005-0000-0000-00003D5A0000}"/>
    <cellStyle name="Normal 2 4 4 3" xfId="31825" xr:uid="{00000000-0005-0000-0000-00003E5A0000}"/>
    <cellStyle name="Normal 2 4 5" xfId="9334" xr:uid="{00000000-0005-0000-0000-00003F5A0000}"/>
    <cellStyle name="Normal 2 4 5 2" xfId="24372" xr:uid="{00000000-0005-0000-0000-0000405A0000}"/>
    <cellStyle name="Normal 2 4 5 3" xfId="31826" xr:uid="{00000000-0005-0000-0000-0000415A0000}"/>
    <cellStyle name="Normal 2 4 6" xfId="24368" xr:uid="{00000000-0005-0000-0000-0000425A0000}"/>
    <cellStyle name="Normal 2 4 7" xfId="31827" xr:uid="{00000000-0005-0000-0000-0000435A0000}"/>
    <cellStyle name="Normal 2 4 8" xfId="31828" xr:uid="{00000000-0005-0000-0000-0000445A0000}"/>
    <cellStyle name="Normal 2 4 9" xfId="31829" xr:uid="{00000000-0005-0000-0000-0000455A0000}"/>
    <cellStyle name="Normal 2 4_Loan Classification" xfId="11468" xr:uid="{00000000-0005-0000-0000-0000465A0000}"/>
    <cellStyle name="Normal 2 40" xfId="9335" xr:uid="{00000000-0005-0000-0000-0000475A0000}"/>
    <cellStyle name="Normal 2 40 2" xfId="24373" xr:uid="{00000000-0005-0000-0000-0000485A0000}"/>
    <cellStyle name="Normal 2 41" xfId="9336" xr:uid="{00000000-0005-0000-0000-0000495A0000}"/>
    <cellStyle name="Normal 2 41 2" xfId="24374" xr:uid="{00000000-0005-0000-0000-00004A5A0000}"/>
    <cellStyle name="Normal 2 42" xfId="9337" xr:uid="{00000000-0005-0000-0000-00004B5A0000}"/>
    <cellStyle name="Normal 2 42 2" xfId="24375" xr:uid="{00000000-0005-0000-0000-00004C5A0000}"/>
    <cellStyle name="Normal 2 43" xfId="9338" xr:uid="{00000000-0005-0000-0000-00004D5A0000}"/>
    <cellStyle name="Normal 2 43 2" xfId="11037" xr:uid="{00000000-0005-0000-0000-00004E5A0000}"/>
    <cellStyle name="Normal 2 43 2 2" xfId="12457" xr:uid="{00000000-0005-0000-0000-00004F5A0000}"/>
    <cellStyle name="Normal 2 43 2 2 2" xfId="24378" xr:uid="{00000000-0005-0000-0000-0000505A0000}"/>
    <cellStyle name="Normal 2 43 2 3" xfId="24377" xr:uid="{00000000-0005-0000-0000-0000515A0000}"/>
    <cellStyle name="Normal 2 43 3" xfId="11805" xr:uid="{00000000-0005-0000-0000-0000525A0000}"/>
    <cellStyle name="Normal 2 43 3 2" xfId="24379" xr:uid="{00000000-0005-0000-0000-0000535A0000}"/>
    <cellStyle name="Normal 2 43 4" xfId="24376" xr:uid="{00000000-0005-0000-0000-0000545A0000}"/>
    <cellStyle name="Normal 2 44" xfId="9339" xr:uid="{00000000-0005-0000-0000-0000555A0000}"/>
    <cellStyle name="Normal 2 44 2" xfId="11038" xr:uid="{00000000-0005-0000-0000-0000565A0000}"/>
    <cellStyle name="Normal 2 44 2 2" xfId="12458" xr:uid="{00000000-0005-0000-0000-0000575A0000}"/>
    <cellStyle name="Normal 2 44 2 2 2" xfId="24382" xr:uid="{00000000-0005-0000-0000-0000585A0000}"/>
    <cellStyle name="Normal 2 44 2 3" xfId="24381" xr:uid="{00000000-0005-0000-0000-0000595A0000}"/>
    <cellStyle name="Normal 2 44 3" xfId="11806" xr:uid="{00000000-0005-0000-0000-00005A5A0000}"/>
    <cellStyle name="Normal 2 44 3 2" xfId="24383" xr:uid="{00000000-0005-0000-0000-00005B5A0000}"/>
    <cellStyle name="Normal 2 44 4" xfId="24380" xr:uid="{00000000-0005-0000-0000-00005C5A0000}"/>
    <cellStyle name="Normal 2 45" xfId="13367" xr:uid="{00000000-0005-0000-0000-00005D5A0000}"/>
    <cellStyle name="Normal 2 45 2" xfId="24384" xr:uid="{00000000-0005-0000-0000-00005E5A0000}"/>
    <cellStyle name="Normal 2 46" xfId="14511" xr:uid="{00000000-0005-0000-0000-00005F5A0000}"/>
    <cellStyle name="Normal 2 46 2" xfId="24385" xr:uid="{00000000-0005-0000-0000-0000605A0000}"/>
    <cellStyle name="Normal 2 47" xfId="15796" xr:uid="{00000000-0005-0000-0000-0000615A0000}"/>
    <cellStyle name="Normal 2 47 2" xfId="24386" xr:uid="{00000000-0005-0000-0000-0000625A0000}"/>
    <cellStyle name="Normal 2 48" xfId="24249" xr:uid="{00000000-0005-0000-0000-0000635A0000}"/>
    <cellStyle name="Normal 2 49" xfId="31830" xr:uid="{00000000-0005-0000-0000-0000645A0000}"/>
    <cellStyle name="Normal 2 5" xfId="282" xr:uid="{00000000-0005-0000-0000-0000655A0000}"/>
    <cellStyle name="Normal 2 5 10" xfId="31831" xr:uid="{00000000-0005-0000-0000-0000665A0000}"/>
    <cellStyle name="Normal 2 5 11" xfId="31832" xr:uid="{00000000-0005-0000-0000-0000675A0000}"/>
    <cellStyle name="Normal 2 5 12" xfId="9340" xr:uid="{00000000-0005-0000-0000-0000685A0000}"/>
    <cellStyle name="Normal 2 5 2" xfId="9341" xr:uid="{00000000-0005-0000-0000-0000695A0000}"/>
    <cellStyle name="Normal 2 5 2 2" xfId="24388" xr:uid="{00000000-0005-0000-0000-00006A5A0000}"/>
    <cellStyle name="Normal 2 5 2 3" xfId="31833" xr:uid="{00000000-0005-0000-0000-00006B5A0000}"/>
    <cellStyle name="Normal 2 5 3" xfId="9342" xr:uid="{00000000-0005-0000-0000-00006C5A0000}"/>
    <cellStyle name="Normal 2 5 3 2" xfId="24389" xr:uid="{00000000-0005-0000-0000-00006D5A0000}"/>
    <cellStyle name="Normal 2 5 3 3" xfId="31834" xr:uid="{00000000-0005-0000-0000-00006E5A0000}"/>
    <cellStyle name="Normal 2 5 4" xfId="9343" xr:uid="{00000000-0005-0000-0000-00006F5A0000}"/>
    <cellStyle name="Normal 2 5 4 2" xfId="24390" xr:uid="{00000000-0005-0000-0000-0000705A0000}"/>
    <cellStyle name="Normal 2 5 5" xfId="9344" xr:uid="{00000000-0005-0000-0000-0000715A0000}"/>
    <cellStyle name="Normal 2 5 5 2" xfId="24391" xr:uid="{00000000-0005-0000-0000-0000725A0000}"/>
    <cellStyle name="Normal 2 5 6" xfId="24387" xr:uid="{00000000-0005-0000-0000-0000735A0000}"/>
    <cellStyle name="Normal 2 5 7" xfId="31835" xr:uid="{00000000-0005-0000-0000-0000745A0000}"/>
    <cellStyle name="Normal 2 5 8" xfId="31836" xr:uid="{00000000-0005-0000-0000-0000755A0000}"/>
    <cellStyle name="Normal 2 5 9" xfId="31837" xr:uid="{00000000-0005-0000-0000-0000765A0000}"/>
    <cellStyle name="Normal 2 5_Loan Classification" xfId="11469" xr:uid="{00000000-0005-0000-0000-0000775A0000}"/>
    <cellStyle name="Normal 2 50" xfId="31838" xr:uid="{00000000-0005-0000-0000-0000785A0000}"/>
    <cellStyle name="Normal 2 51" xfId="31839" xr:uid="{00000000-0005-0000-0000-0000795A0000}"/>
    <cellStyle name="Normal 2 52" xfId="31840" xr:uid="{00000000-0005-0000-0000-00007A5A0000}"/>
    <cellStyle name="Normal 2 53" xfId="31841" xr:uid="{00000000-0005-0000-0000-00007B5A0000}"/>
    <cellStyle name="Normal 2 54" xfId="31842" xr:uid="{00000000-0005-0000-0000-00007C5A0000}"/>
    <cellStyle name="Normal 2 55" xfId="31843" xr:uid="{00000000-0005-0000-0000-00007D5A0000}"/>
    <cellStyle name="Normal 2 56" xfId="31844" xr:uid="{00000000-0005-0000-0000-00007E5A0000}"/>
    <cellStyle name="Normal 2 57" xfId="31845" xr:uid="{00000000-0005-0000-0000-00007F5A0000}"/>
    <cellStyle name="Normal 2 58" xfId="31846" xr:uid="{00000000-0005-0000-0000-0000805A0000}"/>
    <cellStyle name="Normal 2 59" xfId="31847" xr:uid="{00000000-0005-0000-0000-0000815A0000}"/>
    <cellStyle name="Normal 2 6" xfId="338" xr:uid="{00000000-0005-0000-0000-0000825A0000}"/>
    <cellStyle name="Normal 2 6 2" xfId="24392" xr:uid="{00000000-0005-0000-0000-0000835A0000}"/>
    <cellStyle name="Normal 2 6 2 2" xfId="31848" xr:uid="{00000000-0005-0000-0000-0000845A0000}"/>
    <cellStyle name="Normal 2 6 3" xfId="31849" xr:uid="{00000000-0005-0000-0000-0000855A0000}"/>
    <cellStyle name="Normal 2 6 4" xfId="31850" xr:uid="{00000000-0005-0000-0000-0000865A0000}"/>
    <cellStyle name="Normal 2 6 5" xfId="9345" xr:uid="{00000000-0005-0000-0000-0000875A0000}"/>
    <cellStyle name="Normal 2 60" xfId="31851" xr:uid="{00000000-0005-0000-0000-0000885A0000}"/>
    <cellStyle name="Normal 2 61" xfId="31852" xr:uid="{00000000-0005-0000-0000-0000895A0000}"/>
    <cellStyle name="Normal 2 62" xfId="31853" xr:uid="{00000000-0005-0000-0000-00008A5A0000}"/>
    <cellStyle name="Normal 2 63" xfId="31854" xr:uid="{00000000-0005-0000-0000-00008B5A0000}"/>
    <cellStyle name="Normal 2 64" xfId="31855" xr:uid="{00000000-0005-0000-0000-00008C5A0000}"/>
    <cellStyle name="Normal 2 65" xfId="31856" xr:uid="{00000000-0005-0000-0000-00008D5A0000}"/>
    <cellStyle name="Normal 2 66" xfId="33175" xr:uid="{00000000-0005-0000-0000-00008E5A0000}"/>
    <cellStyle name="Normal 2 67" xfId="552" xr:uid="{00000000-0005-0000-0000-00008F5A0000}"/>
    <cellStyle name="Normal 2 7" xfId="285" xr:uid="{00000000-0005-0000-0000-0000905A0000}"/>
    <cellStyle name="Normal 2 7 2" xfId="24393" xr:uid="{00000000-0005-0000-0000-0000915A0000}"/>
    <cellStyle name="Normal 2 7 2 2" xfId="31857" xr:uid="{00000000-0005-0000-0000-0000925A0000}"/>
    <cellStyle name="Normal 2 7 3" xfId="31858" xr:uid="{00000000-0005-0000-0000-0000935A0000}"/>
    <cellStyle name="Normal 2 7 4" xfId="31859" xr:uid="{00000000-0005-0000-0000-0000945A0000}"/>
    <cellStyle name="Normal 2 7 5" xfId="31860" xr:uid="{00000000-0005-0000-0000-0000955A0000}"/>
    <cellStyle name="Normal 2 7 6" xfId="9346" xr:uid="{00000000-0005-0000-0000-0000965A0000}"/>
    <cellStyle name="Normal 2 8" xfId="337" xr:uid="{00000000-0005-0000-0000-0000975A0000}"/>
    <cellStyle name="Normal 2 8 2" xfId="24394" xr:uid="{00000000-0005-0000-0000-0000985A0000}"/>
    <cellStyle name="Normal 2 8 2 2" xfId="31861" xr:uid="{00000000-0005-0000-0000-0000995A0000}"/>
    <cellStyle name="Normal 2 8 3" xfId="31862" xr:uid="{00000000-0005-0000-0000-00009A5A0000}"/>
    <cellStyle name="Normal 2 8 4" xfId="31863" xr:uid="{00000000-0005-0000-0000-00009B5A0000}"/>
    <cellStyle name="Normal 2 8 5" xfId="9347" xr:uid="{00000000-0005-0000-0000-00009C5A0000}"/>
    <cellStyle name="Normal 2 9" xfId="286" xr:uid="{00000000-0005-0000-0000-00009D5A0000}"/>
    <cellStyle name="Normal 2 9 2" xfId="24395" xr:uid="{00000000-0005-0000-0000-00009E5A0000}"/>
    <cellStyle name="Normal 2 9 2 2" xfId="31864" xr:uid="{00000000-0005-0000-0000-00009F5A0000}"/>
    <cellStyle name="Normal 2 9 3" xfId="31865" xr:uid="{00000000-0005-0000-0000-0000A05A0000}"/>
    <cellStyle name="Normal 2 9 4" xfId="31866" xr:uid="{00000000-0005-0000-0000-0000A15A0000}"/>
    <cellStyle name="Normal 2 9 5" xfId="9348" xr:uid="{00000000-0005-0000-0000-0000A25A0000}"/>
    <cellStyle name="Normal 2_Additional Disclosures" xfId="16317" xr:uid="{00000000-0005-0000-0000-0000A35A0000}"/>
    <cellStyle name="Normal 20" xfId="554" xr:uid="{00000000-0005-0000-0000-0000A45A0000}"/>
    <cellStyle name="Normal 20 10" xfId="28635" xr:uid="{00000000-0005-0000-0000-0000A55A0000}"/>
    <cellStyle name="Normal 20 11" xfId="31867" xr:uid="{00000000-0005-0000-0000-0000A65A0000}"/>
    <cellStyle name="Normal 20 12" xfId="31868" xr:uid="{00000000-0005-0000-0000-0000A75A0000}"/>
    <cellStyle name="Normal 20 2" xfId="9349" xr:uid="{00000000-0005-0000-0000-0000A85A0000}"/>
    <cellStyle name="Normal 20 2 10" xfId="31869" xr:uid="{00000000-0005-0000-0000-0000A95A0000}"/>
    <cellStyle name="Normal 20 2 11" xfId="31870" xr:uid="{00000000-0005-0000-0000-0000AA5A0000}"/>
    <cellStyle name="Normal 20 2 2" xfId="11039" xr:uid="{00000000-0005-0000-0000-0000AB5A0000}"/>
    <cellStyle name="Normal 20 2 2 2" xfId="12459" xr:uid="{00000000-0005-0000-0000-0000AC5A0000}"/>
    <cellStyle name="Normal 20 2 2 2 2" xfId="24399" xr:uid="{00000000-0005-0000-0000-0000AD5A0000}"/>
    <cellStyle name="Normal 20 2 2 3" xfId="14188" xr:uid="{00000000-0005-0000-0000-0000AE5A0000}"/>
    <cellStyle name="Normal 20 2 2 3 2" xfId="24400" xr:uid="{00000000-0005-0000-0000-0000AF5A0000}"/>
    <cellStyle name="Normal 20 2 2 4" xfId="15332" xr:uid="{00000000-0005-0000-0000-0000B05A0000}"/>
    <cellStyle name="Normal 20 2 2 4 2" xfId="24401" xr:uid="{00000000-0005-0000-0000-0000B15A0000}"/>
    <cellStyle name="Normal 20 2 2 5" xfId="24398" xr:uid="{00000000-0005-0000-0000-0000B25A0000}"/>
    <cellStyle name="Normal 20 2 2 6" xfId="31871" xr:uid="{00000000-0005-0000-0000-0000B35A0000}"/>
    <cellStyle name="Normal 20 2 2_Additional Disclosures" xfId="16329" xr:uid="{00000000-0005-0000-0000-0000B45A0000}"/>
    <cellStyle name="Normal 20 2 3" xfId="11807" xr:uid="{00000000-0005-0000-0000-0000B55A0000}"/>
    <cellStyle name="Normal 20 2 3 2" xfId="24402" xr:uid="{00000000-0005-0000-0000-0000B65A0000}"/>
    <cellStyle name="Normal 20 2 3 3" xfId="31872" xr:uid="{00000000-0005-0000-0000-0000B75A0000}"/>
    <cellStyle name="Normal 20 2 4" xfId="13677" xr:uid="{00000000-0005-0000-0000-0000B85A0000}"/>
    <cellStyle name="Normal 20 2 4 2" xfId="24403" xr:uid="{00000000-0005-0000-0000-0000B95A0000}"/>
    <cellStyle name="Normal 20 2 5" xfId="14822" xr:uid="{00000000-0005-0000-0000-0000BA5A0000}"/>
    <cellStyle name="Normal 20 2 5 2" xfId="24404" xr:uid="{00000000-0005-0000-0000-0000BB5A0000}"/>
    <cellStyle name="Normal 20 2 6" xfId="24397" xr:uid="{00000000-0005-0000-0000-0000BC5A0000}"/>
    <cellStyle name="Normal 20 2 7" xfId="31873" xr:uid="{00000000-0005-0000-0000-0000BD5A0000}"/>
    <cellStyle name="Normal 20 2 8" xfId="31874" xr:uid="{00000000-0005-0000-0000-0000BE5A0000}"/>
    <cellStyle name="Normal 20 2 9" xfId="31875" xr:uid="{00000000-0005-0000-0000-0000BF5A0000}"/>
    <cellStyle name="Normal 20 2_Additional Disclosures" xfId="16328" xr:uid="{00000000-0005-0000-0000-0000C05A0000}"/>
    <cellStyle name="Normal 20 3" xfId="9350" xr:uid="{00000000-0005-0000-0000-0000C15A0000}"/>
    <cellStyle name="Normal 20 3 2" xfId="11040" xr:uid="{00000000-0005-0000-0000-0000C25A0000}"/>
    <cellStyle name="Normal 20 3 2 2" xfId="12460" xr:uid="{00000000-0005-0000-0000-0000C35A0000}"/>
    <cellStyle name="Normal 20 3 2 2 2" xfId="24407" xr:uid="{00000000-0005-0000-0000-0000C45A0000}"/>
    <cellStyle name="Normal 20 3 2 3" xfId="24406" xr:uid="{00000000-0005-0000-0000-0000C55A0000}"/>
    <cellStyle name="Normal 20 3 2 4" xfId="33793" xr:uid="{00000000-0005-0000-0000-0000C65A0000}"/>
    <cellStyle name="Normal 20 3 3" xfId="11808" xr:uid="{00000000-0005-0000-0000-0000C75A0000}"/>
    <cellStyle name="Normal 20 3 3 2" xfId="24408" xr:uid="{00000000-0005-0000-0000-0000C85A0000}"/>
    <cellStyle name="Normal 20 3 3 3" xfId="34021" xr:uid="{00000000-0005-0000-0000-0000C95A0000}"/>
    <cellStyle name="Normal 20 3 4" xfId="13933" xr:uid="{00000000-0005-0000-0000-0000CA5A0000}"/>
    <cellStyle name="Normal 20 3 4 2" xfId="24409" xr:uid="{00000000-0005-0000-0000-0000CB5A0000}"/>
    <cellStyle name="Normal 20 3 4 3" xfId="34235" xr:uid="{00000000-0005-0000-0000-0000CC5A0000}"/>
    <cellStyle name="Normal 20 3 5" xfId="15078" xr:uid="{00000000-0005-0000-0000-0000CD5A0000}"/>
    <cellStyle name="Normal 20 3 5 2" xfId="24410" xr:uid="{00000000-0005-0000-0000-0000CE5A0000}"/>
    <cellStyle name="Normal 20 3 6" xfId="24405" xr:uid="{00000000-0005-0000-0000-0000CF5A0000}"/>
    <cellStyle name="Normal 20 3 7" xfId="31876" xr:uid="{00000000-0005-0000-0000-0000D05A0000}"/>
    <cellStyle name="Normal 20 3 8" xfId="31877" xr:uid="{00000000-0005-0000-0000-0000D15A0000}"/>
    <cellStyle name="Normal 20 3 9" xfId="33412" xr:uid="{00000000-0005-0000-0000-0000D25A0000}"/>
    <cellStyle name="Normal 20 3_Additional Disclosures" xfId="16330" xr:uid="{00000000-0005-0000-0000-0000D35A0000}"/>
    <cellStyle name="Normal 20 4" xfId="13422" xr:uid="{00000000-0005-0000-0000-0000D45A0000}"/>
    <cellStyle name="Normal 20 4 2" xfId="24411" xr:uid="{00000000-0005-0000-0000-0000D55A0000}"/>
    <cellStyle name="Normal 20 4 3" xfId="31878" xr:uid="{00000000-0005-0000-0000-0000D65A0000}"/>
    <cellStyle name="Normal 20 5" xfId="14566" xr:uid="{00000000-0005-0000-0000-0000D75A0000}"/>
    <cellStyle name="Normal 20 5 2" xfId="24412" xr:uid="{00000000-0005-0000-0000-0000D85A0000}"/>
    <cellStyle name="Normal 20 6" xfId="24396" xr:uid="{00000000-0005-0000-0000-0000D95A0000}"/>
    <cellStyle name="Normal 20 7" xfId="28910" xr:uid="{00000000-0005-0000-0000-0000DA5A0000}"/>
    <cellStyle name="Normal 20 8" xfId="28638" xr:uid="{00000000-0005-0000-0000-0000DB5A0000}"/>
    <cellStyle name="Normal 20 9" xfId="28913" xr:uid="{00000000-0005-0000-0000-0000DC5A0000}"/>
    <cellStyle name="Normal 20_Additional Disclosures" xfId="16327" xr:uid="{00000000-0005-0000-0000-0000DD5A0000}"/>
    <cellStyle name="Normal 200" xfId="9351" xr:uid="{00000000-0005-0000-0000-0000DE5A0000}"/>
    <cellStyle name="Normal 200 10" xfId="24413" xr:uid="{00000000-0005-0000-0000-0000DF5A0000}"/>
    <cellStyle name="Normal 200 11" xfId="31879" xr:uid="{00000000-0005-0000-0000-0000E05A0000}"/>
    <cellStyle name="Normal 200 2" xfId="9352" xr:uid="{00000000-0005-0000-0000-0000E15A0000}"/>
    <cellStyle name="Normal 200 2 10" xfId="28633" xr:uid="{00000000-0005-0000-0000-0000E25A0000}"/>
    <cellStyle name="Normal 200 2 2" xfId="12169" xr:uid="{00000000-0005-0000-0000-0000E35A0000}"/>
    <cellStyle name="Normal 200 2 2 2" xfId="14347" xr:uid="{00000000-0005-0000-0000-0000E45A0000}"/>
    <cellStyle name="Normal 200 2 2 2 2" xfId="24416" xr:uid="{00000000-0005-0000-0000-0000E55A0000}"/>
    <cellStyle name="Normal 200 2 2 3" xfId="15491" xr:uid="{00000000-0005-0000-0000-0000E65A0000}"/>
    <cellStyle name="Normal 200 2 2 3 2" xfId="24417" xr:uid="{00000000-0005-0000-0000-0000E75A0000}"/>
    <cellStyle name="Normal 200 2 2 4" xfId="24415" xr:uid="{00000000-0005-0000-0000-0000E85A0000}"/>
    <cellStyle name="Normal 200 2 2_Additional Disclosures" xfId="16333" xr:uid="{00000000-0005-0000-0000-0000E95A0000}"/>
    <cellStyle name="Normal 200 2 3" xfId="12170" xr:uid="{00000000-0005-0000-0000-0000EA5A0000}"/>
    <cellStyle name="Normal 200 2 3 2" xfId="24418" xr:uid="{00000000-0005-0000-0000-0000EB5A0000}"/>
    <cellStyle name="Normal 200 2 4" xfId="13836" xr:uid="{00000000-0005-0000-0000-0000EC5A0000}"/>
    <cellStyle name="Normal 200 2 4 2" xfId="24419" xr:uid="{00000000-0005-0000-0000-0000ED5A0000}"/>
    <cellStyle name="Normal 200 2 5" xfId="14981" xr:uid="{00000000-0005-0000-0000-0000EE5A0000}"/>
    <cellStyle name="Normal 200 2 5 2" xfId="24420" xr:uid="{00000000-0005-0000-0000-0000EF5A0000}"/>
    <cellStyle name="Normal 200 2 6" xfId="24414" xr:uid="{00000000-0005-0000-0000-0000F05A0000}"/>
    <cellStyle name="Normal 200 2 7" xfId="28911" xr:uid="{00000000-0005-0000-0000-0000F15A0000}"/>
    <cellStyle name="Normal 200 2 8" xfId="28637" xr:uid="{00000000-0005-0000-0000-0000F25A0000}"/>
    <cellStyle name="Normal 200 2 9" xfId="28915" xr:uid="{00000000-0005-0000-0000-0000F35A0000}"/>
    <cellStyle name="Normal 200 2_Additional Disclosures" xfId="16332" xr:uid="{00000000-0005-0000-0000-0000F45A0000}"/>
    <cellStyle name="Normal 200 3" xfId="9353" xr:uid="{00000000-0005-0000-0000-0000F55A0000}"/>
    <cellStyle name="Normal 200 3 2" xfId="12168" xr:uid="{00000000-0005-0000-0000-0000F65A0000}"/>
    <cellStyle name="Normal 200 3 2 2" xfId="24422" xr:uid="{00000000-0005-0000-0000-0000F75A0000}"/>
    <cellStyle name="Normal 200 3 3" xfId="14093" xr:uid="{00000000-0005-0000-0000-0000F85A0000}"/>
    <cellStyle name="Normal 200 3 3 2" xfId="24423" xr:uid="{00000000-0005-0000-0000-0000F95A0000}"/>
    <cellStyle name="Normal 200 3 4" xfId="15237" xr:uid="{00000000-0005-0000-0000-0000FA5A0000}"/>
    <cellStyle name="Normal 200 3 4 2" xfId="24424" xr:uid="{00000000-0005-0000-0000-0000FB5A0000}"/>
    <cellStyle name="Normal 200 3 5" xfId="24421" xr:uid="{00000000-0005-0000-0000-0000FC5A0000}"/>
    <cellStyle name="Normal 200 3_Additional Disclosures" xfId="16334" xr:uid="{00000000-0005-0000-0000-0000FD5A0000}"/>
    <cellStyle name="Normal 200 4" xfId="9354" xr:uid="{00000000-0005-0000-0000-0000FE5A0000}"/>
    <cellStyle name="Normal 200 4 2" xfId="24425" xr:uid="{00000000-0005-0000-0000-0000FF5A0000}"/>
    <cellStyle name="Normal 200 5" xfId="9355" xr:uid="{00000000-0005-0000-0000-0000005B0000}"/>
    <cellStyle name="Normal 200 5 2" xfId="11042" xr:uid="{00000000-0005-0000-0000-0000015B0000}"/>
    <cellStyle name="Normal 200 5 2 2" xfId="12462" xr:uid="{00000000-0005-0000-0000-0000025B0000}"/>
    <cellStyle name="Normal 200 5 2 2 2" xfId="24428" xr:uid="{00000000-0005-0000-0000-0000035B0000}"/>
    <cellStyle name="Normal 200 5 2 3" xfId="24427" xr:uid="{00000000-0005-0000-0000-0000045B0000}"/>
    <cellStyle name="Normal 200 5 3" xfId="11810" xr:uid="{00000000-0005-0000-0000-0000055B0000}"/>
    <cellStyle name="Normal 200 5 3 2" xfId="24429" xr:uid="{00000000-0005-0000-0000-0000065B0000}"/>
    <cellStyle name="Normal 200 5 4" xfId="24426" xr:uid="{00000000-0005-0000-0000-0000075B0000}"/>
    <cellStyle name="Normal 200 6" xfId="11041" xr:uid="{00000000-0005-0000-0000-0000085B0000}"/>
    <cellStyle name="Normal 200 6 2" xfId="12461" xr:uid="{00000000-0005-0000-0000-0000095B0000}"/>
    <cellStyle name="Normal 200 6 2 2" xfId="24431" xr:uid="{00000000-0005-0000-0000-00000A5B0000}"/>
    <cellStyle name="Normal 200 6 3" xfId="24430" xr:uid="{00000000-0005-0000-0000-00000B5B0000}"/>
    <cellStyle name="Normal 200 7" xfId="11809" xr:uid="{00000000-0005-0000-0000-00000C5B0000}"/>
    <cellStyle name="Normal 200 7 2" xfId="24432" xr:uid="{00000000-0005-0000-0000-00000D5B0000}"/>
    <cellStyle name="Normal 200 8" xfId="13582" xr:uid="{00000000-0005-0000-0000-00000E5B0000}"/>
    <cellStyle name="Normal 200 8 2" xfId="24433" xr:uid="{00000000-0005-0000-0000-00000F5B0000}"/>
    <cellStyle name="Normal 200 9" xfId="14727" xr:uid="{00000000-0005-0000-0000-0000105B0000}"/>
    <cellStyle name="Normal 200 9 2" xfId="24434" xr:uid="{00000000-0005-0000-0000-0000115B0000}"/>
    <cellStyle name="Normal 200_Additional Disclosures" xfId="16331" xr:uid="{00000000-0005-0000-0000-0000125B0000}"/>
    <cellStyle name="Normal 201" xfId="9356" xr:uid="{00000000-0005-0000-0000-0000135B0000}"/>
    <cellStyle name="Normal 201 10" xfId="24435" xr:uid="{00000000-0005-0000-0000-0000145B0000}"/>
    <cellStyle name="Normal 201 11" xfId="31880" xr:uid="{00000000-0005-0000-0000-0000155B0000}"/>
    <cellStyle name="Normal 201 2" xfId="9357" xr:uid="{00000000-0005-0000-0000-0000165B0000}"/>
    <cellStyle name="Normal 201 2 10" xfId="28632" xr:uid="{00000000-0005-0000-0000-0000175B0000}"/>
    <cellStyle name="Normal 201 2 2" xfId="12166" xr:uid="{00000000-0005-0000-0000-0000185B0000}"/>
    <cellStyle name="Normal 201 2 2 2" xfId="14348" xr:uid="{00000000-0005-0000-0000-0000195B0000}"/>
    <cellStyle name="Normal 201 2 2 2 2" xfId="24438" xr:uid="{00000000-0005-0000-0000-00001A5B0000}"/>
    <cellStyle name="Normal 201 2 2 3" xfId="15492" xr:uid="{00000000-0005-0000-0000-00001B5B0000}"/>
    <cellStyle name="Normal 201 2 2 3 2" xfId="24439" xr:uid="{00000000-0005-0000-0000-00001C5B0000}"/>
    <cellStyle name="Normal 201 2 2 4" xfId="24437" xr:uid="{00000000-0005-0000-0000-00001D5B0000}"/>
    <cellStyle name="Normal 201 2 2_Additional Disclosures" xfId="16337" xr:uid="{00000000-0005-0000-0000-00001E5B0000}"/>
    <cellStyle name="Normal 201 2 3" xfId="12167" xr:uid="{00000000-0005-0000-0000-00001F5B0000}"/>
    <cellStyle name="Normal 201 2 3 2" xfId="24440" xr:uid="{00000000-0005-0000-0000-0000205B0000}"/>
    <cellStyle name="Normal 201 2 4" xfId="13837" xr:uid="{00000000-0005-0000-0000-0000215B0000}"/>
    <cellStyle name="Normal 201 2 4 2" xfId="24441" xr:uid="{00000000-0005-0000-0000-0000225B0000}"/>
    <cellStyle name="Normal 201 2 5" xfId="14982" xr:uid="{00000000-0005-0000-0000-0000235B0000}"/>
    <cellStyle name="Normal 201 2 5 2" xfId="24442" xr:uid="{00000000-0005-0000-0000-0000245B0000}"/>
    <cellStyle name="Normal 201 2 6" xfId="24436" xr:uid="{00000000-0005-0000-0000-0000255B0000}"/>
    <cellStyle name="Normal 201 2 7" xfId="28912" xr:uid="{00000000-0005-0000-0000-0000265B0000}"/>
    <cellStyle name="Normal 201 2 8" xfId="28636" xr:uid="{00000000-0005-0000-0000-0000275B0000}"/>
    <cellStyle name="Normal 201 2 9" xfId="28916" xr:uid="{00000000-0005-0000-0000-0000285B0000}"/>
    <cellStyle name="Normal 201 2_Additional Disclosures" xfId="16336" xr:uid="{00000000-0005-0000-0000-0000295B0000}"/>
    <cellStyle name="Normal 201 3" xfId="9358" xr:uid="{00000000-0005-0000-0000-00002A5B0000}"/>
    <cellStyle name="Normal 201 3 2" xfId="12165" xr:uid="{00000000-0005-0000-0000-00002B5B0000}"/>
    <cellStyle name="Normal 201 3 2 2" xfId="24444" xr:uid="{00000000-0005-0000-0000-00002C5B0000}"/>
    <cellStyle name="Normal 201 3 3" xfId="14094" xr:uid="{00000000-0005-0000-0000-00002D5B0000}"/>
    <cellStyle name="Normal 201 3 3 2" xfId="24445" xr:uid="{00000000-0005-0000-0000-00002E5B0000}"/>
    <cellStyle name="Normal 201 3 4" xfId="15238" xr:uid="{00000000-0005-0000-0000-00002F5B0000}"/>
    <cellStyle name="Normal 201 3 4 2" xfId="24446" xr:uid="{00000000-0005-0000-0000-0000305B0000}"/>
    <cellStyle name="Normal 201 3 5" xfId="24443" xr:uid="{00000000-0005-0000-0000-0000315B0000}"/>
    <cellStyle name="Normal 201 3_Additional Disclosures" xfId="16338" xr:uid="{00000000-0005-0000-0000-0000325B0000}"/>
    <cellStyle name="Normal 201 4" xfId="9359" xr:uid="{00000000-0005-0000-0000-0000335B0000}"/>
    <cellStyle name="Normal 201 4 2" xfId="24447" xr:uid="{00000000-0005-0000-0000-0000345B0000}"/>
    <cellStyle name="Normal 201 5" xfId="9360" xr:uid="{00000000-0005-0000-0000-0000355B0000}"/>
    <cellStyle name="Normal 201 5 2" xfId="11044" xr:uid="{00000000-0005-0000-0000-0000365B0000}"/>
    <cellStyle name="Normal 201 5 2 2" xfId="12464" xr:uid="{00000000-0005-0000-0000-0000375B0000}"/>
    <cellStyle name="Normal 201 5 2 2 2" xfId="24450" xr:uid="{00000000-0005-0000-0000-0000385B0000}"/>
    <cellStyle name="Normal 201 5 2 3" xfId="24449" xr:uid="{00000000-0005-0000-0000-0000395B0000}"/>
    <cellStyle name="Normal 201 5 3" xfId="11812" xr:uid="{00000000-0005-0000-0000-00003A5B0000}"/>
    <cellStyle name="Normal 201 5 3 2" xfId="24451" xr:uid="{00000000-0005-0000-0000-00003B5B0000}"/>
    <cellStyle name="Normal 201 5 4" xfId="24448" xr:uid="{00000000-0005-0000-0000-00003C5B0000}"/>
    <cellStyle name="Normal 201 6" xfId="11043" xr:uid="{00000000-0005-0000-0000-00003D5B0000}"/>
    <cellStyle name="Normal 201 6 2" xfId="12463" xr:uid="{00000000-0005-0000-0000-00003E5B0000}"/>
    <cellStyle name="Normal 201 6 2 2" xfId="24453" xr:uid="{00000000-0005-0000-0000-00003F5B0000}"/>
    <cellStyle name="Normal 201 6 3" xfId="24452" xr:uid="{00000000-0005-0000-0000-0000405B0000}"/>
    <cellStyle name="Normal 201 7" xfId="11811" xr:uid="{00000000-0005-0000-0000-0000415B0000}"/>
    <cellStyle name="Normal 201 7 2" xfId="24454" xr:uid="{00000000-0005-0000-0000-0000425B0000}"/>
    <cellStyle name="Normal 201 8" xfId="13583" xr:uid="{00000000-0005-0000-0000-0000435B0000}"/>
    <cellStyle name="Normal 201 8 2" xfId="24455" xr:uid="{00000000-0005-0000-0000-0000445B0000}"/>
    <cellStyle name="Normal 201 9" xfId="14728" xr:uid="{00000000-0005-0000-0000-0000455B0000}"/>
    <cellStyle name="Normal 201 9 2" xfId="24456" xr:uid="{00000000-0005-0000-0000-0000465B0000}"/>
    <cellStyle name="Normal 201_Additional Disclosures" xfId="16335" xr:uid="{00000000-0005-0000-0000-0000475B0000}"/>
    <cellStyle name="Normal 202" xfId="9361" xr:uid="{00000000-0005-0000-0000-0000485B0000}"/>
    <cellStyle name="Normal 202 10" xfId="24457" xr:uid="{00000000-0005-0000-0000-0000495B0000}"/>
    <cellStyle name="Normal 202 11" xfId="31881" xr:uid="{00000000-0005-0000-0000-00004A5B0000}"/>
    <cellStyle name="Normal 202 2" xfId="9362" xr:uid="{00000000-0005-0000-0000-00004B5B0000}"/>
    <cellStyle name="Normal 202 2 10" xfId="28631" xr:uid="{00000000-0005-0000-0000-00004C5B0000}"/>
    <cellStyle name="Normal 202 2 2" xfId="12163" xr:uid="{00000000-0005-0000-0000-00004D5B0000}"/>
    <cellStyle name="Normal 202 2 2 2" xfId="14349" xr:uid="{00000000-0005-0000-0000-00004E5B0000}"/>
    <cellStyle name="Normal 202 2 2 2 2" xfId="24460" xr:uid="{00000000-0005-0000-0000-00004F5B0000}"/>
    <cellStyle name="Normal 202 2 2 3" xfId="15493" xr:uid="{00000000-0005-0000-0000-0000505B0000}"/>
    <cellStyle name="Normal 202 2 2 3 2" xfId="24461" xr:uid="{00000000-0005-0000-0000-0000515B0000}"/>
    <cellStyle name="Normal 202 2 2 4" xfId="24459" xr:uid="{00000000-0005-0000-0000-0000525B0000}"/>
    <cellStyle name="Normal 202 2 2_Additional Disclosures" xfId="16341" xr:uid="{00000000-0005-0000-0000-0000535B0000}"/>
    <cellStyle name="Normal 202 2 3" xfId="12164" xr:uid="{00000000-0005-0000-0000-0000545B0000}"/>
    <cellStyle name="Normal 202 2 3 2" xfId="24462" xr:uid="{00000000-0005-0000-0000-0000555B0000}"/>
    <cellStyle name="Normal 202 2 4" xfId="13838" xr:uid="{00000000-0005-0000-0000-0000565B0000}"/>
    <cellStyle name="Normal 202 2 4 2" xfId="24463" xr:uid="{00000000-0005-0000-0000-0000575B0000}"/>
    <cellStyle name="Normal 202 2 5" xfId="14983" xr:uid="{00000000-0005-0000-0000-0000585B0000}"/>
    <cellStyle name="Normal 202 2 5 2" xfId="24464" xr:uid="{00000000-0005-0000-0000-0000595B0000}"/>
    <cellStyle name="Normal 202 2 6" xfId="24458" xr:uid="{00000000-0005-0000-0000-00005A5B0000}"/>
    <cellStyle name="Normal 202 2 7" xfId="28914" xr:uid="{00000000-0005-0000-0000-00005B5B0000}"/>
    <cellStyle name="Normal 202 2 8" xfId="28634" xr:uid="{00000000-0005-0000-0000-00005C5B0000}"/>
    <cellStyle name="Normal 202 2 9" xfId="28917" xr:uid="{00000000-0005-0000-0000-00005D5B0000}"/>
    <cellStyle name="Normal 202 2_Additional Disclosures" xfId="16340" xr:uid="{00000000-0005-0000-0000-00005E5B0000}"/>
    <cellStyle name="Normal 202 3" xfId="9363" xr:uid="{00000000-0005-0000-0000-00005F5B0000}"/>
    <cellStyle name="Normal 202 3 2" xfId="12162" xr:uid="{00000000-0005-0000-0000-0000605B0000}"/>
    <cellStyle name="Normal 202 3 2 2" xfId="24466" xr:uid="{00000000-0005-0000-0000-0000615B0000}"/>
    <cellStyle name="Normal 202 3 3" xfId="14095" xr:uid="{00000000-0005-0000-0000-0000625B0000}"/>
    <cellStyle name="Normal 202 3 3 2" xfId="24467" xr:uid="{00000000-0005-0000-0000-0000635B0000}"/>
    <cellStyle name="Normal 202 3 4" xfId="15239" xr:uid="{00000000-0005-0000-0000-0000645B0000}"/>
    <cellStyle name="Normal 202 3 4 2" xfId="24468" xr:uid="{00000000-0005-0000-0000-0000655B0000}"/>
    <cellStyle name="Normal 202 3 5" xfId="24465" xr:uid="{00000000-0005-0000-0000-0000665B0000}"/>
    <cellStyle name="Normal 202 3_Additional Disclosures" xfId="16342" xr:uid="{00000000-0005-0000-0000-0000675B0000}"/>
    <cellStyle name="Normal 202 4" xfId="9364" xr:uid="{00000000-0005-0000-0000-0000685B0000}"/>
    <cellStyle name="Normal 202 4 2" xfId="24469" xr:uid="{00000000-0005-0000-0000-0000695B0000}"/>
    <cellStyle name="Normal 202 5" xfId="9365" xr:uid="{00000000-0005-0000-0000-00006A5B0000}"/>
    <cellStyle name="Normal 202 5 2" xfId="11046" xr:uid="{00000000-0005-0000-0000-00006B5B0000}"/>
    <cellStyle name="Normal 202 5 2 2" xfId="12466" xr:uid="{00000000-0005-0000-0000-00006C5B0000}"/>
    <cellStyle name="Normal 202 5 2 2 2" xfId="24472" xr:uid="{00000000-0005-0000-0000-00006D5B0000}"/>
    <cellStyle name="Normal 202 5 2 3" xfId="24471" xr:uid="{00000000-0005-0000-0000-00006E5B0000}"/>
    <cellStyle name="Normal 202 5 3" xfId="11814" xr:uid="{00000000-0005-0000-0000-00006F5B0000}"/>
    <cellStyle name="Normal 202 5 3 2" xfId="24473" xr:uid="{00000000-0005-0000-0000-0000705B0000}"/>
    <cellStyle name="Normal 202 5 4" xfId="24470" xr:uid="{00000000-0005-0000-0000-0000715B0000}"/>
    <cellStyle name="Normal 202 6" xfId="11045" xr:uid="{00000000-0005-0000-0000-0000725B0000}"/>
    <cellStyle name="Normal 202 6 2" xfId="12465" xr:uid="{00000000-0005-0000-0000-0000735B0000}"/>
    <cellStyle name="Normal 202 6 2 2" xfId="24475" xr:uid="{00000000-0005-0000-0000-0000745B0000}"/>
    <cellStyle name="Normal 202 6 3" xfId="24474" xr:uid="{00000000-0005-0000-0000-0000755B0000}"/>
    <cellStyle name="Normal 202 7" xfId="11813" xr:uid="{00000000-0005-0000-0000-0000765B0000}"/>
    <cellStyle name="Normal 202 7 2" xfId="24476" xr:uid="{00000000-0005-0000-0000-0000775B0000}"/>
    <cellStyle name="Normal 202 8" xfId="13584" xr:uid="{00000000-0005-0000-0000-0000785B0000}"/>
    <cellStyle name="Normal 202 8 2" xfId="24477" xr:uid="{00000000-0005-0000-0000-0000795B0000}"/>
    <cellStyle name="Normal 202 9" xfId="14729" xr:uid="{00000000-0005-0000-0000-00007A5B0000}"/>
    <cellStyle name="Normal 202 9 2" xfId="24478" xr:uid="{00000000-0005-0000-0000-00007B5B0000}"/>
    <cellStyle name="Normal 202_Additional Disclosures" xfId="16339" xr:uid="{00000000-0005-0000-0000-00007C5B0000}"/>
    <cellStyle name="Normal 203" xfId="9366" xr:uid="{00000000-0005-0000-0000-00007D5B0000}"/>
    <cellStyle name="Normal 203 10" xfId="24479" xr:uid="{00000000-0005-0000-0000-00007E5B0000}"/>
    <cellStyle name="Normal 203 11" xfId="31882" xr:uid="{00000000-0005-0000-0000-00007F5B0000}"/>
    <cellStyle name="Normal 203 2" xfId="9367" xr:uid="{00000000-0005-0000-0000-0000805B0000}"/>
    <cellStyle name="Normal 203 2 2" xfId="14350" xr:uid="{00000000-0005-0000-0000-0000815B0000}"/>
    <cellStyle name="Normal 203 2 2 2" xfId="24481" xr:uid="{00000000-0005-0000-0000-0000825B0000}"/>
    <cellStyle name="Normal 203 2 3" xfId="15494" xr:uid="{00000000-0005-0000-0000-0000835B0000}"/>
    <cellStyle name="Normal 203 2 3 2" xfId="24482" xr:uid="{00000000-0005-0000-0000-0000845B0000}"/>
    <cellStyle name="Normal 203 2 4" xfId="24480" xr:uid="{00000000-0005-0000-0000-0000855B0000}"/>
    <cellStyle name="Normal 203 2_Additional Disclosures" xfId="16344" xr:uid="{00000000-0005-0000-0000-0000865B0000}"/>
    <cellStyle name="Normal 203 3" xfId="9368" xr:uid="{00000000-0005-0000-0000-0000875B0000}"/>
    <cellStyle name="Normal 203 3 2" xfId="24483" xr:uid="{00000000-0005-0000-0000-0000885B0000}"/>
    <cellStyle name="Normal 203 4" xfId="9369" xr:uid="{00000000-0005-0000-0000-0000895B0000}"/>
    <cellStyle name="Normal 203 4 2" xfId="24484" xr:uid="{00000000-0005-0000-0000-00008A5B0000}"/>
    <cellStyle name="Normal 203 5" xfId="9370" xr:uid="{00000000-0005-0000-0000-00008B5B0000}"/>
    <cellStyle name="Normal 203 5 2" xfId="11048" xr:uid="{00000000-0005-0000-0000-00008C5B0000}"/>
    <cellStyle name="Normal 203 5 2 2" xfId="12468" xr:uid="{00000000-0005-0000-0000-00008D5B0000}"/>
    <cellStyle name="Normal 203 5 2 2 2" xfId="24487" xr:uid="{00000000-0005-0000-0000-00008E5B0000}"/>
    <cellStyle name="Normal 203 5 2 3" xfId="24486" xr:uid="{00000000-0005-0000-0000-00008F5B0000}"/>
    <cellStyle name="Normal 203 5 3" xfId="11816" xr:uid="{00000000-0005-0000-0000-0000905B0000}"/>
    <cellStyle name="Normal 203 5 3 2" xfId="24488" xr:uid="{00000000-0005-0000-0000-0000915B0000}"/>
    <cellStyle name="Normal 203 5 4" xfId="24485" xr:uid="{00000000-0005-0000-0000-0000925B0000}"/>
    <cellStyle name="Normal 203 6" xfId="11047" xr:uid="{00000000-0005-0000-0000-0000935B0000}"/>
    <cellStyle name="Normal 203 6 2" xfId="12467" xr:uid="{00000000-0005-0000-0000-0000945B0000}"/>
    <cellStyle name="Normal 203 6 2 2" xfId="24490" xr:uid="{00000000-0005-0000-0000-0000955B0000}"/>
    <cellStyle name="Normal 203 6 3" xfId="24489" xr:uid="{00000000-0005-0000-0000-0000965B0000}"/>
    <cellStyle name="Normal 203 7" xfId="11815" xr:uid="{00000000-0005-0000-0000-0000975B0000}"/>
    <cellStyle name="Normal 203 7 2" xfId="24491" xr:uid="{00000000-0005-0000-0000-0000985B0000}"/>
    <cellStyle name="Normal 203 8" xfId="14352" xr:uid="{00000000-0005-0000-0000-0000995B0000}"/>
    <cellStyle name="Normal 203 8 2" xfId="24492" xr:uid="{00000000-0005-0000-0000-00009A5B0000}"/>
    <cellStyle name="Normal 203 9" xfId="15496" xr:uid="{00000000-0005-0000-0000-00009B5B0000}"/>
    <cellStyle name="Normal 203 9 2" xfId="24493" xr:uid="{00000000-0005-0000-0000-00009C5B0000}"/>
    <cellStyle name="Normal 203_Additional Disclosures" xfId="16343" xr:uid="{00000000-0005-0000-0000-00009D5B0000}"/>
    <cellStyle name="Normal 204" xfId="9371" xr:uid="{00000000-0005-0000-0000-00009E5B0000}"/>
    <cellStyle name="Normal 204 2" xfId="9372" xr:uid="{00000000-0005-0000-0000-00009F5B0000}"/>
    <cellStyle name="Normal 204 2 2" xfId="11050" xr:uid="{00000000-0005-0000-0000-0000A05B0000}"/>
    <cellStyle name="Normal 204 2 2 2" xfId="12470" xr:uid="{00000000-0005-0000-0000-0000A15B0000}"/>
    <cellStyle name="Normal 204 2 2 2 2" xfId="24497" xr:uid="{00000000-0005-0000-0000-0000A25B0000}"/>
    <cellStyle name="Normal 204 2 2 3" xfId="24496" xr:uid="{00000000-0005-0000-0000-0000A35B0000}"/>
    <cellStyle name="Normal 204 2 3" xfId="11818" xr:uid="{00000000-0005-0000-0000-0000A45B0000}"/>
    <cellStyle name="Normal 204 2 3 2" xfId="24498" xr:uid="{00000000-0005-0000-0000-0000A55B0000}"/>
    <cellStyle name="Normal 204 2 4" xfId="14351" xr:uid="{00000000-0005-0000-0000-0000A65B0000}"/>
    <cellStyle name="Normal 204 2 4 2" xfId="24499" xr:uid="{00000000-0005-0000-0000-0000A75B0000}"/>
    <cellStyle name="Normal 204 2 5" xfId="15495" xr:uid="{00000000-0005-0000-0000-0000A85B0000}"/>
    <cellStyle name="Normal 204 2 5 2" xfId="24500" xr:uid="{00000000-0005-0000-0000-0000A95B0000}"/>
    <cellStyle name="Normal 204 2 6" xfId="24495" xr:uid="{00000000-0005-0000-0000-0000AA5B0000}"/>
    <cellStyle name="Normal 204 2_Additional Disclosures" xfId="16346" xr:uid="{00000000-0005-0000-0000-0000AB5B0000}"/>
    <cellStyle name="Normal 204 3" xfId="11049" xr:uid="{00000000-0005-0000-0000-0000AC5B0000}"/>
    <cellStyle name="Normal 204 3 2" xfId="12469" xr:uid="{00000000-0005-0000-0000-0000AD5B0000}"/>
    <cellStyle name="Normal 204 3 2 2" xfId="24502" xr:uid="{00000000-0005-0000-0000-0000AE5B0000}"/>
    <cellStyle name="Normal 204 3 3" xfId="24501" xr:uid="{00000000-0005-0000-0000-0000AF5B0000}"/>
    <cellStyle name="Normal 204 4" xfId="11817" xr:uid="{00000000-0005-0000-0000-0000B05B0000}"/>
    <cellStyle name="Normal 204 4 2" xfId="24503" xr:uid="{00000000-0005-0000-0000-0000B15B0000}"/>
    <cellStyle name="Normal 204 5" xfId="14353" xr:uid="{00000000-0005-0000-0000-0000B25B0000}"/>
    <cellStyle name="Normal 204 5 2" xfId="24504" xr:uid="{00000000-0005-0000-0000-0000B35B0000}"/>
    <cellStyle name="Normal 204 6" xfId="15497" xr:uid="{00000000-0005-0000-0000-0000B45B0000}"/>
    <cellStyle name="Normal 204 6 2" xfId="24505" xr:uid="{00000000-0005-0000-0000-0000B55B0000}"/>
    <cellStyle name="Normal 204 7" xfId="24494" xr:uid="{00000000-0005-0000-0000-0000B65B0000}"/>
    <cellStyle name="Normal 204 8" xfId="31883" xr:uid="{00000000-0005-0000-0000-0000B75B0000}"/>
    <cellStyle name="Normal 204_Additional Disclosures" xfId="16345" xr:uid="{00000000-0005-0000-0000-0000B85B0000}"/>
    <cellStyle name="Normal 205" xfId="9373" xr:uid="{00000000-0005-0000-0000-0000B95B0000}"/>
    <cellStyle name="Normal 205 2" xfId="9374" xr:uid="{00000000-0005-0000-0000-0000BA5B0000}"/>
    <cellStyle name="Normal 205 2 2" xfId="11052" xr:uid="{00000000-0005-0000-0000-0000BB5B0000}"/>
    <cellStyle name="Normal 205 2 2 2" xfId="12472" xr:uid="{00000000-0005-0000-0000-0000BC5B0000}"/>
    <cellStyle name="Normal 205 2 2 2 2" xfId="24509" xr:uid="{00000000-0005-0000-0000-0000BD5B0000}"/>
    <cellStyle name="Normal 205 2 2 3" xfId="24508" xr:uid="{00000000-0005-0000-0000-0000BE5B0000}"/>
    <cellStyle name="Normal 205 2 3" xfId="11820" xr:uid="{00000000-0005-0000-0000-0000BF5B0000}"/>
    <cellStyle name="Normal 205 2 3 2" xfId="24510" xr:uid="{00000000-0005-0000-0000-0000C05B0000}"/>
    <cellStyle name="Normal 205 2 4" xfId="24507" xr:uid="{00000000-0005-0000-0000-0000C15B0000}"/>
    <cellStyle name="Normal 205 3" xfId="11051" xr:uid="{00000000-0005-0000-0000-0000C25B0000}"/>
    <cellStyle name="Normal 205 3 2" xfId="12471" xr:uid="{00000000-0005-0000-0000-0000C35B0000}"/>
    <cellStyle name="Normal 205 3 2 2" xfId="24512" xr:uid="{00000000-0005-0000-0000-0000C45B0000}"/>
    <cellStyle name="Normal 205 3 3" xfId="24511" xr:uid="{00000000-0005-0000-0000-0000C55B0000}"/>
    <cellStyle name="Normal 205 4" xfId="11819" xr:uid="{00000000-0005-0000-0000-0000C65B0000}"/>
    <cellStyle name="Normal 205 4 2" xfId="24513" xr:uid="{00000000-0005-0000-0000-0000C75B0000}"/>
    <cellStyle name="Normal 205 5" xfId="13839" xr:uid="{00000000-0005-0000-0000-0000C85B0000}"/>
    <cellStyle name="Normal 205 5 2" xfId="24514" xr:uid="{00000000-0005-0000-0000-0000C95B0000}"/>
    <cellStyle name="Normal 205 6" xfId="14984" xr:uid="{00000000-0005-0000-0000-0000CA5B0000}"/>
    <cellStyle name="Normal 205 6 2" xfId="24515" xr:uid="{00000000-0005-0000-0000-0000CB5B0000}"/>
    <cellStyle name="Normal 205 7" xfId="24506" xr:uid="{00000000-0005-0000-0000-0000CC5B0000}"/>
    <cellStyle name="Normal 205 8" xfId="31884" xr:uid="{00000000-0005-0000-0000-0000CD5B0000}"/>
    <cellStyle name="Normal 205_Additional Disclosures" xfId="16347" xr:uid="{00000000-0005-0000-0000-0000CE5B0000}"/>
    <cellStyle name="Normal 206" xfId="9375" xr:uid="{00000000-0005-0000-0000-0000CF5B0000}"/>
    <cellStyle name="Normal 206 2" xfId="9376" xr:uid="{00000000-0005-0000-0000-0000D05B0000}"/>
    <cellStyle name="Normal 206 2 2" xfId="11054" xr:uid="{00000000-0005-0000-0000-0000D15B0000}"/>
    <cellStyle name="Normal 206 2 2 2" xfId="12474" xr:uid="{00000000-0005-0000-0000-0000D25B0000}"/>
    <cellStyle name="Normal 206 2 2 2 2" xfId="24519" xr:uid="{00000000-0005-0000-0000-0000D35B0000}"/>
    <cellStyle name="Normal 206 2 2 3" xfId="24518" xr:uid="{00000000-0005-0000-0000-0000D45B0000}"/>
    <cellStyle name="Normal 206 2 3" xfId="11822" xr:uid="{00000000-0005-0000-0000-0000D55B0000}"/>
    <cellStyle name="Normal 206 2 3 2" xfId="24520" xr:uid="{00000000-0005-0000-0000-0000D65B0000}"/>
    <cellStyle name="Normal 206 2 4" xfId="24517" xr:uid="{00000000-0005-0000-0000-0000D75B0000}"/>
    <cellStyle name="Normal 206 3" xfId="11053" xr:uid="{00000000-0005-0000-0000-0000D85B0000}"/>
    <cellStyle name="Normal 206 3 2" xfId="12473" xr:uid="{00000000-0005-0000-0000-0000D95B0000}"/>
    <cellStyle name="Normal 206 3 2 2" xfId="24522" xr:uid="{00000000-0005-0000-0000-0000DA5B0000}"/>
    <cellStyle name="Normal 206 3 3" xfId="24521" xr:uid="{00000000-0005-0000-0000-0000DB5B0000}"/>
    <cellStyle name="Normal 206 4" xfId="11821" xr:uid="{00000000-0005-0000-0000-0000DC5B0000}"/>
    <cellStyle name="Normal 206 4 2" xfId="24523" xr:uid="{00000000-0005-0000-0000-0000DD5B0000}"/>
    <cellStyle name="Normal 206 5" xfId="13840" xr:uid="{00000000-0005-0000-0000-0000DE5B0000}"/>
    <cellStyle name="Normal 206 5 2" xfId="24524" xr:uid="{00000000-0005-0000-0000-0000DF5B0000}"/>
    <cellStyle name="Normal 206 6" xfId="14985" xr:uid="{00000000-0005-0000-0000-0000E05B0000}"/>
    <cellStyle name="Normal 206 6 2" xfId="24525" xr:uid="{00000000-0005-0000-0000-0000E15B0000}"/>
    <cellStyle name="Normal 206 7" xfId="24516" xr:uid="{00000000-0005-0000-0000-0000E25B0000}"/>
    <cellStyle name="Normal 206 8" xfId="31885" xr:uid="{00000000-0005-0000-0000-0000E35B0000}"/>
    <cellStyle name="Normal 206_Additional Disclosures" xfId="16348" xr:uid="{00000000-0005-0000-0000-0000E45B0000}"/>
    <cellStyle name="Normal 207" xfId="9377" xr:uid="{00000000-0005-0000-0000-0000E55B0000}"/>
    <cellStyle name="Normal 207 2" xfId="9378" xr:uid="{00000000-0005-0000-0000-0000E65B0000}"/>
    <cellStyle name="Normal 207 2 2" xfId="11056" xr:uid="{00000000-0005-0000-0000-0000E75B0000}"/>
    <cellStyle name="Normal 207 2 2 2" xfId="12476" xr:uid="{00000000-0005-0000-0000-0000E85B0000}"/>
    <cellStyle name="Normal 207 2 2 2 2" xfId="24529" xr:uid="{00000000-0005-0000-0000-0000E95B0000}"/>
    <cellStyle name="Normal 207 2 2 3" xfId="24528" xr:uid="{00000000-0005-0000-0000-0000EA5B0000}"/>
    <cellStyle name="Normal 207 2 3" xfId="11824" xr:uid="{00000000-0005-0000-0000-0000EB5B0000}"/>
    <cellStyle name="Normal 207 2 3 2" xfId="24530" xr:uid="{00000000-0005-0000-0000-0000EC5B0000}"/>
    <cellStyle name="Normal 207 2 4" xfId="24527" xr:uid="{00000000-0005-0000-0000-0000ED5B0000}"/>
    <cellStyle name="Normal 207 3" xfId="11055" xr:uid="{00000000-0005-0000-0000-0000EE5B0000}"/>
    <cellStyle name="Normal 207 3 2" xfId="12475" xr:uid="{00000000-0005-0000-0000-0000EF5B0000}"/>
    <cellStyle name="Normal 207 3 2 2" xfId="24532" xr:uid="{00000000-0005-0000-0000-0000F05B0000}"/>
    <cellStyle name="Normal 207 3 3" xfId="24531" xr:uid="{00000000-0005-0000-0000-0000F15B0000}"/>
    <cellStyle name="Normal 207 4" xfId="11823" xr:uid="{00000000-0005-0000-0000-0000F25B0000}"/>
    <cellStyle name="Normal 207 4 2" xfId="24533" xr:uid="{00000000-0005-0000-0000-0000F35B0000}"/>
    <cellStyle name="Normal 207 5" xfId="14354" xr:uid="{00000000-0005-0000-0000-0000F45B0000}"/>
    <cellStyle name="Normal 207 5 2" xfId="24534" xr:uid="{00000000-0005-0000-0000-0000F55B0000}"/>
    <cellStyle name="Normal 207 6" xfId="15498" xr:uid="{00000000-0005-0000-0000-0000F65B0000}"/>
    <cellStyle name="Normal 207 6 2" xfId="24535" xr:uid="{00000000-0005-0000-0000-0000F75B0000}"/>
    <cellStyle name="Normal 207 7" xfId="24526" xr:uid="{00000000-0005-0000-0000-0000F85B0000}"/>
    <cellStyle name="Normal 207 8" xfId="31886" xr:uid="{00000000-0005-0000-0000-0000F95B0000}"/>
    <cellStyle name="Normal 207_Additional Disclosures" xfId="16349" xr:uid="{00000000-0005-0000-0000-0000FA5B0000}"/>
    <cellStyle name="Normal 208" xfId="9379" xr:uid="{00000000-0005-0000-0000-0000FB5B0000}"/>
    <cellStyle name="Normal 208 2" xfId="9380" xr:uid="{00000000-0005-0000-0000-0000FC5B0000}"/>
    <cellStyle name="Normal 208 2 2" xfId="11058" xr:uid="{00000000-0005-0000-0000-0000FD5B0000}"/>
    <cellStyle name="Normal 208 2 2 2" xfId="12478" xr:uid="{00000000-0005-0000-0000-0000FE5B0000}"/>
    <cellStyle name="Normal 208 2 2 2 2" xfId="24539" xr:uid="{00000000-0005-0000-0000-0000FF5B0000}"/>
    <cellStyle name="Normal 208 2 2 3" xfId="24538" xr:uid="{00000000-0005-0000-0000-0000005C0000}"/>
    <cellStyle name="Normal 208 2 3" xfId="11826" xr:uid="{00000000-0005-0000-0000-0000015C0000}"/>
    <cellStyle name="Normal 208 2 3 2" xfId="24540" xr:uid="{00000000-0005-0000-0000-0000025C0000}"/>
    <cellStyle name="Normal 208 2 4" xfId="24537" xr:uid="{00000000-0005-0000-0000-0000035C0000}"/>
    <cellStyle name="Normal 208 3" xfId="11057" xr:uid="{00000000-0005-0000-0000-0000045C0000}"/>
    <cellStyle name="Normal 208 3 2" xfId="12477" xr:uid="{00000000-0005-0000-0000-0000055C0000}"/>
    <cellStyle name="Normal 208 3 2 2" xfId="24542" xr:uid="{00000000-0005-0000-0000-0000065C0000}"/>
    <cellStyle name="Normal 208 3 3" xfId="24541" xr:uid="{00000000-0005-0000-0000-0000075C0000}"/>
    <cellStyle name="Normal 208 4" xfId="11825" xr:uid="{00000000-0005-0000-0000-0000085C0000}"/>
    <cellStyle name="Normal 208 4 2" xfId="24543" xr:uid="{00000000-0005-0000-0000-0000095C0000}"/>
    <cellStyle name="Normal 208 5" xfId="14355" xr:uid="{00000000-0005-0000-0000-00000A5C0000}"/>
    <cellStyle name="Normal 208 5 2" xfId="24544" xr:uid="{00000000-0005-0000-0000-00000B5C0000}"/>
    <cellStyle name="Normal 208 6" xfId="15499" xr:uid="{00000000-0005-0000-0000-00000C5C0000}"/>
    <cellStyle name="Normal 208 6 2" xfId="24545" xr:uid="{00000000-0005-0000-0000-00000D5C0000}"/>
    <cellStyle name="Normal 208 7" xfId="24536" xr:uid="{00000000-0005-0000-0000-00000E5C0000}"/>
    <cellStyle name="Normal 208 8" xfId="31887" xr:uid="{00000000-0005-0000-0000-00000F5C0000}"/>
    <cellStyle name="Normal 208_Additional Disclosures" xfId="16350" xr:uid="{00000000-0005-0000-0000-0000105C0000}"/>
    <cellStyle name="Normal 209" xfId="9381" xr:uid="{00000000-0005-0000-0000-0000115C0000}"/>
    <cellStyle name="Normal 209 2" xfId="9382" xr:uid="{00000000-0005-0000-0000-0000125C0000}"/>
    <cellStyle name="Normal 209 2 2" xfId="11060" xr:uid="{00000000-0005-0000-0000-0000135C0000}"/>
    <cellStyle name="Normal 209 2 2 2" xfId="12480" xr:uid="{00000000-0005-0000-0000-0000145C0000}"/>
    <cellStyle name="Normal 209 2 2 2 2" xfId="24549" xr:uid="{00000000-0005-0000-0000-0000155C0000}"/>
    <cellStyle name="Normal 209 2 2 3" xfId="24548" xr:uid="{00000000-0005-0000-0000-0000165C0000}"/>
    <cellStyle name="Normal 209 2 3" xfId="11828" xr:uid="{00000000-0005-0000-0000-0000175C0000}"/>
    <cellStyle name="Normal 209 2 3 2" xfId="24550" xr:uid="{00000000-0005-0000-0000-0000185C0000}"/>
    <cellStyle name="Normal 209 2 4" xfId="24547" xr:uid="{00000000-0005-0000-0000-0000195C0000}"/>
    <cellStyle name="Normal 209 3" xfId="11059" xr:uid="{00000000-0005-0000-0000-00001A5C0000}"/>
    <cellStyle name="Normal 209 3 2" xfId="12479" xr:uid="{00000000-0005-0000-0000-00001B5C0000}"/>
    <cellStyle name="Normal 209 3 2 2" xfId="24552" xr:uid="{00000000-0005-0000-0000-00001C5C0000}"/>
    <cellStyle name="Normal 209 3 3" xfId="24551" xr:uid="{00000000-0005-0000-0000-00001D5C0000}"/>
    <cellStyle name="Normal 209 4" xfId="11827" xr:uid="{00000000-0005-0000-0000-00001E5C0000}"/>
    <cellStyle name="Normal 209 4 2" xfId="24553" xr:uid="{00000000-0005-0000-0000-00001F5C0000}"/>
    <cellStyle name="Normal 209 5" xfId="14356" xr:uid="{00000000-0005-0000-0000-0000205C0000}"/>
    <cellStyle name="Normal 209 5 2" xfId="24554" xr:uid="{00000000-0005-0000-0000-0000215C0000}"/>
    <cellStyle name="Normal 209 6" xfId="15500" xr:uid="{00000000-0005-0000-0000-0000225C0000}"/>
    <cellStyle name="Normal 209 6 2" xfId="24555" xr:uid="{00000000-0005-0000-0000-0000235C0000}"/>
    <cellStyle name="Normal 209 7" xfId="24546" xr:uid="{00000000-0005-0000-0000-0000245C0000}"/>
    <cellStyle name="Normal 209 8" xfId="31888" xr:uid="{00000000-0005-0000-0000-0000255C0000}"/>
    <cellStyle name="Normal 209_Additional Disclosures" xfId="16351" xr:uid="{00000000-0005-0000-0000-0000265C0000}"/>
    <cellStyle name="Normal 21" xfId="555" xr:uid="{00000000-0005-0000-0000-0000275C0000}"/>
    <cellStyle name="Normal 21 10" xfId="28919" xr:uid="{00000000-0005-0000-0000-0000285C0000}"/>
    <cellStyle name="Normal 21 11" xfId="31889" xr:uid="{00000000-0005-0000-0000-0000295C0000}"/>
    <cellStyle name="Normal 21 12" xfId="31890" xr:uid="{00000000-0005-0000-0000-00002A5C0000}"/>
    <cellStyle name="Normal 21 2" xfId="9383" xr:uid="{00000000-0005-0000-0000-00002B5C0000}"/>
    <cellStyle name="Normal 21 2 10" xfId="33395" xr:uid="{00000000-0005-0000-0000-00002C5C0000}"/>
    <cellStyle name="Normal 21 2 2" xfId="11061" xr:uid="{00000000-0005-0000-0000-00002D5C0000}"/>
    <cellStyle name="Normal 21 2 2 2" xfId="12481" xr:uid="{00000000-0005-0000-0000-00002E5C0000}"/>
    <cellStyle name="Normal 21 2 2 2 2" xfId="14141" xr:uid="{00000000-0005-0000-0000-00002F5C0000}"/>
    <cellStyle name="Normal 21 2 2 2 2 2" xfId="24560" xr:uid="{00000000-0005-0000-0000-0000305C0000}"/>
    <cellStyle name="Normal 21 2 2 2 3" xfId="15285" xr:uid="{00000000-0005-0000-0000-0000315C0000}"/>
    <cellStyle name="Normal 21 2 2 2 3 2" xfId="24561" xr:uid="{00000000-0005-0000-0000-0000325C0000}"/>
    <cellStyle name="Normal 21 2 2 2 4" xfId="24559" xr:uid="{00000000-0005-0000-0000-0000335C0000}"/>
    <cellStyle name="Normal 21 2 2 2_Additional Disclosures" xfId="16355" xr:uid="{00000000-0005-0000-0000-0000345C0000}"/>
    <cellStyle name="Normal 21 2 2 3" xfId="13630" xr:uid="{00000000-0005-0000-0000-0000355C0000}"/>
    <cellStyle name="Normal 21 2 2 3 2" xfId="24562" xr:uid="{00000000-0005-0000-0000-0000365C0000}"/>
    <cellStyle name="Normal 21 2 2 4" xfId="14775" xr:uid="{00000000-0005-0000-0000-0000375C0000}"/>
    <cellStyle name="Normal 21 2 2 4 2" xfId="24563" xr:uid="{00000000-0005-0000-0000-0000385C0000}"/>
    <cellStyle name="Normal 21 2 2 5" xfId="24558" xr:uid="{00000000-0005-0000-0000-0000395C0000}"/>
    <cellStyle name="Normal 21 2 2 6" xfId="33776" xr:uid="{00000000-0005-0000-0000-00003A5C0000}"/>
    <cellStyle name="Normal 21 2 2 7" xfId="34301" xr:uid="{00000000-0005-0000-0000-00003B5C0000}"/>
    <cellStyle name="Normal 21 2 2_Additional Disclosures" xfId="16354" xr:uid="{00000000-0005-0000-0000-00003C5C0000}"/>
    <cellStyle name="Normal 21 2 3" xfId="11829" xr:uid="{00000000-0005-0000-0000-00003D5C0000}"/>
    <cellStyle name="Normal 21 2 3 2" xfId="13886" xr:uid="{00000000-0005-0000-0000-00003E5C0000}"/>
    <cellStyle name="Normal 21 2 3 2 2" xfId="24565" xr:uid="{00000000-0005-0000-0000-00003F5C0000}"/>
    <cellStyle name="Normal 21 2 3 3" xfId="15031" xr:uid="{00000000-0005-0000-0000-0000405C0000}"/>
    <cellStyle name="Normal 21 2 3 3 2" xfId="24566" xr:uid="{00000000-0005-0000-0000-0000415C0000}"/>
    <cellStyle name="Normal 21 2 3 4" xfId="24564" xr:uid="{00000000-0005-0000-0000-0000425C0000}"/>
    <cellStyle name="Normal 21 2 3 5" xfId="34004" xr:uid="{00000000-0005-0000-0000-0000435C0000}"/>
    <cellStyle name="Normal 21 2 3_Additional Disclosures" xfId="16356" xr:uid="{00000000-0005-0000-0000-0000445C0000}"/>
    <cellStyle name="Normal 21 2 4" xfId="13375" xr:uid="{00000000-0005-0000-0000-0000455C0000}"/>
    <cellStyle name="Normal 21 2 4 2" xfId="24567" xr:uid="{00000000-0005-0000-0000-0000465C0000}"/>
    <cellStyle name="Normal 21 2 4 3" xfId="34218" xr:uid="{00000000-0005-0000-0000-0000475C0000}"/>
    <cellStyle name="Normal 21 2 5" xfId="14519" xr:uid="{00000000-0005-0000-0000-0000485C0000}"/>
    <cellStyle name="Normal 21 2 5 2" xfId="24568" xr:uid="{00000000-0005-0000-0000-0000495C0000}"/>
    <cellStyle name="Normal 21 2 6" xfId="24557" xr:uid="{00000000-0005-0000-0000-00004A5C0000}"/>
    <cellStyle name="Normal 21 2 7" xfId="31891" xr:uid="{00000000-0005-0000-0000-00004B5C0000}"/>
    <cellStyle name="Normal 21 2 8" xfId="31892" xr:uid="{00000000-0005-0000-0000-00004C5C0000}"/>
    <cellStyle name="Normal 21 2 9" xfId="31893" xr:uid="{00000000-0005-0000-0000-00004D5C0000}"/>
    <cellStyle name="Normal 21 2_Additional Disclosures" xfId="16353" xr:uid="{00000000-0005-0000-0000-00004E5C0000}"/>
    <cellStyle name="Normal 21 3" xfId="9384" xr:uid="{00000000-0005-0000-0000-00004F5C0000}"/>
    <cellStyle name="Normal 21 3 2" xfId="11062" xr:uid="{00000000-0005-0000-0000-0000505C0000}"/>
    <cellStyle name="Normal 21 3 2 2" xfId="12482" xr:uid="{00000000-0005-0000-0000-0000515C0000}"/>
    <cellStyle name="Normal 21 3 2 2 2" xfId="24571" xr:uid="{00000000-0005-0000-0000-0000525C0000}"/>
    <cellStyle name="Normal 21 3 2 3" xfId="14101" xr:uid="{00000000-0005-0000-0000-0000535C0000}"/>
    <cellStyle name="Normal 21 3 2 3 2" xfId="24572" xr:uid="{00000000-0005-0000-0000-0000545C0000}"/>
    <cellStyle name="Normal 21 3 2 4" xfId="15245" xr:uid="{00000000-0005-0000-0000-0000555C0000}"/>
    <cellStyle name="Normal 21 3 2 4 2" xfId="24573" xr:uid="{00000000-0005-0000-0000-0000565C0000}"/>
    <cellStyle name="Normal 21 3 2 5" xfId="24570" xr:uid="{00000000-0005-0000-0000-0000575C0000}"/>
    <cellStyle name="Normal 21 3 2_Additional Disclosures" xfId="16358" xr:uid="{00000000-0005-0000-0000-0000585C0000}"/>
    <cellStyle name="Normal 21 3 3" xfId="11830" xr:uid="{00000000-0005-0000-0000-0000595C0000}"/>
    <cellStyle name="Normal 21 3 3 2" xfId="24574" xr:uid="{00000000-0005-0000-0000-00005A5C0000}"/>
    <cellStyle name="Normal 21 3 4" xfId="13590" xr:uid="{00000000-0005-0000-0000-00005B5C0000}"/>
    <cellStyle name="Normal 21 3 4 2" xfId="24575" xr:uid="{00000000-0005-0000-0000-00005C5C0000}"/>
    <cellStyle name="Normal 21 3 5" xfId="14735" xr:uid="{00000000-0005-0000-0000-00005D5C0000}"/>
    <cellStyle name="Normal 21 3 5 2" xfId="24576" xr:uid="{00000000-0005-0000-0000-00005E5C0000}"/>
    <cellStyle name="Normal 21 3 6" xfId="24569" xr:uid="{00000000-0005-0000-0000-00005F5C0000}"/>
    <cellStyle name="Normal 21 3 7" xfId="31894" xr:uid="{00000000-0005-0000-0000-0000605C0000}"/>
    <cellStyle name="Normal 21 3 8" xfId="31895" xr:uid="{00000000-0005-0000-0000-0000615C0000}"/>
    <cellStyle name="Normal 21 3_Additional Disclosures" xfId="16357" xr:uid="{00000000-0005-0000-0000-0000625C0000}"/>
    <cellStyle name="Normal 21 4" xfId="13846" xr:uid="{00000000-0005-0000-0000-0000635C0000}"/>
    <cellStyle name="Normal 21 4 2" xfId="14991" xr:uid="{00000000-0005-0000-0000-0000645C0000}"/>
    <cellStyle name="Normal 21 4 2 2" xfId="24578" xr:uid="{00000000-0005-0000-0000-0000655C0000}"/>
    <cellStyle name="Normal 21 4 3" xfId="24577" xr:uid="{00000000-0005-0000-0000-0000665C0000}"/>
    <cellStyle name="Normal 21 4_Additional Disclosures" xfId="16359" xr:uid="{00000000-0005-0000-0000-0000675C0000}"/>
    <cellStyle name="Normal 21 5" xfId="13336" xr:uid="{00000000-0005-0000-0000-0000685C0000}"/>
    <cellStyle name="Normal 21 5 2" xfId="24579" xr:uid="{00000000-0005-0000-0000-0000695C0000}"/>
    <cellStyle name="Normal 21 6" xfId="14478" xr:uid="{00000000-0005-0000-0000-00006A5C0000}"/>
    <cellStyle name="Normal 21 6 2" xfId="24580" xr:uid="{00000000-0005-0000-0000-00006B5C0000}"/>
    <cellStyle name="Normal 21 7" xfId="24556" xr:uid="{00000000-0005-0000-0000-00006C5C0000}"/>
    <cellStyle name="Normal 21 8" xfId="28918" xr:uid="{00000000-0005-0000-0000-00006D5C0000}"/>
    <cellStyle name="Normal 21 9" xfId="28630" xr:uid="{00000000-0005-0000-0000-00006E5C0000}"/>
    <cellStyle name="Normal 21_Additional Disclosures" xfId="16352" xr:uid="{00000000-0005-0000-0000-00006F5C0000}"/>
    <cellStyle name="Normal 210" xfId="9385" xr:uid="{00000000-0005-0000-0000-0000705C0000}"/>
    <cellStyle name="Normal 210 10" xfId="34280" xr:uid="{00000000-0005-0000-0000-0000715C0000}"/>
    <cellStyle name="Normal 210 2" xfId="9386" xr:uid="{00000000-0005-0000-0000-0000725C0000}"/>
    <cellStyle name="Normal 210 2 2" xfId="11064" xr:uid="{00000000-0005-0000-0000-0000735C0000}"/>
    <cellStyle name="Normal 210 2 2 2" xfId="12484" xr:uid="{00000000-0005-0000-0000-0000745C0000}"/>
    <cellStyle name="Normal 210 2 2 2 2" xfId="14153" xr:uid="{00000000-0005-0000-0000-0000755C0000}"/>
    <cellStyle name="Normal 210 2 2 2 2 2" xfId="24585" xr:uid="{00000000-0005-0000-0000-0000765C0000}"/>
    <cellStyle name="Normal 210 2 2 2 3" xfId="15297" xr:uid="{00000000-0005-0000-0000-0000775C0000}"/>
    <cellStyle name="Normal 210 2 2 2 3 2" xfId="24586" xr:uid="{00000000-0005-0000-0000-0000785C0000}"/>
    <cellStyle name="Normal 210 2 2 2 4" xfId="24584" xr:uid="{00000000-0005-0000-0000-0000795C0000}"/>
    <cellStyle name="Normal 210 2 2 2_Additional Disclosures" xfId="16363" xr:uid="{00000000-0005-0000-0000-00007A5C0000}"/>
    <cellStyle name="Normal 210 2 2 3" xfId="13642" xr:uid="{00000000-0005-0000-0000-00007B5C0000}"/>
    <cellStyle name="Normal 210 2 2 3 2" xfId="24587" xr:uid="{00000000-0005-0000-0000-00007C5C0000}"/>
    <cellStyle name="Normal 210 2 2 4" xfId="14787" xr:uid="{00000000-0005-0000-0000-00007D5C0000}"/>
    <cellStyle name="Normal 210 2 2 4 2" xfId="24588" xr:uid="{00000000-0005-0000-0000-00007E5C0000}"/>
    <cellStyle name="Normal 210 2 2 5" xfId="24583" xr:uid="{00000000-0005-0000-0000-00007F5C0000}"/>
    <cellStyle name="Normal 210 2 2_Additional Disclosures" xfId="16362" xr:uid="{00000000-0005-0000-0000-0000805C0000}"/>
    <cellStyle name="Normal 210 2 3" xfId="11832" xr:uid="{00000000-0005-0000-0000-0000815C0000}"/>
    <cellStyle name="Normal 210 2 3 2" xfId="13898" xr:uid="{00000000-0005-0000-0000-0000825C0000}"/>
    <cellStyle name="Normal 210 2 3 2 2" xfId="24590" xr:uid="{00000000-0005-0000-0000-0000835C0000}"/>
    <cellStyle name="Normal 210 2 3 3" xfId="15043" xr:uid="{00000000-0005-0000-0000-0000845C0000}"/>
    <cellStyle name="Normal 210 2 3 3 2" xfId="24591" xr:uid="{00000000-0005-0000-0000-0000855C0000}"/>
    <cellStyle name="Normal 210 2 3 4" xfId="24589" xr:uid="{00000000-0005-0000-0000-0000865C0000}"/>
    <cellStyle name="Normal 210 2 3_Additional Disclosures" xfId="16364" xr:uid="{00000000-0005-0000-0000-0000875C0000}"/>
    <cellStyle name="Normal 210 2 4" xfId="13387" xr:uid="{00000000-0005-0000-0000-0000885C0000}"/>
    <cellStyle name="Normal 210 2 4 2" xfId="24592" xr:uid="{00000000-0005-0000-0000-0000895C0000}"/>
    <cellStyle name="Normal 210 2 5" xfId="14531" xr:uid="{00000000-0005-0000-0000-00008A5C0000}"/>
    <cellStyle name="Normal 210 2 5 2" xfId="24593" xr:uid="{00000000-0005-0000-0000-00008B5C0000}"/>
    <cellStyle name="Normal 210 2 6" xfId="24582" xr:uid="{00000000-0005-0000-0000-00008C5C0000}"/>
    <cellStyle name="Normal 210 2 7" xfId="33758" xr:uid="{00000000-0005-0000-0000-00008D5C0000}"/>
    <cellStyle name="Normal 210 2 8" xfId="34295" xr:uid="{00000000-0005-0000-0000-00008E5C0000}"/>
    <cellStyle name="Normal 210 2_Additional Disclosures" xfId="16361" xr:uid="{00000000-0005-0000-0000-00008F5C0000}"/>
    <cellStyle name="Normal 210 3" xfId="11063" xr:uid="{00000000-0005-0000-0000-0000905C0000}"/>
    <cellStyle name="Normal 210 3 2" xfId="12483" xr:uid="{00000000-0005-0000-0000-0000915C0000}"/>
    <cellStyle name="Normal 210 3 2 2" xfId="14113" xr:uid="{00000000-0005-0000-0000-0000925C0000}"/>
    <cellStyle name="Normal 210 3 2 2 2" xfId="24596" xr:uid="{00000000-0005-0000-0000-0000935C0000}"/>
    <cellStyle name="Normal 210 3 2 3" xfId="15257" xr:uid="{00000000-0005-0000-0000-0000945C0000}"/>
    <cellStyle name="Normal 210 3 2 3 2" xfId="24597" xr:uid="{00000000-0005-0000-0000-0000955C0000}"/>
    <cellStyle name="Normal 210 3 2 4" xfId="24595" xr:uid="{00000000-0005-0000-0000-0000965C0000}"/>
    <cellStyle name="Normal 210 3 2_Additional Disclosures" xfId="16366" xr:uid="{00000000-0005-0000-0000-0000975C0000}"/>
    <cellStyle name="Normal 210 3 3" xfId="13602" xr:uid="{00000000-0005-0000-0000-0000985C0000}"/>
    <cellStyle name="Normal 210 3 3 2" xfId="24598" xr:uid="{00000000-0005-0000-0000-0000995C0000}"/>
    <cellStyle name="Normal 210 3 4" xfId="14747" xr:uid="{00000000-0005-0000-0000-00009A5C0000}"/>
    <cellStyle name="Normal 210 3 4 2" xfId="24599" xr:uid="{00000000-0005-0000-0000-00009B5C0000}"/>
    <cellStyle name="Normal 210 3 5" xfId="24594" xr:uid="{00000000-0005-0000-0000-00009C5C0000}"/>
    <cellStyle name="Normal 210 3 6" xfId="33986" xr:uid="{00000000-0005-0000-0000-00009D5C0000}"/>
    <cellStyle name="Normal 210 3 7" xfId="34315" xr:uid="{00000000-0005-0000-0000-00009E5C0000}"/>
    <cellStyle name="Normal 210 3_Additional Disclosures" xfId="16365" xr:uid="{00000000-0005-0000-0000-00009F5C0000}"/>
    <cellStyle name="Normal 210 4" xfId="11831" xr:uid="{00000000-0005-0000-0000-0000A05C0000}"/>
    <cellStyle name="Normal 210 4 2" xfId="13858" xr:uid="{00000000-0005-0000-0000-0000A15C0000}"/>
    <cellStyle name="Normal 210 4 2 2" xfId="24601" xr:uid="{00000000-0005-0000-0000-0000A25C0000}"/>
    <cellStyle name="Normal 210 4 3" xfId="15003" xr:uid="{00000000-0005-0000-0000-0000A35C0000}"/>
    <cellStyle name="Normal 210 4 3 2" xfId="24602" xr:uid="{00000000-0005-0000-0000-0000A45C0000}"/>
    <cellStyle name="Normal 210 4 4" xfId="24600" xr:uid="{00000000-0005-0000-0000-0000A55C0000}"/>
    <cellStyle name="Normal 210 4 5" xfId="34200" xr:uid="{00000000-0005-0000-0000-0000A65C0000}"/>
    <cellStyle name="Normal 210 4_Additional Disclosures" xfId="16367" xr:uid="{00000000-0005-0000-0000-0000A75C0000}"/>
    <cellStyle name="Normal 210 5" xfId="13347" xr:uid="{00000000-0005-0000-0000-0000A85C0000}"/>
    <cellStyle name="Normal 210 5 2" xfId="24603" xr:uid="{00000000-0005-0000-0000-0000A95C0000}"/>
    <cellStyle name="Normal 210 6" xfId="14490" xr:uid="{00000000-0005-0000-0000-0000AA5C0000}"/>
    <cellStyle name="Normal 210 6 2" xfId="24604" xr:uid="{00000000-0005-0000-0000-0000AB5C0000}"/>
    <cellStyle name="Normal 210 7" xfId="24581" xr:uid="{00000000-0005-0000-0000-0000AC5C0000}"/>
    <cellStyle name="Normal 210 8" xfId="31896" xr:uid="{00000000-0005-0000-0000-0000AD5C0000}"/>
    <cellStyle name="Normal 210 9" xfId="33375" xr:uid="{00000000-0005-0000-0000-0000AE5C0000}"/>
    <cellStyle name="Normal 210_Additional Disclosures" xfId="16360" xr:uid="{00000000-0005-0000-0000-0000AF5C0000}"/>
    <cellStyle name="Normal 211" xfId="9387" xr:uid="{00000000-0005-0000-0000-0000B05C0000}"/>
    <cellStyle name="Normal 211 2" xfId="9388" xr:uid="{00000000-0005-0000-0000-0000B15C0000}"/>
    <cellStyle name="Normal 211 2 2" xfId="11066" xr:uid="{00000000-0005-0000-0000-0000B25C0000}"/>
    <cellStyle name="Normal 211 2 2 2" xfId="12486" xr:uid="{00000000-0005-0000-0000-0000B35C0000}"/>
    <cellStyle name="Normal 211 2 2 2 2" xfId="24608" xr:uid="{00000000-0005-0000-0000-0000B45C0000}"/>
    <cellStyle name="Normal 211 2 2 3" xfId="24607" xr:uid="{00000000-0005-0000-0000-0000B55C0000}"/>
    <cellStyle name="Normal 211 2 3" xfId="11834" xr:uid="{00000000-0005-0000-0000-0000B65C0000}"/>
    <cellStyle name="Normal 211 2 3 2" xfId="24609" xr:uid="{00000000-0005-0000-0000-0000B75C0000}"/>
    <cellStyle name="Normal 211 2 4" xfId="24606" xr:uid="{00000000-0005-0000-0000-0000B85C0000}"/>
    <cellStyle name="Normal 211 3" xfId="11065" xr:uid="{00000000-0005-0000-0000-0000B95C0000}"/>
    <cellStyle name="Normal 211 3 2" xfId="12485" xr:uid="{00000000-0005-0000-0000-0000BA5C0000}"/>
    <cellStyle name="Normal 211 3 2 2" xfId="24611" xr:uid="{00000000-0005-0000-0000-0000BB5C0000}"/>
    <cellStyle name="Normal 211 3 3" xfId="24610" xr:uid="{00000000-0005-0000-0000-0000BC5C0000}"/>
    <cellStyle name="Normal 211 4" xfId="11833" xr:uid="{00000000-0005-0000-0000-0000BD5C0000}"/>
    <cellStyle name="Normal 211 4 2" xfId="24612" xr:uid="{00000000-0005-0000-0000-0000BE5C0000}"/>
    <cellStyle name="Normal 211 5" xfId="14367" xr:uid="{00000000-0005-0000-0000-0000BF5C0000}"/>
    <cellStyle name="Normal 211 5 2" xfId="24613" xr:uid="{00000000-0005-0000-0000-0000C05C0000}"/>
    <cellStyle name="Normal 211 6" xfId="15510" xr:uid="{00000000-0005-0000-0000-0000C15C0000}"/>
    <cellStyle name="Normal 211 6 2" xfId="24614" xr:uid="{00000000-0005-0000-0000-0000C25C0000}"/>
    <cellStyle name="Normal 211 7" xfId="24605" xr:uid="{00000000-0005-0000-0000-0000C35C0000}"/>
    <cellStyle name="Normal 211 8" xfId="31897" xr:uid="{00000000-0005-0000-0000-0000C45C0000}"/>
    <cellStyle name="Normal 211_Additional Disclosures" xfId="16368" xr:uid="{00000000-0005-0000-0000-0000C55C0000}"/>
    <cellStyle name="Normal 212" xfId="9389" xr:uid="{00000000-0005-0000-0000-0000C65C0000}"/>
    <cellStyle name="Normal 212 2" xfId="14368" xr:uid="{00000000-0005-0000-0000-0000C75C0000}"/>
    <cellStyle name="Normal 212 2 2" xfId="24616" xr:uid="{00000000-0005-0000-0000-0000C85C0000}"/>
    <cellStyle name="Normal 212 3" xfId="15511" xr:uid="{00000000-0005-0000-0000-0000C95C0000}"/>
    <cellStyle name="Normal 212 3 2" xfId="24617" xr:uid="{00000000-0005-0000-0000-0000CA5C0000}"/>
    <cellStyle name="Normal 212 4" xfId="24615" xr:uid="{00000000-0005-0000-0000-0000CB5C0000}"/>
    <cellStyle name="Normal 212 5" xfId="31898" xr:uid="{00000000-0005-0000-0000-0000CC5C0000}"/>
    <cellStyle name="Normal 212_Additional Disclosures" xfId="16369" xr:uid="{00000000-0005-0000-0000-0000CD5C0000}"/>
    <cellStyle name="Normal 213" xfId="9390" xr:uid="{00000000-0005-0000-0000-0000CE5C0000}"/>
    <cellStyle name="Normal 213 2" xfId="12160" xr:uid="{00000000-0005-0000-0000-0000CF5C0000}"/>
    <cellStyle name="Normal 213 2 2" xfId="12159" xr:uid="{00000000-0005-0000-0000-0000D05C0000}"/>
    <cellStyle name="Normal 213 2 2 2" xfId="24620" xr:uid="{00000000-0005-0000-0000-0000D15C0000}"/>
    <cellStyle name="Normal 213 2 3" xfId="24619" xr:uid="{00000000-0005-0000-0000-0000D25C0000}"/>
    <cellStyle name="Normal 213 3" xfId="12158" xr:uid="{00000000-0005-0000-0000-0000D35C0000}"/>
    <cellStyle name="Normal 213 3 2" xfId="24621" xr:uid="{00000000-0005-0000-0000-0000D45C0000}"/>
    <cellStyle name="Normal 213 4" xfId="12161" xr:uid="{00000000-0005-0000-0000-0000D55C0000}"/>
    <cellStyle name="Normal 213 4 2" xfId="24622" xr:uid="{00000000-0005-0000-0000-0000D65C0000}"/>
    <cellStyle name="Normal 213 5" xfId="14369" xr:uid="{00000000-0005-0000-0000-0000D75C0000}"/>
    <cellStyle name="Normal 213 5 2" xfId="24623" xr:uid="{00000000-0005-0000-0000-0000D85C0000}"/>
    <cellStyle name="Normal 213 6" xfId="15512" xr:uid="{00000000-0005-0000-0000-0000D95C0000}"/>
    <cellStyle name="Normal 213 6 2" xfId="24624" xr:uid="{00000000-0005-0000-0000-0000DA5C0000}"/>
    <cellStyle name="Normal 213 7" xfId="24618" xr:uid="{00000000-0005-0000-0000-0000DB5C0000}"/>
    <cellStyle name="Normal 213 8" xfId="31899" xr:uid="{00000000-0005-0000-0000-0000DC5C0000}"/>
    <cellStyle name="Normal 213_Additional Disclosures" xfId="16370" xr:uid="{00000000-0005-0000-0000-0000DD5C0000}"/>
    <cellStyle name="Normal 214" xfId="9391" xr:uid="{00000000-0005-0000-0000-0000DE5C0000}"/>
    <cellStyle name="Normal 214 2" xfId="9392" xr:uid="{00000000-0005-0000-0000-0000DF5C0000}"/>
    <cellStyle name="Normal 214 2 2" xfId="11068" xr:uid="{00000000-0005-0000-0000-0000E05C0000}"/>
    <cellStyle name="Normal 214 2 2 2" xfId="12488" xr:uid="{00000000-0005-0000-0000-0000E15C0000}"/>
    <cellStyle name="Normal 214 2 2 2 2" xfId="24628" xr:uid="{00000000-0005-0000-0000-0000E25C0000}"/>
    <cellStyle name="Normal 214 2 2 3" xfId="24627" xr:uid="{00000000-0005-0000-0000-0000E35C0000}"/>
    <cellStyle name="Normal 214 2 3" xfId="11836" xr:uid="{00000000-0005-0000-0000-0000E45C0000}"/>
    <cellStyle name="Normal 214 2 3 2" xfId="24629" xr:uid="{00000000-0005-0000-0000-0000E55C0000}"/>
    <cellStyle name="Normal 214 2 4" xfId="24626" xr:uid="{00000000-0005-0000-0000-0000E65C0000}"/>
    <cellStyle name="Normal 214 3" xfId="11067" xr:uid="{00000000-0005-0000-0000-0000E75C0000}"/>
    <cellStyle name="Normal 214 3 2" xfId="12487" xr:uid="{00000000-0005-0000-0000-0000E85C0000}"/>
    <cellStyle name="Normal 214 3 2 2" xfId="24631" xr:uid="{00000000-0005-0000-0000-0000E95C0000}"/>
    <cellStyle name="Normal 214 3 3" xfId="24630" xr:uid="{00000000-0005-0000-0000-0000EA5C0000}"/>
    <cellStyle name="Normal 214 4" xfId="11835" xr:uid="{00000000-0005-0000-0000-0000EB5C0000}"/>
    <cellStyle name="Normal 214 4 2" xfId="24632" xr:uid="{00000000-0005-0000-0000-0000EC5C0000}"/>
    <cellStyle name="Normal 214 5" xfId="14370" xr:uid="{00000000-0005-0000-0000-0000ED5C0000}"/>
    <cellStyle name="Normal 214 5 2" xfId="24633" xr:uid="{00000000-0005-0000-0000-0000EE5C0000}"/>
    <cellStyle name="Normal 214 6" xfId="15513" xr:uid="{00000000-0005-0000-0000-0000EF5C0000}"/>
    <cellStyle name="Normal 214 6 2" xfId="24634" xr:uid="{00000000-0005-0000-0000-0000F05C0000}"/>
    <cellStyle name="Normal 214 7" xfId="24625" xr:uid="{00000000-0005-0000-0000-0000F15C0000}"/>
    <cellStyle name="Normal 214 8" xfId="31900" xr:uid="{00000000-0005-0000-0000-0000F25C0000}"/>
    <cellStyle name="Normal 214_Additional Disclosures" xfId="16371" xr:uid="{00000000-0005-0000-0000-0000F35C0000}"/>
    <cellStyle name="Normal 215" xfId="9393" xr:uid="{00000000-0005-0000-0000-0000F45C0000}"/>
    <cellStyle name="Normal 215 2" xfId="9394" xr:uid="{00000000-0005-0000-0000-0000F55C0000}"/>
    <cellStyle name="Normal 215 2 2" xfId="11070" xr:uid="{00000000-0005-0000-0000-0000F65C0000}"/>
    <cellStyle name="Normal 215 2 2 2" xfId="12490" xr:uid="{00000000-0005-0000-0000-0000F75C0000}"/>
    <cellStyle name="Normal 215 2 2 2 2" xfId="24638" xr:uid="{00000000-0005-0000-0000-0000F85C0000}"/>
    <cellStyle name="Normal 215 2 2 3" xfId="24637" xr:uid="{00000000-0005-0000-0000-0000F95C0000}"/>
    <cellStyle name="Normal 215 2 3" xfId="11838" xr:uid="{00000000-0005-0000-0000-0000FA5C0000}"/>
    <cellStyle name="Normal 215 2 3 2" xfId="24639" xr:uid="{00000000-0005-0000-0000-0000FB5C0000}"/>
    <cellStyle name="Normal 215 2 4" xfId="24636" xr:uid="{00000000-0005-0000-0000-0000FC5C0000}"/>
    <cellStyle name="Normal 215 3" xfId="11069" xr:uid="{00000000-0005-0000-0000-0000FD5C0000}"/>
    <cellStyle name="Normal 215 3 2" xfId="12489" xr:uid="{00000000-0005-0000-0000-0000FE5C0000}"/>
    <cellStyle name="Normal 215 3 2 2" xfId="24641" xr:uid="{00000000-0005-0000-0000-0000FF5C0000}"/>
    <cellStyle name="Normal 215 3 3" xfId="24640" xr:uid="{00000000-0005-0000-0000-0000005D0000}"/>
    <cellStyle name="Normal 215 4" xfId="11837" xr:uid="{00000000-0005-0000-0000-0000015D0000}"/>
    <cellStyle name="Normal 215 4 2" xfId="24642" xr:uid="{00000000-0005-0000-0000-0000025D0000}"/>
    <cellStyle name="Normal 215 5" xfId="14371" xr:uid="{00000000-0005-0000-0000-0000035D0000}"/>
    <cellStyle name="Normal 215 5 2" xfId="24643" xr:uid="{00000000-0005-0000-0000-0000045D0000}"/>
    <cellStyle name="Normal 215 6" xfId="15514" xr:uid="{00000000-0005-0000-0000-0000055D0000}"/>
    <cellStyle name="Normal 215 6 2" xfId="24644" xr:uid="{00000000-0005-0000-0000-0000065D0000}"/>
    <cellStyle name="Normal 215 7" xfId="24635" xr:uid="{00000000-0005-0000-0000-0000075D0000}"/>
    <cellStyle name="Normal 215 8" xfId="31901" xr:uid="{00000000-0005-0000-0000-0000085D0000}"/>
    <cellStyle name="Normal 215_Additional Disclosures" xfId="16372" xr:uid="{00000000-0005-0000-0000-0000095D0000}"/>
    <cellStyle name="Normal 216" xfId="9395" xr:uid="{00000000-0005-0000-0000-00000A5D0000}"/>
    <cellStyle name="Normal 216 2" xfId="9396" xr:uid="{00000000-0005-0000-0000-00000B5D0000}"/>
    <cellStyle name="Normal 216 2 2" xfId="11072" xr:uid="{00000000-0005-0000-0000-00000C5D0000}"/>
    <cellStyle name="Normal 216 2 2 2" xfId="12492" xr:uid="{00000000-0005-0000-0000-00000D5D0000}"/>
    <cellStyle name="Normal 216 2 2 2 2" xfId="24648" xr:uid="{00000000-0005-0000-0000-00000E5D0000}"/>
    <cellStyle name="Normal 216 2 2 3" xfId="24647" xr:uid="{00000000-0005-0000-0000-00000F5D0000}"/>
    <cellStyle name="Normal 216 2 3" xfId="11840" xr:uid="{00000000-0005-0000-0000-0000105D0000}"/>
    <cellStyle name="Normal 216 2 3 2" xfId="24649" xr:uid="{00000000-0005-0000-0000-0000115D0000}"/>
    <cellStyle name="Normal 216 2 4" xfId="24646" xr:uid="{00000000-0005-0000-0000-0000125D0000}"/>
    <cellStyle name="Normal 216 3" xfId="11071" xr:uid="{00000000-0005-0000-0000-0000135D0000}"/>
    <cellStyle name="Normal 216 3 2" xfId="12491" xr:uid="{00000000-0005-0000-0000-0000145D0000}"/>
    <cellStyle name="Normal 216 3 2 2" xfId="24651" xr:uid="{00000000-0005-0000-0000-0000155D0000}"/>
    <cellStyle name="Normal 216 3 3" xfId="24650" xr:uid="{00000000-0005-0000-0000-0000165D0000}"/>
    <cellStyle name="Normal 216 4" xfId="11839" xr:uid="{00000000-0005-0000-0000-0000175D0000}"/>
    <cellStyle name="Normal 216 4 2" xfId="24652" xr:uid="{00000000-0005-0000-0000-0000185D0000}"/>
    <cellStyle name="Normal 216 5" xfId="14372" xr:uid="{00000000-0005-0000-0000-0000195D0000}"/>
    <cellStyle name="Normal 216 5 2" xfId="24653" xr:uid="{00000000-0005-0000-0000-00001A5D0000}"/>
    <cellStyle name="Normal 216 6" xfId="15515" xr:uid="{00000000-0005-0000-0000-00001B5D0000}"/>
    <cellStyle name="Normal 216 6 2" xfId="24654" xr:uid="{00000000-0005-0000-0000-00001C5D0000}"/>
    <cellStyle name="Normal 216 7" xfId="24645" xr:uid="{00000000-0005-0000-0000-00001D5D0000}"/>
    <cellStyle name="Normal 216 8" xfId="31902" xr:uid="{00000000-0005-0000-0000-00001E5D0000}"/>
    <cellStyle name="Normal 216_Additional Disclosures" xfId="16373" xr:uid="{00000000-0005-0000-0000-00001F5D0000}"/>
    <cellStyle name="Normal 217" xfId="9397" xr:uid="{00000000-0005-0000-0000-0000205D0000}"/>
    <cellStyle name="Normal 217 2" xfId="9398" xr:uid="{00000000-0005-0000-0000-0000215D0000}"/>
    <cellStyle name="Normal 217 2 2" xfId="11074" xr:uid="{00000000-0005-0000-0000-0000225D0000}"/>
    <cellStyle name="Normal 217 2 2 2" xfId="12494" xr:uid="{00000000-0005-0000-0000-0000235D0000}"/>
    <cellStyle name="Normal 217 2 2 2 2" xfId="24658" xr:uid="{00000000-0005-0000-0000-0000245D0000}"/>
    <cellStyle name="Normal 217 2 2 3" xfId="24657" xr:uid="{00000000-0005-0000-0000-0000255D0000}"/>
    <cellStyle name="Normal 217 2 3" xfId="11842" xr:uid="{00000000-0005-0000-0000-0000265D0000}"/>
    <cellStyle name="Normal 217 2 3 2" xfId="24659" xr:uid="{00000000-0005-0000-0000-0000275D0000}"/>
    <cellStyle name="Normal 217 2 4" xfId="24656" xr:uid="{00000000-0005-0000-0000-0000285D0000}"/>
    <cellStyle name="Normal 217 3" xfId="11073" xr:uid="{00000000-0005-0000-0000-0000295D0000}"/>
    <cellStyle name="Normal 217 3 2" xfId="12493" xr:uid="{00000000-0005-0000-0000-00002A5D0000}"/>
    <cellStyle name="Normal 217 3 2 2" xfId="24661" xr:uid="{00000000-0005-0000-0000-00002B5D0000}"/>
    <cellStyle name="Normal 217 3 3" xfId="24660" xr:uid="{00000000-0005-0000-0000-00002C5D0000}"/>
    <cellStyle name="Normal 217 4" xfId="11841" xr:uid="{00000000-0005-0000-0000-00002D5D0000}"/>
    <cellStyle name="Normal 217 4 2" xfId="24662" xr:uid="{00000000-0005-0000-0000-00002E5D0000}"/>
    <cellStyle name="Normal 217 5" xfId="14373" xr:uid="{00000000-0005-0000-0000-00002F5D0000}"/>
    <cellStyle name="Normal 217 5 2" xfId="24663" xr:uid="{00000000-0005-0000-0000-0000305D0000}"/>
    <cellStyle name="Normal 217 6" xfId="15516" xr:uid="{00000000-0005-0000-0000-0000315D0000}"/>
    <cellStyle name="Normal 217 6 2" xfId="24664" xr:uid="{00000000-0005-0000-0000-0000325D0000}"/>
    <cellStyle name="Normal 217 7" xfId="24655" xr:uid="{00000000-0005-0000-0000-0000335D0000}"/>
    <cellStyle name="Normal 217 8" xfId="31903" xr:uid="{00000000-0005-0000-0000-0000345D0000}"/>
    <cellStyle name="Normal 217_Additional Disclosures" xfId="16374" xr:uid="{00000000-0005-0000-0000-0000355D0000}"/>
    <cellStyle name="Normal 218" xfId="9399" xr:uid="{00000000-0005-0000-0000-0000365D0000}"/>
    <cellStyle name="Normal 218 10" xfId="34277" xr:uid="{00000000-0005-0000-0000-0000375D0000}"/>
    <cellStyle name="Normal 218 2" xfId="9400" xr:uid="{00000000-0005-0000-0000-0000385D0000}"/>
    <cellStyle name="Normal 218 2 2" xfId="11076" xr:uid="{00000000-0005-0000-0000-0000395D0000}"/>
    <cellStyle name="Normal 218 2 2 2" xfId="12496" xr:uid="{00000000-0005-0000-0000-00003A5D0000}"/>
    <cellStyle name="Normal 218 2 2 2 2" xfId="14171" xr:uid="{00000000-0005-0000-0000-00003B5D0000}"/>
    <cellStyle name="Normal 218 2 2 2 2 2" xfId="24669" xr:uid="{00000000-0005-0000-0000-00003C5D0000}"/>
    <cellStyle name="Normal 218 2 2 2 3" xfId="15315" xr:uid="{00000000-0005-0000-0000-00003D5D0000}"/>
    <cellStyle name="Normal 218 2 2 2 3 2" xfId="24670" xr:uid="{00000000-0005-0000-0000-00003E5D0000}"/>
    <cellStyle name="Normal 218 2 2 2 4" xfId="24668" xr:uid="{00000000-0005-0000-0000-00003F5D0000}"/>
    <cellStyle name="Normal 218 2 2 2_Additional Disclosures" xfId="16378" xr:uid="{00000000-0005-0000-0000-0000405D0000}"/>
    <cellStyle name="Normal 218 2 2 3" xfId="13660" xr:uid="{00000000-0005-0000-0000-0000415D0000}"/>
    <cellStyle name="Normal 218 2 2 3 2" xfId="24671" xr:uid="{00000000-0005-0000-0000-0000425D0000}"/>
    <cellStyle name="Normal 218 2 2 4" xfId="14805" xr:uid="{00000000-0005-0000-0000-0000435D0000}"/>
    <cellStyle name="Normal 218 2 2 4 2" xfId="24672" xr:uid="{00000000-0005-0000-0000-0000445D0000}"/>
    <cellStyle name="Normal 218 2 2 5" xfId="24667" xr:uid="{00000000-0005-0000-0000-0000455D0000}"/>
    <cellStyle name="Normal 218 2 2_Additional Disclosures" xfId="16377" xr:uid="{00000000-0005-0000-0000-0000465D0000}"/>
    <cellStyle name="Normal 218 2 3" xfId="11844" xr:uid="{00000000-0005-0000-0000-0000475D0000}"/>
    <cellStyle name="Normal 218 2 3 2" xfId="13916" xr:uid="{00000000-0005-0000-0000-0000485D0000}"/>
    <cellStyle name="Normal 218 2 3 2 2" xfId="24674" xr:uid="{00000000-0005-0000-0000-0000495D0000}"/>
    <cellStyle name="Normal 218 2 3 3" xfId="15061" xr:uid="{00000000-0005-0000-0000-00004A5D0000}"/>
    <cellStyle name="Normal 218 2 3 3 2" xfId="24675" xr:uid="{00000000-0005-0000-0000-00004B5D0000}"/>
    <cellStyle name="Normal 218 2 3 4" xfId="24673" xr:uid="{00000000-0005-0000-0000-00004C5D0000}"/>
    <cellStyle name="Normal 218 2 3_Additional Disclosures" xfId="16379" xr:uid="{00000000-0005-0000-0000-00004D5D0000}"/>
    <cellStyle name="Normal 218 2 4" xfId="13405" xr:uid="{00000000-0005-0000-0000-00004E5D0000}"/>
    <cellStyle name="Normal 218 2 4 2" xfId="24676" xr:uid="{00000000-0005-0000-0000-00004F5D0000}"/>
    <cellStyle name="Normal 218 2 5" xfId="14549" xr:uid="{00000000-0005-0000-0000-0000505D0000}"/>
    <cellStyle name="Normal 218 2 5 2" xfId="24677" xr:uid="{00000000-0005-0000-0000-0000515D0000}"/>
    <cellStyle name="Normal 218 2 6" xfId="24666" xr:uid="{00000000-0005-0000-0000-0000525D0000}"/>
    <cellStyle name="Normal 218 2 7" xfId="33748" xr:uid="{00000000-0005-0000-0000-0000535D0000}"/>
    <cellStyle name="Normal 218 2 8" xfId="34289" xr:uid="{00000000-0005-0000-0000-0000545D0000}"/>
    <cellStyle name="Normal 218 2_Additional Disclosures" xfId="16376" xr:uid="{00000000-0005-0000-0000-0000555D0000}"/>
    <cellStyle name="Normal 218 3" xfId="11075" xr:uid="{00000000-0005-0000-0000-0000565D0000}"/>
    <cellStyle name="Normal 218 3 2" xfId="12495" xr:uid="{00000000-0005-0000-0000-0000575D0000}"/>
    <cellStyle name="Normal 218 3 2 2" xfId="14131" xr:uid="{00000000-0005-0000-0000-0000585D0000}"/>
    <cellStyle name="Normal 218 3 2 2 2" xfId="24680" xr:uid="{00000000-0005-0000-0000-0000595D0000}"/>
    <cellStyle name="Normal 218 3 2 3" xfId="15275" xr:uid="{00000000-0005-0000-0000-00005A5D0000}"/>
    <cellStyle name="Normal 218 3 2 3 2" xfId="24681" xr:uid="{00000000-0005-0000-0000-00005B5D0000}"/>
    <cellStyle name="Normal 218 3 2 4" xfId="24679" xr:uid="{00000000-0005-0000-0000-00005C5D0000}"/>
    <cellStyle name="Normal 218 3 2_Additional Disclosures" xfId="16381" xr:uid="{00000000-0005-0000-0000-00005D5D0000}"/>
    <cellStyle name="Normal 218 3 3" xfId="13620" xr:uid="{00000000-0005-0000-0000-00005E5D0000}"/>
    <cellStyle name="Normal 218 3 3 2" xfId="24682" xr:uid="{00000000-0005-0000-0000-00005F5D0000}"/>
    <cellStyle name="Normal 218 3 4" xfId="14765" xr:uid="{00000000-0005-0000-0000-0000605D0000}"/>
    <cellStyle name="Normal 218 3 4 2" xfId="24683" xr:uid="{00000000-0005-0000-0000-0000615D0000}"/>
    <cellStyle name="Normal 218 3 5" xfId="24678" xr:uid="{00000000-0005-0000-0000-0000625D0000}"/>
    <cellStyle name="Normal 218 3 6" xfId="33976" xr:uid="{00000000-0005-0000-0000-0000635D0000}"/>
    <cellStyle name="Normal 218 3 7" xfId="34307" xr:uid="{00000000-0005-0000-0000-0000645D0000}"/>
    <cellStyle name="Normal 218 3_Additional Disclosures" xfId="16380" xr:uid="{00000000-0005-0000-0000-0000655D0000}"/>
    <cellStyle name="Normal 218 4" xfId="11843" xr:uid="{00000000-0005-0000-0000-0000665D0000}"/>
    <cellStyle name="Normal 218 4 2" xfId="13876" xr:uid="{00000000-0005-0000-0000-0000675D0000}"/>
    <cellStyle name="Normal 218 4 2 2" xfId="24685" xr:uid="{00000000-0005-0000-0000-0000685D0000}"/>
    <cellStyle name="Normal 218 4 3" xfId="15021" xr:uid="{00000000-0005-0000-0000-0000695D0000}"/>
    <cellStyle name="Normal 218 4 3 2" xfId="24686" xr:uid="{00000000-0005-0000-0000-00006A5D0000}"/>
    <cellStyle name="Normal 218 4 4" xfId="24684" xr:uid="{00000000-0005-0000-0000-00006B5D0000}"/>
    <cellStyle name="Normal 218 4 5" xfId="34190" xr:uid="{00000000-0005-0000-0000-00006C5D0000}"/>
    <cellStyle name="Normal 218 4_Additional Disclosures" xfId="16382" xr:uid="{00000000-0005-0000-0000-00006D5D0000}"/>
    <cellStyle name="Normal 218 5" xfId="13365" xr:uid="{00000000-0005-0000-0000-00006E5D0000}"/>
    <cellStyle name="Normal 218 5 2" xfId="24687" xr:uid="{00000000-0005-0000-0000-00006F5D0000}"/>
    <cellStyle name="Normal 218 6" xfId="14508" xr:uid="{00000000-0005-0000-0000-0000705D0000}"/>
    <cellStyle name="Normal 218 6 2" xfId="24688" xr:uid="{00000000-0005-0000-0000-0000715D0000}"/>
    <cellStyle name="Normal 218 7" xfId="24665" xr:uid="{00000000-0005-0000-0000-0000725D0000}"/>
    <cellStyle name="Normal 218 8" xfId="31904" xr:uid="{00000000-0005-0000-0000-0000735D0000}"/>
    <cellStyle name="Normal 218 9" xfId="33364" xr:uid="{00000000-0005-0000-0000-0000745D0000}"/>
    <cellStyle name="Normal 218_Additional Disclosures" xfId="16375" xr:uid="{00000000-0005-0000-0000-0000755D0000}"/>
    <cellStyle name="Normal 219" xfId="9401" xr:uid="{00000000-0005-0000-0000-0000765D0000}"/>
    <cellStyle name="Normal 219 2" xfId="9402" xr:uid="{00000000-0005-0000-0000-0000775D0000}"/>
    <cellStyle name="Normal 219 2 2" xfId="11078" xr:uid="{00000000-0005-0000-0000-0000785D0000}"/>
    <cellStyle name="Normal 219 2 2 2" xfId="12498" xr:uid="{00000000-0005-0000-0000-0000795D0000}"/>
    <cellStyle name="Normal 219 2 2 2 2" xfId="24692" xr:uid="{00000000-0005-0000-0000-00007A5D0000}"/>
    <cellStyle name="Normal 219 2 2 3" xfId="24691" xr:uid="{00000000-0005-0000-0000-00007B5D0000}"/>
    <cellStyle name="Normal 219 2 3" xfId="11846" xr:uid="{00000000-0005-0000-0000-00007C5D0000}"/>
    <cellStyle name="Normal 219 2 3 2" xfId="24693" xr:uid="{00000000-0005-0000-0000-00007D5D0000}"/>
    <cellStyle name="Normal 219 2 4" xfId="24690" xr:uid="{00000000-0005-0000-0000-00007E5D0000}"/>
    <cellStyle name="Normal 219 3" xfId="11077" xr:uid="{00000000-0005-0000-0000-00007F5D0000}"/>
    <cellStyle name="Normal 219 3 2" xfId="12497" xr:uid="{00000000-0005-0000-0000-0000805D0000}"/>
    <cellStyle name="Normal 219 3 2 2" xfId="24695" xr:uid="{00000000-0005-0000-0000-0000815D0000}"/>
    <cellStyle name="Normal 219 3 3" xfId="24694" xr:uid="{00000000-0005-0000-0000-0000825D0000}"/>
    <cellStyle name="Normal 219 4" xfId="11845" xr:uid="{00000000-0005-0000-0000-0000835D0000}"/>
    <cellStyle name="Normal 219 4 2" xfId="24696" xr:uid="{00000000-0005-0000-0000-0000845D0000}"/>
    <cellStyle name="Normal 219 5" xfId="14374" xr:uid="{00000000-0005-0000-0000-0000855D0000}"/>
    <cellStyle name="Normal 219 5 2" xfId="24697" xr:uid="{00000000-0005-0000-0000-0000865D0000}"/>
    <cellStyle name="Normal 219 6" xfId="15517" xr:uid="{00000000-0005-0000-0000-0000875D0000}"/>
    <cellStyle name="Normal 219 6 2" xfId="24698" xr:uid="{00000000-0005-0000-0000-0000885D0000}"/>
    <cellStyle name="Normal 219 7" xfId="24689" xr:uid="{00000000-0005-0000-0000-0000895D0000}"/>
    <cellStyle name="Normal 219 8" xfId="31905" xr:uid="{00000000-0005-0000-0000-00008A5D0000}"/>
    <cellStyle name="Normal 219_Additional Disclosures" xfId="16383" xr:uid="{00000000-0005-0000-0000-00008B5D0000}"/>
    <cellStyle name="Normal 22" xfId="556" xr:uid="{00000000-0005-0000-0000-00008C5D0000}"/>
    <cellStyle name="Normal 22 10" xfId="9403" xr:uid="{00000000-0005-0000-0000-00008D5D0000}"/>
    <cellStyle name="Normal 22 10 2" xfId="24700" xr:uid="{00000000-0005-0000-0000-00008E5D0000}"/>
    <cellStyle name="Normal 22 11" xfId="9404" xr:uid="{00000000-0005-0000-0000-00008F5D0000}"/>
    <cellStyle name="Normal 22 11 2" xfId="24701" xr:uid="{00000000-0005-0000-0000-0000905D0000}"/>
    <cellStyle name="Normal 22 12" xfId="9405" xr:uid="{00000000-0005-0000-0000-0000915D0000}"/>
    <cellStyle name="Normal 22 12 2" xfId="24702" xr:uid="{00000000-0005-0000-0000-0000925D0000}"/>
    <cellStyle name="Normal 22 13" xfId="9406" xr:uid="{00000000-0005-0000-0000-0000935D0000}"/>
    <cellStyle name="Normal 22 13 2" xfId="11079" xr:uid="{00000000-0005-0000-0000-0000945D0000}"/>
    <cellStyle name="Normal 22 13 2 2" xfId="12499" xr:uid="{00000000-0005-0000-0000-0000955D0000}"/>
    <cellStyle name="Normal 22 13 2 2 2" xfId="24705" xr:uid="{00000000-0005-0000-0000-0000965D0000}"/>
    <cellStyle name="Normal 22 13 2 3" xfId="24704" xr:uid="{00000000-0005-0000-0000-0000975D0000}"/>
    <cellStyle name="Normal 22 13 3" xfId="11847" xr:uid="{00000000-0005-0000-0000-0000985D0000}"/>
    <cellStyle name="Normal 22 13 3 2" xfId="24706" xr:uid="{00000000-0005-0000-0000-0000995D0000}"/>
    <cellStyle name="Normal 22 13 4" xfId="24703" xr:uid="{00000000-0005-0000-0000-00009A5D0000}"/>
    <cellStyle name="Normal 22 14" xfId="9407" xr:uid="{00000000-0005-0000-0000-00009B5D0000}"/>
    <cellStyle name="Normal 22 14 2" xfId="11080" xr:uid="{00000000-0005-0000-0000-00009C5D0000}"/>
    <cellStyle name="Normal 22 14 2 2" xfId="12500" xr:uid="{00000000-0005-0000-0000-00009D5D0000}"/>
    <cellStyle name="Normal 22 14 2 2 2" xfId="24709" xr:uid="{00000000-0005-0000-0000-00009E5D0000}"/>
    <cellStyle name="Normal 22 14 2 3" xfId="24708" xr:uid="{00000000-0005-0000-0000-00009F5D0000}"/>
    <cellStyle name="Normal 22 14 3" xfId="11848" xr:uid="{00000000-0005-0000-0000-0000A05D0000}"/>
    <cellStyle name="Normal 22 14 3 2" xfId="24710" xr:uid="{00000000-0005-0000-0000-0000A15D0000}"/>
    <cellStyle name="Normal 22 14 4" xfId="24707" xr:uid="{00000000-0005-0000-0000-0000A25D0000}"/>
    <cellStyle name="Normal 22 15" xfId="13423" xr:uid="{00000000-0005-0000-0000-0000A35D0000}"/>
    <cellStyle name="Normal 22 15 2" xfId="24711" xr:uid="{00000000-0005-0000-0000-0000A45D0000}"/>
    <cellStyle name="Normal 22 16" xfId="14567" xr:uid="{00000000-0005-0000-0000-0000A55D0000}"/>
    <cellStyle name="Normal 22 16 2" xfId="24712" xr:uid="{00000000-0005-0000-0000-0000A65D0000}"/>
    <cellStyle name="Normal 22 17" xfId="24699" xr:uid="{00000000-0005-0000-0000-0000A75D0000}"/>
    <cellStyle name="Normal 22 18" xfId="31906" xr:uid="{00000000-0005-0000-0000-0000A85D0000}"/>
    <cellStyle name="Normal 22 19" xfId="31907" xr:uid="{00000000-0005-0000-0000-0000A95D0000}"/>
    <cellStyle name="Normal 22 2" xfId="9408" xr:uid="{00000000-0005-0000-0000-0000AA5D0000}"/>
    <cellStyle name="Normal 22 2 10" xfId="28628" xr:uid="{00000000-0005-0000-0000-0000AB5D0000}"/>
    <cellStyle name="Normal 22 2 11" xfId="31908" xr:uid="{00000000-0005-0000-0000-0000AC5D0000}"/>
    <cellStyle name="Normal 22 2 12" xfId="33180" xr:uid="{00000000-0005-0000-0000-0000AD5D0000}"/>
    <cellStyle name="Normal 22 2 2" xfId="12156" xr:uid="{00000000-0005-0000-0000-0000AE5D0000}"/>
    <cellStyle name="Normal 22 2 2 2" xfId="14189" xr:uid="{00000000-0005-0000-0000-0000AF5D0000}"/>
    <cellStyle name="Normal 22 2 2 2 2" xfId="24715" xr:uid="{00000000-0005-0000-0000-0000B05D0000}"/>
    <cellStyle name="Normal 22 2 2 3" xfId="15333" xr:uid="{00000000-0005-0000-0000-0000B15D0000}"/>
    <cellStyle name="Normal 22 2 2 3 2" xfId="24716" xr:uid="{00000000-0005-0000-0000-0000B25D0000}"/>
    <cellStyle name="Normal 22 2 2 4" xfId="24714" xr:uid="{00000000-0005-0000-0000-0000B35D0000}"/>
    <cellStyle name="Normal 22 2 2 5" xfId="31909" xr:uid="{00000000-0005-0000-0000-0000B45D0000}"/>
    <cellStyle name="Normal 22 2 2_Additional Disclosures" xfId="16386" xr:uid="{00000000-0005-0000-0000-0000B55D0000}"/>
    <cellStyle name="Normal 22 2 3" xfId="12157" xr:uid="{00000000-0005-0000-0000-0000B65D0000}"/>
    <cellStyle name="Normal 22 2 3 2" xfId="24717" xr:uid="{00000000-0005-0000-0000-0000B75D0000}"/>
    <cellStyle name="Normal 22 2 4" xfId="13678" xr:uid="{00000000-0005-0000-0000-0000B85D0000}"/>
    <cellStyle name="Normal 22 2 4 2" xfId="24718" xr:uid="{00000000-0005-0000-0000-0000B95D0000}"/>
    <cellStyle name="Normal 22 2 5" xfId="14823" xr:uid="{00000000-0005-0000-0000-0000BA5D0000}"/>
    <cellStyle name="Normal 22 2 5 2" xfId="24719" xr:uid="{00000000-0005-0000-0000-0000BB5D0000}"/>
    <cellStyle name="Normal 22 2 6" xfId="24713" xr:uid="{00000000-0005-0000-0000-0000BC5D0000}"/>
    <cellStyle name="Normal 22 2 7" xfId="28920" xr:uid="{00000000-0005-0000-0000-0000BD5D0000}"/>
    <cellStyle name="Normal 22 2 8" xfId="28629" xr:uid="{00000000-0005-0000-0000-0000BE5D0000}"/>
    <cellStyle name="Normal 22 2 9" xfId="28921" xr:uid="{00000000-0005-0000-0000-0000BF5D0000}"/>
    <cellStyle name="Normal 22 2_Additional Disclosures" xfId="16385" xr:uid="{00000000-0005-0000-0000-0000C05D0000}"/>
    <cellStyle name="Normal 22 3" xfId="9409" xr:uid="{00000000-0005-0000-0000-0000C15D0000}"/>
    <cellStyle name="Normal 22 3 2" xfId="12155" xr:uid="{00000000-0005-0000-0000-0000C25D0000}"/>
    <cellStyle name="Normal 22 3 2 2" xfId="24721" xr:uid="{00000000-0005-0000-0000-0000C35D0000}"/>
    <cellStyle name="Normal 22 3 2 3" xfId="33794" xr:uid="{00000000-0005-0000-0000-0000C45D0000}"/>
    <cellStyle name="Normal 22 3 3" xfId="13934" xr:uid="{00000000-0005-0000-0000-0000C55D0000}"/>
    <cellStyle name="Normal 22 3 3 2" xfId="24722" xr:uid="{00000000-0005-0000-0000-0000C65D0000}"/>
    <cellStyle name="Normal 22 3 3 3" xfId="34022" xr:uid="{00000000-0005-0000-0000-0000C75D0000}"/>
    <cellStyle name="Normal 22 3 4" xfId="15079" xr:uid="{00000000-0005-0000-0000-0000C85D0000}"/>
    <cellStyle name="Normal 22 3 4 2" xfId="24723" xr:uid="{00000000-0005-0000-0000-0000C95D0000}"/>
    <cellStyle name="Normal 22 3 4 3" xfId="34236" xr:uid="{00000000-0005-0000-0000-0000CA5D0000}"/>
    <cellStyle name="Normal 22 3 5" xfId="24720" xr:uid="{00000000-0005-0000-0000-0000CB5D0000}"/>
    <cellStyle name="Normal 22 3 6" xfId="31910" xr:uid="{00000000-0005-0000-0000-0000CC5D0000}"/>
    <cellStyle name="Normal 22 3 7" xfId="31911" xr:uid="{00000000-0005-0000-0000-0000CD5D0000}"/>
    <cellStyle name="Normal 22 3 8" xfId="33413" xr:uid="{00000000-0005-0000-0000-0000CE5D0000}"/>
    <cellStyle name="Normal 22 3_Additional Disclosures" xfId="16387" xr:uid="{00000000-0005-0000-0000-0000CF5D0000}"/>
    <cellStyle name="Normal 22 4" xfId="9410" xr:uid="{00000000-0005-0000-0000-0000D05D0000}"/>
    <cellStyle name="Normal 22 4 2" xfId="24724" xr:uid="{00000000-0005-0000-0000-0000D15D0000}"/>
    <cellStyle name="Normal 22 4 3" xfId="31912" xr:uid="{00000000-0005-0000-0000-0000D25D0000}"/>
    <cellStyle name="Normal 22 5" xfId="9411" xr:uid="{00000000-0005-0000-0000-0000D35D0000}"/>
    <cellStyle name="Normal 22 5 2" xfId="24725" xr:uid="{00000000-0005-0000-0000-0000D45D0000}"/>
    <cellStyle name="Normal 22 5 3" xfId="31913" xr:uid="{00000000-0005-0000-0000-0000D55D0000}"/>
    <cellStyle name="Normal 22 6" xfId="9412" xr:uid="{00000000-0005-0000-0000-0000D65D0000}"/>
    <cellStyle name="Normal 22 6 2" xfId="24726" xr:uid="{00000000-0005-0000-0000-0000D75D0000}"/>
    <cellStyle name="Normal 22 6 3" xfId="31914" xr:uid="{00000000-0005-0000-0000-0000D85D0000}"/>
    <cellStyle name="Normal 22 7" xfId="9413" xr:uid="{00000000-0005-0000-0000-0000D95D0000}"/>
    <cellStyle name="Normal 22 7 2" xfId="24727" xr:uid="{00000000-0005-0000-0000-0000DA5D0000}"/>
    <cellStyle name="Normal 22 7 3" xfId="31915" xr:uid="{00000000-0005-0000-0000-0000DB5D0000}"/>
    <cellStyle name="Normal 22 8" xfId="9414" xr:uid="{00000000-0005-0000-0000-0000DC5D0000}"/>
    <cellStyle name="Normal 22 8 2" xfId="24728" xr:uid="{00000000-0005-0000-0000-0000DD5D0000}"/>
    <cellStyle name="Normal 22 8 3" xfId="31916" xr:uid="{00000000-0005-0000-0000-0000DE5D0000}"/>
    <cellStyle name="Normal 22 9" xfId="9415" xr:uid="{00000000-0005-0000-0000-0000DF5D0000}"/>
    <cellStyle name="Normal 22 9 2" xfId="24729" xr:uid="{00000000-0005-0000-0000-0000E05D0000}"/>
    <cellStyle name="Normal 22_Additional Disclosures" xfId="16384" xr:uid="{00000000-0005-0000-0000-0000E15D0000}"/>
    <cellStyle name="Normal 220" xfId="9416" xr:uid="{00000000-0005-0000-0000-0000E25D0000}"/>
    <cellStyle name="Normal 220 2" xfId="9417" xr:uid="{00000000-0005-0000-0000-0000E35D0000}"/>
    <cellStyle name="Normal 220 2 2" xfId="11082" xr:uid="{00000000-0005-0000-0000-0000E45D0000}"/>
    <cellStyle name="Normal 220 2 2 2" xfId="12502" xr:uid="{00000000-0005-0000-0000-0000E55D0000}"/>
    <cellStyle name="Normal 220 2 2 2 2" xfId="24733" xr:uid="{00000000-0005-0000-0000-0000E65D0000}"/>
    <cellStyle name="Normal 220 2 2 3" xfId="24732" xr:uid="{00000000-0005-0000-0000-0000E75D0000}"/>
    <cellStyle name="Normal 220 2 3" xfId="11851" xr:uid="{00000000-0005-0000-0000-0000E85D0000}"/>
    <cellStyle name="Normal 220 2 3 2" xfId="24734" xr:uid="{00000000-0005-0000-0000-0000E95D0000}"/>
    <cellStyle name="Normal 220 2 4" xfId="24731" xr:uid="{00000000-0005-0000-0000-0000EA5D0000}"/>
    <cellStyle name="Normal 220 3" xfId="11081" xr:uid="{00000000-0005-0000-0000-0000EB5D0000}"/>
    <cellStyle name="Normal 220 3 2" xfId="12501" xr:uid="{00000000-0005-0000-0000-0000EC5D0000}"/>
    <cellStyle name="Normal 220 3 2 2" xfId="24736" xr:uid="{00000000-0005-0000-0000-0000ED5D0000}"/>
    <cellStyle name="Normal 220 3 3" xfId="24735" xr:uid="{00000000-0005-0000-0000-0000EE5D0000}"/>
    <cellStyle name="Normal 220 4" xfId="11850" xr:uid="{00000000-0005-0000-0000-0000EF5D0000}"/>
    <cellStyle name="Normal 220 4 2" xfId="24737" xr:uid="{00000000-0005-0000-0000-0000F05D0000}"/>
    <cellStyle name="Normal 220 5" xfId="14375" xr:uid="{00000000-0005-0000-0000-0000F15D0000}"/>
    <cellStyle name="Normal 220 5 2" xfId="24738" xr:uid="{00000000-0005-0000-0000-0000F25D0000}"/>
    <cellStyle name="Normal 220 6" xfId="15518" xr:uid="{00000000-0005-0000-0000-0000F35D0000}"/>
    <cellStyle name="Normal 220 6 2" xfId="24739" xr:uid="{00000000-0005-0000-0000-0000F45D0000}"/>
    <cellStyle name="Normal 220 7" xfId="24730" xr:uid="{00000000-0005-0000-0000-0000F55D0000}"/>
    <cellStyle name="Normal 220 8" xfId="31917" xr:uid="{00000000-0005-0000-0000-0000F65D0000}"/>
    <cellStyle name="Normal 220_Additional Disclosures" xfId="16388" xr:uid="{00000000-0005-0000-0000-0000F75D0000}"/>
    <cellStyle name="Normal 221" xfId="9418" xr:uid="{00000000-0005-0000-0000-0000F85D0000}"/>
    <cellStyle name="Normal 221 2" xfId="9419" xr:uid="{00000000-0005-0000-0000-0000F95D0000}"/>
    <cellStyle name="Normal 221 2 2" xfId="11084" xr:uid="{00000000-0005-0000-0000-0000FA5D0000}"/>
    <cellStyle name="Normal 221 2 2 2" xfId="12504" xr:uid="{00000000-0005-0000-0000-0000FB5D0000}"/>
    <cellStyle name="Normal 221 2 2 2 2" xfId="24743" xr:uid="{00000000-0005-0000-0000-0000FC5D0000}"/>
    <cellStyle name="Normal 221 2 2 3" xfId="24742" xr:uid="{00000000-0005-0000-0000-0000FD5D0000}"/>
    <cellStyle name="Normal 221 2 3" xfId="11853" xr:uid="{00000000-0005-0000-0000-0000FE5D0000}"/>
    <cellStyle name="Normal 221 2 3 2" xfId="24744" xr:uid="{00000000-0005-0000-0000-0000FF5D0000}"/>
    <cellStyle name="Normal 221 2 4" xfId="24741" xr:uid="{00000000-0005-0000-0000-0000005E0000}"/>
    <cellStyle name="Normal 221 3" xfId="11083" xr:uid="{00000000-0005-0000-0000-0000015E0000}"/>
    <cellStyle name="Normal 221 3 2" xfId="12503" xr:uid="{00000000-0005-0000-0000-0000025E0000}"/>
    <cellStyle name="Normal 221 3 2 2" xfId="24746" xr:uid="{00000000-0005-0000-0000-0000035E0000}"/>
    <cellStyle name="Normal 221 3 3" xfId="24745" xr:uid="{00000000-0005-0000-0000-0000045E0000}"/>
    <cellStyle name="Normal 221 4" xfId="11852" xr:uid="{00000000-0005-0000-0000-0000055E0000}"/>
    <cellStyle name="Normal 221 4 2" xfId="24747" xr:uid="{00000000-0005-0000-0000-0000065E0000}"/>
    <cellStyle name="Normal 221 5" xfId="14376" xr:uid="{00000000-0005-0000-0000-0000075E0000}"/>
    <cellStyle name="Normal 221 5 2" xfId="24748" xr:uid="{00000000-0005-0000-0000-0000085E0000}"/>
    <cellStyle name="Normal 221 6" xfId="15519" xr:uid="{00000000-0005-0000-0000-0000095E0000}"/>
    <cellStyle name="Normal 221 6 2" xfId="24749" xr:uid="{00000000-0005-0000-0000-00000A5E0000}"/>
    <cellStyle name="Normal 221 7" xfId="24740" xr:uid="{00000000-0005-0000-0000-00000B5E0000}"/>
    <cellStyle name="Normal 221 8" xfId="31918" xr:uid="{00000000-0005-0000-0000-00000C5E0000}"/>
    <cellStyle name="Normal 221_Additional Disclosures" xfId="16389" xr:uid="{00000000-0005-0000-0000-00000D5E0000}"/>
    <cellStyle name="Normal 222" xfId="170" xr:uid="{00000000-0005-0000-0000-00000E5E0000}"/>
    <cellStyle name="Normal 222 2" xfId="366" xr:uid="{00000000-0005-0000-0000-00000F5E0000}"/>
    <cellStyle name="Normal 222 2 2" xfId="11086" xr:uid="{00000000-0005-0000-0000-0000105E0000}"/>
    <cellStyle name="Normal 222 2 2 2" xfId="12506" xr:uid="{00000000-0005-0000-0000-0000115E0000}"/>
    <cellStyle name="Normal 222 2 2 2 2" xfId="24753" xr:uid="{00000000-0005-0000-0000-0000125E0000}"/>
    <cellStyle name="Normal 222 2 2 3" xfId="24752" xr:uid="{00000000-0005-0000-0000-0000135E0000}"/>
    <cellStyle name="Normal 222 2 3" xfId="11855" xr:uid="{00000000-0005-0000-0000-0000145E0000}"/>
    <cellStyle name="Normal 222 2 3 2" xfId="24754" xr:uid="{00000000-0005-0000-0000-0000155E0000}"/>
    <cellStyle name="Normal 222 2 4" xfId="14360" xr:uid="{00000000-0005-0000-0000-0000165E0000}"/>
    <cellStyle name="Normal 222 2 4 2" xfId="24755" xr:uid="{00000000-0005-0000-0000-0000175E0000}"/>
    <cellStyle name="Normal 222 2 5" xfId="15503" xr:uid="{00000000-0005-0000-0000-0000185E0000}"/>
    <cellStyle name="Normal 222 2 5 2" xfId="24756" xr:uid="{00000000-0005-0000-0000-0000195E0000}"/>
    <cellStyle name="Normal 222 2 6" xfId="24751" xr:uid="{00000000-0005-0000-0000-00001A5E0000}"/>
    <cellStyle name="Normal 222 2_Additional Disclosures" xfId="16391" xr:uid="{00000000-0005-0000-0000-00001B5E0000}"/>
    <cellStyle name="Normal 222 3" xfId="11085" xr:uid="{00000000-0005-0000-0000-00001C5E0000}"/>
    <cellStyle name="Normal 222 3 2" xfId="12505" xr:uid="{00000000-0005-0000-0000-00001D5E0000}"/>
    <cellStyle name="Normal 222 3 2 2" xfId="24758" xr:uid="{00000000-0005-0000-0000-00001E5E0000}"/>
    <cellStyle name="Normal 222 3 3" xfId="24757" xr:uid="{00000000-0005-0000-0000-00001F5E0000}"/>
    <cellStyle name="Normal 222 4" xfId="11854" xr:uid="{00000000-0005-0000-0000-0000205E0000}"/>
    <cellStyle name="Normal 222 4 2" xfId="24759" xr:uid="{00000000-0005-0000-0000-0000215E0000}"/>
    <cellStyle name="Normal 222 5" xfId="14359" xr:uid="{00000000-0005-0000-0000-0000225E0000}"/>
    <cellStyle name="Normal 222 5 2" xfId="24760" xr:uid="{00000000-0005-0000-0000-0000235E0000}"/>
    <cellStyle name="Normal 222 6" xfId="15502" xr:uid="{00000000-0005-0000-0000-0000245E0000}"/>
    <cellStyle name="Normal 222 6 2" xfId="24761" xr:uid="{00000000-0005-0000-0000-0000255E0000}"/>
    <cellStyle name="Normal 222 7" xfId="24750" xr:uid="{00000000-0005-0000-0000-0000265E0000}"/>
    <cellStyle name="Normal 222 8" xfId="31919" xr:uid="{00000000-0005-0000-0000-0000275E0000}"/>
    <cellStyle name="Normal 222_Additional Disclosures" xfId="16390" xr:uid="{00000000-0005-0000-0000-0000285E0000}"/>
    <cellStyle name="Normal 223" xfId="171" xr:uid="{00000000-0005-0000-0000-0000295E0000}"/>
    <cellStyle name="Normal 223 2" xfId="365" xr:uid="{00000000-0005-0000-0000-00002A5E0000}"/>
    <cellStyle name="Normal 223 2 2" xfId="11088" xr:uid="{00000000-0005-0000-0000-00002B5E0000}"/>
    <cellStyle name="Normal 223 2 2 2" xfId="12508" xr:uid="{00000000-0005-0000-0000-00002C5E0000}"/>
    <cellStyle name="Normal 223 2 2 2 2" xfId="24765" xr:uid="{00000000-0005-0000-0000-00002D5E0000}"/>
    <cellStyle name="Normal 223 2 2 3" xfId="24764" xr:uid="{00000000-0005-0000-0000-00002E5E0000}"/>
    <cellStyle name="Normal 223 2 3" xfId="11857" xr:uid="{00000000-0005-0000-0000-00002F5E0000}"/>
    <cellStyle name="Normal 223 2 3 2" xfId="24766" xr:uid="{00000000-0005-0000-0000-0000305E0000}"/>
    <cellStyle name="Normal 223 2 4" xfId="14362" xr:uid="{00000000-0005-0000-0000-0000315E0000}"/>
    <cellStyle name="Normal 223 2 4 2" xfId="24767" xr:uid="{00000000-0005-0000-0000-0000325E0000}"/>
    <cellStyle name="Normal 223 2 5" xfId="15505" xr:uid="{00000000-0005-0000-0000-0000335E0000}"/>
    <cellStyle name="Normal 223 2 5 2" xfId="24768" xr:uid="{00000000-0005-0000-0000-0000345E0000}"/>
    <cellStyle name="Normal 223 2 6" xfId="24763" xr:uid="{00000000-0005-0000-0000-0000355E0000}"/>
    <cellStyle name="Normal 223 2_Additional Disclosures" xfId="16393" xr:uid="{00000000-0005-0000-0000-0000365E0000}"/>
    <cellStyle name="Normal 223 3" xfId="11087" xr:uid="{00000000-0005-0000-0000-0000375E0000}"/>
    <cellStyle name="Normal 223 3 2" xfId="12507" xr:uid="{00000000-0005-0000-0000-0000385E0000}"/>
    <cellStyle name="Normal 223 3 2 2" xfId="24770" xr:uid="{00000000-0005-0000-0000-0000395E0000}"/>
    <cellStyle name="Normal 223 3 3" xfId="24769" xr:uid="{00000000-0005-0000-0000-00003A5E0000}"/>
    <cellStyle name="Normal 223 4" xfId="11856" xr:uid="{00000000-0005-0000-0000-00003B5E0000}"/>
    <cellStyle name="Normal 223 4 2" xfId="24771" xr:uid="{00000000-0005-0000-0000-00003C5E0000}"/>
    <cellStyle name="Normal 223 5" xfId="14361" xr:uid="{00000000-0005-0000-0000-00003D5E0000}"/>
    <cellStyle name="Normal 223 5 2" xfId="24772" xr:uid="{00000000-0005-0000-0000-00003E5E0000}"/>
    <cellStyle name="Normal 223 6" xfId="15504" xr:uid="{00000000-0005-0000-0000-00003F5E0000}"/>
    <cellStyle name="Normal 223 6 2" xfId="24773" xr:uid="{00000000-0005-0000-0000-0000405E0000}"/>
    <cellStyle name="Normal 223 7" xfId="24762" xr:uid="{00000000-0005-0000-0000-0000415E0000}"/>
    <cellStyle name="Normal 223 8" xfId="31920" xr:uid="{00000000-0005-0000-0000-0000425E0000}"/>
    <cellStyle name="Normal 223_Additional Disclosures" xfId="16392" xr:uid="{00000000-0005-0000-0000-0000435E0000}"/>
    <cellStyle name="Normal 224" xfId="9420" xr:uid="{00000000-0005-0000-0000-0000445E0000}"/>
    <cellStyle name="Normal 224 2" xfId="9421" xr:uid="{00000000-0005-0000-0000-0000455E0000}"/>
    <cellStyle name="Normal 224 2 2" xfId="11090" xr:uid="{00000000-0005-0000-0000-0000465E0000}"/>
    <cellStyle name="Normal 224 2 2 2" xfId="12510" xr:uid="{00000000-0005-0000-0000-0000475E0000}"/>
    <cellStyle name="Normal 224 2 2 2 2" xfId="24777" xr:uid="{00000000-0005-0000-0000-0000485E0000}"/>
    <cellStyle name="Normal 224 2 2 3" xfId="24776" xr:uid="{00000000-0005-0000-0000-0000495E0000}"/>
    <cellStyle name="Normal 224 2 3" xfId="11859" xr:uid="{00000000-0005-0000-0000-00004A5E0000}"/>
    <cellStyle name="Normal 224 2 3 2" xfId="24778" xr:uid="{00000000-0005-0000-0000-00004B5E0000}"/>
    <cellStyle name="Normal 224 2 4" xfId="24775" xr:uid="{00000000-0005-0000-0000-00004C5E0000}"/>
    <cellStyle name="Normal 224 3" xfId="11089" xr:uid="{00000000-0005-0000-0000-00004D5E0000}"/>
    <cellStyle name="Normal 224 3 2" xfId="12509" xr:uid="{00000000-0005-0000-0000-00004E5E0000}"/>
    <cellStyle name="Normal 224 3 2 2" xfId="24780" xr:uid="{00000000-0005-0000-0000-00004F5E0000}"/>
    <cellStyle name="Normal 224 3 3" xfId="24779" xr:uid="{00000000-0005-0000-0000-0000505E0000}"/>
    <cellStyle name="Normal 224 4" xfId="11858" xr:uid="{00000000-0005-0000-0000-0000515E0000}"/>
    <cellStyle name="Normal 224 4 2" xfId="24781" xr:uid="{00000000-0005-0000-0000-0000525E0000}"/>
    <cellStyle name="Normal 224 5" xfId="14377" xr:uid="{00000000-0005-0000-0000-0000535E0000}"/>
    <cellStyle name="Normal 224 5 2" xfId="24782" xr:uid="{00000000-0005-0000-0000-0000545E0000}"/>
    <cellStyle name="Normal 224 6" xfId="15520" xr:uid="{00000000-0005-0000-0000-0000555E0000}"/>
    <cellStyle name="Normal 224 6 2" xfId="24783" xr:uid="{00000000-0005-0000-0000-0000565E0000}"/>
    <cellStyle name="Normal 224 7" xfId="24774" xr:uid="{00000000-0005-0000-0000-0000575E0000}"/>
    <cellStyle name="Normal 224 8" xfId="31921" xr:uid="{00000000-0005-0000-0000-0000585E0000}"/>
    <cellStyle name="Normal 224_Additional Disclosures" xfId="16394" xr:uid="{00000000-0005-0000-0000-0000595E0000}"/>
    <cellStyle name="Normal 225" xfId="9422" xr:uid="{00000000-0005-0000-0000-00005A5E0000}"/>
    <cellStyle name="Normal 225 2" xfId="9423" xr:uid="{00000000-0005-0000-0000-00005B5E0000}"/>
    <cellStyle name="Normal 225 2 2" xfId="11092" xr:uid="{00000000-0005-0000-0000-00005C5E0000}"/>
    <cellStyle name="Normal 225 2 2 2" xfId="12512" xr:uid="{00000000-0005-0000-0000-00005D5E0000}"/>
    <cellStyle name="Normal 225 2 2 2 2" xfId="24787" xr:uid="{00000000-0005-0000-0000-00005E5E0000}"/>
    <cellStyle name="Normal 225 2 2 3" xfId="24786" xr:uid="{00000000-0005-0000-0000-00005F5E0000}"/>
    <cellStyle name="Normal 225 2 3" xfId="11861" xr:uid="{00000000-0005-0000-0000-0000605E0000}"/>
    <cellStyle name="Normal 225 2 3 2" xfId="24788" xr:uid="{00000000-0005-0000-0000-0000615E0000}"/>
    <cellStyle name="Normal 225 2 4" xfId="24785" xr:uid="{00000000-0005-0000-0000-0000625E0000}"/>
    <cellStyle name="Normal 225 3" xfId="11091" xr:uid="{00000000-0005-0000-0000-0000635E0000}"/>
    <cellStyle name="Normal 225 3 2" xfId="12511" xr:uid="{00000000-0005-0000-0000-0000645E0000}"/>
    <cellStyle name="Normal 225 3 2 2" xfId="24790" xr:uid="{00000000-0005-0000-0000-0000655E0000}"/>
    <cellStyle name="Normal 225 3 3" xfId="24789" xr:uid="{00000000-0005-0000-0000-0000665E0000}"/>
    <cellStyle name="Normal 225 4" xfId="11860" xr:uid="{00000000-0005-0000-0000-0000675E0000}"/>
    <cellStyle name="Normal 225 4 2" xfId="24791" xr:uid="{00000000-0005-0000-0000-0000685E0000}"/>
    <cellStyle name="Normal 225 5" xfId="14378" xr:uid="{00000000-0005-0000-0000-0000695E0000}"/>
    <cellStyle name="Normal 225 5 2" xfId="24792" xr:uid="{00000000-0005-0000-0000-00006A5E0000}"/>
    <cellStyle name="Normal 225 6" xfId="15521" xr:uid="{00000000-0005-0000-0000-00006B5E0000}"/>
    <cellStyle name="Normal 225 6 2" xfId="24793" xr:uid="{00000000-0005-0000-0000-00006C5E0000}"/>
    <cellStyle name="Normal 225 7" xfId="24784" xr:uid="{00000000-0005-0000-0000-00006D5E0000}"/>
    <cellStyle name="Normal 225 8" xfId="31922" xr:uid="{00000000-0005-0000-0000-00006E5E0000}"/>
    <cellStyle name="Normal 225_Additional Disclosures" xfId="16395" xr:uid="{00000000-0005-0000-0000-00006F5E0000}"/>
    <cellStyle name="Normal 226" xfId="9424" xr:uid="{00000000-0005-0000-0000-0000705E0000}"/>
    <cellStyle name="Normal 226 2" xfId="14379" xr:uid="{00000000-0005-0000-0000-0000715E0000}"/>
    <cellStyle name="Normal 226 2 2" xfId="12154" xr:uid="{00000000-0005-0000-0000-0000725E0000}"/>
    <cellStyle name="Normal 226 2 2 2" xfId="24796" xr:uid="{00000000-0005-0000-0000-0000735E0000}"/>
    <cellStyle name="Normal 226 2 3" xfId="24795" xr:uid="{00000000-0005-0000-0000-0000745E0000}"/>
    <cellStyle name="Normal 226 3" xfId="15522" xr:uid="{00000000-0005-0000-0000-0000755E0000}"/>
    <cellStyle name="Normal 226 3 2" xfId="24797" xr:uid="{00000000-0005-0000-0000-0000765E0000}"/>
    <cellStyle name="Normal 226 4" xfId="24794" xr:uid="{00000000-0005-0000-0000-0000775E0000}"/>
    <cellStyle name="Normal 226 5" xfId="31923" xr:uid="{00000000-0005-0000-0000-0000785E0000}"/>
    <cellStyle name="Normal 226_Additional Disclosures" xfId="16396" xr:uid="{00000000-0005-0000-0000-0000795E0000}"/>
    <cellStyle name="Normal 227" xfId="9425" xr:uid="{00000000-0005-0000-0000-00007A5E0000}"/>
    <cellStyle name="Normal 227 2" xfId="9426" xr:uid="{00000000-0005-0000-0000-00007B5E0000}"/>
    <cellStyle name="Normal 227 2 2" xfId="11094" xr:uid="{00000000-0005-0000-0000-00007C5E0000}"/>
    <cellStyle name="Normal 227 2 2 2" xfId="12514" xr:uid="{00000000-0005-0000-0000-00007D5E0000}"/>
    <cellStyle name="Normal 227 2 2 2 2" xfId="24801" xr:uid="{00000000-0005-0000-0000-00007E5E0000}"/>
    <cellStyle name="Normal 227 2 2 3" xfId="24800" xr:uid="{00000000-0005-0000-0000-00007F5E0000}"/>
    <cellStyle name="Normal 227 2 3" xfId="11863" xr:uid="{00000000-0005-0000-0000-0000805E0000}"/>
    <cellStyle name="Normal 227 2 3 2" xfId="24802" xr:uid="{00000000-0005-0000-0000-0000815E0000}"/>
    <cellStyle name="Normal 227 2 4" xfId="24799" xr:uid="{00000000-0005-0000-0000-0000825E0000}"/>
    <cellStyle name="Normal 227 3" xfId="11093" xr:uid="{00000000-0005-0000-0000-0000835E0000}"/>
    <cellStyle name="Normal 227 3 2" xfId="12513" xr:uid="{00000000-0005-0000-0000-0000845E0000}"/>
    <cellStyle name="Normal 227 3 2 2" xfId="24804" xr:uid="{00000000-0005-0000-0000-0000855E0000}"/>
    <cellStyle name="Normal 227 3 3" xfId="24803" xr:uid="{00000000-0005-0000-0000-0000865E0000}"/>
    <cellStyle name="Normal 227 4" xfId="11862" xr:uid="{00000000-0005-0000-0000-0000875E0000}"/>
    <cellStyle name="Normal 227 4 2" xfId="24805" xr:uid="{00000000-0005-0000-0000-0000885E0000}"/>
    <cellStyle name="Normal 227 5" xfId="14380" xr:uid="{00000000-0005-0000-0000-0000895E0000}"/>
    <cellStyle name="Normal 227 5 2" xfId="24806" xr:uid="{00000000-0005-0000-0000-00008A5E0000}"/>
    <cellStyle name="Normal 227 6" xfId="15523" xr:uid="{00000000-0005-0000-0000-00008B5E0000}"/>
    <cellStyle name="Normal 227 6 2" xfId="24807" xr:uid="{00000000-0005-0000-0000-00008C5E0000}"/>
    <cellStyle name="Normal 227 7" xfId="24798" xr:uid="{00000000-0005-0000-0000-00008D5E0000}"/>
    <cellStyle name="Normal 227 8" xfId="31924" xr:uid="{00000000-0005-0000-0000-00008E5E0000}"/>
    <cellStyle name="Normal 227_Additional Disclosures" xfId="16397" xr:uid="{00000000-0005-0000-0000-00008F5E0000}"/>
    <cellStyle name="Normal 228" xfId="9427" xr:uid="{00000000-0005-0000-0000-0000905E0000}"/>
    <cellStyle name="Normal 228 10" xfId="34276" xr:uid="{00000000-0005-0000-0000-0000915E0000}"/>
    <cellStyle name="Normal 228 2" xfId="9428" xr:uid="{00000000-0005-0000-0000-0000925E0000}"/>
    <cellStyle name="Normal 228 2 2" xfId="11096" xr:uid="{00000000-0005-0000-0000-0000935E0000}"/>
    <cellStyle name="Normal 228 2 2 2" xfId="12516" xr:uid="{00000000-0005-0000-0000-0000945E0000}"/>
    <cellStyle name="Normal 228 2 2 2 2" xfId="14169" xr:uid="{00000000-0005-0000-0000-0000955E0000}"/>
    <cellStyle name="Normal 228 2 2 2 2 2" xfId="24812" xr:uid="{00000000-0005-0000-0000-0000965E0000}"/>
    <cellStyle name="Normal 228 2 2 2 3" xfId="15313" xr:uid="{00000000-0005-0000-0000-0000975E0000}"/>
    <cellStyle name="Normal 228 2 2 2 3 2" xfId="24813" xr:uid="{00000000-0005-0000-0000-0000985E0000}"/>
    <cellStyle name="Normal 228 2 2 2 4" xfId="24811" xr:uid="{00000000-0005-0000-0000-0000995E0000}"/>
    <cellStyle name="Normal 228 2 2 2_Additional Disclosures" xfId="16401" xr:uid="{00000000-0005-0000-0000-00009A5E0000}"/>
    <cellStyle name="Normal 228 2 2 3" xfId="13658" xr:uid="{00000000-0005-0000-0000-00009B5E0000}"/>
    <cellStyle name="Normal 228 2 2 3 2" xfId="24814" xr:uid="{00000000-0005-0000-0000-00009C5E0000}"/>
    <cellStyle name="Normal 228 2 2 4" xfId="14803" xr:uid="{00000000-0005-0000-0000-00009D5E0000}"/>
    <cellStyle name="Normal 228 2 2 4 2" xfId="24815" xr:uid="{00000000-0005-0000-0000-00009E5E0000}"/>
    <cellStyle name="Normal 228 2 2 5" xfId="24810" xr:uid="{00000000-0005-0000-0000-00009F5E0000}"/>
    <cellStyle name="Normal 228 2 2_Additional Disclosures" xfId="16400" xr:uid="{00000000-0005-0000-0000-0000A05E0000}"/>
    <cellStyle name="Normal 228 2 3" xfId="11865" xr:uid="{00000000-0005-0000-0000-0000A15E0000}"/>
    <cellStyle name="Normal 228 2 3 2" xfId="13914" xr:uid="{00000000-0005-0000-0000-0000A25E0000}"/>
    <cellStyle name="Normal 228 2 3 2 2" xfId="24817" xr:uid="{00000000-0005-0000-0000-0000A35E0000}"/>
    <cellStyle name="Normal 228 2 3 3" xfId="15059" xr:uid="{00000000-0005-0000-0000-0000A45E0000}"/>
    <cellStyle name="Normal 228 2 3 3 2" xfId="24818" xr:uid="{00000000-0005-0000-0000-0000A55E0000}"/>
    <cellStyle name="Normal 228 2 3 4" xfId="24816" xr:uid="{00000000-0005-0000-0000-0000A65E0000}"/>
    <cellStyle name="Normal 228 2 3_Additional Disclosures" xfId="16402" xr:uid="{00000000-0005-0000-0000-0000A75E0000}"/>
    <cellStyle name="Normal 228 2 4" xfId="13403" xr:uid="{00000000-0005-0000-0000-0000A85E0000}"/>
    <cellStyle name="Normal 228 2 4 2" xfId="24819" xr:uid="{00000000-0005-0000-0000-0000A95E0000}"/>
    <cellStyle name="Normal 228 2 5" xfId="14547" xr:uid="{00000000-0005-0000-0000-0000AA5E0000}"/>
    <cellStyle name="Normal 228 2 5 2" xfId="24820" xr:uid="{00000000-0005-0000-0000-0000AB5E0000}"/>
    <cellStyle name="Normal 228 2 6" xfId="24809" xr:uid="{00000000-0005-0000-0000-0000AC5E0000}"/>
    <cellStyle name="Normal 228 2 7" xfId="33746" xr:uid="{00000000-0005-0000-0000-0000AD5E0000}"/>
    <cellStyle name="Normal 228 2 8" xfId="34288" xr:uid="{00000000-0005-0000-0000-0000AE5E0000}"/>
    <cellStyle name="Normal 228 2_Additional Disclosures" xfId="16399" xr:uid="{00000000-0005-0000-0000-0000AF5E0000}"/>
    <cellStyle name="Normal 228 3" xfId="11095" xr:uid="{00000000-0005-0000-0000-0000B05E0000}"/>
    <cellStyle name="Normal 228 3 2" xfId="12515" xr:uid="{00000000-0005-0000-0000-0000B15E0000}"/>
    <cellStyle name="Normal 228 3 2 2" xfId="14129" xr:uid="{00000000-0005-0000-0000-0000B25E0000}"/>
    <cellStyle name="Normal 228 3 2 2 2" xfId="24823" xr:uid="{00000000-0005-0000-0000-0000B35E0000}"/>
    <cellStyle name="Normal 228 3 2 3" xfId="15273" xr:uid="{00000000-0005-0000-0000-0000B45E0000}"/>
    <cellStyle name="Normal 228 3 2 3 2" xfId="24824" xr:uid="{00000000-0005-0000-0000-0000B55E0000}"/>
    <cellStyle name="Normal 228 3 2 4" xfId="24822" xr:uid="{00000000-0005-0000-0000-0000B65E0000}"/>
    <cellStyle name="Normal 228 3 2_Additional Disclosures" xfId="16404" xr:uid="{00000000-0005-0000-0000-0000B75E0000}"/>
    <cellStyle name="Normal 228 3 3" xfId="13618" xr:uid="{00000000-0005-0000-0000-0000B85E0000}"/>
    <cellStyle name="Normal 228 3 3 2" xfId="24825" xr:uid="{00000000-0005-0000-0000-0000B95E0000}"/>
    <cellStyle name="Normal 228 3 4" xfId="14763" xr:uid="{00000000-0005-0000-0000-0000BA5E0000}"/>
    <cellStyle name="Normal 228 3 4 2" xfId="24826" xr:uid="{00000000-0005-0000-0000-0000BB5E0000}"/>
    <cellStyle name="Normal 228 3 5" xfId="24821" xr:uid="{00000000-0005-0000-0000-0000BC5E0000}"/>
    <cellStyle name="Normal 228 3 6" xfId="33974" xr:uid="{00000000-0005-0000-0000-0000BD5E0000}"/>
    <cellStyle name="Normal 228 3 7" xfId="34305" xr:uid="{00000000-0005-0000-0000-0000BE5E0000}"/>
    <cellStyle name="Normal 228 3_Additional Disclosures" xfId="16403" xr:uid="{00000000-0005-0000-0000-0000BF5E0000}"/>
    <cellStyle name="Normal 228 4" xfId="11864" xr:uid="{00000000-0005-0000-0000-0000C05E0000}"/>
    <cellStyle name="Normal 228 4 2" xfId="13874" xr:uid="{00000000-0005-0000-0000-0000C15E0000}"/>
    <cellStyle name="Normal 228 4 2 2" xfId="24828" xr:uid="{00000000-0005-0000-0000-0000C25E0000}"/>
    <cellStyle name="Normal 228 4 3" xfId="15019" xr:uid="{00000000-0005-0000-0000-0000C35E0000}"/>
    <cellStyle name="Normal 228 4 3 2" xfId="24829" xr:uid="{00000000-0005-0000-0000-0000C45E0000}"/>
    <cellStyle name="Normal 228 4 4" xfId="24827" xr:uid="{00000000-0005-0000-0000-0000C55E0000}"/>
    <cellStyle name="Normal 228 4 5" xfId="34188" xr:uid="{00000000-0005-0000-0000-0000C65E0000}"/>
    <cellStyle name="Normal 228 4_Additional Disclosures" xfId="16405" xr:uid="{00000000-0005-0000-0000-0000C75E0000}"/>
    <cellStyle name="Normal 228 5" xfId="13363" xr:uid="{00000000-0005-0000-0000-0000C85E0000}"/>
    <cellStyle name="Normal 228 5 2" xfId="24830" xr:uid="{00000000-0005-0000-0000-0000C95E0000}"/>
    <cellStyle name="Normal 228 6" xfId="14506" xr:uid="{00000000-0005-0000-0000-0000CA5E0000}"/>
    <cellStyle name="Normal 228 6 2" xfId="24831" xr:uid="{00000000-0005-0000-0000-0000CB5E0000}"/>
    <cellStyle name="Normal 228 7" xfId="24808" xr:uid="{00000000-0005-0000-0000-0000CC5E0000}"/>
    <cellStyle name="Normal 228 8" xfId="31925" xr:uid="{00000000-0005-0000-0000-0000CD5E0000}"/>
    <cellStyle name="Normal 228 9" xfId="33362" xr:uid="{00000000-0005-0000-0000-0000CE5E0000}"/>
    <cellStyle name="Normal 228_Additional Disclosures" xfId="16398" xr:uid="{00000000-0005-0000-0000-0000CF5E0000}"/>
    <cellStyle name="Normal 229" xfId="9429" xr:uid="{00000000-0005-0000-0000-0000D05E0000}"/>
    <cellStyle name="Normal 229 2" xfId="9430" xr:uid="{00000000-0005-0000-0000-0000D15E0000}"/>
    <cellStyle name="Normal 229 2 2" xfId="11098" xr:uid="{00000000-0005-0000-0000-0000D25E0000}"/>
    <cellStyle name="Normal 229 2 2 2" xfId="12518" xr:uid="{00000000-0005-0000-0000-0000D35E0000}"/>
    <cellStyle name="Normal 229 2 2 2 2" xfId="24835" xr:uid="{00000000-0005-0000-0000-0000D45E0000}"/>
    <cellStyle name="Normal 229 2 2 3" xfId="24834" xr:uid="{00000000-0005-0000-0000-0000D55E0000}"/>
    <cellStyle name="Normal 229 2 3" xfId="11867" xr:uid="{00000000-0005-0000-0000-0000D65E0000}"/>
    <cellStyle name="Normal 229 2 3 2" xfId="24836" xr:uid="{00000000-0005-0000-0000-0000D75E0000}"/>
    <cellStyle name="Normal 229 2 4" xfId="24833" xr:uid="{00000000-0005-0000-0000-0000D85E0000}"/>
    <cellStyle name="Normal 229 3" xfId="11097" xr:uid="{00000000-0005-0000-0000-0000D95E0000}"/>
    <cellStyle name="Normal 229 3 2" xfId="12517" xr:uid="{00000000-0005-0000-0000-0000DA5E0000}"/>
    <cellStyle name="Normal 229 3 2 2" xfId="24838" xr:uid="{00000000-0005-0000-0000-0000DB5E0000}"/>
    <cellStyle name="Normal 229 3 3" xfId="24837" xr:uid="{00000000-0005-0000-0000-0000DC5E0000}"/>
    <cellStyle name="Normal 229 4" xfId="11866" xr:uid="{00000000-0005-0000-0000-0000DD5E0000}"/>
    <cellStyle name="Normal 229 4 2" xfId="24839" xr:uid="{00000000-0005-0000-0000-0000DE5E0000}"/>
    <cellStyle name="Normal 229 5" xfId="14381" xr:uid="{00000000-0005-0000-0000-0000DF5E0000}"/>
    <cellStyle name="Normal 229 5 2" xfId="24840" xr:uid="{00000000-0005-0000-0000-0000E05E0000}"/>
    <cellStyle name="Normal 229 6" xfId="15524" xr:uid="{00000000-0005-0000-0000-0000E15E0000}"/>
    <cellStyle name="Normal 229 6 2" xfId="24841" xr:uid="{00000000-0005-0000-0000-0000E25E0000}"/>
    <cellStyle name="Normal 229 7" xfId="24832" xr:uid="{00000000-0005-0000-0000-0000E35E0000}"/>
    <cellStyle name="Normal 229 8" xfId="31926" xr:uid="{00000000-0005-0000-0000-0000E45E0000}"/>
    <cellStyle name="Normal 229_Additional Disclosures" xfId="16406" xr:uid="{00000000-0005-0000-0000-0000E55E0000}"/>
    <cellStyle name="Normal 23" xfId="557" xr:uid="{00000000-0005-0000-0000-0000E65E0000}"/>
    <cellStyle name="Normal 23 10" xfId="28626" xr:uid="{00000000-0005-0000-0000-0000E75E0000}"/>
    <cellStyle name="Normal 23 11" xfId="31927" xr:uid="{00000000-0005-0000-0000-0000E85E0000}"/>
    <cellStyle name="Normal 23 12" xfId="31928" xr:uid="{00000000-0005-0000-0000-0000E95E0000}"/>
    <cellStyle name="Normal 23 2" xfId="9431" xr:uid="{00000000-0005-0000-0000-0000EA5E0000}"/>
    <cellStyle name="Normal 23 2 2" xfId="11099" xr:uid="{00000000-0005-0000-0000-0000EB5E0000}"/>
    <cellStyle name="Normal 23 2 2 2" xfId="12519" xr:uid="{00000000-0005-0000-0000-0000EC5E0000}"/>
    <cellStyle name="Normal 23 2 2 2 2" xfId="24845" xr:uid="{00000000-0005-0000-0000-0000ED5E0000}"/>
    <cellStyle name="Normal 23 2 2 3" xfId="14190" xr:uid="{00000000-0005-0000-0000-0000EE5E0000}"/>
    <cellStyle name="Normal 23 2 2 3 2" xfId="24846" xr:uid="{00000000-0005-0000-0000-0000EF5E0000}"/>
    <cellStyle name="Normal 23 2 2 4" xfId="15334" xr:uid="{00000000-0005-0000-0000-0000F05E0000}"/>
    <cellStyle name="Normal 23 2 2 4 2" xfId="24847" xr:uid="{00000000-0005-0000-0000-0000F15E0000}"/>
    <cellStyle name="Normal 23 2 2 5" xfId="24844" xr:uid="{00000000-0005-0000-0000-0000F25E0000}"/>
    <cellStyle name="Normal 23 2 2 6" xfId="33795" xr:uid="{00000000-0005-0000-0000-0000F35E0000}"/>
    <cellStyle name="Normal 23 2 2_Additional Disclosures" xfId="16409" xr:uid="{00000000-0005-0000-0000-0000F45E0000}"/>
    <cellStyle name="Normal 23 2 3" xfId="11868" xr:uid="{00000000-0005-0000-0000-0000F55E0000}"/>
    <cellStyle name="Normal 23 2 3 2" xfId="24848" xr:uid="{00000000-0005-0000-0000-0000F65E0000}"/>
    <cellStyle name="Normal 23 2 3 3" xfId="34023" xr:uid="{00000000-0005-0000-0000-0000F75E0000}"/>
    <cellStyle name="Normal 23 2 4" xfId="13679" xr:uid="{00000000-0005-0000-0000-0000F85E0000}"/>
    <cellStyle name="Normal 23 2 4 2" xfId="24849" xr:uid="{00000000-0005-0000-0000-0000F95E0000}"/>
    <cellStyle name="Normal 23 2 4 3" xfId="34237" xr:uid="{00000000-0005-0000-0000-0000FA5E0000}"/>
    <cellStyle name="Normal 23 2 5" xfId="14824" xr:uid="{00000000-0005-0000-0000-0000FB5E0000}"/>
    <cellStyle name="Normal 23 2 5 2" xfId="24850" xr:uid="{00000000-0005-0000-0000-0000FC5E0000}"/>
    <cellStyle name="Normal 23 2 6" xfId="24843" xr:uid="{00000000-0005-0000-0000-0000FD5E0000}"/>
    <cellStyle name="Normal 23 2 7" xfId="31929" xr:uid="{00000000-0005-0000-0000-0000FE5E0000}"/>
    <cellStyle name="Normal 23 2 8" xfId="31930" xr:uid="{00000000-0005-0000-0000-0000FF5E0000}"/>
    <cellStyle name="Normal 23 2 9" xfId="33414" xr:uid="{00000000-0005-0000-0000-0000005F0000}"/>
    <cellStyle name="Normal 23 2_Additional Disclosures" xfId="16408" xr:uid="{00000000-0005-0000-0000-0000015F0000}"/>
    <cellStyle name="Normal 23 3" xfId="9432" xr:uid="{00000000-0005-0000-0000-0000025F0000}"/>
    <cellStyle name="Normal 23 3 2" xfId="11100" xr:uid="{00000000-0005-0000-0000-0000035F0000}"/>
    <cellStyle name="Normal 23 3 2 2" xfId="12520" xr:uid="{00000000-0005-0000-0000-0000045F0000}"/>
    <cellStyle name="Normal 23 3 2 2 2" xfId="24853" xr:uid="{00000000-0005-0000-0000-0000055F0000}"/>
    <cellStyle name="Normal 23 3 2 3" xfId="24852" xr:uid="{00000000-0005-0000-0000-0000065F0000}"/>
    <cellStyle name="Normal 23 3 3" xfId="11869" xr:uid="{00000000-0005-0000-0000-0000075F0000}"/>
    <cellStyle name="Normal 23 3 3 2" xfId="24854" xr:uid="{00000000-0005-0000-0000-0000085F0000}"/>
    <cellStyle name="Normal 23 3 4" xfId="13935" xr:uid="{00000000-0005-0000-0000-0000095F0000}"/>
    <cellStyle name="Normal 23 3 4 2" xfId="24855" xr:uid="{00000000-0005-0000-0000-00000A5F0000}"/>
    <cellStyle name="Normal 23 3 5" xfId="15080" xr:uid="{00000000-0005-0000-0000-00000B5F0000}"/>
    <cellStyle name="Normal 23 3 5 2" xfId="24856" xr:uid="{00000000-0005-0000-0000-00000C5F0000}"/>
    <cellStyle name="Normal 23 3 6" xfId="24851" xr:uid="{00000000-0005-0000-0000-00000D5F0000}"/>
    <cellStyle name="Normal 23 3 7" xfId="31931" xr:uid="{00000000-0005-0000-0000-00000E5F0000}"/>
    <cellStyle name="Normal 23 3_Additional Disclosures" xfId="16410" xr:uid="{00000000-0005-0000-0000-00000F5F0000}"/>
    <cellStyle name="Normal 23 4" xfId="13424" xr:uid="{00000000-0005-0000-0000-0000105F0000}"/>
    <cellStyle name="Normal 23 4 2" xfId="24857" xr:uid="{00000000-0005-0000-0000-0000115F0000}"/>
    <cellStyle name="Normal 23 5" xfId="14568" xr:uid="{00000000-0005-0000-0000-0000125F0000}"/>
    <cellStyle name="Normal 23 5 2" xfId="24858" xr:uid="{00000000-0005-0000-0000-0000135F0000}"/>
    <cellStyle name="Normal 23 6" xfId="24842" xr:uid="{00000000-0005-0000-0000-0000145F0000}"/>
    <cellStyle name="Normal 23 7" xfId="28922" xr:uid="{00000000-0005-0000-0000-0000155F0000}"/>
    <cellStyle name="Normal 23 8" xfId="28627" xr:uid="{00000000-0005-0000-0000-0000165F0000}"/>
    <cellStyle name="Normal 23 9" xfId="28923" xr:uid="{00000000-0005-0000-0000-0000175F0000}"/>
    <cellStyle name="Normal 23_Additional Disclosures" xfId="16407" xr:uid="{00000000-0005-0000-0000-0000185F0000}"/>
    <cellStyle name="Normal 230" xfId="9433" xr:uid="{00000000-0005-0000-0000-0000195F0000}"/>
    <cellStyle name="Normal 230 2" xfId="9434" xr:uid="{00000000-0005-0000-0000-00001A5F0000}"/>
    <cellStyle name="Normal 230 2 2" xfId="11102" xr:uid="{00000000-0005-0000-0000-00001B5F0000}"/>
    <cellStyle name="Normal 230 2 2 2" xfId="12522" xr:uid="{00000000-0005-0000-0000-00001C5F0000}"/>
    <cellStyle name="Normal 230 2 2 2 2" xfId="24862" xr:uid="{00000000-0005-0000-0000-00001D5F0000}"/>
    <cellStyle name="Normal 230 2 2 3" xfId="24861" xr:uid="{00000000-0005-0000-0000-00001E5F0000}"/>
    <cellStyle name="Normal 230 2 3" xfId="11871" xr:uid="{00000000-0005-0000-0000-00001F5F0000}"/>
    <cellStyle name="Normal 230 2 3 2" xfId="24863" xr:uid="{00000000-0005-0000-0000-0000205F0000}"/>
    <cellStyle name="Normal 230 2 4" xfId="24860" xr:uid="{00000000-0005-0000-0000-0000215F0000}"/>
    <cellStyle name="Normal 230 3" xfId="11101" xr:uid="{00000000-0005-0000-0000-0000225F0000}"/>
    <cellStyle name="Normal 230 3 2" xfId="12521" xr:uid="{00000000-0005-0000-0000-0000235F0000}"/>
    <cellStyle name="Normal 230 3 2 2" xfId="24865" xr:uid="{00000000-0005-0000-0000-0000245F0000}"/>
    <cellStyle name="Normal 230 3 3" xfId="24864" xr:uid="{00000000-0005-0000-0000-0000255F0000}"/>
    <cellStyle name="Normal 230 4" xfId="11870" xr:uid="{00000000-0005-0000-0000-0000265F0000}"/>
    <cellStyle name="Normal 230 4 2" xfId="24866" xr:uid="{00000000-0005-0000-0000-0000275F0000}"/>
    <cellStyle name="Normal 230 5" xfId="14382" xr:uid="{00000000-0005-0000-0000-0000285F0000}"/>
    <cellStyle name="Normal 230 5 2" xfId="24867" xr:uid="{00000000-0005-0000-0000-0000295F0000}"/>
    <cellStyle name="Normal 230 6" xfId="15525" xr:uid="{00000000-0005-0000-0000-00002A5F0000}"/>
    <cellStyle name="Normal 230 6 2" xfId="24868" xr:uid="{00000000-0005-0000-0000-00002B5F0000}"/>
    <cellStyle name="Normal 230 7" xfId="24859" xr:uid="{00000000-0005-0000-0000-00002C5F0000}"/>
    <cellStyle name="Normal 230 8" xfId="31932" xr:uid="{00000000-0005-0000-0000-00002D5F0000}"/>
    <cellStyle name="Normal 230_Additional Disclosures" xfId="16411" xr:uid="{00000000-0005-0000-0000-00002E5F0000}"/>
    <cellStyle name="Normal 231" xfId="9435" xr:uid="{00000000-0005-0000-0000-00002F5F0000}"/>
    <cellStyle name="Normal 231 2" xfId="9436" xr:uid="{00000000-0005-0000-0000-0000305F0000}"/>
    <cellStyle name="Normal 231 2 2" xfId="11104" xr:uid="{00000000-0005-0000-0000-0000315F0000}"/>
    <cellStyle name="Normal 231 2 2 2" xfId="12524" xr:uid="{00000000-0005-0000-0000-0000325F0000}"/>
    <cellStyle name="Normal 231 2 2 2 2" xfId="24872" xr:uid="{00000000-0005-0000-0000-0000335F0000}"/>
    <cellStyle name="Normal 231 2 2 3" xfId="24871" xr:uid="{00000000-0005-0000-0000-0000345F0000}"/>
    <cellStyle name="Normal 231 2 3" xfId="11873" xr:uid="{00000000-0005-0000-0000-0000355F0000}"/>
    <cellStyle name="Normal 231 2 3 2" xfId="24873" xr:uid="{00000000-0005-0000-0000-0000365F0000}"/>
    <cellStyle name="Normal 231 2 4" xfId="24870" xr:uid="{00000000-0005-0000-0000-0000375F0000}"/>
    <cellStyle name="Normal 231 3" xfId="11103" xr:uid="{00000000-0005-0000-0000-0000385F0000}"/>
    <cellStyle name="Normal 231 3 2" xfId="12523" xr:uid="{00000000-0005-0000-0000-0000395F0000}"/>
    <cellStyle name="Normal 231 3 2 2" xfId="24875" xr:uid="{00000000-0005-0000-0000-00003A5F0000}"/>
    <cellStyle name="Normal 231 3 3" xfId="24874" xr:uid="{00000000-0005-0000-0000-00003B5F0000}"/>
    <cellStyle name="Normal 231 4" xfId="11872" xr:uid="{00000000-0005-0000-0000-00003C5F0000}"/>
    <cellStyle name="Normal 231 4 2" xfId="24876" xr:uid="{00000000-0005-0000-0000-00003D5F0000}"/>
    <cellStyle name="Normal 231 5" xfId="14383" xr:uid="{00000000-0005-0000-0000-00003E5F0000}"/>
    <cellStyle name="Normal 231 5 2" xfId="24877" xr:uid="{00000000-0005-0000-0000-00003F5F0000}"/>
    <cellStyle name="Normal 231 6" xfId="15526" xr:uid="{00000000-0005-0000-0000-0000405F0000}"/>
    <cellStyle name="Normal 231 6 2" xfId="24878" xr:uid="{00000000-0005-0000-0000-0000415F0000}"/>
    <cellStyle name="Normal 231 7" xfId="24869" xr:uid="{00000000-0005-0000-0000-0000425F0000}"/>
    <cellStyle name="Normal 231 8" xfId="31933" xr:uid="{00000000-0005-0000-0000-0000435F0000}"/>
    <cellStyle name="Normal 231_Additional Disclosures" xfId="16412" xr:uid="{00000000-0005-0000-0000-0000445F0000}"/>
    <cellStyle name="Normal 232" xfId="9437" xr:uid="{00000000-0005-0000-0000-0000455F0000}"/>
    <cellStyle name="Normal 232 2" xfId="9438" xr:uid="{00000000-0005-0000-0000-0000465F0000}"/>
    <cellStyle name="Normal 232 2 2" xfId="11106" xr:uid="{00000000-0005-0000-0000-0000475F0000}"/>
    <cellStyle name="Normal 232 2 2 2" xfId="12526" xr:uid="{00000000-0005-0000-0000-0000485F0000}"/>
    <cellStyle name="Normal 232 2 2 2 2" xfId="24882" xr:uid="{00000000-0005-0000-0000-0000495F0000}"/>
    <cellStyle name="Normal 232 2 2 3" xfId="24881" xr:uid="{00000000-0005-0000-0000-00004A5F0000}"/>
    <cellStyle name="Normal 232 2 3" xfId="11875" xr:uid="{00000000-0005-0000-0000-00004B5F0000}"/>
    <cellStyle name="Normal 232 2 3 2" xfId="24883" xr:uid="{00000000-0005-0000-0000-00004C5F0000}"/>
    <cellStyle name="Normal 232 2 4" xfId="24880" xr:uid="{00000000-0005-0000-0000-00004D5F0000}"/>
    <cellStyle name="Normal 232 3" xfId="11105" xr:uid="{00000000-0005-0000-0000-00004E5F0000}"/>
    <cellStyle name="Normal 232 3 2" xfId="12525" xr:uid="{00000000-0005-0000-0000-00004F5F0000}"/>
    <cellStyle name="Normal 232 3 2 2" xfId="24885" xr:uid="{00000000-0005-0000-0000-0000505F0000}"/>
    <cellStyle name="Normal 232 3 3" xfId="24884" xr:uid="{00000000-0005-0000-0000-0000515F0000}"/>
    <cellStyle name="Normal 232 4" xfId="11874" xr:uid="{00000000-0005-0000-0000-0000525F0000}"/>
    <cellStyle name="Normal 232 4 2" xfId="24886" xr:uid="{00000000-0005-0000-0000-0000535F0000}"/>
    <cellStyle name="Normal 232 5" xfId="12153" xr:uid="{00000000-0005-0000-0000-0000545F0000}"/>
    <cellStyle name="Normal 232 5 2" xfId="24887" xr:uid="{00000000-0005-0000-0000-0000555F0000}"/>
    <cellStyle name="Normal 232 6" xfId="14384" xr:uid="{00000000-0005-0000-0000-0000565F0000}"/>
    <cellStyle name="Normal 232 6 2" xfId="24888" xr:uid="{00000000-0005-0000-0000-0000575F0000}"/>
    <cellStyle name="Normal 232 7" xfId="15527" xr:uid="{00000000-0005-0000-0000-0000585F0000}"/>
    <cellStyle name="Normal 232 7 2" xfId="24889" xr:uid="{00000000-0005-0000-0000-0000595F0000}"/>
    <cellStyle name="Normal 232 8" xfId="24879" xr:uid="{00000000-0005-0000-0000-00005A5F0000}"/>
    <cellStyle name="Normal 232 9" xfId="31934" xr:uid="{00000000-0005-0000-0000-00005B5F0000}"/>
    <cellStyle name="Normal 232_Additional Disclosures" xfId="16413" xr:uid="{00000000-0005-0000-0000-00005C5F0000}"/>
    <cellStyle name="Normal 233" xfId="9439" xr:uid="{00000000-0005-0000-0000-00005D5F0000}"/>
    <cellStyle name="Normal 233 2" xfId="9440" xr:uid="{00000000-0005-0000-0000-00005E5F0000}"/>
    <cellStyle name="Normal 233 2 2" xfId="11108" xr:uid="{00000000-0005-0000-0000-00005F5F0000}"/>
    <cellStyle name="Normal 233 2 2 2" xfId="12528" xr:uid="{00000000-0005-0000-0000-0000605F0000}"/>
    <cellStyle name="Normal 233 2 2 2 2" xfId="24893" xr:uid="{00000000-0005-0000-0000-0000615F0000}"/>
    <cellStyle name="Normal 233 2 2 3" xfId="24892" xr:uid="{00000000-0005-0000-0000-0000625F0000}"/>
    <cellStyle name="Normal 233 2 3" xfId="11877" xr:uid="{00000000-0005-0000-0000-0000635F0000}"/>
    <cellStyle name="Normal 233 2 3 2" xfId="24894" xr:uid="{00000000-0005-0000-0000-0000645F0000}"/>
    <cellStyle name="Normal 233 2 4" xfId="24891" xr:uid="{00000000-0005-0000-0000-0000655F0000}"/>
    <cellStyle name="Normal 233 3" xfId="11107" xr:uid="{00000000-0005-0000-0000-0000665F0000}"/>
    <cellStyle name="Normal 233 3 2" xfId="12527" xr:uid="{00000000-0005-0000-0000-0000675F0000}"/>
    <cellStyle name="Normal 233 3 2 2" xfId="24896" xr:uid="{00000000-0005-0000-0000-0000685F0000}"/>
    <cellStyle name="Normal 233 3 3" xfId="24895" xr:uid="{00000000-0005-0000-0000-0000695F0000}"/>
    <cellStyle name="Normal 233 4" xfId="11876" xr:uid="{00000000-0005-0000-0000-00006A5F0000}"/>
    <cellStyle name="Normal 233 4 2" xfId="24897" xr:uid="{00000000-0005-0000-0000-00006B5F0000}"/>
    <cellStyle name="Normal 233 5" xfId="14385" xr:uid="{00000000-0005-0000-0000-00006C5F0000}"/>
    <cellStyle name="Normal 233 5 2" xfId="24898" xr:uid="{00000000-0005-0000-0000-00006D5F0000}"/>
    <cellStyle name="Normal 233 6" xfId="15528" xr:uid="{00000000-0005-0000-0000-00006E5F0000}"/>
    <cellStyle name="Normal 233 6 2" xfId="24899" xr:uid="{00000000-0005-0000-0000-00006F5F0000}"/>
    <cellStyle name="Normal 233 7" xfId="24890" xr:uid="{00000000-0005-0000-0000-0000705F0000}"/>
    <cellStyle name="Normal 233 8" xfId="31935" xr:uid="{00000000-0005-0000-0000-0000715F0000}"/>
    <cellStyle name="Normal 233_Additional Disclosures" xfId="16414" xr:uid="{00000000-0005-0000-0000-0000725F0000}"/>
    <cellStyle name="Normal 234" xfId="9441" xr:uid="{00000000-0005-0000-0000-0000735F0000}"/>
    <cellStyle name="Normal 234 2" xfId="9442" xr:uid="{00000000-0005-0000-0000-0000745F0000}"/>
    <cellStyle name="Normal 234 2 2" xfId="11110" xr:uid="{00000000-0005-0000-0000-0000755F0000}"/>
    <cellStyle name="Normal 234 2 2 2" xfId="12530" xr:uid="{00000000-0005-0000-0000-0000765F0000}"/>
    <cellStyle name="Normal 234 2 2 2 2" xfId="24903" xr:uid="{00000000-0005-0000-0000-0000775F0000}"/>
    <cellStyle name="Normal 234 2 2 3" xfId="24902" xr:uid="{00000000-0005-0000-0000-0000785F0000}"/>
    <cellStyle name="Normal 234 2 3" xfId="11879" xr:uid="{00000000-0005-0000-0000-0000795F0000}"/>
    <cellStyle name="Normal 234 2 3 2" xfId="24904" xr:uid="{00000000-0005-0000-0000-00007A5F0000}"/>
    <cellStyle name="Normal 234 2 4" xfId="24901" xr:uid="{00000000-0005-0000-0000-00007B5F0000}"/>
    <cellStyle name="Normal 234 3" xfId="11109" xr:uid="{00000000-0005-0000-0000-00007C5F0000}"/>
    <cellStyle name="Normal 234 3 2" xfId="12529" xr:uid="{00000000-0005-0000-0000-00007D5F0000}"/>
    <cellStyle name="Normal 234 3 2 2" xfId="24906" xr:uid="{00000000-0005-0000-0000-00007E5F0000}"/>
    <cellStyle name="Normal 234 3 3" xfId="24905" xr:uid="{00000000-0005-0000-0000-00007F5F0000}"/>
    <cellStyle name="Normal 234 4" xfId="11878" xr:uid="{00000000-0005-0000-0000-0000805F0000}"/>
    <cellStyle name="Normal 234 4 2" xfId="24907" xr:uid="{00000000-0005-0000-0000-0000815F0000}"/>
    <cellStyle name="Normal 234 5" xfId="14386" xr:uid="{00000000-0005-0000-0000-0000825F0000}"/>
    <cellStyle name="Normal 234 5 2" xfId="24908" xr:uid="{00000000-0005-0000-0000-0000835F0000}"/>
    <cellStyle name="Normal 234 6" xfId="15529" xr:uid="{00000000-0005-0000-0000-0000845F0000}"/>
    <cellStyle name="Normal 234 6 2" xfId="24909" xr:uid="{00000000-0005-0000-0000-0000855F0000}"/>
    <cellStyle name="Normal 234 7" xfId="24900" xr:uid="{00000000-0005-0000-0000-0000865F0000}"/>
    <cellStyle name="Normal 234 8" xfId="31936" xr:uid="{00000000-0005-0000-0000-0000875F0000}"/>
    <cellStyle name="Normal 234_Additional Disclosures" xfId="16415" xr:uid="{00000000-0005-0000-0000-0000885F0000}"/>
    <cellStyle name="Normal 235" xfId="9443" xr:uid="{00000000-0005-0000-0000-0000895F0000}"/>
    <cellStyle name="Normal 235 2" xfId="9444" xr:uid="{00000000-0005-0000-0000-00008A5F0000}"/>
    <cellStyle name="Normal 235 2 2" xfId="11112" xr:uid="{00000000-0005-0000-0000-00008B5F0000}"/>
    <cellStyle name="Normal 235 2 2 2" xfId="12532" xr:uid="{00000000-0005-0000-0000-00008C5F0000}"/>
    <cellStyle name="Normal 235 2 2 2 2" xfId="24913" xr:uid="{00000000-0005-0000-0000-00008D5F0000}"/>
    <cellStyle name="Normal 235 2 2 3" xfId="24912" xr:uid="{00000000-0005-0000-0000-00008E5F0000}"/>
    <cellStyle name="Normal 235 2 3" xfId="11881" xr:uid="{00000000-0005-0000-0000-00008F5F0000}"/>
    <cellStyle name="Normal 235 2 3 2" xfId="24914" xr:uid="{00000000-0005-0000-0000-0000905F0000}"/>
    <cellStyle name="Normal 235 2 4" xfId="24911" xr:uid="{00000000-0005-0000-0000-0000915F0000}"/>
    <cellStyle name="Normal 235 3" xfId="11111" xr:uid="{00000000-0005-0000-0000-0000925F0000}"/>
    <cellStyle name="Normal 235 3 2" xfId="12531" xr:uid="{00000000-0005-0000-0000-0000935F0000}"/>
    <cellStyle name="Normal 235 3 2 2" xfId="24916" xr:uid="{00000000-0005-0000-0000-0000945F0000}"/>
    <cellStyle name="Normal 235 3 3" xfId="24915" xr:uid="{00000000-0005-0000-0000-0000955F0000}"/>
    <cellStyle name="Normal 235 4" xfId="11880" xr:uid="{00000000-0005-0000-0000-0000965F0000}"/>
    <cellStyle name="Normal 235 4 2" xfId="24917" xr:uid="{00000000-0005-0000-0000-0000975F0000}"/>
    <cellStyle name="Normal 235 5" xfId="14387" xr:uid="{00000000-0005-0000-0000-0000985F0000}"/>
    <cellStyle name="Normal 235 5 2" xfId="24918" xr:uid="{00000000-0005-0000-0000-0000995F0000}"/>
    <cellStyle name="Normal 235 6" xfId="15530" xr:uid="{00000000-0005-0000-0000-00009A5F0000}"/>
    <cellStyle name="Normal 235 6 2" xfId="24919" xr:uid="{00000000-0005-0000-0000-00009B5F0000}"/>
    <cellStyle name="Normal 235 7" xfId="24910" xr:uid="{00000000-0005-0000-0000-00009C5F0000}"/>
    <cellStyle name="Normal 235 8" xfId="31937" xr:uid="{00000000-0005-0000-0000-00009D5F0000}"/>
    <cellStyle name="Normal 235_Additional Disclosures" xfId="16416" xr:uid="{00000000-0005-0000-0000-00009E5F0000}"/>
    <cellStyle name="Normal 236" xfId="9445" xr:uid="{00000000-0005-0000-0000-00009F5F0000}"/>
    <cellStyle name="Normal 236 2" xfId="9446" xr:uid="{00000000-0005-0000-0000-0000A05F0000}"/>
    <cellStyle name="Normal 236 2 2" xfId="11114" xr:uid="{00000000-0005-0000-0000-0000A15F0000}"/>
    <cellStyle name="Normal 236 2 2 2" xfId="12534" xr:uid="{00000000-0005-0000-0000-0000A25F0000}"/>
    <cellStyle name="Normal 236 2 2 2 2" xfId="24923" xr:uid="{00000000-0005-0000-0000-0000A35F0000}"/>
    <cellStyle name="Normal 236 2 2 3" xfId="24922" xr:uid="{00000000-0005-0000-0000-0000A45F0000}"/>
    <cellStyle name="Normal 236 2 3" xfId="11883" xr:uid="{00000000-0005-0000-0000-0000A55F0000}"/>
    <cellStyle name="Normal 236 2 3 2" xfId="24924" xr:uid="{00000000-0005-0000-0000-0000A65F0000}"/>
    <cellStyle name="Normal 236 2 4" xfId="24921" xr:uid="{00000000-0005-0000-0000-0000A75F0000}"/>
    <cellStyle name="Normal 236 3" xfId="11113" xr:uid="{00000000-0005-0000-0000-0000A85F0000}"/>
    <cellStyle name="Normal 236 3 2" xfId="12533" xr:uid="{00000000-0005-0000-0000-0000A95F0000}"/>
    <cellStyle name="Normal 236 3 2 2" xfId="24926" xr:uid="{00000000-0005-0000-0000-0000AA5F0000}"/>
    <cellStyle name="Normal 236 3 3" xfId="24925" xr:uid="{00000000-0005-0000-0000-0000AB5F0000}"/>
    <cellStyle name="Normal 236 4" xfId="11882" xr:uid="{00000000-0005-0000-0000-0000AC5F0000}"/>
    <cellStyle name="Normal 236 4 2" xfId="24927" xr:uid="{00000000-0005-0000-0000-0000AD5F0000}"/>
    <cellStyle name="Normal 236 5" xfId="14388" xr:uid="{00000000-0005-0000-0000-0000AE5F0000}"/>
    <cellStyle name="Normal 236 5 2" xfId="24928" xr:uid="{00000000-0005-0000-0000-0000AF5F0000}"/>
    <cellStyle name="Normal 236 6" xfId="15531" xr:uid="{00000000-0005-0000-0000-0000B05F0000}"/>
    <cellStyle name="Normal 236 6 2" xfId="24929" xr:uid="{00000000-0005-0000-0000-0000B15F0000}"/>
    <cellStyle name="Normal 236 7" xfId="24920" xr:uid="{00000000-0005-0000-0000-0000B25F0000}"/>
    <cellStyle name="Normal 236 8" xfId="31938" xr:uid="{00000000-0005-0000-0000-0000B35F0000}"/>
    <cellStyle name="Normal 236_Additional Disclosures" xfId="16417" xr:uid="{00000000-0005-0000-0000-0000B45F0000}"/>
    <cellStyle name="Normal 237" xfId="9447" xr:uid="{00000000-0005-0000-0000-0000B55F0000}"/>
    <cellStyle name="Normal 237 2" xfId="9448" xr:uid="{00000000-0005-0000-0000-0000B65F0000}"/>
    <cellStyle name="Normal 237 2 2" xfId="11116" xr:uid="{00000000-0005-0000-0000-0000B75F0000}"/>
    <cellStyle name="Normal 237 2 2 2" xfId="12536" xr:uid="{00000000-0005-0000-0000-0000B85F0000}"/>
    <cellStyle name="Normal 237 2 2 2 2" xfId="24933" xr:uid="{00000000-0005-0000-0000-0000B95F0000}"/>
    <cellStyle name="Normal 237 2 2 3" xfId="24932" xr:uid="{00000000-0005-0000-0000-0000BA5F0000}"/>
    <cellStyle name="Normal 237 2 3" xfId="11885" xr:uid="{00000000-0005-0000-0000-0000BB5F0000}"/>
    <cellStyle name="Normal 237 2 3 2" xfId="24934" xr:uid="{00000000-0005-0000-0000-0000BC5F0000}"/>
    <cellStyle name="Normal 237 2 4" xfId="24931" xr:uid="{00000000-0005-0000-0000-0000BD5F0000}"/>
    <cellStyle name="Normal 237 3" xfId="11115" xr:uid="{00000000-0005-0000-0000-0000BE5F0000}"/>
    <cellStyle name="Normal 237 3 2" xfId="12535" xr:uid="{00000000-0005-0000-0000-0000BF5F0000}"/>
    <cellStyle name="Normal 237 3 2 2" xfId="24936" xr:uid="{00000000-0005-0000-0000-0000C05F0000}"/>
    <cellStyle name="Normal 237 3 3" xfId="24935" xr:uid="{00000000-0005-0000-0000-0000C15F0000}"/>
    <cellStyle name="Normal 237 4" xfId="11884" xr:uid="{00000000-0005-0000-0000-0000C25F0000}"/>
    <cellStyle name="Normal 237 4 2" xfId="24937" xr:uid="{00000000-0005-0000-0000-0000C35F0000}"/>
    <cellStyle name="Normal 237 5" xfId="14389" xr:uid="{00000000-0005-0000-0000-0000C45F0000}"/>
    <cellStyle name="Normal 237 5 2" xfId="24938" xr:uid="{00000000-0005-0000-0000-0000C55F0000}"/>
    <cellStyle name="Normal 237 6" xfId="15532" xr:uid="{00000000-0005-0000-0000-0000C65F0000}"/>
    <cellStyle name="Normal 237 6 2" xfId="24939" xr:uid="{00000000-0005-0000-0000-0000C75F0000}"/>
    <cellStyle name="Normal 237 7" xfId="24930" xr:uid="{00000000-0005-0000-0000-0000C85F0000}"/>
    <cellStyle name="Normal 237 8" xfId="31939" xr:uid="{00000000-0005-0000-0000-0000C95F0000}"/>
    <cellStyle name="Normal 237_Additional Disclosures" xfId="16418" xr:uid="{00000000-0005-0000-0000-0000CA5F0000}"/>
    <cellStyle name="Normal 238" xfId="9449" xr:uid="{00000000-0005-0000-0000-0000CB5F0000}"/>
    <cellStyle name="Normal 238 2" xfId="9450" xr:uid="{00000000-0005-0000-0000-0000CC5F0000}"/>
    <cellStyle name="Normal 238 2 2" xfId="11118" xr:uid="{00000000-0005-0000-0000-0000CD5F0000}"/>
    <cellStyle name="Normal 238 2 2 2" xfId="12538" xr:uid="{00000000-0005-0000-0000-0000CE5F0000}"/>
    <cellStyle name="Normal 238 2 2 2 2" xfId="24943" xr:uid="{00000000-0005-0000-0000-0000CF5F0000}"/>
    <cellStyle name="Normal 238 2 2 3" xfId="24942" xr:uid="{00000000-0005-0000-0000-0000D05F0000}"/>
    <cellStyle name="Normal 238 2 3" xfId="11887" xr:uid="{00000000-0005-0000-0000-0000D15F0000}"/>
    <cellStyle name="Normal 238 2 3 2" xfId="24944" xr:uid="{00000000-0005-0000-0000-0000D25F0000}"/>
    <cellStyle name="Normal 238 2 4" xfId="24941" xr:uid="{00000000-0005-0000-0000-0000D35F0000}"/>
    <cellStyle name="Normal 238 3" xfId="11117" xr:uid="{00000000-0005-0000-0000-0000D45F0000}"/>
    <cellStyle name="Normal 238 3 2" xfId="12537" xr:uid="{00000000-0005-0000-0000-0000D55F0000}"/>
    <cellStyle name="Normal 238 3 2 2" xfId="24946" xr:uid="{00000000-0005-0000-0000-0000D65F0000}"/>
    <cellStyle name="Normal 238 3 3" xfId="24945" xr:uid="{00000000-0005-0000-0000-0000D75F0000}"/>
    <cellStyle name="Normal 238 4" xfId="11886" xr:uid="{00000000-0005-0000-0000-0000D85F0000}"/>
    <cellStyle name="Normal 238 4 2" xfId="24947" xr:uid="{00000000-0005-0000-0000-0000D95F0000}"/>
    <cellStyle name="Normal 238 5" xfId="14390" xr:uid="{00000000-0005-0000-0000-0000DA5F0000}"/>
    <cellStyle name="Normal 238 5 2" xfId="24948" xr:uid="{00000000-0005-0000-0000-0000DB5F0000}"/>
    <cellStyle name="Normal 238 6" xfId="15533" xr:uid="{00000000-0005-0000-0000-0000DC5F0000}"/>
    <cellStyle name="Normal 238 6 2" xfId="24949" xr:uid="{00000000-0005-0000-0000-0000DD5F0000}"/>
    <cellStyle name="Normal 238 7" xfId="24940" xr:uid="{00000000-0005-0000-0000-0000DE5F0000}"/>
    <cellStyle name="Normal 238 8" xfId="31940" xr:uid="{00000000-0005-0000-0000-0000DF5F0000}"/>
    <cellStyle name="Normal 238_Additional Disclosures" xfId="16419" xr:uid="{00000000-0005-0000-0000-0000E05F0000}"/>
    <cellStyle name="Normal 239" xfId="558" xr:uid="{00000000-0005-0000-0000-0000E15F0000}"/>
    <cellStyle name="Normal 239 2" xfId="9451" xr:uid="{00000000-0005-0000-0000-0000E25F0000}"/>
    <cellStyle name="Normal 239 2 2" xfId="11119" xr:uid="{00000000-0005-0000-0000-0000E35F0000}"/>
    <cellStyle name="Normal 239 2 2 2" xfId="12539" xr:uid="{00000000-0005-0000-0000-0000E45F0000}"/>
    <cellStyle name="Normal 239 2 2 2 2" xfId="24953" xr:uid="{00000000-0005-0000-0000-0000E55F0000}"/>
    <cellStyle name="Normal 239 2 2 3" xfId="24952" xr:uid="{00000000-0005-0000-0000-0000E65F0000}"/>
    <cellStyle name="Normal 239 2 3" xfId="11888" xr:uid="{00000000-0005-0000-0000-0000E75F0000}"/>
    <cellStyle name="Normal 239 2 3 2" xfId="24954" xr:uid="{00000000-0005-0000-0000-0000E85F0000}"/>
    <cellStyle name="Normal 239 2 4" xfId="24951" xr:uid="{00000000-0005-0000-0000-0000E95F0000}"/>
    <cellStyle name="Normal 239 3" xfId="10845" xr:uid="{00000000-0005-0000-0000-0000EA5F0000}"/>
    <cellStyle name="Normal 239 3 2" xfId="12265" xr:uid="{00000000-0005-0000-0000-0000EB5F0000}"/>
    <cellStyle name="Normal 239 3 2 2" xfId="24956" xr:uid="{00000000-0005-0000-0000-0000EC5F0000}"/>
    <cellStyle name="Normal 239 3 3" xfId="24955" xr:uid="{00000000-0005-0000-0000-0000ED5F0000}"/>
    <cellStyle name="Normal 239 4" xfId="11602" xr:uid="{00000000-0005-0000-0000-0000EE5F0000}"/>
    <cellStyle name="Normal 239 4 2" xfId="24957" xr:uid="{00000000-0005-0000-0000-0000EF5F0000}"/>
    <cellStyle name="Normal 239 5" xfId="14391" xr:uid="{00000000-0005-0000-0000-0000F05F0000}"/>
    <cellStyle name="Normal 239 5 2" xfId="24958" xr:uid="{00000000-0005-0000-0000-0000F15F0000}"/>
    <cellStyle name="Normal 239 6" xfId="15534" xr:uid="{00000000-0005-0000-0000-0000F25F0000}"/>
    <cellStyle name="Normal 239 6 2" xfId="24959" xr:uid="{00000000-0005-0000-0000-0000F35F0000}"/>
    <cellStyle name="Normal 239 7" xfId="24950" xr:uid="{00000000-0005-0000-0000-0000F45F0000}"/>
    <cellStyle name="Normal 239 8" xfId="31941" xr:uid="{00000000-0005-0000-0000-0000F55F0000}"/>
    <cellStyle name="Normal 239_Additional Disclosures" xfId="16420" xr:uid="{00000000-0005-0000-0000-0000F65F0000}"/>
    <cellStyle name="Normal 24" xfId="559" xr:uid="{00000000-0005-0000-0000-0000F75F0000}"/>
    <cellStyle name="Normal 24 10" xfId="28624" xr:uid="{00000000-0005-0000-0000-0000F85F0000}"/>
    <cellStyle name="Normal 24 11" xfId="31942" xr:uid="{00000000-0005-0000-0000-0000F95F0000}"/>
    <cellStyle name="Normal 24 12" xfId="31943" xr:uid="{00000000-0005-0000-0000-0000FA5F0000}"/>
    <cellStyle name="Normal 24 2" xfId="9452" xr:uid="{00000000-0005-0000-0000-0000FB5F0000}"/>
    <cellStyle name="Normal 24 2 2" xfId="11120" xr:uid="{00000000-0005-0000-0000-0000FC5F0000}"/>
    <cellStyle name="Normal 24 2 2 2" xfId="12540" xr:uid="{00000000-0005-0000-0000-0000FD5F0000}"/>
    <cellStyle name="Normal 24 2 2 2 2" xfId="24963" xr:uid="{00000000-0005-0000-0000-0000FE5F0000}"/>
    <cellStyle name="Normal 24 2 2 3" xfId="14191" xr:uid="{00000000-0005-0000-0000-0000FF5F0000}"/>
    <cellStyle name="Normal 24 2 2 3 2" xfId="24964" xr:uid="{00000000-0005-0000-0000-000000600000}"/>
    <cellStyle name="Normal 24 2 2 4" xfId="15335" xr:uid="{00000000-0005-0000-0000-000001600000}"/>
    <cellStyle name="Normal 24 2 2 4 2" xfId="24965" xr:uid="{00000000-0005-0000-0000-000002600000}"/>
    <cellStyle name="Normal 24 2 2 5" xfId="24962" xr:uid="{00000000-0005-0000-0000-000003600000}"/>
    <cellStyle name="Normal 24 2 2 6" xfId="33796" xr:uid="{00000000-0005-0000-0000-000004600000}"/>
    <cellStyle name="Normal 24 2 2_Additional Disclosures" xfId="16423" xr:uid="{00000000-0005-0000-0000-000005600000}"/>
    <cellStyle name="Normal 24 2 3" xfId="11889" xr:uid="{00000000-0005-0000-0000-000006600000}"/>
    <cellStyle name="Normal 24 2 3 2" xfId="24966" xr:uid="{00000000-0005-0000-0000-000007600000}"/>
    <cellStyle name="Normal 24 2 3 3" xfId="34024" xr:uid="{00000000-0005-0000-0000-000008600000}"/>
    <cellStyle name="Normal 24 2 4" xfId="13680" xr:uid="{00000000-0005-0000-0000-000009600000}"/>
    <cellStyle name="Normal 24 2 4 2" xfId="24967" xr:uid="{00000000-0005-0000-0000-00000A600000}"/>
    <cellStyle name="Normal 24 2 4 3" xfId="34238" xr:uid="{00000000-0005-0000-0000-00000B600000}"/>
    <cellStyle name="Normal 24 2 5" xfId="14825" xr:uid="{00000000-0005-0000-0000-00000C600000}"/>
    <cellStyle name="Normal 24 2 5 2" xfId="24968" xr:uid="{00000000-0005-0000-0000-00000D600000}"/>
    <cellStyle name="Normal 24 2 6" xfId="24961" xr:uid="{00000000-0005-0000-0000-00000E600000}"/>
    <cellStyle name="Normal 24 2 7" xfId="31944" xr:uid="{00000000-0005-0000-0000-00000F600000}"/>
    <cellStyle name="Normal 24 2 8" xfId="31945" xr:uid="{00000000-0005-0000-0000-000010600000}"/>
    <cellStyle name="Normal 24 2 9" xfId="33415" xr:uid="{00000000-0005-0000-0000-000011600000}"/>
    <cellStyle name="Normal 24 2_Additional Disclosures" xfId="16422" xr:uid="{00000000-0005-0000-0000-000012600000}"/>
    <cellStyle name="Normal 24 3" xfId="9453" xr:uid="{00000000-0005-0000-0000-000013600000}"/>
    <cellStyle name="Normal 24 3 2" xfId="11121" xr:uid="{00000000-0005-0000-0000-000014600000}"/>
    <cellStyle name="Normal 24 3 2 2" xfId="12541" xr:uid="{00000000-0005-0000-0000-000015600000}"/>
    <cellStyle name="Normal 24 3 2 2 2" xfId="24971" xr:uid="{00000000-0005-0000-0000-000016600000}"/>
    <cellStyle name="Normal 24 3 2 3" xfId="24970" xr:uid="{00000000-0005-0000-0000-000017600000}"/>
    <cellStyle name="Normal 24 3 3" xfId="11890" xr:uid="{00000000-0005-0000-0000-000018600000}"/>
    <cellStyle name="Normal 24 3 3 2" xfId="24972" xr:uid="{00000000-0005-0000-0000-000019600000}"/>
    <cellStyle name="Normal 24 3 4" xfId="13936" xr:uid="{00000000-0005-0000-0000-00001A600000}"/>
    <cellStyle name="Normal 24 3 4 2" xfId="24973" xr:uid="{00000000-0005-0000-0000-00001B600000}"/>
    <cellStyle name="Normal 24 3 5" xfId="15081" xr:uid="{00000000-0005-0000-0000-00001C600000}"/>
    <cellStyle name="Normal 24 3 5 2" xfId="24974" xr:uid="{00000000-0005-0000-0000-00001D600000}"/>
    <cellStyle name="Normal 24 3 6" xfId="24969" xr:uid="{00000000-0005-0000-0000-00001E600000}"/>
    <cellStyle name="Normal 24 3 7" xfId="31946" xr:uid="{00000000-0005-0000-0000-00001F600000}"/>
    <cellStyle name="Normal 24 3_Additional Disclosures" xfId="16424" xr:uid="{00000000-0005-0000-0000-000020600000}"/>
    <cellStyle name="Normal 24 4" xfId="13425" xr:uid="{00000000-0005-0000-0000-000021600000}"/>
    <cellStyle name="Normal 24 4 2" xfId="24975" xr:uid="{00000000-0005-0000-0000-000022600000}"/>
    <cellStyle name="Normal 24 5" xfId="14569" xr:uid="{00000000-0005-0000-0000-000023600000}"/>
    <cellStyle name="Normal 24 5 2" xfId="24976" xr:uid="{00000000-0005-0000-0000-000024600000}"/>
    <cellStyle name="Normal 24 6" xfId="24960" xr:uid="{00000000-0005-0000-0000-000025600000}"/>
    <cellStyle name="Normal 24 7" xfId="28924" xr:uid="{00000000-0005-0000-0000-000026600000}"/>
    <cellStyle name="Normal 24 8" xfId="28625" xr:uid="{00000000-0005-0000-0000-000027600000}"/>
    <cellStyle name="Normal 24 9" xfId="28925" xr:uid="{00000000-0005-0000-0000-000028600000}"/>
    <cellStyle name="Normal 24_Additional Disclosures" xfId="16421" xr:uid="{00000000-0005-0000-0000-000029600000}"/>
    <cellStyle name="Normal 240" xfId="9454" xr:uid="{00000000-0005-0000-0000-00002A600000}"/>
    <cellStyle name="Normal 240 2" xfId="12152" xr:uid="{00000000-0005-0000-0000-00002B600000}"/>
    <cellStyle name="Normal 240 2 2" xfId="24978" xr:uid="{00000000-0005-0000-0000-00002C600000}"/>
    <cellStyle name="Normal 240 3" xfId="14392" xr:uid="{00000000-0005-0000-0000-00002D600000}"/>
    <cellStyle name="Normal 240 3 2" xfId="24979" xr:uid="{00000000-0005-0000-0000-00002E600000}"/>
    <cellStyle name="Normal 240 4" xfId="15535" xr:uid="{00000000-0005-0000-0000-00002F600000}"/>
    <cellStyle name="Normal 240 4 2" xfId="24980" xr:uid="{00000000-0005-0000-0000-000030600000}"/>
    <cellStyle name="Normal 240 5" xfId="24977" xr:uid="{00000000-0005-0000-0000-000031600000}"/>
    <cellStyle name="Normal 240 6" xfId="31947" xr:uid="{00000000-0005-0000-0000-000032600000}"/>
    <cellStyle name="Normal 240_Additional Disclosures" xfId="16425" xr:uid="{00000000-0005-0000-0000-000033600000}"/>
    <cellStyle name="Normal 241" xfId="9455" xr:uid="{00000000-0005-0000-0000-000034600000}"/>
    <cellStyle name="Normal 241 2" xfId="9456" xr:uid="{00000000-0005-0000-0000-000035600000}"/>
    <cellStyle name="Normal 241 2 2" xfId="11123" xr:uid="{00000000-0005-0000-0000-000036600000}"/>
    <cellStyle name="Normal 241 2 2 2" xfId="12543" xr:uid="{00000000-0005-0000-0000-000037600000}"/>
    <cellStyle name="Normal 241 2 2 2 2" xfId="24984" xr:uid="{00000000-0005-0000-0000-000038600000}"/>
    <cellStyle name="Normal 241 2 2 3" xfId="24983" xr:uid="{00000000-0005-0000-0000-000039600000}"/>
    <cellStyle name="Normal 241 2 3" xfId="11892" xr:uid="{00000000-0005-0000-0000-00003A600000}"/>
    <cellStyle name="Normal 241 2 3 2" xfId="24985" xr:uid="{00000000-0005-0000-0000-00003B600000}"/>
    <cellStyle name="Normal 241 2 4" xfId="24982" xr:uid="{00000000-0005-0000-0000-00003C600000}"/>
    <cellStyle name="Normal 241 3" xfId="11122" xr:uid="{00000000-0005-0000-0000-00003D600000}"/>
    <cellStyle name="Normal 241 3 2" xfId="12542" xr:uid="{00000000-0005-0000-0000-00003E600000}"/>
    <cellStyle name="Normal 241 3 2 2" xfId="24987" xr:uid="{00000000-0005-0000-0000-00003F600000}"/>
    <cellStyle name="Normal 241 3 3" xfId="24986" xr:uid="{00000000-0005-0000-0000-000040600000}"/>
    <cellStyle name="Normal 241 4" xfId="11891" xr:uid="{00000000-0005-0000-0000-000041600000}"/>
    <cellStyle name="Normal 241 4 2" xfId="24988" xr:uid="{00000000-0005-0000-0000-000042600000}"/>
    <cellStyle name="Normal 241 5" xfId="14393" xr:uid="{00000000-0005-0000-0000-000043600000}"/>
    <cellStyle name="Normal 241 5 2" xfId="24989" xr:uid="{00000000-0005-0000-0000-000044600000}"/>
    <cellStyle name="Normal 241 6" xfId="15536" xr:uid="{00000000-0005-0000-0000-000045600000}"/>
    <cellStyle name="Normal 241 6 2" xfId="24990" xr:uid="{00000000-0005-0000-0000-000046600000}"/>
    <cellStyle name="Normal 241 7" xfId="24981" xr:uid="{00000000-0005-0000-0000-000047600000}"/>
    <cellStyle name="Normal 241 8" xfId="31948" xr:uid="{00000000-0005-0000-0000-000048600000}"/>
    <cellStyle name="Normal 241_Additional Disclosures" xfId="16426" xr:uid="{00000000-0005-0000-0000-000049600000}"/>
    <cellStyle name="Normal 242" xfId="9457" xr:uid="{00000000-0005-0000-0000-00004A600000}"/>
    <cellStyle name="Normal 242 2" xfId="9458" xr:uid="{00000000-0005-0000-0000-00004B600000}"/>
    <cellStyle name="Normal 242 2 2" xfId="11125" xr:uid="{00000000-0005-0000-0000-00004C600000}"/>
    <cellStyle name="Normal 242 2 2 2" xfId="12545" xr:uid="{00000000-0005-0000-0000-00004D600000}"/>
    <cellStyle name="Normal 242 2 2 2 2" xfId="24994" xr:uid="{00000000-0005-0000-0000-00004E600000}"/>
    <cellStyle name="Normal 242 2 2 3" xfId="24993" xr:uid="{00000000-0005-0000-0000-00004F600000}"/>
    <cellStyle name="Normal 242 2 3" xfId="11894" xr:uid="{00000000-0005-0000-0000-000050600000}"/>
    <cellStyle name="Normal 242 2 3 2" xfId="24995" xr:uid="{00000000-0005-0000-0000-000051600000}"/>
    <cellStyle name="Normal 242 2 4" xfId="24992" xr:uid="{00000000-0005-0000-0000-000052600000}"/>
    <cellStyle name="Normal 242 3" xfId="11124" xr:uid="{00000000-0005-0000-0000-000053600000}"/>
    <cellStyle name="Normal 242 3 2" xfId="12544" xr:uid="{00000000-0005-0000-0000-000054600000}"/>
    <cellStyle name="Normal 242 3 2 2" xfId="24997" xr:uid="{00000000-0005-0000-0000-000055600000}"/>
    <cellStyle name="Normal 242 3 3" xfId="24996" xr:uid="{00000000-0005-0000-0000-000056600000}"/>
    <cellStyle name="Normal 242 4" xfId="11893" xr:uid="{00000000-0005-0000-0000-000057600000}"/>
    <cellStyle name="Normal 242 4 2" xfId="24998" xr:uid="{00000000-0005-0000-0000-000058600000}"/>
    <cellStyle name="Normal 242 5" xfId="12151" xr:uid="{00000000-0005-0000-0000-000059600000}"/>
    <cellStyle name="Normal 242 5 2" xfId="24999" xr:uid="{00000000-0005-0000-0000-00005A600000}"/>
    <cellStyle name="Normal 242 6" xfId="14394" xr:uid="{00000000-0005-0000-0000-00005B600000}"/>
    <cellStyle name="Normal 242 6 2" xfId="25000" xr:uid="{00000000-0005-0000-0000-00005C600000}"/>
    <cellStyle name="Normal 242 7" xfId="15537" xr:uid="{00000000-0005-0000-0000-00005D600000}"/>
    <cellStyle name="Normal 242 7 2" xfId="25001" xr:uid="{00000000-0005-0000-0000-00005E600000}"/>
    <cellStyle name="Normal 242 8" xfId="24991" xr:uid="{00000000-0005-0000-0000-00005F600000}"/>
    <cellStyle name="Normal 242 9" xfId="31949" xr:uid="{00000000-0005-0000-0000-000060600000}"/>
    <cellStyle name="Normal 242_Additional Disclosures" xfId="16427" xr:uid="{00000000-0005-0000-0000-000061600000}"/>
    <cellStyle name="Normal 243" xfId="9459" xr:uid="{00000000-0005-0000-0000-000062600000}"/>
    <cellStyle name="Normal 243 2" xfId="9460" xr:uid="{00000000-0005-0000-0000-000063600000}"/>
    <cellStyle name="Normal 243 2 2" xfId="11127" xr:uid="{00000000-0005-0000-0000-000064600000}"/>
    <cellStyle name="Normal 243 2 2 2" xfId="12547" xr:uid="{00000000-0005-0000-0000-000065600000}"/>
    <cellStyle name="Normal 243 2 2 2 2" xfId="25005" xr:uid="{00000000-0005-0000-0000-000066600000}"/>
    <cellStyle name="Normal 243 2 2 3" xfId="25004" xr:uid="{00000000-0005-0000-0000-000067600000}"/>
    <cellStyle name="Normal 243 2 3" xfId="11896" xr:uid="{00000000-0005-0000-0000-000068600000}"/>
    <cellStyle name="Normal 243 2 3 2" xfId="25006" xr:uid="{00000000-0005-0000-0000-000069600000}"/>
    <cellStyle name="Normal 243 2 4" xfId="25003" xr:uid="{00000000-0005-0000-0000-00006A600000}"/>
    <cellStyle name="Normal 243 3" xfId="11126" xr:uid="{00000000-0005-0000-0000-00006B600000}"/>
    <cellStyle name="Normal 243 3 2" xfId="12546" xr:uid="{00000000-0005-0000-0000-00006C600000}"/>
    <cellStyle name="Normal 243 3 2 2" xfId="25008" xr:uid="{00000000-0005-0000-0000-00006D600000}"/>
    <cellStyle name="Normal 243 3 3" xfId="25007" xr:uid="{00000000-0005-0000-0000-00006E600000}"/>
    <cellStyle name="Normal 243 4" xfId="11895" xr:uid="{00000000-0005-0000-0000-00006F600000}"/>
    <cellStyle name="Normal 243 4 2" xfId="25009" xr:uid="{00000000-0005-0000-0000-000070600000}"/>
    <cellStyle name="Normal 243 5" xfId="14395" xr:uid="{00000000-0005-0000-0000-000071600000}"/>
    <cellStyle name="Normal 243 5 2" xfId="25010" xr:uid="{00000000-0005-0000-0000-000072600000}"/>
    <cellStyle name="Normal 243 6" xfId="15538" xr:uid="{00000000-0005-0000-0000-000073600000}"/>
    <cellStyle name="Normal 243 6 2" xfId="25011" xr:uid="{00000000-0005-0000-0000-000074600000}"/>
    <cellStyle name="Normal 243 7" xfId="25002" xr:uid="{00000000-0005-0000-0000-000075600000}"/>
    <cellStyle name="Normal 243 8" xfId="31950" xr:uid="{00000000-0005-0000-0000-000076600000}"/>
    <cellStyle name="Normal 243_Additional Disclosures" xfId="16428" xr:uid="{00000000-0005-0000-0000-000077600000}"/>
    <cellStyle name="Normal 244" xfId="9461" xr:uid="{00000000-0005-0000-0000-000078600000}"/>
    <cellStyle name="Normal 244 2" xfId="9462" xr:uid="{00000000-0005-0000-0000-000079600000}"/>
    <cellStyle name="Normal 244 2 2" xfId="11129" xr:uid="{00000000-0005-0000-0000-00007A600000}"/>
    <cellStyle name="Normal 244 2 2 2" xfId="12549" xr:uid="{00000000-0005-0000-0000-00007B600000}"/>
    <cellStyle name="Normal 244 2 2 2 2" xfId="25015" xr:uid="{00000000-0005-0000-0000-00007C600000}"/>
    <cellStyle name="Normal 244 2 2 3" xfId="25014" xr:uid="{00000000-0005-0000-0000-00007D600000}"/>
    <cellStyle name="Normal 244 2 3" xfId="11898" xr:uid="{00000000-0005-0000-0000-00007E600000}"/>
    <cellStyle name="Normal 244 2 3 2" xfId="25016" xr:uid="{00000000-0005-0000-0000-00007F600000}"/>
    <cellStyle name="Normal 244 2 4" xfId="25013" xr:uid="{00000000-0005-0000-0000-000080600000}"/>
    <cellStyle name="Normal 244 3" xfId="11128" xr:uid="{00000000-0005-0000-0000-000081600000}"/>
    <cellStyle name="Normal 244 3 2" xfId="12548" xr:uid="{00000000-0005-0000-0000-000082600000}"/>
    <cellStyle name="Normal 244 3 2 2" xfId="25018" xr:uid="{00000000-0005-0000-0000-000083600000}"/>
    <cellStyle name="Normal 244 3 3" xfId="25017" xr:uid="{00000000-0005-0000-0000-000084600000}"/>
    <cellStyle name="Normal 244 4" xfId="11897" xr:uid="{00000000-0005-0000-0000-000085600000}"/>
    <cellStyle name="Normal 244 4 2" xfId="25019" xr:uid="{00000000-0005-0000-0000-000086600000}"/>
    <cellStyle name="Normal 244 5" xfId="14396" xr:uid="{00000000-0005-0000-0000-000087600000}"/>
    <cellStyle name="Normal 244 5 2" xfId="25020" xr:uid="{00000000-0005-0000-0000-000088600000}"/>
    <cellStyle name="Normal 244 6" xfId="15539" xr:uid="{00000000-0005-0000-0000-000089600000}"/>
    <cellStyle name="Normal 244 6 2" xfId="25021" xr:uid="{00000000-0005-0000-0000-00008A600000}"/>
    <cellStyle name="Normal 244 7" xfId="25012" xr:uid="{00000000-0005-0000-0000-00008B600000}"/>
    <cellStyle name="Normal 244 8" xfId="31951" xr:uid="{00000000-0005-0000-0000-00008C600000}"/>
    <cellStyle name="Normal 244_Additional Disclosures" xfId="16429" xr:uid="{00000000-0005-0000-0000-00008D600000}"/>
    <cellStyle name="Normal 245" xfId="9463" xr:uid="{00000000-0005-0000-0000-00008E600000}"/>
    <cellStyle name="Normal 245 2" xfId="12150" xr:uid="{00000000-0005-0000-0000-00008F600000}"/>
    <cellStyle name="Normal 245 2 2" xfId="25023" xr:uid="{00000000-0005-0000-0000-000090600000}"/>
    <cellStyle name="Normal 245 3" xfId="14397" xr:uid="{00000000-0005-0000-0000-000091600000}"/>
    <cellStyle name="Normal 245 3 2" xfId="25024" xr:uid="{00000000-0005-0000-0000-000092600000}"/>
    <cellStyle name="Normal 245 4" xfId="15540" xr:uid="{00000000-0005-0000-0000-000093600000}"/>
    <cellStyle name="Normal 245 4 2" xfId="25025" xr:uid="{00000000-0005-0000-0000-000094600000}"/>
    <cellStyle name="Normal 245 5" xfId="25022" xr:uid="{00000000-0005-0000-0000-000095600000}"/>
    <cellStyle name="Normal 245 6" xfId="31952" xr:uid="{00000000-0005-0000-0000-000096600000}"/>
    <cellStyle name="Normal 245_Additional Disclosures" xfId="16430" xr:uid="{00000000-0005-0000-0000-000097600000}"/>
    <cellStyle name="Normal 246" xfId="9464" xr:uid="{00000000-0005-0000-0000-000098600000}"/>
    <cellStyle name="Normal 246 2" xfId="9465" xr:uid="{00000000-0005-0000-0000-000099600000}"/>
    <cellStyle name="Normal 246 2 2" xfId="11131" xr:uid="{00000000-0005-0000-0000-00009A600000}"/>
    <cellStyle name="Normal 246 2 2 2" xfId="12551" xr:uid="{00000000-0005-0000-0000-00009B600000}"/>
    <cellStyle name="Normal 246 2 2 2 2" xfId="25029" xr:uid="{00000000-0005-0000-0000-00009C600000}"/>
    <cellStyle name="Normal 246 2 2 3" xfId="25028" xr:uid="{00000000-0005-0000-0000-00009D600000}"/>
    <cellStyle name="Normal 246 2 3" xfId="11900" xr:uid="{00000000-0005-0000-0000-00009E600000}"/>
    <cellStyle name="Normal 246 2 3 2" xfId="25030" xr:uid="{00000000-0005-0000-0000-00009F600000}"/>
    <cellStyle name="Normal 246 2 4" xfId="25027" xr:uid="{00000000-0005-0000-0000-0000A0600000}"/>
    <cellStyle name="Normal 246 3" xfId="11130" xr:uid="{00000000-0005-0000-0000-0000A1600000}"/>
    <cellStyle name="Normal 246 3 2" xfId="12550" xr:uid="{00000000-0005-0000-0000-0000A2600000}"/>
    <cellStyle name="Normal 246 3 2 2" xfId="25032" xr:uid="{00000000-0005-0000-0000-0000A3600000}"/>
    <cellStyle name="Normal 246 3 3" xfId="25031" xr:uid="{00000000-0005-0000-0000-0000A4600000}"/>
    <cellStyle name="Normal 246 4" xfId="11899" xr:uid="{00000000-0005-0000-0000-0000A5600000}"/>
    <cellStyle name="Normal 246 4 2" xfId="25033" xr:uid="{00000000-0005-0000-0000-0000A6600000}"/>
    <cellStyle name="Normal 246 5" xfId="14398" xr:uid="{00000000-0005-0000-0000-0000A7600000}"/>
    <cellStyle name="Normal 246 5 2" xfId="25034" xr:uid="{00000000-0005-0000-0000-0000A8600000}"/>
    <cellStyle name="Normal 246 6" xfId="15541" xr:uid="{00000000-0005-0000-0000-0000A9600000}"/>
    <cellStyle name="Normal 246 6 2" xfId="25035" xr:uid="{00000000-0005-0000-0000-0000AA600000}"/>
    <cellStyle name="Normal 246 7" xfId="25026" xr:uid="{00000000-0005-0000-0000-0000AB600000}"/>
    <cellStyle name="Normal 246 8" xfId="31953" xr:uid="{00000000-0005-0000-0000-0000AC600000}"/>
    <cellStyle name="Normal 246_Additional Disclosures" xfId="16431" xr:uid="{00000000-0005-0000-0000-0000AD600000}"/>
    <cellStyle name="Normal 247" xfId="9466" xr:uid="{00000000-0005-0000-0000-0000AE600000}"/>
    <cellStyle name="Normal 247 2" xfId="9467" xr:uid="{00000000-0005-0000-0000-0000AF600000}"/>
    <cellStyle name="Normal 247 2 2" xfId="11133" xr:uid="{00000000-0005-0000-0000-0000B0600000}"/>
    <cellStyle name="Normal 247 2 2 2" xfId="12553" xr:uid="{00000000-0005-0000-0000-0000B1600000}"/>
    <cellStyle name="Normal 247 2 2 2 2" xfId="25039" xr:uid="{00000000-0005-0000-0000-0000B2600000}"/>
    <cellStyle name="Normal 247 2 2 3" xfId="25038" xr:uid="{00000000-0005-0000-0000-0000B3600000}"/>
    <cellStyle name="Normal 247 2 3" xfId="11902" xr:uid="{00000000-0005-0000-0000-0000B4600000}"/>
    <cellStyle name="Normal 247 2 3 2" xfId="25040" xr:uid="{00000000-0005-0000-0000-0000B5600000}"/>
    <cellStyle name="Normal 247 2 4" xfId="25037" xr:uid="{00000000-0005-0000-0000-0000B6600000}"/>
    <cellStyle name="Normal 247 3" xfId="11132" xr:uid="{00000000-0005-0000-0000-0000B7600000}"/>
    <cellStyle name="Normal 247 3 2" xfId="12552" xr:uid="{00000000-0005-0000-0000-0000B8600000}"/>
    <cellStyle name="Normal 247 3 2 2" xfId="25042" xr:uid="{00000000-0005-0000-0000-0000B9600000}"/>
    <cellStyle name="Normal 247 3 3" xfId="25041" xr:uid="{00000000-0005-0000-0000-0000BA600000}"/>
    <cellStyle name="Normal 247 4" xfId="11901" xr:uid="{00000000-0005-0000-0000-0000BB600000}"/>
    <cellStyle name="Normal 247 4 2" xfId="25043" xr:uid="{00000000-0005-0000-0000-0000BC600000}"/>
    <cellStyle name="Normal 247 5" xfId="14399" xr:uid="{00000000-0005-0000-0000-0000BD600000}"/>
    <cellStyle name="Normal 247 5 2" xfId="25044" xr:uid="{00000000-0005-0000-0000-0000BE600000}"/>
    <cellStyle name="Normal 247 6" xfId="15542" xr:uid="{00000000-0005-0000-0000-0000BF600000}"/>
    <cellStyle name="Normal 247 6 2" xfId="25045" xr:uid="{00000000-0005-0000-0000-0000C0600000}"/>
    <cellStyle name="Normal 247 7" xfId="25036" xr:uid="{00000000-0005-0000-0000-0000C1600000}"/>
    <cellStyle name="Normal 247 8" xfId="31954" xr:uid="{00000000-0005-0000-0000-0000C2600000}"/>
    <cellStyle name="Normal 247_Additional Disclosures" xfId="16432" xr:uid="{00000000-0005-0000-0000-0000C3600000}"/>
    <cellStyle name="Normal 248" xfId="9468" xr:uid="{00000000-0005-0000-0000-0000C4600000}"/>
    <cellStyle name="Normal 248 2" xfId="9469" xr:uid="{00000000-0005-0000-0000-0000C5600000}"/>
    <cellStyle name="Normal 248 2 2" xfId="11135" xr:uid="{00000000-0005-0000-0000-0000C6600000}"/>
    <cellStyle name="Normal 248 2 2 2" xfId="12555" xr:uid="{00000000-0005-0000-0000-0000C7600000}"/>
    <cellStyle name="Normal 248 2 2 2 2" xfId="25049" xr:uid="{00000000-0005-0000-0000-0000C8600000}"/>
    <cellStyle name="Normal 248 2 2 3" xfId="25048" xr:uid="{00000000-0005-0000-0000-0000C9600000}"/>
    <cellStyle name="Normal 248 2 3" xfId="11904" xr:uid="{00000000-0005-0000-0000-0000CA600000}"/>
    <cellStyle name="Normal 248 2 3 2" xfId="25050" xr:uid="{00000000-0005-0000-0000-0000CB600000}"/>
    <cellStyle name="Normal 248 2 4" xfId="25047" xr:uid="{00000000-0005-0000-0000-0000CC600000}"/>
    <cellStyle name="Normal 248 3" xfId="11134" xr:uid="{00000000-0005-0000-0000-0000CD600000}"/>
    <cellStyle name="Normal 248 3 2" xfId="12554" xr:uid="{00000000-0005-0000-0000-0000CE600000}"/>
    <cellStyle name="Normal 248 3 2 2" xfId="25052" xr:uid="{00000000-0005-0000-0000-0000CF600000}"/>
    <cellStyle name="Normal 248 3 3" xfId="25051" xr:uid="{00000000-0005-0000-0000-0000D0600000}"/>
    <cellStyle name="Normal 248 4" xfId="11903" xr:uid="{00000000-0005-0000-0000-0000D1600000}"/>
    <cellStyle name="Normal 248 4 2" xfId="25053" xr:uid="{00000000-0005-0000-0000-0000D2600000}"/>
    <cellStyle name="Normal 248 5" xfId="14400" xr:uid="{00000000-0005-0000-0000-0000D3600000}"/>
    <cellStyle name="Normal 248 5 2" xfId="25054" xr:uid="{00000000-0005-0000-0000-0000D4600000}"/>
    <cellStyle name="Normal 248 6" xfId="15543" xr:uid="{00000000-0005-0000-0000-0000D5600000}"/>
    <cellStyle name="Normal 248 6 2" xfId="25055" xr:uid="{00000000-0005-0000-0000-0000D6600000}"/>
    <cellStyle name="Normal 248 7" xfId="25046" xr:uid="{00000000-0005-0000-0000-0000D7600000}"/>
    <cellStyle name="Normal 248 8" xfId="31955" xr:uid="{00000000-0005-0000-0000-0000D8600000}"/>
    <cellStyle name="Normal 248_Additional Disclosures" xfId="16433" xr:uid="{00000000-0005-0000-0000-0000D9600000}"/>
    <cellStyle name="Normal 249" xfId="9470" xr:uid="{00000000-0005-0000-0000-0000DA600000}"/>
    <cellStyle name="Normal 249 2" xfId="12149" xr:uid="{00000000-0005-0000-0000-0000DB600000}"/>
    <cellStyle name="Normal 249 2 2" xfId="25057" xr:uid="{00000000-0005-0000-0000-0000DC600000}"/>
    <cellStyle name="Normal 249 3" xfId="14401" xr:uid="{00000000-0005-0000-0000-0000DD600000}"/>
    <cellStyle name="Normal 249 3 2" xfId="25058" xr:uid="{00000000-0005-0000-0000-0000DE600000}"/>
    <cellStyle name="Normal 249 4" xfId="15544" xr:uid="{00000000-0005-0000-0000-0000DF600000}"/>
    <cellStyle name="Normal 249 4 2" xfId="25059" xr:uid="{00000000-0005-0000-0000-0000E0600000}"/>
    <cellStyle name="Normal 249 5" xfId="25056" xr:uid="{00000000-0005-0000-0000-0000E1600000}"/>
    <cellStyle name="Normal 249 6" xfId="31956" xr:uid="{00000000-0005-0000-0000-0000E2600000}"/>
    <cellStyle name="Normal 249_Additional Disclosures" xfId="16434" xr:uid="{00000000-0005-0000-0000-0000E3600000}"/>
    <cellStyle name="Normal 25" xfId="560" xr:uid="{00000000-0005-0000-0000-0000E4600000}"/>
    <cellStyle name="Normal 25 10" xfId="28622" xr:uid="{00000000-0005-0000-0000-0000E5600000}"/>
    <cellStyle name="Normal 25 11" xfId="31957" xr:uid="{00000000-0005-0000-0000-0000E6600000}"/>
    <cellStyle name="Normal 25 12" xfId="31958" xr:uid="{00000000-0005-0000-0000-0000E7600000}"/>
    <cellStyle name="Normal 25 2" xfId="9471" xr:uid="{00000000-0005-0000-0000-0000E8600000}"/>
    <cellStyle name="Normal 25 2 2" xfId="11136" xr:uid="{00000000-0005-0000-0000-0000E9600000}"/>
    <cellStyle name="Normal 25 2 2 2" xfId="12556" xr:uid="{00000000-0005-0000-0000-0000EA600000}"/>
    <cellStyle name="Normal 25 2 2 2 2" xfId="25063" xr:uid="{00000000-0005-0000-0000-0000EB600000}"/>
    <cellStyle name="Normal 25 2 2 3" xfId="14192" xr:uid="{00000000-0005-0000-0000-0000EC600000}"/>
    <cellStyle name="Normal 25 2 2 3 2" xfId="25064" xr:uid="{00000000-0005-0000-0000-0000ED600000}"/>
    <cellStyle name="Normal 25 2 2 4" xfId="15336" xr:uid="{00000000-0005-0000-0000-0000EE600000}"/>
    <cellStyle name="Normal 25 2 2 4 2" xfId="25065" xr:uid="{00000000-0005-0000-0000-0000EF600000}"/>
    <cellStyle name="Normal 25 2 2 5" xfId="25062" xr:uid="{00000000-0005-0000-0000-0000F0600000}"/>
    <cellStyle name="Normal 25 2 2 6" xfId="33797" xr:uid="{00000000-0005-0000-0000-0000F1600000}"/>
    <cellStyle name="Normal 25 2 2_Additional Disclosures" xfId="16437" xr:uid="{00000000-0005-0000-0000-0000F2600000}"/>
    <cellStyle name="Normal 25 2 3" xfId="11905" xr:uid="{00000000-0005-0000-0000-0000F3600000}"/>
    <cellStyle name="Normal 25 2 3 2" xfId="25066" xr:uid="{00000000-0005-0000-0000-0000F4600000}"/>
    <cellStyle name="Normal 25 2 3 3" xfId="34025" xr:uid="{00000000-0005-0000-0000-0000F5600000}"/>
    <cellStyle name="Normal 25 2 4" xfId="13681" xr:uid="{00000000-0005-0000-0000-0000F6600000}"/>
    <cellStyle name="Normal 25 2 4 2" xfId="25067" xr:uid="{00000000-0005-0000-0000-0000F7600000}"/>
    <cellStyle name="Normal 25 2 4 3" xfId="34239" xr:uid="{00000000-0005-0000-0000-0000F8600000}"/>
    <cellStyle name="Normal 25 2 5" xfId="14826" xr:uid="{00000000-0005-0000-0000-0000F9600000}"/>
    <cellStyle name="Normal 25 2 5 2" xfId="25068" xr:uid="{00000000-0005-0000-0000-0000FA600000}"/>
    <cellStyle name="Normal 25 2 6" xfId="25061" xr:uid="{00000000-0005-0000-0000-0000FB600000}"/>
    <cellStyle name="Normal 25 2 7" xfId="31959" xr:uid="{00000000-0005-0000-0000-0000FC600000}"/>
    <cellStyle name="Normal 25 2 8" xfId="33416" xr:uid="{00000000-0005-0000-0000-0000FD600000}"/>
    <cellStyle name="Normal 25 2_Additional Disclosures" xfId="16436" xr:uid="{00000000-0005-0000-0000-0000FE600000}"/>
    <cellStyle name="Normal 25 3" xfId="9472" xr:uid="{00000000-0005-0000-0000-0000FF600000}"/>
    <cellStyle name="Normal 25 3 2" xfId="11137" xr:uid="{00000000-0005-0000-0000-000000610000}"/>
    <cellStyle name="Normal 25 3 2 2" xfId="12557" xr:uid="{00000000-0005-0000-0000-000001610000}"/>
    <cellStyle name="Normal 25 3 2 2 2" xfId="25071" xr:uid="{00000000-0005-0000-0000-000002610000}"/>
    <cellStyle name="Normal 25 3 2 3" xfId="25070" xr:uid="{00000000-0005-0000-0000-000003610000}"/>
    <cellStyle name="Normal 25 3 3" xfId="11906" xr:uid="{00000000-0005-0000-0000-000004610000}"/>
    <cellStyle name="Normal 25 3 3 2" xfId="25072" xr:uid="{00000000-0005-0000-0000-000005610000}"/>
    <cellStyle name="Normal 25 3 4" xfId="13937" xr:uid="{00000000-0005-0000-0000-000006610000}"/>
    <cellStyle name="Normal 25 3 4 2" xfId="25073" xr:uid="{00000000-0005-0000-0000-000007610000}"/>
    <cellStyle name="Normal 25 3 5" xfId="15082" xr:uid="{00000000-0005-0000-0000-000008610000}"/>
    <cellStyle name="Normal 25 3 5 2" xfId="25074" xr:uid="{00000000-0005-0000-0000-000009610000}"/>
    <cellStyle name="Normal 25 3 6" xfId="25069" xr:uid="{00000000-0005-0000-0000-00000A610000}"/>
    <cellStyle name="Normal 25 3_Additional Disclosures" xfId="16438" xr:uid="{00000000-0005-0000-0000-00000B610000}"/>
    <cellStyle name="Normal 25 4" xfId="13426" xr:uid="{00000000-0005-0000-0000-00000C610000}"/>
    <cellStyle name="Normal 25 4 2" xfId="25075" xr:uid="{00000000-0005-0000-0000-00000D610000}"/>
    <cellStyle name="Normal 25 5" xfId="14570" xr:uid="{00000000-0005-0000-0000-00000E610000}"/>
    <cellStyle name="Normal 25 5 2" xfId="25076" xr:uid="{00000000-0005-0000-0000-00000F610000}"/>
    <cellStyle name="Normal 25 6" xfId="25060" xr:uid="{00000000-0005-0000-0000-000010610000}"/>
    <cellStyle name="Normal 25 7" xfId="28926" xr:uid="{00000000-0005-0000-0000-000011610000}"/>
    <cellStyle name="Normal 25 8" xfId="28623" xr:uid="{00000000-0005-0000-0000-000012610000}"/>
    <cellStyle name="Normal 25 9" xfId="28927" xr:uid="{00000000-0005-0000-0000-000013610000}"/>
    <cellStyle name="Normal 25_Additional Disclosures" xfId="16435" xr:uid="{00000000-0005-0000-0000-000014610000}"/>
    <cellStyle name="Normal 250" xfId="9473" xr:uid="{00000000-0005-0000-0000-000015610000}"/>
    <cellStyle name="Normal 250 2" xfId="9474" xr:uid="{00000000-0005-0000-0000-000016610000}"/>
    <cellStyle name="Normal 250 2 2" xfId="11139" xr:uid="{00000000-0005-0000-0000-000017610000}"/>
    <cellStyle name="Normal 250 2 2 2" xfId="12559" xr:uid="{00000000-0005-0000-0000-000018610000}"/>
    <cellStyle name="Normal 250 2 2 2 2" xfId="25080" xr:uid="{00000000-0005-0000-0000-000019610000}"/>
    <cellStyle name="Normal 250 2 2 3" xfId="25079" xr:uid="{00000000-0005-0000-0000-00001A610000}"/>
    <cellStyle name="Normal 250 2 3" xfId="11908" xr:uid="{00000000-0005-0000-0000-00001B610000}"/>
    <cellStyle name="Normal 250 2 3 2" xfId="25081" xr:uid="{00000000-0005-0000-0000-00001C610000}"/>
    <cellStyle name="Normal 250 2 4" xfId="25078" xr:uid="{00000000-0005-0000-0000-00001D610000}"/>
    <cellStyle name="Normal 250 3" xfId="11138" xr:uid="{00000000-0005-0000-0000-00001E610000}"/>
    <cellStyle name="Normal 250 3 2" xfId="12558" xr:uid="{00000000-0005-0000-0000-00001F610000}"/>
    <cellStyle name="Normal 250 3 2 2" xfId="25083" xr:uid="{00000000-0005-0000-0000-000020610000}"/>
    <cellStyle name="Normal 250 3 3" xfId="25082" xr:uid="{00000000-0005-0000-0000-000021610000}"/>
    <cellStyle name="Normal 250 4" xfId="11907" xr:uid="{00000000-0005-0000-0000-000022610000}"/>
    <cellStyle name="Normal 250 4 2" xfId="25084" xr:uid="{00000000-0005-0000-0000-000023610000}"/>
    <cellStyle name="Normal 250 5" xfId="14402" xr:uid="{00000000-0005-0000-0000-000024610000}"/>
    <cellStyle name="Normal 250 5 2" xfId="25085" xr:uid="{00000000-0005-0000-0000-000025610000}"/>
    <cellStyle name="Normal 250 6" xfId="15545" xr:uid="{00000000-0005-0000-0000-000026610000}"/>
    <cellStyle name="Normal 250 6 2" xfId="25086" xr:uid="{00000000-0005-0000-0000-000027610000}"/>
    <cellStyle name="Normal 250 7" xfId="25077" xr:uid="{00000000-0005-0000-0000-000028610000}"/>
    <cellStyle name="Normal 250 8" xfId="31960" xr:uid="{00000000-0005-0000-0000-000029610000}"/>
    <cellStyle name="Normal 250_Additional Disclosures" xfId="16439" xr:uid="{00000000-0005-0000-0000-00002A610000}"/>
    <cellStyle name="Normal 251" xfId="9475" xr:uid="{00000000-0005-0000-0000-00002B610000}"/>
    <cellStyle name="Normal 251 2" xfId="9476" xr:uid="{00000000-0005-0000-0000-00002C610000}"/>
    <cellStyle name="Normal 251 2 2" xfId="11141" xr:uid="{00000000-0005-0000-0000-00002D610000}"/>
    <cellStyle name="Normal 251 2 2 2" xfId="12561" xr:uid="{00000000-0005-0000-0000-00002E610000}"/>
    <cellStyle name="Normal 251 2 2 2 2" xfId="25090" xr:uid="{00000000-0005-0000-0000-00002F610000}"/>
    <cellStyle name="Normal 251 2 2 3" xfId="25089" xr:uid="{00000000-0005-0000-0000-000030610000}"/>
    <cellStyle name="Normal 251 2 3" xfId="11910" xr:uid="{00000000-0005-0000-0000-000031610000}"/>
    <cellStyle name="Normal 251 2 3 2" xfId="25091" xr:uid="{00000000-0005-0000-0000-000032610000}"/>
    <cellStyle name="Normal 251 2 4" xfId="25088" xr:uid="{00000000-0005-0000-0000-000033610000}"/>
    <cellStyle name="Normal 251 3" xfId="11140" xr:uid="{00000000-0005-0000-0000-000034610000}"/>
    <cellStyle name="Normal 251 3 2" xfId="12560" xr:uid="{00000000-0005-0000-0000-000035610000}"/>
    <cellStyle name="Normal 251 3 2 2" xfId="25093" xr:uid="{00000000-0005-0000-0000-000036610000}"/>
    <cellStyle name="Normal 251 3 3" xfId="25092" xr:uid="{00000000-0005-0000-0000-000037610000}"/>
    <cellStyle name="Normal 251 4" xfId="11909" xr:uid="{00000000-0005-0000-0000-000038610000}"/>
    <cellStyle name="Normal 251 4 2" xfId="25094" xr:uid="{00000000-0005-0000-0000-000039610000}"/>
    <cellStyle name="Normal 251 5" xfId="14403" xr:uid="{00000000-0005-0000-0000-00003A610000}"/>
    <cellStyle name="Normal 251 5 2" xfId="25095" xr:uid="{00000000-0005-0000-0000-00003B610000}"/>
    <cellStyle name="Normal 251 6" xfId="15546" xr:uid="{00000000-0005-0000-0000-00003C610000}"/>
    <cellStyle name="Normal 251 6 2" xfId="25096" xr:uid="{00000000-0005-0000-0000-00003D610000}"/>
    <cellStyle name="Normal 251 7" xfId="25087" xr:uid="{00000000-0005-0000-0000-00003E610000}"/>
    <cellStyle name="Normal 251 8" xfId="31961" xr:uid="{00000000-0005-0000-0000-00003F610000}"/>
    <cellStyle name="Normal 251_Additional Disclosures" xfId="16440" xr:uid="{00000000-0005-0000-0000-000040610000}"/>
    <cellStyle name="Normal 252" xfId="9477" xr:uid="{00000000-0005-0000-0000-000041610000}"/>
    <cellStyle name="Normal 252 2" xfId="9478" xr:uid="{00000000-0005-0000-0000-000042610000}"/>
    <cellStyle name="Normal 252 2 2" xfId="11143" xr:uid="{00000000-0005-0000-0000-000043610000}"/>
    <cellStyle name="Normal 252 2 2 2" xfId="12563" xr:uid="{00000000-0005-0000-0000-000044610000}"/>
    <cellStyle name="Normal 252 2 2 2 2" xfId="25100" xr:uid="{00000000-0005-0000-0000-000045610000}"/>
    <cellStyle name="Normal 252 2 2 3" xfId="25099" xr:uid="{00000000-0005-0000-0000-000046610000}"/>
    <cellStyle name="Normal 252 2 3" xfId="11912" xr:uid="{00000000-0005-0000-0000-000047610000}"/>
    <cellStyle name="Normal 252 2 3 2" xfId="25101" xr:uid="{00000000-0005-0000-0000-000048610000}"/>
    <cellStyle name="Normal 252 2 4" xfId="25098" xr:uid="{00000000-0005-0000-0000-000049610000}"/>
    <cellStyle name="Normal 252 3" xfId="11142" xr:uid="{00000000-0005-0000-0000-00004A610000}"/>
    <cellStyle name="Normal 252 3 2" xfId="12562" xr:uid="{00000000-0005-0000-0000-00004B610000}"/>
    <cellStyle name="Normal 252 3 2 2" xfId="25103" xr:uid="{00000000-0005-0000-0000-00004C610000}"/>
    <cellStyle name="Normal 252 3 3" xfId="25102" xr:uid="{00000000-0005-0000-0000-00004D610000}"/>
    <cellStyle name="Normal 252 4" xfId="11911" xr:uid="{00000000-0005-0000-0000-00004E610000}"/>
    <cellStyle name="Normal 252 4 2" xfId="25104" xr:uid="{00000000-0005-0000-0000-00004F610000}"/>
    <cellStyle name="Normal 252 5" xfId="14404" xr:uid="{00000000-0005-0000-0000-000050610000}"/>
    <cellStyle name="Normal 252 5 2" xfId="25105" xr:uid="{00000000-0005-0000-0000-000051610000}"/>
    <cellStyle name="Normal 252 6" xfId="15547" xr:uid="{00000000-0005-0000-0000-000052610000}"/>
    <cellStyle name="Normal 252 6 2" xfId="25106" xr:uid="{00000000-0005-0000-0000-000053610000}"/>
    <cellStyle name="Normal 252 7" xfId="25097" xr:uid="{00000000-0005-0000-0000-000054610000}"/>
    <cellStyle name="Normal 252 8" xfId="31962" xr:uid="{00000000-0005-0000-0000-000055610000}"/>
    <cellStyle name="Normal 252_Additional Disclosures" xfId="16441" xr:uid="{00000000-0005-0000-0000-000056610000}"/>
    <cellStyle name="Normal 253" xfId="9479" xr:uid="{00000000-0005-0000-0000-000057610000}"/>
    <cellStyle name="Normal 253 2" xfId="25107" xr:uid="{00000000-0005-0000-0000-000058610000}"/>
    <cellStyle name="Normal 253 3" xfId="31963" xr:uid="{00000000-0005-0000-0000-000059610000}"/>
    <cellStyle name="Normal 254" xfId="9480" xr:uid="{00000000-0005-0000-0000-00005A610000}"/>
    <cellStyle name="Normal 254 10" xfId="33367" xr:uid="{00000000-0005-0000-0000-00005B610000}"/>
    <cellStyle name="Normal 254 2" xfId="9481" xr:uid="{00000000-0005-0000-0000-00005C610000}"/>
    <cellStyle name="Normal 254 2 2" xfId="11145" xr:uid="{00000000-0005-0000-0000-00005D610000}"/>
    <cellStyle name="Normal 254 2 2 2" xfId="12565" xr:uid="{00000000-0005-0000-0000-00005E610000}"/>
    <cellStyle name="Normal 254 2 2 2 2" xfId="14167" xr:uid="{00000000-0005-0000-0000-00005F610000}"/>
    <cellStyle name="Normal 254 2 2 2 2 2" xfId="25112" xr:uid="{00000000-0005-0000-0000-000060610000}"/>
    <cellStyle name="Normal 254 2 2 2 3" xfId="15311" xr:uid="{00000000-0005-0000-0000-000061610000}"/>
    <cellStyle name="Normal 254 2 2 2 3 2" xfId="25113" xr:uid="{00000000-0005-0000-0000-000062610000}"/>
    <cellStyle name="Normal 254 2 2 2 4" xfId="25111" xr:uid="{00000000-0005-0000-0000-000063610000}"/>
    <cellStyle name="Normal 254 2 2 2_Additional Disclosures" xfId="16445" xr:uid="{00000000-0005-0000-0000-000064610000}"/>
    <cellStyle name="Normal 254 2 2 3" xfId="13656" xr:uid="{00000000-0005-0000-0000-000065610000}"/>
    <cellStyle name="Normal 254 2 2 3 2" xfId="25114" xr:uid="{00000000-0005-0000-0000-000066610000}"/>
    <cellStyle name="Normal 254 2 2 4" xfId="14801" xr:uid="{00000000-0005-0000-0000-000067610000}"/>
    <cellStyle name="Normal 254 2 2 4 2" xfId="25115" xr:uid="{00000000-0005-0000-0000-000068610000}"/>
    <cellStyle name="Normal 254 2 2 5" xfId="25110" xr:uid="{00000000-0005-0000-0000-000069610000}"/>
    <cellStyle name="Normal 254 2 2_Additional Disclosures" xfId="16444" xr:uid="{00000000-0005-0000-0000-00006A610000}"/>
    <cellStyle name="Normal 254 2 3" xfId="11915" xr:uid="{00000000-0005-0000-0000-00006B610000}"/>
    <cellStyle name="Normal 254 2 3 2" xfId="13912" xr:uid="{00000000-0005-0000-0000-00006C610000}"/>
    <cellStyle name="Normal 254 2 3 2 2" xfId="25117" xr:uid="{00000000-0005-0000-0000-00006D610000}"/>
    <cellStyle name="Normal 254 2 3 3" xfId="15057" xr:uid="{00000000-0005-0000-0000-00006E610000}"/>
    <cellStyle name="Normal 254 2 3 3 2" xfId="25118" xr:uid="{00000000-0005-0000-0000-00006F610000}"/>
    <cellStyle name="Normal 254 2 3 4" xfId="25116" xr:uid="{00000000-0005-0000-0000-000070610000}"/>
    <cellStyle name="Normal 254 2 3_Additional Disclosures" xfId="16446" xr:uid="{00000000-0005-0000-0000-000071610000}"/>
    <cellStyle name="Normal 254 2 4" xfId="13401" xr:uid="{00000000-0005-0000-0000-000072610000}"/>
    <cellStyle name="Normal 254 2 4 2" xfId="25119" xr:uid="{00000000-0005-0000-0000-000073610000}"/>
    <cellStyle name="Normal 254 2 5" xfId="14545" xr:uid="{00000000-0005-0000-0000-000074610000}"/>
    <cellStyle name="Normal 254 2 5 2" xfId="25120" xr:uid="{00000000-0005-0000-0000-000075610000}"/>
    <cellStyle name="Normal 254 2 6" xfId="25109" xr:uid="{00000000-0005-0000-0000-000076610000}"/>
    <cellStyle name="Normal 254 2 7" xfId="33750" xr:uid="{00000000-0005-0000-0000-000077610000}"/>
    <cellStyle name="Normal 254 2 8" xfId="34291" xr:uid="{00000000-0005-0000-0000-000078610000}"/>
    <cellStyle name="Normal 254 2_Additional Disclosures" xfId="16443" xr:uid="{00000000-0005-0000-0000-000079610000}"/>
    <cellStyle name="Normal 254 3" xfId="11144" xr:uid="{00000000-0005-0000-0000-00007A610000}"/>
    <cellStyle name="Normal 254 3 2" xfId="12564" xr:uid="{00000000-0005-0000-0000-00007B610000}"/>
    <cellStyle name="Normal 254 3 2 2" xfId="14127" xr:uid="{00000000-0005-0000-0000-00007C610000}"/>
    <cellStyle name="Normal 254 3 2 2 2" xfId="25123" xr:uid="{00000000-0005-0000-0000-00007D610000}"/>
    <cellStyle name="Normal 254 3 2 3" xfId="15271" xr:uid="{00000000-0005-0000-0000-00007E610000}"/>
    <cellStyle name="Normal 254 3 2 3 2" xfId="25124" xr:uid="{00000000-0005-0000-0000-00007F610000}"/>
    <cellStyle name="Normal 254 3 2 4" xfId="25122" xr:uid="{00000000-0005-0000-0000-000080610000}"/>
    <cellStyle name="Normal 254 3 2_Additional Disclosures" xfId="16448" xr:uid="{00000000-0005-0000-0000-000081610000}"/>
    <cellStyle name="Normal 254 3 3" xfId="13616" xr:uid="{00000000-0005-0000-0000-000082610000}"/>
    <cellStyle name="Normal 254 3 3 2" xfId="25125" xr:uid="{00000000-0005-0000-0000-000083610000}"/>
    <cellStyle name="Normal 254 3 4" xfId="14761" xr:uid="{00000000-0005-0000-0000-000084610000}"/>
    <cellStyle name="Normal 254 3 4 2" xfId="25126" xr:uid="{00000000-0005-0000-0000-000085610000}"/>
    <cellStyle name="Normal 254 3 5" xfId="25121" xr:uid="{00000000-0005-0000-0000-000086610000}"/>
    <cellStyle name="Normal 254 3 6" xfId="33978" xr:uid="{00000000-0005-0000-0000-000087610000}"/>
    <cellStyle name="Normal 254 3 7" xfId="34309" xr:uid="{00000000-0005-0000-0000-000088610000}"/>
    <cellStyle name="Normal 254 3_Additional Disclosures" xfId="16447" xr:uid="{00000000-0005-0000-0000-000089610000}"/>
    <cellStyle name="Normal 254 4" xfId="11914" xr:uid="{00000000-0005-0000-0000-00008A610000}"/>
    <cellStyle name="Normal 254 4 2" xfId="13872" xr:uid="{00000000-0005-0000-0000-00008B610000}"/>
    <cellStyle name="Normal 254 4 2 2" xfId="25128" xr:uid="{00000000-0005-0000-0000-00008C610000}"/>
    <cellStyle name="Normal 254 4 3" xfId="15017" xr:uid="{00000000-0005-0000-0000-00008D610000}"/>
    <cellStyle name="Normal 254 4 3 2" xfId="25129" xr:uid="{00000000-0005-0000-0000-00008E610000}"/>
    <cellStyle name="Normal 254 4 4" xfId="25127" xr:uid="{00000000-0005-0000-0000-00008F610000}"/>
    <cellStyle name="Normal 254 4 5" xfId="34192" xr:uid="{00000000-0005-0000-0000-000090610000}"/>
    <cellStyle name="Normal 254 4_Additional Disclosures" xfId="16449" xr:uid="{00000000-0005-0000-0000-000091610000}"/>
    <cellStyle name="Normal 254 5" xfId="13360" xr:uid="{00000000-0005-0000-0000-000092610000}"/>
    <cellStyle name="Normal 254 5 2" xfId="13400" xr:uid="{00000000-0005-0000-0000-000093610000}"/>
    <cellStyle name="Normal 254 5 2 2" xfId="13655" xr:uid="{00000000-0005-0000-0000-000094610000}"/>
    <cellStyle name="Normal 254 5 2 2 2" xfId="14166" xr:uid="{00000000-0005-0000-0000-000095610000}"/>
    <cellStyle name="Normal 254 5 2 2 2 2" xfId="15310" xr:uid="{00000000-0005-0000-0000-000096610000}"/>
    <cellStyle name="Normal 254 5 2 2 2 2 2" xfId="25134" xr:uid="{00000000-0005-0000-0000-000097610000}"/>
    <cellStyle name="Normal 254 5 2 2 2 3" xfId="25133" xr:uid="{00000000-0005-0000-0000-000098610000}"/>
    <cellStyle name="Normal 254 5 2 2 2_Additional Disclosures" xfId="16453" xr:uid="{00000000-0005-0000-0000-000099610000}"/>
    <cellStyle name="Normal 254 5 2 2 3" xfId="14800" xr:uid="{00000000-0005-0000-0000-00009A610000}"/>
    <cellStyle name="Normal 254 5 2 2 3 2" xfId="25135" xr:uid="{00000000-0005-0000-0000-00009B610000}"/>
    <cellStyle name="Normal 254 5 2 2 4" xfId="25132" xr:uid="{00000000-0005-0000-0000-00009C610000}"/>
    <cellStyle name="Normal 254 5 2 2_Additional Disclosures" xfId="16452" xr:uid="{00000000-0005-0000-0000-00009D610000}"/>
    <cellStyle name="Normal 254 5 2 3" xfId="13911" xr:uid="{00000000-0005-0000-0000-00009E610000}"/>
    <cellStyle name="Normal 254 5 2 3 2" xfId="15056" xr:uid="{00000000-0005-0000-0000-00009F610000}"/>
    <cellStyle name="Normal 254 5 2 3 2 2" xfId="25137" xr:uid="{00000000-0005-0000-0000-0000A0610000}"/>
    <cellStyle name="Normal 254 5 2 3 3" xfId="25136" xr:uid="{00000000-0005-0000-0000-0000A1610000}"/>
    <cellStyle name="Normal 254 5 2 3_Additional Disclosures" xfId="16454" xr:uid="{00000000-0005-0000-0000-0000A2610000}"/>
    <cellStyle name="Normal 254 5 2 4" xfId="14544" xr:uid="{00000000-0005-0000-0000-0000A3610000}"/>
    <cellStyle name="Normal 254 5 2 4 2" xfId="25138" xr:uid="{00000000-0005-0000-0000-0000A4610000}"/>
    <cellStyle name="Normal 254 5 2 5" xfId="25131" xr:uid="{00000000-0005-0000-0000-0000A5610000}"/>
    <cellStyle name="Normal 254 5 2_Additional Disclosures" xfId="16451" xr:uid="{00000000-0005-0000-0000-0000A6610000}"/>
    <cellStyle name="Normal 254 5 3" xfId="13615" xr:uid="{00000000-0005-0000-0000-0000A7610000}"/>
    <cellStyle name="Normal 254 5 3 2" xfId="14126" xr:uid="{00000000-0005-0000-0000-0000A8610000}"/>
    <cellStyle name="Normal 254 5 3 2 2" xfId="15270" xr:uid="{00000000-0005-0000-0000-0000A9610000}"/>
    <cellStyle name="Normal 254 5 3 2 2 2" xfId="25141" xr:uid="{00000000-0005-0000-0000-0000AA610000}"/>
    <cellStyle name="Normal 254 5 3 2 3" xfId="25140" xr:uid="{00000000-0005-0000-0000-0000AB610000}"/>
    <cellStyle name="Normal 254 5 3 2_Additional Disclosures" xfId="16456" xr:uid="{00000000-0005-0000-0000-0000AC610000}"/>
    <cellStyle name="Normal 254 5 3 3" xfId="14760" xr:uid="{00000000-0005-0000-0000-0000AD610000}"/>
    <cellStyle name="Normal 254 5 3 3 2" xfId="25142" xr:uid="{00000000-0005-0000-0000-0000AE610000}"/>
    <cellStyle name="Normal 254 5 3 4" xfId="25139" xr:uid="{00000000-0005-0000-0000-0000AF610000}"/>
    <cellStyle name="Normal 254 5 3_Additional Disclosures" xfId="16455" xr:uid="{00000000-0005-0000-0000-0000B0610000}"/>
    <cellStyle name="Normal 254 5 4" xfId="13871" xr:uid="{00000000-0005-0000-0000-0000B1610000}"/>
    <cellStyle name="Normal 254 5 4 2" xfId="15016" xr:uid="{00000000-0005-0000-0000-0000B2610000}"/>
    <cellStyle name="Normal 254 5 4 2 2" xfId="25144" xr:uid="{00000000-0005-0000-0000-0000B3610000}"/>
    <cellStyle name="Normal 254 5 4 3" xfId="25143" xr:uid="{00000000-0005-0000-0000-0000B4610000}"/>
    <cellStyle name="Normal 254 5 4_Additional Disclosures" xfId="16457" xr:uid="{00000000-0005-0000-0000-0000B5610000}"/>
    <cellStyle name="Normal 254 5 5" xfId="14503" xr:uid="{00000000-0005-0000-0000-0000B6610000}"/>
    <cellStyle name="Normal 254 5 5 2" xfId="25145" xr:uid="{00000000-0005-0000-0000-0000B7610000}"/>
    <cellStyle name="Normal 254 5 6" xfId="25130" xr:uid="{00000000-0005-0000-0000-0000B8610000}"/>
    <cellStyle name="Normal 254 5_Additional Disclosures" xfId="16450" xr:uid="{00000000-0005-0000-0000-0000B9610000}"/>
    <cellStyle name="Normal 254 6" xfId="13361" xr:uid="{00000000-0005-0000-0000-0000BA610000}"/>
    <cellStyle name="Normal 254 6 2" xfId="25146" xr:uid="{00000000-0005-0000-0000-0000BB610000}"/>
    <cellStyle name="Normal 254 7" xfId="14504" xr:uid="{00000000-0005-0000-0000-0000BC610000}"/>
    <cellStyle name="Normal 254 7 2" xfId="25147" xr:uid="{00000000-0005-0000-0000-0000BD610000}"/>
    <cellStyle name="Normal 254 8" xfId="25108" xr:uid="{00000000-0005-0000-0000-0000BE610000}"/>
    <cellStyle name="Normal 254 9" xfId="31964" xr:uid="{00000000-0005-0000-0000-0000BF610000}"/>
    <cellStyle name="Normal 254_Additional Disclosures" xfId="16442" xr:uid="{00000000-0005-0000-0000-0000C0610000}"/>
    <cellStyle name="Normal 255" xfId="9482" xr:uid="{00000000-0005-0000-0000-0000C1610000}"/>
    <cellStyle name="Normal 255 10" xfId="34283" xr:uid="{00000000-0005-0000-0000-0000C2610000}"/>
    <cellStyle name="Normal 255 2" xfId="9483" xr:uid="{00000000-0005-0000-0000-0000C3610000}"/>
    <cellStyle name="Normal 255 2 2" xfId="11147" xr:uid="{00000000-0005-0000-0000-0000C4610000}"/>
    <cellStyle name="Normal 255 2 2 2" xfId="12567" xr:uid="{00000000-0005-0000-0000-0000C5610000}"/>
    <cellStyle name="Normal 255 2 2 2 2" xfId="14143" xr:uid="{00000000-0005-0000-0000-0000C6610000}"/>
    <cellStyle name="Normal 255 2 2 2 2 2" xfId="25152" xr:uid="{00000000-0005-0000-0000-0000C7610000}"/>
    <cellStyle name="Normal 255 2 2 2 3" xfId="15287" xr:uid="{00000000-0005-0000-0000-0000C8610000}"/>
    <cellStyle name="Normal 255 2 2 2 3 2" xfId="25153" xr:uid="{00000000-0005-0000-0000-0000C9610000}"/>
    <cellStyle name="Normal 255 2 2 2 4" xfId="25151" xr:uid="{00000000-0005-0000-0000-0000CA610000}"/>
    <cellStyle name="Normal 255 2 2 2_Additional Disclosures" xfId="16461" xr:uid="{00000000-0005-0000-0000-0000CB610000}"/>
    <cellStyle name="Normal 255 2 2 3" xfId="13632" xr:uid="{00000000-0005-0000-0000-0000CC610000}"/>
    <cellStyle name="Normal 255 2 2 3 2" xfId="25154" xr:uid="{00000000-0005-0000-0000-0000CD610000}"/>
    <cellStyle name="Normal 255 2 2 4" xfId="14777" xr:uid="{00000000-0005-0000-0000-0000CE610000}"/>
    <cellStyle name="Normal 255 2 2 4 2" xfId="25155" xr:uid="{00000000-0005-0000-0000-0000CF610000}"/>
    <cellStyle name="Normal 255 2 2 5" xfId="25150" xr:uid="{00000000-0005-0000-0000-0000D0610000}"/>
    <cellStyle name="Normal 255 2 2_Additional Disclosures" xfId="16460" xr:uid="{00000000-0005-0000-0000-0000D1610000}"/>
    <cellStyle name="Normal 255 2 3" xfId="11917" xr:uid="{00000000-0005-0000-0000-0000D2610000}"/>
    <cellStyle name="Normal 255 2 3 2" xfId="13888" xr:uid="{00000000-0005-0000-0000-0000D3610000}"/>
    <cellStyle name="Normal 255 2 3 2 2" xfId="25157" xr:uid="{00000000-0005-0000-0000-0000D4610000}"/>
    <cellStyle name="Normal 255 2 3 3" xfId="15033" xr:uid="{00000000-0005-0000-0000-0000D5610000}"/>
    <cellStyle name="Normal 255 2 3 3 2" xfId="25158" xr:uid="{00000000-0005-0000-0000-0000D6610000}"/>
    <cellStyle name="Normal 255 2 3 4" xfId="25156" xr:uid="{00000000-0005-0000-0000-0000D7610000}"/>
    <cellStyle name="Normal 255 2 3_Additional Disclosures" xfId="16462" xr:uid="{00000000-0005-0000-0000-0000D8610000}"/>
    <cellStyle name="Normal 255 2 4" xfId="13377" xr:uid="{00000000-0005-0000-0000-0000D9610000}"/>
    <cellStyle name="Normal 255 2 4 2" xfId="25159" xr:uid="{00000000-0005-0000-0000-0000DA610000}"/>
    <cellStyle name="Normal 255 2 5" xfId="14521" xr:uid="{00000000-0005-0000-0000-0000DB610000}"/>
    <cellStyle name="Normal 255 2 5 2" xfId="25160" xr:uid="{00000000-0005-0000-0000-0000DC610000}"/>
    <cellStyle name="Normal 255 2 6" xfId="25149" xr:uid="{00000000-0005-0000-0000-0000DD610000}"/>
    <cellStyle name="Normal 255 2 7" xfId="33774" xr:uid="{00000000-0005-0000-0000-0000DE610000}"/>
    <cellStyle name="Normal 255 2 8" xfId="34299" xr:uid="{00000000-0005-0000-0000-0000DF610000}"/>
    <cellStyle name="Normal 255 2_Additional Disclosures" xfId="16459" xr:uid="{00000000-0005-0000-0000-0000E0610000}"/>
    <cellStyle name="Normal 255 3" xfId="11146" xr:uid="{00000000-0005-0000-0000-0000E1610000}"/>
    <cellStyle name="Normal 255 3 2" xfId="12566" xr:uid="{00000000-0005-0000-0000-0000E2610000}"/>
    <cellStyle name="Normal 255 3 2 2" xfId="14103" xr:uid="{00000000-0005-0000-0000-0000E3610000}"/>
    <cellStyle name="Normal 255 3 2 2 2" xfId="25163" xr:uid="{00000000-0005-0000-0000-0000E4610000}"/>
    <cellStyle name="Normal 255 3 2 3" xfId="15247" xr:uid="{00000000-0005-0000-0000-0000E5610000}"/>
    <cellStyle name="Normal 255 3 2 3 2" xfId="25164" xr:uid="{00000000-0005-0000-0000-0000E6610000}"/>
    <cellStyle name="Normal 255 3 2 4" xfId="25162" xr:uid="{00000000-0005-0000-0000-0000E7610000}"/>
    <cellStyle name="Normal 255 3 2_Additional Disclosures" xfId="16464" xr:uid="{00000000-0005-0000-0000-0000E8610000}"/>
    <cellStyle name="Normal 255 3 3" xfId="13592" xr:uid="{00000000-0005-0000-0000-0000E9610000}"/>
    <cellStyle name="Normal 255 3 3 2" xfId="25165" xr:uid="{00000000-0005-0000-0000-0000EA610000}"/>
    <cellStyle name="Normal 255 3 4" xfId="14737" xr:uid="{00000000-0005-0000-0000-0000EB610000}"/>
    <cellStyle name="Normal 255 3 4 2" xfId="25166" xr:uid="{00000000-0005-0000-0000-0000EC610000}"/>
    <cellStyle name="Normal 255 3 5" xfId="25161" xr:uid="{00000000-0005-0000-0000-0000ED610000}"/>
    <cellStyle name="Normal 255 3 6" xfId="34002" xr:uid="{00000000-0005-0000-0000-0000EE610000}"/>
    <cellStyle name="Normal 255 3 7" xfId="34320" xr:uid="{00000000-0005-0000-0000-0000EF610000}"/>
    <cellStyle name="Normal 255 3_Additional Disclosures" xfId="16463" xr:uid="{00000000-0005-0000-0000-0000F0610000}"/>
    <cellStyle name="Normal 255 4" xfId="11916" xr:uid="{00000000-0005-0000-0000-0000F1610000}"/>
    <cellStyle name="Normal 255 4 2" xfId="13848" xr:uid="{00000000-0005-0000-0000-0000F2610000}"/>
    <cellStyle name="Normal 255 4 2 2" xfId="25168" xr:uid="{00000000-0005-0000-0000-0000F3610000}"/>
    <cellStyle name="Normal 255 4 3" xfId="14993" xr:uid="{00000000-0005-0000-0000-0000F4610000}"/>
    <cellStyle name="Normal 255 4 3 2" xfId="25169" xr:uid="{00000000-0005-0000-0000-0000F5610000}"/>
    <cellStyle name="Normal 255 4 4" xfId="25167" xr:uid="{00000000-0005-0000-0000-0000F6610000}"/>
    <cellStyle name="Normal 255 4 5" xfId="34216" xr:uid="{00000000-0005-0000-0000-0000F7610000}"/>
    <cellStyle name="Normal 255 4_Additional Disclosures" xfId="16465" xr:uid="{00000000-0005-0000-0000-0000F8610000}"/>
    <cellStyle name="Normal 255 5" xfId="13337" xr:uid="{00000000-0005-0000-0000-0000F9610000}"/>
    <cellStyle name="Normal 255 5 2" xfId="25170" xr:uid="{00000000-0005-0000-0000-0000FA610000}"/>
    <cellStyle name="Normal 255 6" xfId="14480" xr:uid="{00000000-0005-0000-0000-0000FB610000}"/>
    <cellStyle name="Normal 255 6 2" xfId="25171" xr:uid="{00000000-0005-0000-0000-0000FC610000}"/>
    <cellStyle name="Normal 255 7" xfId="25148" xr:uid="{00000000-0005-0000-0000-0000FD610000}"/>
    <cellStyle name="Normal 255 8" xfId="31965" xr:uid="{00000000-0005-0000-0000-0000FE610000}"/>
    <cellStyle name="Normal 255 9" xfId="33393" xr:uid="{00000000-0005-0000-0000-0000FF610000}"/>
    <cellStyle name="Normal 255_Additional Disclosures" xfId="16458" xr:uid="{00000000-0005-0000-0000-000000620000}"/>
    <cellStyle name="Normal 256" xfId="9484" xr:uid="{00000000-0005-0000-0000-000001620000}"/>
    <cellStyle name="Normal 256 2" xfId="9485" xr:uid="{00000000-0005-0000-0000-000002620000}"/>
    <cellStyle name="Normal 256 2 2" xfId="11149" xr:uid="{00000000-0005-0000-0000-000003620000}"/>
    <cellStyle name="Normal 256 2 2 2" xfId="12569" xr:uid="{00000000-0005-0000-0000-000004620000}"/>
    <cellStyle name="Normal 256 2 2 2 2" xfId="25175" xr:uid="{00000000-0005-0000-0000-000005620000}"/>
    <cellStyle name="Normal 256 2 2 3" xfId="25174" xr:uid="{00000000-0005-0000-0000-000006620000}"/>
    <cellStyle name="Normal 256 2 3" xfId="11919" xr:uid="{00000000-0005-0000-0000-000007620000}"/>
    <cellStyle name="Normal 256 2 3 2" xfId="25176" xr:uid="{00000000-0005-0000-0000-000008620000}"/>
    <cellStyle name="Normal 256 2 4" xfId="14364" xr:uid="{00000000-0005-0000-0000-000009620000}"/>
    <cellStyle name="Normal 256 2 4 2" xfId="25177" xr:uid="{00000000-0005-0000-0000-00000A620000}"/>
    <cellStyle name="Normal 256 2 5" xfId="15507" xr:uid="{00000000-0005-0000-0000-00000B620000}"/>
    <cellStyle name="Normal 256 2 5 2" xfId="25178" xr:uid="{00000000-0005-0000-0000-00000C620000}"/>
    <cellStyle name="Normal 256 2 6" xfId="25173" xr:uid="{00000000-0005-0000-0000-00000D620000}"/>
    <cellStyle name="Normal 256 2_Additional Disclosures" xfId="16467" xr:uid="{00000000-0005-0000-0000-00000E620000}"/>
    <cellStyle name="Normal 256 3" xfId="11148" xr:uid="{00000000-0005-0000-0000-00000F620000}"/>
    <cellStyle name="Normal 256 3 2" xfId="12568" xr:uid="{00000000-0005-0000-0000-000010620000}"/>
    <cellStyle name="Normal 256 3 2 2" xfId="25180" xr:uid="{00000000-0005-0000-0000-000011620000}"/>
    <cellStyle name="Normal 256 3 3" xfId="25179" xr:uid="{00000000-0005-0000-0000-000012620000}"/>
    <cellStyle name="Normal 256 4" xfId="11918" xr:uid="{00000000-0005-0000-0000-000013620000}"/>
    <cellStyle name="Normal 256 4 2" xfId="25181" xr:uid="{00000000-0005-0000-0000-000014620000}"/>
    <cellStyle name="Normal 256 5" xfId="14363" xr:uid="{00000000-0005-0000-0000-000015620000}"/>
    <cellStyle name="Normal 256 5 2" xfId="25182" xr:uid="{00000000-0005-0000-0000-000016620000}"/>
    <cellStyle name="Normal 256 6" xfId="15506" xr:uid="{00000000-0005-0000-0000-000017620000}"/>
    <cellStyle name="Normal 256 6 2" xfId="25183" xr:uid="{00000000-0005-0000-0000-000018620000}"/>
    <cellStyle name="Normal 256 7" xfId="25172" xr:uid="{00000000-0005-0000-0000-000019620000}"/>
    <cellStyle name="Normal 256 8" xfId="31966" xr:uid="{00000000-0005-0000-0000-00001A620000}"/>
    <cellStyle name="Normal 256_Additional Disclosures" xfId="16466" xr:uid="{00000000-0005-0000-0000-00001B620000}"/>
    <cellStyle name="Normal 257" xfId="650" xr:uid="{00000000-0005-0000-0000-00001C620000}"/>
    <cellStyle name="Normal 257 10" xfId="25184" xr:uid="{00000000-0005-0000-0000-00001D620000}"/>
    <cellStyle name="Normal 257 11" xfId="31967" xr:uid="{00000000-0005-0000-0000-00001E620000}"/>
    <cellStyle name="Normal 257 2" xfId="9486" xr:uid="{00000000-0005-0000-0000-00001F620000}"/>
    <cellStyle name="Normal 257 2 2" xfId="11150" xr:uid="{00000000-0005-0000-0000-000020620000}"/>
    <cellStyle name="Normal 257 2 2 2" xfId="12570" xr:uid="{00000000-0005-0000-0000-000021620000}"/>
    <cellStyle name="Normal 257 2 2 2 2" xfId="25187" xr:uid="{00000000-0005-0000-0000-000022620000}"/>
    <cellStyle name="Normal 257 2 2 3" xfId="25186" xr:uid="{00000000-0005-0000-0000-000023620000}"/>
    <cellStyle name="Normal 257 2 3" xfId="11920" xr:uid="{00000000-0005-0000-0000-000024620000}"/>
    <cellStyle name="Normal 257 2 3 2" xfId="25188" xr:uid="{00000000-0005-0000-0000-000025620000}"/>
    <cellStyle name="Normal 257 2 4" xfId="14366" xr:uid="{00000000-0005-0000-0000-000026620000}"/>
    <cellStyle name="Normal 257 2 4 2" xfId="25189" xr:uid="{00000000-0005-0000-0000-000027620000}"/>
    <cellStyle name="Normal 257 2 5" xfId="15509" xr:uid="{00000000-0005-0000-0000-000028620000}"/>
    <cellStyle name="Normal 257 2 5 2" xfId="25190" xr:uid="{00000000-0005-0000-0000-000029620000}"/>
    <cellStyle name="Normal 257 2 6" xfId="25185" xr:uid="{00000000-0005-0000-0000-00002A620000}"/>
    <cellStyle name="Normal 257 2_Additional Disclosures" xfId="16469" xr:uid="{00000000-0005-0000-0000-00002B620000}"/>
    <cellStyle name="Normal 257 3" xfId="9487" xr:uid="{00000000-0005-0000-0000-00002C620000}"/>
    <cellStyle name="Normal 257 3 2" xfId="11151" xr:uid="{00000000-0005-0000-0000-00002D620000}"/>
    <cellStyle name="Normal 257 3 2 2" xfId="12571" xr:uid="{00000000-0005-0000-0000-00002E620000}"/>
    <cellStyle name="Normal 257 3 2 2 2" xfId="25193" xr:uid="{00000000-0005-0000-0000-00002F620000}"/>
    <cellStyle name="Normal 257 3 2 3" xfId="25192" xr:uid="{00000000-0005-0000-0000-000030620000}"/>
    <cellStyle name="Normal 257 3 3" xfId="11921" xr:uid="{00000000-0005-0000-0000-000031620000}"/>
    <cellStyle name="Normal 257 3 3 2" xfId="25194" xr:uid="{00000000-0005-0000-0000-000032620000}"/>
    <cellStyle name="Normal 257 3 4" xfId="25191" xr:uid="{00000000-0005-0000-0000-000033620000}"/>
    <cellStyle name="Normal 257 4" xfId="10852" xr:uid="{00000000-0005-0000-0000-000034620000}"/>
    <cellStyle name="Normal 257 4 2" xfId="12271" xr:uid="{00000000-0005-0000-0000-000035620000}"/>
    <cellStyle name="Normal 257 4 2 2" xfId="25196" xr:uid="{00000000-0005-0000-0000-000036620000}"/>
    <cellStyle name="Normal 257 4 3" xfId="25195" xr:uid="{00000000-0005-0000-0000-000037620000}"/>
    <cellStyle name="Normal 257 5" xfId="11349" xr:uid="{00000000-0005-0000-0000-000038620000}"/>
    <cellStyle name="Normal 257 5 2" xfId="12771" xr:uid="{00000000-0005-0000-0000-000039620000}"/>
    <cellStyle name="Normal 257 5 2 2" xfId="25198" xr:uid="{00000000-0005-0000-0000-00003A620000}"/>
    <cellStyle name="Normal 257 5 3" xfId="25197" xr:uid="{00000000-0005-0000-0000-00003B620000}"/>
    <cellStyle name="Normal 257 6" xfId="11515" xr:uid="{00000000-0005-0000-0000-00003C620000}"/>
    <cellStyle name="Normal 257 6 2" xfId="12826" xr:uid="{00000000-0005-0000-0000-00003D620000}"/>
    <cellStyle name="Normal 257 6 2 2" xfId="25200" xr:uid="{00000000-0005-0000-0000-00003E620000}"/>
    <cellStyle name="Normal 257 6 3" xfId="25199" xr:uid="{00000000-0005-0000-0000-00003F620000}"/>
    <cellStyle name="Normal 257 7" xfId="11618" xr:uid="{00000000-0005-0000-0000-000040620000}"/>
    <cellStyle name="Normal 257 7 2" xfId="25201" xr:uid="{00000000-0005-0000-0000-000041620000}"/>
    <cellStyle name="Normal 257 8" xfId="14365" xr:uid="{00000000-0005-0000-0000-000042620000}"/>
    <cellStyle name="Normal 257 8 2" xfId="25202" xr:uid="{00000000-0005-0000-0000-000043620000}"/>
    <cellStyle name="Normal 257 9" xfId="15508" xr:uid="{00000000-0005-0000-0000-000044620000}"/>
    <cellStyle name="Normal 257 9 2" xfId="25203" xr:uid="{00000000-0005-0000-0000-000045620000}"/>
    <cellStyle name="Normal 257_Additional Disclosures" xfId="16468" xr:uid="{00000000-0005-0000-0000-000046620000}"/>
    <cellStyle name="Normal 258" xfId="9488" xr:uid="{00000000-0005-0000-0000-000047620000}"/>
    <cellStyle name="Normal 258 2" xfId="11152" xr:uid="{00000000-0005-0000-0000-000048620000}"/>
    <cellStyle name="Normal 258 2 2" xfId="12572" xr:uid="{00000000-0005-0000-0000-000049620000}"/>
    <cellStyle name="Normal 258 2 2 2" xfId="25206" xr:uid="{00000000-0005-0000-0000-00004A620000}"/>
    <cellStyle name="Normal 258 2 3" xfId="25205" xr:uid="{00000000-0005-0000-0000-00004B620000}"/>
    <cellStyle name="Normal 258 3" xfId="11922" xr:uid="{00000000-0005-0000-0000-00004C620000}"/>
    <cellStyle name="Normal 258 3 2" xfId="25207" xr:uid="{00000000-0005-0000-0000-00004D620000}"/>
    <cellStyle name="Normal 258 4" xfId="14405" xr:uid="{00000000-0005-0000-0000-00004E620000}"/>
    <cellStyle name="Normal 258 4 2" xfId="25208" xr:uid="{00000000-0005-0000-0000-00004F620000}"/>
    <cellStyle name="Normal 258 5" xfId="15548" xr:uid="{00000000-0005-0000-0000-000050620000}"/>
    <cellStyle name="Normal 258 5 2" xfId="25209" xr:uid="{00000000-0005-0000-0000-000051620000}"/>
    <cellStyle name="Normal 258 6" xfId="25204" xr:uid="{00000000-0005-0000-0000-000052620000}"/>
    <cellStyle name="Normal 258 7" xfId="31968" xr:uid="{00000000-0005-0000-0000-000053620000}"/>
    <cellStyle name="Normal 258_Additional Disclosures" xfId="16470" xr:uid="{00000000-0005-0000-0000-000054620000}"/>
    <cellStyle name="Normal 259" xfId="172" xr:uid="{00000000-0005-0000-0000-000055620000}"/>
    <cellStyle name="Normal 259 2" xfId="364" xr:uid="{00000000-0005-0000-0000-000056620000}"/>
    <cellStyle name="Normal 259 2 2" xfId="12573" xr:uid="{00000000-0005-0000-0000-000057620000}"/>
    <cellStyle name="Normal 259 2 2 2" xfId="25212" xr:uid="{00000000-0005-0000-0000-000058620000}"/>
    <cellStyle name="Normal 259 2 3" xfId="25211" xr:uid="{00000000-0005-0000-0000-000059620000}"/>
    <cellStyle name="Normal 259 3" xfId="11923" xr:uid="{00000000-0005-0000-0000-00005A620000}"/>
    <cellStyle name="Normal 259 3 2" xfId="25213" xr:uid="{00000000-0005-0000-0000-00005B620000}"/>
    <cellStyle name="Normal 259 4" xfId="14406" xr:uid="{00000000-0005-0000-0000-00005C620000}"/>
    <cellStyle name="Normal 259 4 2" xfId="25214" xr:uid="{00000000-0005-0000-0000-00005D620000}"/>
    <cellStyle name="Normal 259 5" xfId="15549" xr:uid="{00000000-0005-0000-0000-00005E620000}"/>
    <cellStyle name="Normal 259 5 2" xfId="25215" xr:uid="{00000000-0005-0000-0000-00005F620000}"/>
    <cellStyle name="Normal 259 6" xfId="25210" xr:uid="{00000000-0005-0000-0000-000060620000}"/>
    <cellStyle name="Normal 259 7" xfId="31969" xr:uid="{00000000-0005-0000-0000-000061620000}"/>
    <cellStyle name="Normal 259_Additional Disclosures" xfId="16471" xr:uid="{00000000-0005-0000-0000-000062620000}"/>
    <cellStyle name="Normal 26" xfId="561" xr:uid="{00000000-0005-0000-0000-000063620000}"/>
    <cellStyle name="Normal 26 10" xfId="28928" xr:uid="{00000000-0005-0000-0000-000064620000}"/>
    <cellStyle name="Normal 26 11" xfId="31970" xr:uid="{00000000-0005-0000-0000-000065620000}"/>
    <cellStyle name="Normal 26 12" xfId="31971" xr:uid="{00000000-0005-0000-0000-000066620000}"/>
    <cellStyle name="Normal 26 2" xfId="9489" xr:uid="{00000000-0005-0000-0000-000067620000}"/>
    <cellStyle name="Normal 26 2 10" xfId="31972" xr:uid="{00000000-0005-0000-0000-000068620000}"/>
    <cellStyle name="Normal 26 2 11" xfId="31973" xr:uid="{00000000-0005-0000-0000-000069620000}"/>
    <cellStyle name="Normal 26 2 2" xfId="11153" xr:uid="{00000000-0005-0000-0000-00006A620000}"/>
    <cellStyle name="Normal 26 2 2 2" xfId="12574" xr:uid="{00000000-0005-0000-0000-00006B620000}"/>
    <cellStyle name="Normal 26 2 2 2 2" xfId="25219" xr:uid="{00000000-0005-0000-0000-00006C620000}"/>
    <cellStyle name="Normal 26 2 2 3" xfId="14193" xr:uid="{00000000-0005-0000-0000-00006D620000}"/>
    <cellStyle name="Normal 26 2 2 3 2" xfId="25220" xr:uid="{00000000-0005-0000-0000-00006E620000}"/>
    <cellStyle name="Normal 26 2 2 4" xfId="15337" xr:uid="{00000000-0005-0000-0000-00006F620000}"/>
    <cellStyle name="Normal 26 2 2 4 2" xfId="25221" xr:uid="{00000000-0005-0000-0000-000070620000}"/>
    <cellStyle name="Normal 26 2 2 5" xfId="25218" xr:uid="{00000000-0005-0000-0000-000071620000}"/>
    <cellStyle name="Normal 26 2 2 6" xfId="31974" xr:uid="{00000000-0005-0000-0000-000072620000}"/>
    <cellStyle name="Normal 26 2 2_Additional Disclosures" xfId="16474" xr:uid="{00000000-0005-0000-0000-000073620000}"/>
    <cellStyle name="Normal 26 2 3" xfId="11924" xr:uid="{00000000-0005-0000-0000-000074620000}"/>
    <cellStyle name="Normal 26 2 3 2" xfId="25222" xr:uid="{00000000-0005-0000-0000-000075620000}"/>
    <cellStyle name="Normal 26 2 4" xfId="13682" xr:uid="{00000000-0005-0000-0000-000076620000}"/>
    <cellStyle name="Normal 26 2 4 2" xfId="25223" xr:uid="{00000000-0005-0000-0000-000077620000}"/>
    <cellStyle name="Normal 26 2 5" xfId="14827" xr:uid="{00000000-0005-0000-0000-000078620000}"/>
    <cellStyle name="Normal 26 2 5 2" xfId="25224" xr:uid="{00000000-0005-0000-0000-000079620000}"/>
    <cellStyle name="Normal 26 2 6" xfId="25217" xr:uid="{00000000-0005-0000-0000-00007A620000}"/>
    <cellStyle name="Normal 26 2 7" xfId="31975" xr:uid="{00000000-0005-0000-0000-00007B620000}"/>
    <cellStyle name="Normal 26 2 8" xfId="31976" xr:uid="{00000000-0005-0000-0000-00007C620000}"/>
    <cellStyle name="Normal 26 2 9" xfId="31977" xr:uid="{00000000-0005-0000-0000-00007D620000}"/>
    <cellStyle name="Normal 26 2_Additional Disclosures" xfId="16473" xr:uid="{00000000-0005-0000-0000-00007E620000}"/>
    <cellStyle name="Normal 26 3" xfId="9490" xr:uid="{00000000-0005-0000-0000-00007F620000}"/>
    <cellStyle name="Normal 26 3 10" xfId="33417" xr:uid="{00000000-0005-0000-0000-000080620000}"/>
    <cellStyle name="Normal 26 3 2" xfId="11154" xr:uid="{00000000-0005-0000-0000-000081620000}"/>
    <cellStyle name="Normal 26 3 2 2" xfId="12575" xr:uid="{00000000-0005-0000-0000-000082620000}"/>
    <cellStyle name="Normal 26 3 2 2 2" xfId="25227" xr:uid="{00000000-0005-0000-0000-000083620000}"/>
    <cellStyle name="Normal 26 3 2 3" xfId="25226" xr:uid="{00000000-0005-0000-0000-000084620000}"/>
    <cellStyle name="Normal 26 3 2 4" xfId="33798" xr:uid="{00000000-0005-0000-0000-000085620000}"/>
    <cellStyle name="Normal 26 3 3" xfId="11925" xr:uid="{00000000-0005-0000-0000-000086620000}"/>
    <cellStyle name="Normal 26 3 3 2" xfId="25228" xr:uid="{00000000-0005-0000-0000-000087620000}"/>
    <cellStyle name="Normal 26 3 3 3" xfId="34026" xr:uid="{00000000-0005-0000-0000-000088620000}"/>
    <cellStyle name="Normal 26 3 4" xfId="13938" xr:uid="{00000000-0005-0000-0000-000089620000}"/>
    <cellStyle name="Normal 26 3 4 2" xfId="25229" xr:uid="{00000000-0005-0000-0000-00008A620000}"/>
    <cellStyle name="Normal 26 3 4 3" xfId="34240" xr:uid="{00000000-0005-0000-0000-00008B620000}"/>
    <cellStyle name="Normal 26 3 5" xfId="15083" xr:uid="{00000000-0005-0000-0000-00008C620000}"/>
    <cellStyle name="Normal 26 3 5 2" xfId="25230" xr:uid="{00000000-0005-0000-0000-00008D620000}"/>
    <cellStyle name="Normal 26 3 6" xfId="25225" xr:uid="{00000000-0005-0000-0000-00008E620000}"/>
    <cellStyle name="Normal 26 3 7" xfId="31978" xr:uid="{00000000-0005-0000-0000-00008F620000}"/>
    <cellStyle name="Normal 26 3 8" xfId="31979" xr:uid="{00000000-0005-0000-0000-000090620000}"/>
    <cellStyle name="Normal 26 3 9" xfId="31980" xr:uid="{00000000-0005-0000-0000-000091620000}"/>
    <cellStyle name="Normal 26 3_Additional Disclosures" xfId="16475" xr:uid="{00000000-0005-0000-0000-000092620000}"/>
    <cellStyle name="Normal 26 4" xfId="12885" xr:uid="{00000000-0005-0000-0000-000093620000}"/>
    <cellStyle name="Normal 26 4 2" xfId="25231" xr:uid="{00000000-0005-0000-0000-000094620000}"/>
    <cellStyle name="Normal 26 4 3" xfId="31981" xr:uid="{00000000-0005-0000-0000-000095620000}"/>
    <cellStyle name="Normal 26 5" xfId="12886" xr:uid="{00000000-0005-0000-0000-000096620000}"/>
    <cellStyle name="Normal 26 5 2" xfId="25232" xr:uid="{00000000-0005-0000-0000-000097620000}"/>
    <cellStyle name="Normal 26 6" xfId="12887" xr:uid="{00000000-0005-0000-0000-000098620000}"/>
    <cellStyle name="Normal 26 6 2" xfId="25233" xr:uid="{00000000-0005-0000-0000-000099620000}"/>
    <cellStyle name="Normal 26 7" xfId="13427" xr:uid="{00000000-0005-0000-0000-00009A620000}"/>
    <cellStyle name="Normal 26 7 2" xfId="25234" xr:uid="{00000000-0005-0000-0000-00009B620000}"/>
    <cellStyle name="Normal 26 8" xfId="14571" xr:uid="{00000000-0005-0000-0000-00009C620000}"/>
    <cellStyle name="Normal 26 8 2" xfId="25235" xr:uid="{00000000-0005-0000-0000-00009D620000}"/>
    <cellStyle name="Normal 26 9" xfId="25216" xr:uid="{00000000-0005-0000-0000-00009E620000}"/>
    <cellStyle name="Normal 26_Additional Disclosures" xfId="16472" xr:uid="{00000000-0005-0000-0000-00009F620000}"/>
    <cellStyle name="Normal 260" xfId="173" xr:uid="{00000000-0005-0000-0000-0000A0620000}"/>
    <cellStyle name="Normal 260 10" xfId="33394" xr:uid="{00000000-0005-0000-0000-0000A1620000}"/>
    <cellStyle name="Normal 260 2" xfId="363" xr:uid="{00000000-0005-0000-0000-0000A2620000}"/>
    <cellStyle name="Normal 260 2 2" xfId="11156" xr:uid="{00000000-0005-0000-0000-0000A3620000}"/>
    <cellStyle name="Normal 260 2 2 2" xfId="12577" xr:uid="{00000000-0005-0000-0000-0000A4620000}"/>
    <cellStyle name="Normal 260 2 2 2 2" xfId="14142" xr:uid="{00000000-0005-0000-0000-0000A5620000}"/>
    <cellStyle name="Normal 260 2 2 2 2 2" xfId="25240" xr:uid="{00000000-0005-0000-0000-0000A6620000}"/>
    <cellStyle name="Normal 260 2 2 2 3" xfId="15286" xr:uid="{00000000-0005-0000-0000-0000A7620000}"/>
    <cellStyle name="Normal 260 2 2 2 3 2" xfId="25241" xr:uid="{00000000-0005-0000-0000-0000A8620000}"/>
    <cellStyle name="Normal 260 2 2 2 4" xfId="25239" xr:uid="{00000000-0005-0000-0000-0000A9620000}"/>
    <cellStyle name="Normal 260 2 2 2_Additional Disclosures" xfId="16479" xr:uid="{00000000-0005-0000-0000-0000AA620000}"/>
    <cellStyle name="Normal 260 2 2 3" xfId="13631" xr:uid="{00000000-0005-0000-0000-0000AB620000}"/>
    <cellStyle name="Normal 260 2 2 3 2" xfId="25242" xr:uid="{00000000-0005-0000-0000-0000AC620000}"/>
    <cellStyle name="Normal 260 2 2 4" xfId="14776" xr:uid="{00000000-0005-0000-0000-0000AD620000}"/>
    <cellStyle name="Normal 260 2 2 4 2" xfId="25243" xr:uid="{00000000-0005-0000-0000-0000AE620000}"/>
    <cellStyle name="Normal 260 2 2 5" xfId="25238" xr:uid="{00000000-0005-0000-0000-0000AF620000}"/>
    <cellStyle name="Normal 260 2 2_Additional Disclosures" xfId="16478" xr:uid="{00000000-0005-0000-0000-0000B0620000}"/>
    <cellStyle name="Normal 260 2 3" xfId="11927" xr:uid="{00000000-0005-0000-0000-0000B1620000}"/>
    <cellStyle name="Normal 260 2 3 2" xfId="13887" xr:uid="{00000000-0005-0000-0000-0000B2620000}"/>
    <cellStyle name="Normal 260 2 3 2 2" xfId="25245" xr:uid="{00000000-0005-0000-0000-0000B3620000}"/>
    <cellStyle name="Normal 260 2 3 3" xfId="15032" xr:uid="{00000000-0005-0000-0000-0000B4620000}"/>
    <cellStyle name="Normal 260 2 3 3 2" xfId="25246" xr:uid="{00000000-0005-0000-0000-0000B5620000}"/>
    <cellStyle name="Normal 260 2 3 4" xfId="25244" xr:uid="{00000000-0005-0000-0000-0000B6620000}"/>
    <cellStyle name="Normal 260 2 3_Additional Disclosures" xfId="16480" xr:uid="{00000000-0005-0000-0000-0000B7620000}"/>
    <cellStyle name="Normal 260 2 4" xfId="13376" xr:uid="{00000000-0005-0000-0000-0000B8620000}"/>
    <cellStyle name="Normal 260 2 4 2" xfId="25247" xr:uid="{00000000-0005-0000-0000-0000B9620000}"/>
    <cellStyle name="Normal 260 2 5" xfId="14520" xr:uid="{00000000-0005-0000-0000-0000BA620000}"/>
    <cellStyle name="Normal 260 2 5 2" xfId="25248" xr:uid="{00000000-0005-0000-0000-0000BB620000}"/>
    <cellStyle name="Normal 260 2 6" xfId="25237" xr:uid="{00000000-0005-0000-0000-0000BC620000}"/>
    <cellStyle name="Normal 260 2 7" xfId="33775" xr:uid="{00000000-0005-0000-0000-0000BD620000}"/>
    <cellStyle name="Normal 260 2 8" xfId="34300" xr:uid="{00000000-0005-0000-0000-0000BE620000}"/>
    <cellStyle name="Normal 260 2_Additional Disclosures" xfId="16477" xr:uid="{00000000-0005-0000-0000-0000BF620000}"/>
    <cellStyle name="Normal 260 3" xfId="9491" xr:uid="{00000000-0005-0000-0000-0000C0620000}"/>
    <cellStyle name="Normal 260 3 2" xfId="11157" xr:uid="{00000000-0005-0000-0000-0000C1620000}"/>
    <cellStyle name="Normal 260 3 2 2" xfId="12578" xr:uid="{00000000-0005-0000-0000-0000C2620000}"/>
    <cellStyle name="Normal 260 3 2 2 2" xfId="25251" xr:uid="{00000000-0005-0000-0000-0000C3620000}"/>
    <cellStyle name="Normal 260 3 2 3" xfId="14102" xr:uid="{00000000-0005-0000-0000-0000C4620000}"/>
    <cellStyle name="Normal 260 3 2 3 2" xfId="25252" xr:uid="{00000000-0005-0000-0000-0000C5620000}"/>
    <cellStyle name="Normal 260 3 2 4" xfId="15246" xr:uid="{00000000-0005-0000-0000-0000C6620000}"/>
    <cellStyle name="Normal 260 3 2 4 2" xfId="25253" xr:uid="{00000000-0005-0000-0000-0000C7620000}"/>
    <cellStyle name="Normal 260 3 2 5" xfId="25250" xr:uid="{00000000-0005-0000-0000-0000C8620000}"/>
    <cellStyle name="Normal 260 3 2_Additional Disclosures" xfId="16482" xr:uid="{00000000-0005-0000-0000-0000C9620000}"/>
    <cellStyle name="Normal 260 3 3" xfId="11928" xr:uid="{00000000-0005-0000-0000-0000CA620000}"/>
    <cellStyle name="Normal 260 3 3 2" xfId="25254" xr:uid="{00000000-0005-0000-0000-0000CB620000}"/>
    <cellStyle name="Normal 260 3 4" xfId="13591" xr:uid="{00000000-0005-0000-0000-0000CC620000}"/>
    <cellStyle name="Normal 260 3 4 2" xfId="25255" xr:uid="{00000000-0005-0000-0000-0000CD620000}"/>
    <cellStyle name="Normal 260 3 5" xfId="14736" xr:uid="{00000000-0005-0000-0000-0000CE620000}"/>
    <cellStyle name="Normal 260 3 5 2" xfId="25256" xr:uid="{00000000-0005-0000-0000-0000CF620000}"/>
    <cellStyle name="Normal 260 3 6" xfId="25249" xr:uid="{00000000-0005-0000-0000-0000D0620000}"/>
    <cellStyle name="Normal 260 3 7" xfId="34003" xr:uid="{00000000-0005-0000-0000-0000D1620000}"/>
    <cellStyle name="Normal 260 3 8" xfId="34321" xr:uid="{00000000-0005-0000-0000-0000D2620000}"/>
    <cellStyle name="Normal 260 3_Additional Disclosures" xfId="16481" xr:uid="{00000000-0005-0000-0000-0000D3620000}"/>
    <cellStyle name="Normal 260 4" xfId="11155" xr:uid="{00000000-0005-0000-0000-0000D4620000}"/>
    <cellStyle name="Normal 260 4 2" xfId="12576" xr:uid="{00000000-0005-0000-0000-0000D5620000}"/>
    <cellStyle name="Normal 260 4 2 2" xfId="25258" xr:uid="{00000000-0005-0000-0000-0000D6620000}"/>
    <cellStyle name="Normal 260 4 3" xfId="13847" xr:uid="{00000000-0005-0000-0000-0000D7620000}"/>
    <cellStyle name="Normal 260 4 3 2" xfId="25259" xr:uid="{00000000-0005-0000-0000-0000D8620000}"/>
    <cellStyle name="Normal 260 4 4" xfId="14992" xr:uid="{00000000-0005-0000-0000-0000D9620000}"/>
    <cellStyle name="Normal 260 4 4 2" xfId="25260" xr:uid="{00000000-0005-0000-0000-0000DA620000}"/>
    <cellStyle name="Normal 260 4 5" xfId="25257" xr:uid="{00000000-0005-0000-0000-0000DB620000}"/>
    <cellStyle name="Normal 260 4 6" xfId="34217" xr:uid="{00000000-0005-0000-0000-0000DC620000}"/>
    <cellStyle name="Normal 260 4_Additional Disclosures" xfId="16483" xr:uid="{00000000-0005-0000-0000-0000DD620000}"/>
    <cellStyle name="Normal 260 5" xfId="11926" xr:uid="{00000000-0005-0000-0000-0000DE620000}"/>
    <cellStyle name="Normal 260 5 2" xfId="25261" xr:uid="{00000000-0005-0000-0000-0000DF620000}"/>
    <cellStyle name="Normal 260 6" xfId="174" xr:uid="{00000000-0005-0000-0000-0000E0620000}"/>
    <cellStyle name="Normal 260 6 2" xfId="362" xr:uid="{00000000-0005-0000-0000-0000E1620000}"/>
    <cellStyle name="Normal 260 6 2 2" xfId="25262" xr:uid="{00000000-0005-0000-0000-0000E2620000}"/>
    <cellStyle name="Normal 260 7" xfId="14479" xr:uid="{00000000-0005-0000-0000-0000E3620000}"/>
    <cellStyle name="Normal 260 7 2" xfId="25263" xr:uid="{00000000-0005-0000-0000-0000E4620000}"/>
    <cellStyle name="Normal 260 8" xfId="25236" xr:uid="{00000000-0005-0000-0000-0000E5620000}"/>
    <cellStyle name="Normal 260 9" xfId="31982" xr:uid="{00000000-0005-0000-0000-0000E6620000}"/>
    <cellStyle name="Normal 260_Additional Disclosures" xfId="16476" xr:uid="{00000000-0005-0000-0000-0000E7620000}"/>
    <cellStyle name="Normal 261" xfId="10833" xr:uid="{00000000-0005-0000-0000-0000E8620000}"/>
    <cellStyle name="Normal 261 2" xfId="11323" xr:uid="{00000000-0005-0000-0000-0000E9620000}"/>
    <cellStyle name="Normal 261 2 2" xfId="12744" xr:uid="{00000000-0005-0000-0000-0000EA620000}"/>
    <cellStyle name="Normal 261 2 2 2" xfId="25266" xr:uid="{00000000-0005-0000-0000-0000EB620000}"/>
    <cellStyle name="Normal 261 2 3" xfId="25265" xr:uid="{00000000-0005-0000-0000-0000EC620000}"/>
    <cellStyle name="Normal 261 3" xfId="12255" xr:uid="{00000000-0005-0000-0000-0000ED620000}"/>
    <cellStyle name="Normal 261 3 2" xfId="25267" xr:uid="{00000000-0005-0000-0000-0000EE620000}"/>
    <cellStyle name="Normal 261 4" xfId="14407" xr:uid="{00000000-0005-0000-0000-0000EF620000}"/>
    <cellStyle name="Normal 261 4 2" xfId="25268" xr:uid="{00000000-0005-0000-0000-0000F0620000}"/>
    <cellStyle name="Normal 261 5" xfId="15550" xr:uid="{00000000-0005-0000-0000-0000F1620000}"/>
    <cellStyle name="Normal 261 5 2" xfId="25269" xr:uid="{00000000-0005-0000-0000-0000F2620000}"/>
    <cellStyle name="Normal 261 6" xfId="25264" xr:uid="{00000000-0005-0000-0000-0000F3620000}"/>
    <cellStyle name="Normal 261 7" xfId="31983" xr:uid="{00000000-0005-0000-0000-0000F4620000}"/>
    <cellStyle name="Normal 261_Additional Disclosures" xfId="16484" xr:uid="{00000000-0005-0000-0000-0000F5620000}"/>
    <cellStyle name="Normal 262" xfId="10835" xr:uid="{00000000-0005-0000-0000-0000F6620000}"/>
    <cellStyle name="Normal 262 2" xfId="11325" xr:uid="{00000000-0005-0000-0000-0000F7620000}"/>
    <cellStyle name="Normal 262 2 2" xfId="12746" xr:uid="{00000000-0005-0000-0000-0000F8620000}"/>
    <cellStyle name="Normal 262 2 2 2" xfId="25272" xr:uid="{00000000-0005-0000-0000-0000F9620000}"/>
    <cellStyle name="Normal 262 2 3" xfId="25271" xr:uid="{00000000-0005-0000-0000-0000FA620000}"/>
    <cellStyle name="Normal 262 3" xfId="12257" xr:uid="{00000000-0005-0000-0000-0000FB620000}"/>
    <cellStyle name="Normal 262 3 2" xfId="25273" xr:uid="{00000000-0005-0000-0000-0000FC620000}"/>
    <cellStyle name="Normal 262 4" xfId="14408" xr:uid="{00000000-0005-0000-0000-0000FD620000}"/>
    <cellStyle name="Normal 262 4 2" xfId="25274" xr:uid="{00000000-0005-0000-0000-0000FE620000}"/>
    <cellStyle name="Normal 262 5" xfId="15551" xr:uid="{00000000-0005-0000-0000-0000FF620000}"/>
    <cellStyle name="Normal 262 5 2" xfId="25275" xr:uid="{00000000-0005-0000-0000-000000630000}"/>
    <cellStyle name="Normal 262 6" xfId="25270" xr:uid="{00000000-0005-0000-0000-000001630000}"/>
    <cellStyle name="Normal 262 7" xfId="31984" xr:uid="{00000000-0005-0000-0000-000002630000}"/>
    <cellStyle name="Normal 262_Additional Disclosures" xfId="16485" xr:uid="{00000000-0005-0000-0000-000003630000}"/>
    <cellStyle name="Normal 263" xfId="10837" xr:uid="{00000000-0005-0000-0000-000004630000}"/>
    <cellStyle name="Normal 263 2" xfId="12259" xr:uid="{00000000-0005-0000-0000-000005630000}"/>
    <cellStyle name="Normal 263 2 2" xfId="25277" xr:uid="{00000000-0005-0000-0000-000006630000}"/>
    <cellStyle name="Normal 263 3" xfId="14409" xr:uid="{00000000-0005-0000-0000-000007630000}"/>
    <cellStyle name="Normal 263 3 2" xfId="25278" xr:uid="{00000000-0005-0000-0000-000008630000}"/>
    <cellStyle name="Normal 263 4" xfId="15552" xr:uid="{00000000-0005-0000-0000-000009630000}"/>
    <cellStyle name="Normal 263 4 2" xfId="25279" xr:uid="{00000000-0005-0000-0000-00000A630000}"/>
    <cellStyle name="Normal 263 5" xfId="25276" xr:uid="{00000000-0005-0000-0000-00000B630000}"/>
    <cellStyle name="Normal 263_Additional Disclosures" xfId="16486" xr:uid="{00000000-0005-0000-0000-00000C630000}"/>
    <cellStyle name="Normal 264" xfId="10839" xr:uid="{00000000-0005-0000-0000-00000D630000}"/>
    <cellStyle name="Normal 264 2" xfId="12261" xr:uid="{00000000-0005-0000-0000-00000E630000}"/>
    <cellStyle name="Normal 264 2 2" xfId="25281" xr:uid="{00000000-0005-0000-0000-00000F630000}"/>
    <cellStyle name="Normal 264 2 3" xfId="31985" xr:uid="{00000000-0005-0000-0000-000010630000}"/>
    <cellStyle name="Normal 264 2 4" xfId="31986" xr:uid="{00000000-0005-0000-0000-000011630000}"/>
    <cellStyle name="Normal 264 3" xfId="14410" xr:uid="{00000000-0005-0000-0000-000012630000}"/>
    <cellStyle name="Normal 264 3 2" xfId="25282" xr:uid="{00000000-0005-0000-0000-000013630000}"/>
    <cellStyle name="Normal 264 3 3" xfId="31987" xr:uid="{00000000-0005-0000-0000-000014630000}"/>
    <cellStyle name="Normal 264 4" xfId="15553" xr:uid="{00000000-0005-0000-0000-000015630000}"/>
    <cellStyle name="Normal 264 4 2" xfId="25283" xr:uid="{00000000-0005-0000-0000-000016630000}"/>
    <cellStyle name="Normal 264 5" xfId="25280" xr:uid="{00000000-0005-0000-0000-000017630000}"/>
    <cellStyle name="Normal 264 6" xfId="31988" xr:uid="{00000000-0005-0000-0000-000018630000}"/>
    <cellStyle name="Normal 264 7" xfId="31989" xr:uid="{00000000-0005-0000-0000-000019630000}"/>
    <cellStyle name="Normal 264_Additional Disclosures" xfId="16487" xr:uid="{00000000-0005-0000-0000-00001A630000}"/>
    <cellStyle name="Normal 265" xfId="11327" xr:uid="{00000000-0005-0000-0000-00001B630000}"/>
    <cellStyle name="Normal 265 2" xfId="12748" xr:uid="{00000000-0005-0000-0000-00001C630000}"/>
    <cellStyle name="Normal 265 2 2" xfId="25285" xr:uid="{00000000-0005-0000-0000-00001D630000}"/>
    <cellStyle name="Normal 265 3" xfId="14411" xr:uid="{00000000-0005-0000-0000-00001E630000}"/>
    <cellStyle name="Normal 265 3 2" xfId="25286" xr:uid="{00000000-0005-0000-0000-00001F630000}"/>
    <cellStyle name="Normal 265 4" xfId="15554" xr:uid="{00000000-0005-0000-0000-000020630000}"/>
    <cellStyle name="Normal 265 4 2" xfId="25287" xr:uid="{00000000-0005-0000-0000-000021630000}"/>
    <cellStyle name="Normal 265 5" xfId="25284" xr:uid="{00000000-0005-0000-0000-000022630000}"/>
    <cellStyle name="Normal 265_Additional Disclosures" xfId="16488" xr:uid="{00000000-0005-0000-0000-000023630000}"/>
    <cellStyle name="Normal 266" xfId="11328" xr:uid="{00000000-0005-0000-0000-000024630000}"/>
    <cellStyle name="Normal 266 2" xfId="12749" xr:uid="{00000000-0005-0000-0000-000025630000}"/>
    <cellStyle name="Normal 266 2 2" xfId="25289" xr:uid="{00000000-0005-0000-0000-000026630000}"/>
    <cellStyle name="Normal 266 3" xfId="14412" xr:uid="{00000000-0005-0000-0000-000027630000}"/>
    <cellStyle name="Normal 266 3 2" xfId="25290" xr:uid="{00000000-0005-0000-0000-000028630000}"/>
    <cellStyle name="Normal 266 4" xfId="15555" xr:uid="{00000000-0005-0000-0000-000029630000}"/>
    <cellStyle name="Normal 266 4 2" xfId="25291" xr:uid="{00000000-0005-0000-0000-00002A630000}"/>
    <cellStyle name="Normal 266 5" xfId="25288" xr:uid="{00000000-0005-0000-0000-00002B630000}"/>
    <cellStyle name="Normal 266_Additional Disclosures" xfId="16489" xr:uid="{00000000-0005-0000-0000-00002C630000}"/>
    <cellStyle name="Normal 267" xfId="11329" xr:uid="{00000000-0005-0000-0000-00002D630000}"/>
    <cellStyle name="Normal 267 2" xfId="12750" xr:uid="{00000000-0005-0000-0000-00002E630000}"/>
    <cellStyle name="Normal 267 2 2" xfId="25293" xr:uid="{00000000-0005-0000-0000-00002F630000}"/>
    <cellStyle name="Normal 267 3" xfId="14413" xr:uid="{00000000-0005-0000-0000-000030630000}"/>
    <cellStyle name="Normal 267 3 2" xfId="25294" xr:uid="{00000000-0005-0000-0000-000031630000}"/>
    <cellStyle name="Normal 267 4" xfId="15556" xr:uid="{00000000-0005-0000-0000-000032630000}"/>
    <cellStyle name="Normal 267 4 2" xfId="25295" xr:uid="{00000000-0005-0000-0000-000033630000}"/>
    <cellStyle name="Normal 267 5" xfId="25292" xr:uid="{00000000-0005-0000-0000-000034630000}"/>
    <cellStyle name="Normal 267_Additional Disclosures" xfId="16490" xr:uid="{00000000-0005-0000-0000-000035630000}"/>
    <cellStyle name="Normal 268" xfId="11330" xr:uid="{00000000-0005-0000-0000-000036630000}"/>
    <cellStyle name="Normal 268 2" xfId="12751" xr:uid="{00000000-0005-0000-0000-000037630000}"/>
    <cellStyle name="Normal 268 2 2" xfId="25297" xr:uid="{00000000-0005-0000-0000-000038630000}"/>
    <cellStyle name="Normal 268 3" xfId="14414" xr:uid="{00000000-0005-0000-0000-000039630000}"/>
    <cellStyle name="Normal 268 3 2" xfId="25298" xr:uid="{00000000-0005-0000-0000-00003A630000}"/>
    <cellStyle name="Normal 268 4" xfId="15557" xr:uid="{00000000-0005-0000-0000-00003B630000}"/>
    <cellStyle name="Normal 268 4 2" xfId="25299" xr:uid="{00000000-0005-0000-0000-00003C630000}"/>
    <cellStyle name="Normal 268 5" xfId="25296" xr:uid="{00000000-0005-0000-0000-00003D630000}"/>
    <cellStyle name="Normal 268_Additional Disclosures" xfId="16491" xr:uid="{00000000-0005-0000-0000-00003E630000}"/>
    <cellStyle name="Normal 269" xfId="11331" xr:uid="{00000000-0005-0000-0000-00003F630000}"/>
    <cellStyle name="Normal 269 2" xfId="12753" xr:uid="{00000000-0005-0000-0000-000040630000}"/>
    <cellStyle name="Normal 269 2 2" xfId="25301" xr:uid="{00000000-0005-0000-0000-000041630000}"/>
    <cellStyle name="Normal 269 3" xfId="14415" xr:uid="{00000000-0005-0000-0000-000042630000}"/>
    <cellStyle name="Normal 269 3 2" xfId="25302" xr:uid="{00000000-0005-0000-0000-000043630000}"/>
    <cellStyle name="Normal 269 4" xfId="15558" xr:uid="{00000000-0005-0000-0000-000044630000}"/>
    <cellStyle name="Normal 269 4 2" xfId="25303" xr:uid="{00000000-0005-0000-0000-000045630000}"/>
    <cellStyle name="Normal 269 5" xfId="25300" xr:uid="{00000000-0005-0000-0000-000046630000}"/>
    <cellStyle name="Normal 269_Additional Disclosures" xfId="16492" xr:uid="{00000000-0005-0000-0000-000047630000}"/>
    <cellStyle name="Normal 27" xfId="562" xr:uid="{00000000-0005-0000-0000-000048630000}"/>
    <cellStyle name="Normal 27 10" xfId="16980" xr:uid="{00000000-0005-0000-0000-000049630000}"/>
    <cellStyle name="Normal 27 11" xfId="31990" xr:uid="{00000000-0005-0000-0000-00004A630000}"/>
    <cellStyle name="Normal 27 12" xfId="31991" xr:uid="{00000000-0005-0000-0000-00004B630000}"/>
    <cellStyle name="Normal 27 2" xfId="9492" xr:uid="{00000000-0005-0000-0000-00004C630000}"/>
    <cellStyle name="Normal 27 2 2" xfId="11158" xr:uid="{00000000-0005-0000-0000-00004D630000}"/>
    <cellStyle name="Normal 27 2 2 2" xfId="12579" xr:uid="{00000000-0005-0000-0000-00004E630000}"/>
    <cellStyle name="Normal 27 2 2 2 2" xfId="25307" xr:uid="{00000000-0005-0000-0000-00004F630000}"/>
    <cellStyle name="Normal 27 2 2 2 3" xfId="31992" xr:uid="{00000000-0005-0000-0000-000050630000}"/>
    <cellStyle name="Normal 27 2 2 3" xfId="14194" xr:uid="{00000000-0005-0000-0000-000051630000}"/>
    <cellStyle name="Normal 27 2 2 3 2" xfId="25308" xr:uid="{00000000-0005-0000-0000-000052630000}"/>
    <cellStyle name="Normal 27 2 2 4" xfId="15338" xr:uid="{00000000-0005-0000-0000-000053630000}"/>
    <cellStyle name="Normal 27 2 2 4 2" xfId="25309" xr:uid="{00000000-0005-0000-0000-000054630000}"/>
    <cellStyle name="Normal 27 2 2 5" xfId="25306" xr:uid="{00000000-0005-0000-0000-000055630000}"/>
    <cellStyle name="Normal 27 2 2 6" xfId="31993" xr:uid="{00000000-0005-0000-0000-000056630000}"/>
    <cellStyle name="Normal 27 2 2 7" xfId="31994" xr:uid="{00000000-0005-0000-0000-000057630000}"/>
    <cellStyle name="Normal 27 2 2_Additional Disclosures" xfId="16495" xr:uid="{00000000-0005-0000-0000-000058630000}"/>
    <cellStyle name="Normal 27 2 3" xfId="11929" xr:uid="{00000000-0005-0000-0000-000059630000}"/>
    <cellStyle name="Normal 27 2 3 2" xfId="25310" xr:uid="{00000000-0005-0000-0000-00005A630000}"/>
    <cellStyle name="Normal 27 2 3 3" xfId="31995" xr:uid="{00000000-0005-0000-0000-00005B630000}"/>
    <cellStyle name="Normal 27 2 3 4" xfId="33539" xr:uid="{00000000-0005-0000-0000-00005C630000}"/>
    <cellStyle name="Normal 27 2 4" xfId="13683" xr:uid="{00000000-0005-0000-0000-00005D630000}"/>
    <cellStyle name="Normal 27 2 4 2" xfId="25311" xr:uid="{00000000-0005-0000-0000-00005E630000}"/>
    <cellStyle name="Normal 27 2 4 3" xfId="33493" xr:uid="{00000000-0005-0000-0000-00005F630000}"/>
    <cellStyle name="Normal 27 2 5" xfId="14828" xr:uid="{00000000-0005-0000-0000-000060630000}"/>
    <cellStyle name="Normal 27 2 5 2" xfId="25312" xr:uid="{00000000-0005-0000-0000-000061630000}"/>
    <cellStyle name="Normal 27 2 5 3" xfId="33627" xr:uid="{00000000-0005-0000-0000-000062630000}"/>
    <cellStyle name="Normal 27 2 6" xfId="25305" xr:uid="{00000000-0005-0000-0000-000063630000}"/>
    <cellStyle name="Normal 27 2 7" xfId="31996" xr:uid="{00000000-0005-0000-0000-000064630000}"/>
    <cellStyle name="Normal 27 2 8" xfId="31997" xr:uid="{00000000-0005-0000-0000-000065630000}"/>
    <cellStyle name="Normal 27 2_Additional Disclosures" xfId="16494" xr:uid="{00000000-0005-0000-0000-000066630000}"/>
    <cellStyle name="Normal 27 3" xfId="9493" xr:uid="{00000000-0005-0000-0000-000067630000}"/>
    <cellStyle name="Normal 27 3 10" xfId="33418" xr:uid="{00000000-0005-0000-0000-000068630000}"/>
    <cellStyle name="Normal 27 3 2" xfId="11159" xr:uid="{00000000-0005-0000-0000-000069630000}"/>
    <cellStyle name="Normal 27 3 2 2" xfId="12580" xr:uid="{00000000-0005-0000-0000-00006A630000}"/>
    <cellStyle name="Normal 27 3 2 2 2" xfId="25315" xr:uid="{00000000-0005-0000-0000-00006B630000}"/>
    <cellStyle name="Normal 27 3 2 3" xfId="25314" xr:uid="{00000000-0005-0000-0000-00006C630000}"/>
    <cellStyle name="Normal 27 3 2 4" xfId="33799" xr:uid="{00000000-0005-0000-0000-00006D630000}"/>
    <cellStyle name="Normal 27 3 3" xfId="11930" xr:uid="{00000000-0005-0000-0000-00006E630000}"/>
    <cellStyle name="Normal 27 3 3 2" xfId="25316" xr:uid="{00000000-0005-0000-0000-00006F630000}"/>
    <cellStyle name="Normal 27 3 3 3" xfId="34027" xr:uid="{00000000-0005-0000-0000-000070630000}"/>
    <cellStyle name="Normal 27 3 4" xfId="13939" xr:uid="{00000000-0005-0000-0000-000071630000}"/>
    <cellStyle name="Normal 27 3 4 2" xfId="25317" xr:uid="{00000000-0005-0000-0000-000072630000}"/>
    <cellStyle name="Normal 27 3 4 3" xfId="34241" xr:uid="{00000000-0005-0000-0000-000073630000}"/>
    <cellStyle name="Normal 27 3 5" xfId="15084" xr:uid="{00000000-0005-0000-0000-000074630000}"/>
    <cellStyle name="Normal 27 3 5 2" xfId="25318" xr:uid="{00000000-0005-0000-0000-000075630000}"/>
    <cellStyle name="Normal 27 3 6" xfId="25313" xr:uid="{00000000-0005-0000-0000-000076630000}"/>
    <cellStyle name="Normal 27 3 7" xfId="31998" xr:uid="{00000000-0005-0000-0000-000077630000}"/>
    <cellStyle name="Normal 27 3 8" xfId="31999" xr:uid="{00000000-0005-0000-0000-000078630000}"/>
    <cellStyle name="Normal 27 3 9" xfId="32000" xr:uid="{00000000-0005-0000-0000-000079630000}"/>
    <cellStyle name="Normal 27 3_Additional Disclosures" xfId="16496" xr:uid="{00000000-0005-0000-0000-00007A630000}"/>
    <cellStyle name="Normal 27 4" xfId="12888" xr:uid="{00000000-0005-0000-0000-00007B630000}"/>
    <cellStyle name="Normal 27 4 2" xfId="25319" xr:uid="{00000000-0005-0000-0000-00007C630000}"/>
    <cellStyle name="Normal 27 4 3" xfId="32001" xr:uid="{00000000-0005-0000-0000-00007D630000}"/>
    <cellStyle name="Normal 27 5" xfId="12889" xr:uid="{00000000-0005-0000-0000-00007E630000}"/>
    <cellStyle name="Normal 27 5 2" xfId="25320" xr:uid="{00000000-0005-0000-0000-00007F630000}"/>
    <cellStyle name="Normal 27 6" xfId="13428" xr:uid="{00000000-0005-0000-0000-000080630000}"/>
    <cellStyle name="Normal 27 6 2" xfId="25321" xr:uid="{00000000-0005-0000-0000-000081630000}"/>
    <cellStyle name="Normal 27 7" xfId="14572" xr:uid="{00000000-0005-0000-0000-000082630000}"/>
    <cellStyle name="Normal 27 7 2" xfId="25322" xr:uid="{00000000-0005-0000-0000-000083630000}"/>
    <cellStyle name="Normal 27 8" xfId="25304" xr:uid="{00000000-0005-0000-0000-000084630000}"/>
    <cellStyle name="Normal 27 9" xfId="28929" xr:uid="{00000000-0005-0000-0000-000085630000}"/>
    <cellStyle name="Normal 27_Additional Disclosures" xfId="16493" xr:uid="{00000000-0005-0000-0000-000086630000}"/>
    <cellStyle name="Normal 270" xfId="9494" xr:uid="{00000000-0005-0000-0000-000087630000}"/>
    <cellStyle name="Normal 270 2" xfId="12148" xr:uid="{00000000-0005-0000-0000-000088630000}"/>
    <cellStyle name="Normal 270 2 2" xfId="25324" xr:uid="{00000000-0005-0000-0000-000089630000}"/>
    <cellStyle name="Normal 270 3" xfId="14416" xr:uid="{00000000-0005-0000-0000-00008A630000}"/>
    <cellStyle name="Normal 270 3 2" xfId="25325" xr:uid="{00000000-0005-0000-0000-00008B630000}"/>
    <cellStyle name="Normal 270 4" xfId="15559" xr:uid="{00000000-0005-0000-0000-00008C630000}"/>
    <cellStyle name="Normal 270 4 2" xfId="25326" xr:uid="{00000000-0005-0000-0000-00008D630000}"/>
    <cellStyle name="Normal 270 5" xfId="25323" xr:uid="{00000000-0005-0000-0000-00008E630000}"/>
    <cellStyle name="Normal 270_Additional Disclosures" xfId="16497" xr:uid="{00000000-0005-0000-0000-00008F630000}"/>
    <cellStyle name="Normal 271" xfId="11333" xr:uid="{00000000-0005-0000-0000-000090630000}"/>
    <cellStyle name="Normal 271 2" xfId="12755" xr:uid="{00000000-0005-0000-0000-000091630000}"/>
    <cellStyle name="Normal 271 2 2" xfId="25328" xr:uid="{00000000-0005-0000-0000-000092630000}"/>
    <cellStyle name="Normal 271 3" xfId="14417" xr:uid="{00000000-0005-0000-0000-000093630000}"/>
    <cellStyle name="Normal 271 3 2" xfId="25329" xr:uid="{00000000-0005-0000-0000-000094630000}"/>
    <cellStyle name="Normal 271 4" xfId="15560" xr:uid="{00000000-0005-0000-0000-000095630000}"/>
    <cellStyle name="Normal 271 4 2" xfId="25330" xr:uid="{00000000-0005-0000-0000-000096630000}"/>
    <cellStyle name="Normal 271 5" xfId="25327" xr:uid="{00000000-0005-0000-0000-000097630000}"/>
    <cellStyle name="Normal 271_Additional Disclosures" xfId="16498" xr:uid="{00000000-0005-0000-0000-000098630000}"/>
    <cellStyle name="Normal 272" xfId="11335" xr:uid="{00000000-0005-0000-0000-000099630000}"/>
    <cellStyle name="Normal 272 2" xfId="12757" xr:uid="{00000000-0005-0000-0000-00009A630000}"/>
    <cellStyle name="Normal 272 2 2" xfId="25332" xr:uid="{00000000-0005-0000-0000-00009B630000}"/>
    <cellStyle name="Normal 272 3" xfId="14418" xr:uid="{00000000-0005-0000-0000-00009C630000}"/>
    <cellStyle name="Normal 272 3 2" xfId="25333" xr:uid="{00000000-0005-0000-0000-00009D630000}"/>
    <cellStyle name="Normal 272 4" xfId="15561" xr:uid="{00000000-0005-0000-0000-00009E630000}"/>
    <cellStyle name="Normal 272 4 2" xfId="25334" xr:uid="{00000000-0005-0000-0000-00009F630000}"/>
    <cellStyle name="Normal 272 5" xfId="25331" xr:uid="{00000000-0005-0000-0000-0000A0630000}"/>
    <cellStyle name="Normal 272_Additional Disclosures" xfId="16499" xr:uid="{00000000-0005-0000-0000-0000A1630000}"/>
    <cellStyle name="Normal 273" xfId="175" xr:uid="{00000000-0005-0000-0000-0000A2630000}"/>
    <cellStyle name="Normal 273 2" xfId="12759" xr:uid="{00000000-0005-0000-0000-0000A3630000}"/>
    <cellStyle name="Normal 273 2 2" xfId="25336" xr:uid="{00000000-0005-0000-0000-0000A4630000}"/>
    <cellStyle name="Normal 273 3" xfId="14419" xr:uid="{00000000-0005-0000-0000-0000A5630000}"/>
    <cellStyle name="Normal 273 3 2" xfId="25337" xr:uid="{00000000-0005-0000-0000-0000A6630000}"/>
    <cellStyle name="Normal 273 4" xfId="15562" xr:uid="{00000000-0005-0000-0000-0000A7630000}"/>
    <cellStyle name="Normal 273 4 2" xfId="25338" xr:uid="{00000000-0005-0000-0000-0000A8630000}"/>
    <cellStyle name="Normal 273 5" xfId="25335" xr:uid="{00000000-0005-0000-0000-0000A9630000}"/>
    <cellStyle name="Normal 273 6" xfId="11337" xr:uid="{00000000-0005-0000-0000-0000AA630000}"/>
    <cellStyle name="Normal 273_Additional Disclosures" xfId="16500" xr:uid="{00000000-0005-0000-0000-0000AB630000}"/>
    <cellStyle name="Normal 274" xfId="11339" xr:uid="{00000000-0005-0000-0000-0000AC630000}"/>
    <cellStyle name="Normal 274 2" xfId="12761" xr:uid="{00000000-0005-0000-0000-0000AD630000}"/>
    <cellStyle name="Normal 274 2 2" xfId="25340" xr:uid="{00000000-0005-0000-0000-0000AE630000}"/>
    <cellStyle name="Normal 274 2 3" xfId="32002" xr:uid="{00000000-0005-0000-0000-0000AF630000}"/>
    <cellStyle name="Normal 274 2 4" xfId="32003" xr:uid="{00000000-0005-0000-0000-0000B0630000}"/>
    <cellStyle name="Normal 274 3" xfId="14420" xr:uid="{00000000-0005-0000-0000-0000B1630000}"/>
    <cellStyle name="Normal 274 3 2" xfId="25341" xr:uid="{00000000-0005-0000-0000-0000B2630000}"/>
    <cellStyle name="Normal 274 3 3" xfId="32004" xr:uid="{00000000-0005-0000-0000-0000B3630000}"/>
    <cellStyle name="Normal 274 4" xfId="15563" xr:uid="{00000000-0005-0000-0000-0000B4630000}"/>
    <cellStyle name="Normal 274 4 2" xfId="25342" xr:uid="{00000000-0005-0000-0000-0000B5630000}"/>
    <cellStyle name="Normal 274 5" xfId="25339" xr:uid="{00000000-0005-0000-0000-0000B6630000}"/>
    <cellStyle name="Normal 274 6" xfId="32005" xr:uid="{00000000-0005-0000-0000-0000B7630000}"/>
    <cellStyle name="Normal 274 7" xfId="32006" xr:uid="{00000000-0005-0000-0000-0000B8630000}"/>
    <cellStyle name="Normal 274_Additional Disclosures" xfId="16501" xr:uid="{00000000-0005-0000-0000-0000B9630000}"/>
    <cellStyle name="Normal 275" xfId="11341" xr:uid="{00000000-0005-0000-0000-0000BA630000}"/>
    <cellStyle name="Normal 275 2" xfId="12763" xr:uid="{00000000-0005-0000-0000-0000BB630000}"/>
    <cellStyle name="Normal 275 2 2" xfId="25344" xr:uid="{00000000-0005-0000-0000-0000BC630000}"/>
    <cellStyle name="Normal 275 3" xfId="14421" xr:uid="{00000000-0005-0000-0000-0000BD630000}"/>
    <cellStyle name="Normal 275 3 2" xfId="25345" xr:uid="{00000000-0005-0000-0000-0000BE630000}"/>
    <cellStyle name="Normal 275 4" xfId="15564" xr:uid="{00000000-0005-0000-0000-0000BF630000}"/>
    <cellStyle name="Normal 275 4 2" xfId="25346" xr:uid="{00000000-0005-0000-0000-0000C0630000}"/>
    <cellStyle name="Normal 275 5" xfId="25343" xr:uid="{00000000-0005-0000-0000-0000C1630000}"/>
    <cellStyle name="Normal 275_Additional Disclosures" xfId="16502" xr:uid="{00000000-0005-0000-0000-0000C2630000}"/>
    <cellStyle name="Normal 276" xfId="176" xr:uid="{00000000-0005-0000-0000-0000C3630000}"/>
    <cellStyle name="Normal 276 2" xfId="361" xr:uid="{00000000-0005-0000-0000-0000C4630000}"/>
    <cellStyle name="Normal 276 2 2" xfId="25348" xr:uid="{00000000-0005-0000-0000-0000C5630000}"/>
    <cellStyle name="Normal 276 2 3" xfId="32007" xr:uid="{00000000-0005-0000-0000-0000C6630000}"/>
    <cellStyle name="Normal 276 2 4" xfId="32008" xr:uid="{00000000-0005-0000-0000-0000C7630000}"/>
    <cellStyle name="Normal 276 3" xfId="14422" xr:uid="{00000000-0005-0000-0000-0000C8630000}"/>
    <cellStyle name="Normal 276 3 2" xfId="25349" xr:uid="{00000000-0005-0000-0000-0000C9630000}"/>
    <cellStyle name="Normal 276 3 3" xfId="32009" xr:uid="{00000000-0005-0000-0000-0000CA630000}"/>
    <cellStyle name="Normal 276 4" xfId="15565" xr:uid="{00000000-0005-0000-0000-0000CB630000}"/>
    <cellStyle name="Normal 276 4 2" xfId="25350" xr:uid="{00000000-0005-0000-0000-0000CC630000}"/>
    <cellStyle name="Normal 276 5" xfId="25347" xr:uid="{00000000-0005-0000-0000-0000CD630000}"/>
    <cellStyle name="Normal 276 6" xfId="32010" xr:uid="{00000000-0005-0000-0000-0000CE630000}"/>
    <cellStyle name="Normal 276 7" xfId="32011" xr:uid="{00000000-0005-0000-0000-0000CF630000}"/>
    <cellStyle name="Normal 276_Additional Disclosures" xfId="16503" xr:uid="{00000000-0005-0000-0000-0000D0630000}"/>
    <cellStyle name="Normal 277" xfId="11344" xr:uid="{00000000-0005-0000-0000-0000D1630000}"/>
    <cellStyle name="Normal 277 2" xfId="12766" xr:uid="{00000000-0005-0000-0000-0000D2630000}"/>
    <cellStyle name="Normal 277 2 2" xfId="25352" xr:uid="{00000000-0005-0000-0000-0000D3630000}"/>
    <cellStyle name="Normal 277 3" xfId="14423" xr:uid="{00000000-0005-0000-0000-0000D4630000}"/>
    <cellStyle name="Normal 277 3 2" xfId="25353" xr:uid="{00000000-0005-0000-0000-0000D5630000}"/>
    <cellStyle name="Normal 277 4" xfId="15566" xr:uid="{00000000-0005-0000-0000-0000D6630000}"/>
    <cellStyle name="Normal 277 4 2" xfId="25354" xr:uid="{00000000-0005-0000-0000-0000D7630000}"/>
    <cellStyle name="Normal 277 5" xfId="25351" xr:uid="{00000000-0005-0000-0000-0000D8630000}"/>
    <cellStyle name="Normal 277_Additional Disclosures" xfId="16504" xr:uid="{00000000-0005-0000-0000-0000D9630000}"/>
    <cellStyle name="Normal 278" xfId="11346" xr:uid="{00000000-0005-0000-0000-0000DA630000}"/>
    <cellStyle name="Normal 278 2" xfId="12768" xr:uid="{00000000-0005-0000-0000-0000DB630000}"/>
    <cellStyle name="Normal 278 2 2" xfId="25356" xr:uid="{00000000-0005-0000-0000-0000DC630000}"/>
    <cellStyle name="Normal 278 3" xfId="14424" xr:uid="{00000000-0005-0000-0000-0000DD630000}"/>
    <cellStyle name="Normal 278 3 2" xfId="25357" xr:uid="{00000000-0005-0000-0000-0000DE630000}"/>
    <cellStyle name="Normal 278 4" xfId="15567" xr:uid="{00000000-0005-0000-0000-0000DF630000}"/>
    <cellStyle name="Normal 278 4 2" xfId="25358" xr:uid="{00000000-0005-0000-0000-0000E0630000}"/>
    <cellStyle name="Normal 278 5" xfId="25355" xr:uid="{00000000-0005-0000-0000-0000E1630000}"/>
    <cellStyle name="Normal 278_Additional Disclosures" xfId="16505" xr:uid="{00000000-0005-0000-0000-0000E2630000}"/>
    <cellStyle name="Normal 279" xfId="9495" xr:uid="{00000000-0005-0000-0000-0000E3630000}"/>
    <cellStyle name="Normal 279 2" xfId="12147" xr:uid="{00000000-0005-0000-0000-0000E4630000}"/>
    <cellStyle name="Normal 279 2 2" xfId="25360" xr:uid="{00000000-0005-0000-0000-0000E5630000}"/>
    <cellStyle name="Normal 279 3" xfId="14425" xr:uid="{00000000-0005-0000-0000-0000E6630000}"/>
    <cellStyle name="Normal 279 3 2" xfId="25361" xr:uid="{00000000-0005-0000-0000-0000E7630000}"/>
    <cellStyle name="Normal 279 4" xfId="15568" xr:uid="{00000000-0005-0000-0000-0000E8630000}"/>
    <cellStyle name="Normal 279 4 2" xfId="25362" xr:uid="{00000000-0005-0000-0000-0000E9630000}"/>
    <cellStyle name="Normal 279 5" xfId="25359" xr:uid="{00000000-0005-0000-0000-0000EA630000}"/>
    <cellStyle name="Normal 279_Additional Disclosures" xfId="16506" xr:uid="{00000000-0005-0000-0000-0000EB630000}"/>
    <cellStyle name="Normal 28" xfId="563" xr:uid="{00000000-0005-0000-0000-0000EC630000}"/>
    <cellStyle name="Normal 28 10" xfId="28932" xr:uid="{00000000-0005-0000-0000-0000ED630000}"/>
    <cellStyle name="Normal 28 11" xfId="32012" xr:uid="{00000000-0005-0000-0000-0000EE630000}"/>
    <cellStyle name="Normal 28 12" xfId="32013" xr:uid="{00000000-0005-0000-0000-0000EF630000}"/>
    <cellStyle name="Normal 28 13" xfId="32014" xr:uid="{00000000-0005-0000-0000-0000F0630000}"/>
    <cellStyle name="Normal 28 2" xfId="9496" xr:uid="{00000000-0005-0000-0000-0000F1630000}"/>
    <cellStyle name="Normal 28 2 10" xfId="32015" xr:uid="{00000000-0005-0000-0000-0000F2630000}"/>
    <cellStyle name="Normal 28 2 11" xfId="32016" xr:uid="{00000000-0005-0000-0000-0000F3630000}"/>
    <cellStyle name="Normal 28 2 2" xfId="11160" xr:uid="{00000000-0005-0000-0000-0000F4630000}"/>
    <cellStyle name="Normal 28 2 2 2" xfId="12581" xr:uid="{00000000-0005-0000-0000-0000F5630000}"/>
    <cellStyle name="Normal 28 2 2 2 2" xfId="25366" xr:uid="{00000000-0005-0000-0000-0000F6630000}"/>
    <cellStyle name="Normal 28 2 2 3" xfId="14195" xr:uid="{00000000-0005-0000-0000-0000F7630000}"/>
    <cellStyle name="Normal 28 2 2 3 2" xfId="25367" xr:uid="{00000000-0005-0000-0000-0000F8630000}"/>
    <cellStyle name="Normal 28 2 2 4" xfId="15339" xr:uid="{00000000-0005-0000-0000-0000F9630000}"/>
    <cellStyle name="Normal 28 2 2 4 2" xfId="25368" xr:uid="{00000000-0005-0000-0000-0000FA630000}"/>
    <cellStyle name="Normal 28 2 2 5" xfId="25365" xr:uid="{00000000-0005-0000-0000-0000FB630000}"/>
    <cellStyle name="Normal 28 2 2 6" xfId="32017" xr:uid="{00000000-0005-0000-0000-0000FC630000}"/>
    <cellStyle name="Normal 28 2 2_Additional Disclosures" xfId="16509" xr:uid="{00000000-0005-0000-0000-0000FD630000}"/>
    <cellStyle name="Normal 28 2 3" xfId="11931" xr:uid="{00000000-0005-0000-0000-0000FE630000}"/>
    <cellStyle name="Normal 28 2 3 2" xfId="25369" xr:uid="{00000000-0005-0000-0000-0000FF630000}"/>
    <cellStyle name="Normal 28 2 4" xfId="13684" xr:uid="{00000000-0005-0000-0000-000000640000}"/>
    <cellStyle name="Normal 28 2 4 2" xfId="25370" xr:uid="{00000000-0005-0000-0000-000001640000}"/>
    <cellStyle name="Normal 28 2 5" xfId="14829" xr:uid="{00000000-0005-0000-0000-000002640000}"/>
    <cellStyle name="Normal 28 2 5 2" xfId="25371" xr:uid="{00000000-0005-0000-0000-000003640000}"/>
    <cellStyle name="Normal 28 2 6" xfId="25364" xr:uid="{00000000-0005-0000-0000-000004640000}"/>
    <cellStyle name="Normal 28 2 7" xfId="32018" xr:uid="{00000000-0005-0000-0000-000005640000}"/>
    <cellStyle name="Normal 28 2 8" xfId="32019" xr:uid="{00000000-0005-0000-0000-000006640000}"/>
    <cellStyle name="Normal 28 2 9" xfId="32020" xr:uid="{00000000-0005-0000-0000-000007640000}"/>
    <cellStyle name="Normal 28 2_Additional Disclosures" xfId="16508" xr:uid="{00000000-0005-0000-0000-000008640000}"/>
    <cellStyle name="Normal 28 3" xfId="9497" xr:uid="{00000000-0005-0000-0000-000009640000}"/>
    <cellStyle name="Normal 28 3 2" xfId="11161" xr:uid="{00000000-0005-0000-0000-00000A640000}"/>
    <cellStyle name="Normal 28 3 2 2" xfId="12582" xr:uid="{00000000-0005-0000-0000-00000B640000}"/>
    <cellStyle name="Normal 28 3 2 2 2" xfId="25374" xr:uid="{00000000-0005-0000-0000-00000C640000}"/>
    <cellStyle name="Normal 28 3 2 3" xfId="25373" xr:uid="{00000000-0005-0000-0000-00000D640000}"/>
    <cellStyle name="Normal 28 3 2 4" xfId="32021" xr:uid="{00000000-0005-0000-0000-00000E640000}"/>
    <cellStyle name="Normal 28 3 3" xfId="11932" xr:uid="{00000000-0005-0000-0000-00000F640000}"/>
    <cellStyle name="Normal 28 3 3 2" xfId="25375" xr:uid="{00000000-0005-0000-0000-000010640000}"/>
    <cellStyle name="Normal 28 3 4" xfId="13940" xr:uid="{00000000-0005-0000-0000-000011640000}"/>
    <cellStyle name="Normal 28 3 4 2" xfId="25376" xr:uid="{00000000-0005-0000-0000-000012640000}"/>
    <cellStyle name="Normal 28 3 5" xfId="15085" xr:uid="{00000000-0005-0000-0000-000013640000}"/>
    <cellStyle name="Normal 28 3 5 2" xfId="25377" xr:uid="{00000000-0005-0000-0000-000014640000}"/>
    <cellStyle name="Normal 28 3 6" xfId="25372" xr:uid="{00000000-0005-0000-0000-000015640000}"/>
    <cellStyle name="Normal 28 3 7" xfId="32022" xr:uid="{00000000-0005-0000-0000-000016640000}"/>
    <cellStyle name="Normal 28 3 8" xfId="32023" xr:uid="{00000000-0005-0000-0000-000017640000}"/>
    <cellStyle name="Normal 28 3_Additional Disclosures" xfId="16510" xr:uid="{00000000-0005-0000-0000-000018640000}"/>
    <cellStyle name="Normal 28 4" xfId="13310" xr:uid="{00000000-0005-0000-0000-000019640000}"/>
    <cellStyle name="Normal 28 4 2" xfId="25378" xr:uid="{00000000-0005-0000-0000-00001A640000}"/>
    <cellStyle name="Normal 28 4 2 2" xfId="33800" xr:uid="{00000000-0005-0000-0000-00001B640000}"/>
    <cellStyle name="Normal 28 4 3" xfId="32024" xr:uid="{00000000-0005-0000-0000-00001C640000}"/>
    <cellStyle name="Normal 28 4 3 2" xfId="34028" xr:uid="{00000000-0005-0000-0000-00001D640000}"/>
    <cellStyle name="Normal 28 4 4" xfId="34242" xr:uid="{00000000-0005-0000-0000-00001E640000}"/>
    <cellStyle name="Normal 28 4 5" xfId="33419" xr:uid="{00000000-0005-0000-0000-00001F640000}"/>
    <cellStyle name="Normal 28 5" xfId="13429" xr:uid="{00000000-0005-0000-0000-000020640000}"/>
    <cellStyle name="Normal 28 5 2" xfId="25379" xr:uid="{00000000-0005-0000-0000-000021640000}"/>
    <cellStyle name="Normal 28 5 3" xfId="33540" xr:uid="{00000000-0005-0000-0000-000022640000}"/>
    <cellStyle name="Normal 28 6" xfId="14573" xr:uid="{00000000-0005-0000-0000-000023640000}"/>
    <cellStyle name="Normal 28 6 2" xfId="25380" xr:uid="{00000000-0005-0000-0000-000024640000}"/>
    <cellStyle name="Normal 28 6 3" xfId="33492" xr:uid="{00000000-0005-0000-0000-000025640000}"/>
    <cellStyle name="Normal 28 7" xfId="25363" xr:uid="{00000000-0005-0000-0000-000026640000}"/>
    <cellStyle name="Normal 28 7 2" xfId="33541" xr:uid="{00000000-0005-0000-0000-000027640000}"/>
    <cellStyle name="Normal 28 8" xfId="28930" xr:uid="{00000000-0005-0000-0000-000028640000}"/>
    <cellStyle name="Normal 28 9" xfId="16981" xr:uid="{00000000-0005-0000-0000-000029640000}"/>
    <cellStyle name="Normal 28_Additional Disclosures" xfId="16507" xr:uid="{00000000-0005-0000-0000-00002A640000}"/>
    <cellStyle name="Normal 280" xfId="177" xr:uid="{00000000-0005-0000-0000-00002B640000}"/>
    <cellStyle name="Normal 280 2" xfId="360" xr:uid="{00000000-0005-0000-0000-00002C640000}"/>
    <cellStyle name="Normal 280 2 2" xfId="25382" xr:uid="{00000000-0005-0000-0000-00002D640000}"/>
    <cellStyle name="Normal 280 3" xfId="14426" xr:uid="{00000000-0005-0000-0000-00002E640000}"/>
    <cellStyle name="Normal 280 3 2" xfId="25383" xr:uid="{00000000-0005-0000-0000-00002F640000}"/>
    <cellStyle name="Normal 280 4" xfId="15569" xr:uid="{00000000-0005-0000-0000-000030640000}"/>
    <cellStyle name="Normal 280 4 2" xfId="25384" xr:uid="{00000000-0005-0000-0000-000031640000}"/>
    <cellStyle name="Normal 280 5" xfId="25381" xr:uid="{00000000-0005-0000-0000-000032640000}"/>
    <cellStyle name="Normal 280_Additional Disclosures" xfId="16511" xr:uid="{00000000-0005-0000-0000-000033640000}"/>
    <cellStyle name="Normal 281" xfId="178" xr:uid="{00000000-0005-0000-0000-000034640000}"/>
    <cellStyle name="Normal 281 2" xfId="359" xr:uid="{00000000-0005-0000-0000-000035640000}"/>
    <cellStyle name="Normal 281 2 2" xfId="25386" xr:uid="{00000000-0005-0000-0000-000036640000}"/>
    <cellStyle name="Normal 281 3" xfId="14427" xr:uid="{00000000-0005-0000-0000-000037640000}"/>
    <cellStyle name="Normal 281 3 2" xfId="25387" xr:uid="{00000000-0005-0000-0000-000038640000}"/>
    <cellStyle name="Normal 281 4" xfId="15570" xr:uid="{00000000-0005-0000-0000-000039640000}"/>
    <cellStyle name="Normal 281 4 2" xfId="25388" xr:uid="{00000000-0005-0000-0000-00003A640000}"/>
    <cellStyle name="Normal 281 5" xfId="25385" xr:uid="{00000000-0005-0000-0000-00003B640000}"/>
    <cellStyle name="Normal 281_Additional Disclosures" xfId="16512" xr:uid="{00000000-0005-0000-0000-00003C640000}"/>
    <cellStyle name="Normal 282" xfId="11353" xr:uid="{00000000-0005-0000-0000-00003D640000}"/>
    <cellStyle name="Normal 282 2" xfId="12775" xr:uid="{00000000-0005-0000-0000-00003E640000}"/>
    <cellStyle name="Normal 282 2 2" xfId="25390" xr:uid="{00000000-0005-0000-0000-00003F640000}"/>
    <cellStyle name="Normal 282 3" xfId="14428" xr:uid="{00000000-0005-0000-0000-000040640000}"/>
    <cellStyle name="Normal 282 3 2" xfId="25391" xr:uid="{00000000-0005-0000-0000-000041640000}"/>
    <cellStyle name="Normal 282 4" xfId="15571" xr:uid="{00000000-0005-0000-0000-000042640000}"/>
    <cellStyle name="Normal 282 4 2" xfId="25392" xr:uid="{00000000-0005-0000-0000-000043640000}"/>
    <cellStyle name="Normal 282 5" xfId="25389" xr:uid="{00000000-0005-0000-0000-000044640000}"/>
    <cellStyle name="Normal 282_Additional Disclosures" xfId="16513" xr:uid="{00000000-0005-0000-0000-000045640000}"/>
    <cellStyle name="Normal 283" xfId="11354" xr:uid="{00000000-0005-0000-0000-000046640000}"/>
    <cellStyle name="Normal 283 2" xfId="12776" xr:uid="{00000000-0005-0000-0000-000047640000}"/>
    <cellStyle name="Normal 283 2 2" xfId="25394" xr:uid="{00000000-0005-0000-0000-000048640000}"/>
    <cellStyle name="Normal 283 3" xfId="14429" xr:uid="{00000000-0005-0000-0000-000049640000}"/>
    <cellStyle name="Normal 283 3 2" xfId="25395" xr:uid="{00000000-0005-0000-0000-00004A640000}"/>
    <cellStyle name="Normal 283 4" xfId="15572" xr:uid="{00000000-0005-0000-0000-00004B640000}"/>
    <cellStyle name="Normal 283 4 2" xfId="25396" xr:uid="{00000000-0005-0000-0000-00004C640000}"/>
    <cellStyle name="Normal 283 5" xfId="25393" xr:uid="{00000000-0005-0000-0000-00004D640000}"/>
    <cellStyle name="Normal 283_Additional Disclosures" xfId="16514" xr:uid="{00000000-0005-0000-0000-00004E640000}"/>
    <cellStyle name="Normal 284" xfId="11355" xr:uid="{00000000-0005-0000-0000-00004F640000}"/>
    <cellStyle name="Normal 284 2" xfId="12777" xr:uid="{00000000-0005-0000-0000-000050640000}"/>
    <cellStyle name="Normal 284 2 2" xfId="25398" xr:uid="{00000000-0005-0000-0000-000051640000}"/>
    <cellStyle name="Normal 284 3" xfId="14430" xr:uid="{00000000-0005-0000-0000-000052640000}"/>
    <cellStyle name="Normal 284 3 2" xfId="25399" xr:uid="{00000000-0005-0000-0000-000053640000}"/>
    <cellStyle name="Normal 284 4" xfId="15573" xr:uid="{00000000-0005-0000-0000-000054640000}"/>
    <cellStyle name="Normal 284 4 2" xfId="25400" xr:uid="{00000000-0005-0000-0000-000055640000}"/>
    <cellStyle name="Normal 284 5" xfId="25397" xr:uid="{00000000-0005-0000-0000-000056640000}"/>
    <cellStyle name="Normal 284_Additional Disclosures" xfId="16515" xr:uid="{00000000-0005-0000-0000-000057640000}"/>
    <cellStyle name="Normal 285" xfId="11356" xr:uid="{00000000-0005-0000-0000-000058640000}"/>
    <cellStyle name="Normal 285 2" xfId="12778" xr:uid="{00000000-0005-0000-0000-000059640000}"/>
    <cellStyle name="Normal 285 2 2" xfId="25402" xr:uid="{00000000-0005-0000-0000-00005A640000}"/>
    <cellStyle name="Normal 285 3" xfId="14431" xr:uid="{00000000-0005-0000-0000-00005B640000}"/>
    <cellStyle name="Normal 285 3 2" xfId="25403" xr:uid="{00000000-0005-0000-0000-00005C640000}"/>
    <cellStyle name="Normal 285 4" xfId="15574" xr:uid="{00000000-0005-0000-0000-00005D640000}"/>
    <cellStyle name="Normal 285 4 2" xfId="25404" xr:uid="{00000000-0005-0000-0000-00005E640000}"/>
    <cellStyle name="Normal 285 5" xfId="25401" xr:uid="{00000000-0005-0000-0000-00005F640000}"/>
    <cellStyle name="Normal 285_Additional Disclosures" xfId="16516" xr:uid="{00000000-0005-0000-0000-000060640000}"/>
    <cellStyle name="Normal 286" xfId="11357" xr:uid="{00000000-0005-0000-0000-000061640000}"/>
    <cellStyle name="Normal 286 2" xfId="12779" xr:uid="{00000000-0005-0000-0000-000062640000}"/>
    <cellStyle name="Normal 286 2 2" xfId="25406" xr:uid="{00000000-0005-0000-0000-000063640000}"/>
    <cellStyle name="Normal 286 3" xfId="14432" xr:uid="{00000000-0005-0000-0000-000064640000}"/>
    <cellStyle name="Normal 286 3 2" xfId="25407" xr:uid="{00000000-0005-0000-0000-000065640000}"/>
    <cellStyle name="Normal 286 4" xfId="15575" xr:uid="{00000000-0005-0000-0000-000066640000}"/>
    <cellStyle name="Normal 286 4 2" xfId="25408" xr:uid="{00000000-0005-0000-0000-000067640000}"/>
    <cellStyle name="Normal 286 5" xfId="25405" xr:uid="{00000000-0005-0000-0000-000068640000}"/>
    <cellStyle name="Normal 286_Additional Disclosures" xfId="16517" xr:uid="{00000000-0005-0000-0000-000069640000}"/>
    <cellStyle name="Normal 287" xfId="11358" xr:uid="{00000000-0005-0000-0000-00006A640000}"/>
    <cellStyle name="Normal 287 2" xfId="12780" xr:uid="{00000000-0005-0000-0000-00006B640000}"/>
    <cellStyle name="Normal 287 2 2" xfId="25410" xr:uid="{00000000-0005-0000-0000-00006C640000}"/>
    <cellStyle name="Normal 287 3" xfId="14433" xr:uid="{00000000-0005-0000-0000-00006D640000}"/>
    <cellStyle name="Normal 287 3 2" xfId="25411" xr:uid="{00000000-0005-0000-0000-00006E640000}"/>
    <cellStyle name="Normal 287 4" xfId="15576" xr:uid="{00000000-0005-0000-0000-00006F640000}"/>
    <cellStyle name="Normal 287 4 2" xfId="25412" xr:uid="{00000000-0005-0000-0000-000070640000}"/>
    <cellStyle name="Normal 287 5" xfId="25409" xr:uid="{00000000-0005-0000-0000-000071640000}"/>
    <cellStyle name="Normal 287_Additional Disclosures" xfId="16518" xr:uid="{00000000-0005-0000-0000-000072640000}"/>
    <cellStyle name="Normal 288" xfId="11359" xr:uid="{00000000-0005-0000-0000-000073640000}"/>
    <cellStyle name="Normal 288 2" xfId="12781" xr:uid="{00000000-0005-0000-0000-000074640000}"/>
    <cellStyle name="Normal 288 2 2" xfId="25414" xr:uid="{00000000-0005-0000-0000-000075640000}"/>
    <cellStyle name="Normal 288 3" xfId="14434" xr:uid="{00000000-0005-0000-0000-000076640000}"/>
    <cellStyle name="Normal 288 3 2" xfId="25415" xr:uid="{00000000-0005-0000-0000-000077640000}"/>
    <cellStyle name="Normal 288 4" xfId="15577" xr:uid="{00000000-0005-0000-0000-000078640000}"/>
    <cellStyle name="Normal 288 4 2" xfId="25416" xr:uid="{00000000-0005-0000-0000-000079640000}"/>
    <cellStyle name="Normal 288 5" xfId="25413" xr:uid="{00000000-0005-0000-0000-00007A640000}"/>
    <cellStyle name="Normal 288_Additional Disclosures" xfId="16519" xr:uid="{00000000-0005-0000-0000-00007B640000}"/>
    <cellStyle name="Normal 289" xfId="11360" xr:uid="{00000000-0005-0000-0000-00007C640000}"/>
    <cellStyle name="Normal 289 2" xfId="12782" xr:uid="{00000000-0005-0000-0000-00007D640000}"/>
    <cellStyle name="Normal 289 2 2" xfId="25418" xr:uid="{00000000-0005-0000-0000-00007E640000}"/>
    <cellStyle name="Normal 289 3" xfId="14435" xr:uid="{00000000-0005-0000-0000-00007F640000}"/>
    <cellStyle name="Normal 289 3 2" xfId="25419" xr:uid="{00000000-0005-0000-0000-000080640000}"/>
    <cellStyle name="Normal 289 4" xfId="15578" xr:uid="{00000000-0005-0000-0000-000081640000}"/>
    <cellStyle name="Normal 289 4 2" xfId="25420" xr:uid="{00000000-0005-0000-0000-000082640000}"/>
    <cellStyle name="Normal 289 5" xfId="25417" xr:uid="{00000000-0005-0000-0000-000083640000}"/>
    <cellStyle name="Normal 289_Additional Disclosures" xfId="16520" xr:uid="{00000000-0005-0000-0000-000084640000}"/>
    <cellStyle name="Normal 29" xfId="564" xr:uid="{00000000-0005-0000-0000-000085640000}"/>
    <cellStyle name="Normal 29 10" xfId="28934" xr:uid="{00000000-0005-0000-0000-000086640000}"/>
    <cellStyle name="Normal 29 11" xfId="32025" xr:uid="{00000000-0005-0000-0000-000087640000}"/>
    <cellStyle name="Normal 29 12" xfId="32026" xr:uid="{00000000-0005-0000-0000-000088640000}"/>
    <cellStyle name="Normal 29 13" xfId="32027" xr:uid="{00000000-0005-0000-0000-000089640000}"/>
    <cellStyle name="Normal 29 2" xfId="9498" xr:uid="{00000000-0005-0000-0000-00008A640000}"/>
    <cellStyle name="Normal 29 2 2" xfId="11162" xr:uid="{00000000-0005-0000-0000-00008B640000}"/>
    <cellStyle name="Normal 29 2 2 2" xfId="12583" xr:uid="{00000000-0005-0000-0000-00008C640000}"/>
    <cellStyle name="Normal 29 2 2 2 2" xfId="25424" xr:uid="{00000000-0005-0000-0000-00008D640000}"/>
    <cellStyle name="Normal 29 2 2 3" xfId="14196" xr:uid="{00000000-0005-0000-0000-00008E640000}"/>
    <cellStyle name="Normal 29 2 2 3 2" xfId="25425" xr:uid="{00000000-0005-0000-0000-00008F640000}"/>
    <cellStyle name="Normal 29 2 2 4" xfId="15340" xr:uid="{00000000-0005-0000-0000-000090640000}"/>
    <cellStyle name="Normal 29 2 2 4 2" xfId="25426" xr:uid="{00000000-0005-0000-0000-000091640000}"/>
    <cellStyle name="Normal 29 2 2 5" xfId="25423" xr:uid="{00000000-0005-0000-0000-000092640000}"/>
    <cellStyle name="Normal 29 2 2 6" xfId="33801" xr:uid="{00000000-0005-0000-0000-000093640000}"/>
    <cellStyle name="Normal 29 2 2_Additional Disclosures" xfId="16523" xr:uid="{00000000-0005-0000-0000-000094640000}"/>
    <cellStyle name="Normal 29 2 3" xfId="11933" xr:uid="{00000000-0005-0000-0000-000095640000}"/>
    <cellStyle name="Normal 29 2 3 2" xfId="25427" xr:uid="{00000000-0005-0000-0000-000096640000}"/>
    <cellStyle name="Normal 29 2 3 3" xfId="34029" xr:uid="{00000000-0005-0000-0000-000097640000}"/>
    <cellStyle name="Normal 29 2 4" xfId="13685" xr:uid="{00000000-0005-0000-0000-000098640000}"/>
    <cellStyle name="Normal 29 2 4 2" xfId="25428" xr:uid="{00000000-0005-0000-0000-000099640000}"/>
    <cellStyle name="Normal 29 2 4 3" xfId="34243" xr:uid="{00000000-0005-0000-0000-00009A640000}"/>
    <cellStyle name="Normal 29 2 5" xfId="14830" xr:uid="{00000000-0005-0000-0000-00009B640000}"/>
    <cellStyle name="Normal 29 2 5 2" xfId="25429" xr:uid="{00000000-0005-0000-0000-00009C640000}"/>
    <cellStyle name="Normal 29 2 6" xfId="25422" xr:uid="{00000000-0005-0000-0000-00009D640000}"/>
    <cellStyle name="Normal 29 2 7" xfId="32028" xr:uid="{00000000-0005-0000-0000-00009E640000}"/>
    <cellStyle name="Normal 29 2 8" xfId="32029" xr:uid="{00000000-0005-0000-0000-00009F640000}"/>
    <cellStyle name="Normal 29 2 9" xfId="33420" xr:uid="{00000000-0005-0000-0000-0000A0640000}"/>
    <cellStyle name="Normal 29 2_Additional Disclosures" xfId="16522" xr:uid="{00000000-0005-0000-0000-0000A1640000}"/>
    <cellStyle name="Normal 29 3" xfId="9499" xr:uid="{00000000-0005-0000-0000-0000A2640000}"/>
    <cellStyle name="Normal 29 3 2" xfId="11163" xr:uid="{00000000-0005-0000-0000-0000A3640000}"/>
    <cellStyle name="Normal 29 3 2 2" xfId="12584" xr:uid="{00000000-0005-0000-0000-0000A4640000}"/>
    <cellStyle name="Normal 29 3 2 2 2" xfId="25432" xr:uid="{00000000-0005-0000-0000-0000A5640000}"/>
    <cellStyle name="Normal 29 3 2 3" xfId="25431" xr:uid="{00000000-0005-0000-0000-0000A6640000}"/>
    <cellStyle name="Normal 29 3 3" xfId="11934" xr:uid="{00000000-0005-0000-0000-0000A7640000}"/>
    <cellStyle name="Normal 29 3 3 2" xfId="25433" xr:uid="{00000000-0005-0000-0000-0000A8640000}"/>
    <cellStyle name="Normal 29 3 4" xfId="13941" xr:uid="{00000000-0005-0000-0000-0000A9640000}"/>
    <cellStyle name="Normal 29 3 4 2" xfId="25434" xr:uid="{00000000-0005-0000-0000-0000AA640000}"/>
    <cellStyle name="Normal 29 3 5" xfId="15086" xr:uid="{00000000-0005-0000-0000-0000AB640000}"/>
    <cellStyle name="Normal 29 3 5 2" xfId="25435" xr:uid="{00000000-0005-0000-0000-0000AC640000}"/>
    <cellStyle name="Normal 29 3 6" xfId="25430" xr:uid="{00000000-0005-0000-0000-0000AD640000}"/>
    <cellStyle name="Normal 29 3 7" xfId="32030" xr:uid="{00000000-0005-0000-0000-0000AE640000}"/>
    <cellStyle name="Normal 29 3 8" xfId="32031" xr:uid="{00000000-0005-0000-0000-0000AF640000}"/>
    <cellStyle name="Normal 29 3_Additional Disclosures" xfId="16524" xr:uid="{00000000-0005-0000-0000-0000B0640000}"/>
    <cellStyle name="Normal 29 4" xfId="12890" xr:uid="{00000000-0005-0000-0000-0000B1640000}"/>
    <cellStyle name="Normal 29 4 2" xfId="25436" xr:uid="{00000000-0005-0000-0000-0000B2640000}"/>
    <cellStyle name="Normal 29 5" xfId="13430" xr:uid="{00000000-0005-0000-0000-0000B3640000}"/>
    <cellStyle name="Normal 29 5 2" xfId="25437" xr:uid="{00000000-0005-0000-0000-0000B4640000}"/>
    <cellStyle name="Normal 29 6" xfId="14574" xr:uid="{00000000-0005-0000-0000-0000B5640000}"/>
    <cellStyle name="Normal 29 6 2" xfId="25438" xr:uid="{00000000-0005-0000-0000-0000B6640000}"/>
    <cellStyle name="Normal 29 7" xfId="25421" xr:uid="{00000000-0005-0000-0000-0000B7640000}"/>
    <cellStyle name="Normal 29 8" xfId="28931" xr:uid="{00000000-0005-0000-0000-0000B8640000}"/>
    <cellStyle name="Normal 29 9" xfId="16990" xr:uid="{00000000-0005-0000-0000-0000B9640000}"/>
    <cellStyle name="Normal 29_Additional Disclosures" xfId="16521" xr:uid="{00000000-0005-0000-0000-0000BA640000}"/>
    <cellStyle name="Normal 290" xfId="11361" xr:uid="{00000000-0005-0000-0000-0000BB640000}"/>
    <cellStyle name="Normal 290 2" xfId="12783" xr:uid="{00000000-0005-0000-0000-0000BC640000}"/>
    <cellStyle name="Normal 290 2 2" xfId="25440" xr:uid="{00000000-0005-0000-0000-0000BD640000}"/>
    <cellStyle name="Normal 290 3" xfId="14436" xr:uid="{00000000-0005-0000-0000-0000BE640000}"/>
    <cellStyle name="Normal 290 3 2" xfId="25441" xr:uid="{00000000-0005-0000-0000-0000BF640000}"/>
    <cellStyle name="Normal 290 4" xfId="15579" xr:uid="{00000000-0005-0000-0000-0000C0640000}"/>
    <cellStyle name="Normal 290 4 2" xfId="25442" xr:uid="{00000000-0005-0000-0000-0000C1640000}"/>
    <cellStyle name="Normal 290 5" xfId="25439" xr:uid="{00000000-0005-0000-0000-0000C2640000}"/>
    <cellStyle name="Normal 290_Additional Disclosures" xfId="16525" xr:uid="{00000000-0005-0000-0000-0000C3640000}"/>
    <cellStyle name="Normal 291" xfId="11363" xr:uid="{00000000-0005-0000-0000-0000C4640000}"/>
    <cellStyle name="Normal 291 2" xfId="12785" xr:uid="{00000000-0005-0000-0000-0000C5640000}"/>
    <cellStyle name="Normal 291 2 2" xfId="25444" xr:uid="{00000000-0005-0000-0000-0000C6640000}"/>
    <cellStyle name="Normal 291 3" xfId="14437" xr:uid="{00000000-0005-0000-0000-0000C7640000}"/>
    <cellStyle name="Normal 291 3 2" xfId="25445" xr:uid="{00000000-0005-0000-0000-0000C8640000}"/>
    <cellStyle name="Normal 291 4" xfId="15580" xr:uid="{00000000-0005-0000-0000-0000C9640000}"/>
    <cellStyle name="Normal 291 4 2" xfId="25446" xr:uid="{00000000-0005-0000-0000-0000CA640000}"/>
    <cellStyle name="Normal 291 5" xfId="25443" xr:uid="{00000000-0005-0000-0000-0000CB640000}"/>
    <cellStyle name="Normal 291_Additional Disclosures" xfId="16526" xr:uid="{00000000-0005-0000-0000-0000CC640000}"/>
    <cellStyle name="Normal 292" xfId="11365" xr:uid="{00000000-0005-0000-0000-0000CD640000}"/>
    <cellStyle name="Normal 292 2" xfId="12787" xr:uid="{00000000-0005-0000-0000-0000CE640000}"/>
    <cellStyle name="Normal 292 2 2" xfId="25448" xr:uid="{00000000-0005-0000-0000-0000CF640000}"/>
    <cellStyle name="Normal 292 3" xfId="14438" xr:uid="{00000000-0005-0000-0000-0000D0640000}"/>
    <cellStyle name="Normal 292 3 2" xfId="25449" xr:uid="{00000000-0005-0000-0000-0000D1640000}"/>
    <cellStyle name="Normal 292 4" xfId="15581" xr:uid="{00000000-0005-0000-0000-0000D2640000}"/>
    <cellStyle name="Normal 292 4 2" xfId="25450" xr:uid="{00000000-0005-0000-0000-0000D3640000}"/>
    <cellStyle name="Normal 292 5" xfId="25447" xr:uid="{00000000-0005-0000-0000-0000D4640000}"/>
    <cellStyle name="Normal 292_Additional Disclosures" xfId="16527" xr:uid="{00000000-0005-0000-0000-0000D5640000}"/>
    <cellStyle name="Normal 293" xfId="11367" xr:uid="{00000000-0005-0000-0000-0000D6640000}"/>
    <cellStyle name="Normal 293 2" xfId="12789" xr:uid="{00000000-0005-0000-0000-0000D7640000}"/>
    <cellStyle name="Normal 293 2 2" xfId="25452" xr:uid="{00000000-0005-0000-0000-0000D8640000}"/>
    <cellStyle name="Normal 293 3" xfId="14439" xr:uid="{00000000-0005-0000-0000-0000D9640000}"/>
    <cellStyle name="Normal 293 3 2" xfId="25453" xr:uid="{00000000-0005-0000-0000-0000DA640000}"/>
    <cellStyle name="Normal 293 4" xfId="15582" xr:uid="{00000000-0005-0000-0000-0000DB640000}"/>
    <cellStyle name="Normal 293 4 2" xfId="25454" xr:uid="{00000000-0005-0000-0000-0000DC640000}"/>
    <cellStyle name="Normal 293 5" xfId="25451" xr:uid="{00000000-0005-0000-0000-0000DD640000}"/>
    <cellStyle name="Normal 293_Additional Disclosures" xfId="16528" xr:uid="{00000000-0005-0000-0000-0000DE640000}"/>
    <cellStyle name="Normal 294" xfId="11368" xr:uid="{00000000-0005-0000-0000-0000DF640000}"/>
    <cellStyle name="Normal 294 2" xfId="12790" xr:uid="{00000000-0005-0000-0000-0000E0640000}"/>
    <cellStyle name="Normal 294 2 2" xfId="25456" xr:uid="{00000000-0005-0000-0000-0000E1640000}"/>
    <cellStyle name="Normal 294 3" xfId="14440" xr:uid="{00000000-0005-0000-0000-0000E2640000}"/>
    <cellStyle name="Normal 294 3 2" xfId="25457" xr:uid="{00000000-0005-0000-0000-0000E3640000}"/>
    <cellStyle name="Normal 294 4" xfId="15583" xr:uid="{00000000-0005-0000-0000-0000E4640000}"/>
    <cellStyle name="Normal 294 4 2" xfId="25458" xr:uid="{00000000-0005-0000-0000-0000E5640000}"/>
    <cellStyle name="Normal 294 5" xfId="25455" xr:uid="{00000000-0005-0000-0000-0000E6640000}"/>
    <cellStyle name="Normal 294_Additional Disclosures" xfId="16529" xr:uid="{00000000-0005-0000-0000-0000E7640000}"/>
    <cellStyle name="Normal 295" xfId="11370" xr:uid="{00000000-0005-0000-0000-0000E8640000}"/>
    <cellStyle name="Normal 295 2" xfId="12792" xr:uid="{00000000-0005-0000-0000-0000E9640000}"/>
    <cellStyle name="Normal 295 2 2" xfId="25460" xr:uid="{00000000-0005-0000-0000-0000EA640000}"/>
    <cellStyle name="Normal 295 3" xfId="14441" xr:uid="{00000000-0005-0000-0000-0000EB640000}"/>
    <cellStyle name="Normal 295 3 2" xfId="25461" xr:uid="{00000000-0005-0000-0000-0000EC640000}"/>
    <cellStyle name="Normal 295 4" xfId="15584" xr:uid="{00000000-0005-0000-0000-0000ED640000}"/>
    <cellStyle name="Normal 295 4 2" xfId="25462" xr:uid="{00000000-0005-0000-0000-0000EE640000}"/>
    <cellStyle name="Normal 295 5" xfId="25459" xr:uid="{00000000-0005-0000-0000-0000EF640000}"/>
    <cellStyle name="Normal 295_Additional Disclosures" xfId="16530" xr:uid="{00000000-0005-0000-0000-0000F0640000}"/>
    <cellStyle name="Normal 296" xfId="11372" xr:uid="{00000000-0005-0000-0000-0000F1640000}"/>
    <cellStyle name="Normal 296 2" xfId="12794" xr:uid="{00000000-0005-0000-0000-0000F2640000}"/>
    <cellStyle name="Normal 296 2 2" xfId="25464" xr:uid="{00000000-0005-0000-0000-0000F3640000}"/>
    <cellStyle name="Normal 296 3" xfId="14442" xr:uid="{00000000-0005-0000-0000-0000F4640000}"/>
    <cellStyle name="Normal 296 3 2" xfId="25465" xr:uid="{00000000-0005-0000-0000-0000F5640000}"/>
    <cellStyle name="Normal 296 4" xfId="15585" xr:uid="{00000000-0005-0000-0000-0000F6640000}"/>
    <cellStyle name="Normal 296 4 2" xfId="25466" xr:uid="{00000000-0005-0000-0000-0000F7640000}"/>
    <cellStyle name="Normal 296 5" xfId="25463" xr:uid="{00000000-0005-0000-0000-0000F8640000}"/>
    <cellStyle name="Normal 296_Additional Disclosures" xfId="16531" xr:uid="{00000000-0005-0000-0000-0000F9640000}"/>
    <cellStyle name="Normal 297" xfId="11374" xr:uid="{00000000-0005-0000-0000-0000FA640000}"/>
    <cellStyle name="Normal 297 2" xfId="12796" xr:uid="{00000000-0005-0000-0000-0000FB640000}"/>
    <cellStyle name="Normal 297 2 2" xfId="25468" xr:uid="{00000000-0005-0000-0000-0000FC640000}"/>
    <cellStyle name="Normal 297 3" xfId="14443" xr:uid="{00000000-0005-0000-0000-0000FD640000}"/>
    <cellStyle name="Normal 297 3 2" xfId="25469" xr:uid="{00000000-0005-0000-0000-0000FE640000}"/>
    <cellStyle name="Normal 297 4" xfId="15586" xr:uid="{00000000-0005-0000-0000-0000FF640000}"/>
    <cellStyle name="Normal 297 4 2" xfId="25470" xr:uid="{00000000-0005-0000-0000-000000650000}"/>
    <cellStyle name="Normal 297 5" xfId="25467" xr:uid="{00000000-0005-0000-0000-000001650000}"/>
    <cellStyle name="Normal 297_Additional Disclosures" xfId="16532" xr:uid="{00000000-0005-0000-0000-000002650000}"/>
    <cellStyle name="Normal 298" xfId="11376" xr:uid="{00000000-0005-0000-0000-000003650000}"/>
    <cellStyle name="Normal 298 2" xfId="12798" xr:uid="{00000000-0005-0000-0000-000004650000}"/>
    <cellStyle name="Normal 298 2 2" xfId="25472" xr:uid="{00000000-0005-0000-0000-000005650000}"/>
    <cellStyle name="Normal 298 3" xfId="14444" xr:uid="{00000000-0005-0000-0000-000006650000}"/>
    <cellStyle name="Normal 298 3 2" xfId="25473" xr:uid="{00000000-0005-0000-0000-000007650000}"/>
    <cellStyle name="Normal 298 4" xfId="15587" xr:uid="{00000000-0005-0000-0000-000008650000}"/>
    <cellStyle name="Normal 298 4 2" xfId="25474" xr:uid="{00000000-0005-0000-0000-000009650000}"/>
    <cellStyle name="Normal 298 5" xfId="25471" xr:uid="{00000000-0005-0000-0000-00000A650000}"/>
    <cellStyle name="Normal 298_Additional Disclosures" xfId="16533" xr:uid="{00000000-0005-0000-0000-00000B650000}"/>
    <cellStyle name="Normal 299" xfId="11378" xr:uid="{00000000-0005-0000-0000-00000C650000}"/>
    <cellStyle name="Normal 299 2" xfId="12800" xr:uid="{00000000-0005-0000-0000-00000D650000}"/>
    <cellStyle name="Normal 299 2 2" xfId="25476" xr:uid="{00000000-0005-0000-0000-00000E650000}"/>
    <cellStyle name="Normal 299 3" xfId="14445" xr:uid="{00000000-0005-0000-0000-00000F650000}"/>
    <cellStyle name="Normal 299 3 2" xfId="25477" xr:uid="{00000000-0005-0000-0000-000010650000}"/>
    <cellStyle name="Normal 299 4" xfId="15588" xr:uid="{00000000-0005-0000-0000-000011650000}"/>
    <cellStyle name="Normal 299 4 2" xfId="25478" xr:uid="{00000000-0005-0000-0000-000012650000}"/>
    <cellStyle name="Normal 299 5" xfId="25475" xr:uid="{00000000-0005-0000-0000-000013650000}"/>
    <cellStyle name="Normal 299_Additional Disclosures" xfId="16534" xr:uid="{00000000-0005-0000-0000-000014650000}"/>
    <cellStyle name="Normal 3" xfId="179" xr:uid="{00000000-0005-0000-0000-000015650000}"/>
    <cellStyle name="Normal 3 10" xfId="12891" xr:uid="{00000000-0005-0000-0000-000016650000}"/>
    <cellStyle name="Normal 3 10 2" xfId="25480" xr:uid="{00000000-0005-0000-0000-000017650000}"/>
    <cellStyle name="Normal 3 10 3" xfId="32032" xr:uid="{00000000-0005-0000-0000-000018650000}"/>
    <cellStyle name="Normal 3 11" xfId="13342" xr:uid="{00000000-0005-0000-0000-000019650000}"/>
    <cellStyle name="Normal 3 11 2" xfId="25481" xr:uid="{00000000-0005-0000-0000-00001A650000}"/>
    <cellStyle name="Normal 3 12" xfId="14485" xr:uid="{00000000-0005-0000-0000-00001B650000}"/>
    <cellStyle name="Normal 3 12 2" xfId="25482" xr:uid="{00000000-0005-0000-0000-00001C650000}"/>
    <cellStyle name="Normal 3 13" xfId="25479" xr:uid="{00000000-0005-0000-0000-00001D650000}"/>
    <cellStyle name="Normal 3 14" xfId="32033" xr:uid="{00000000-0005-0000-0000-00001E650000}"/>
    <cellStyle name="Normal 3 15" xfId="32034" xr:uid="{00000000-0005-0000-0000-00001F650000}"/>
    <cellStyle name="Normal 3 16" xfId="32035" xr:uid="{00000000-0005-0000-0000-000020650000}"/>
    <cellStyle name="Normal 3 17" xfId="32036" xr:uid="{00000000-0005-0000-0000-000021650000}"/>
    <cellStyle name="Normal 3 18" xfId="32037" xr:uid="{00000000-0005-0000-0000-000022650000}"/>
    <cellStyle name="Normal 3 19" xfId="32038" xr:uid="{00000000-0005-0000-0000-000023650000}"/>
    <cellStyle name="Normal 3 2" xfId="477" xr:uid="{00000000-0005-0000-0000-000024650000}"/>
    <cellStyle name="Normal 3 2 10" xfId="17002" xr:uid="{00000000-0005-0000-0000-000025650000}"/>
    <cellStyle name="Normal 3 2 11" xfId="32039" xr:uid="{00000000-0005-0000-0000-000026650000}"/>
    <cellStyle name="Normal 3 2 12" xfId="32040" xr:uid="{00000000-0005-0000-0000-000027650000}"/>
    <cellStyle name="Normal 3 2 13" xfId="32041" xr:uid="{00000000-0005-0000-0000-000028650000}"/>
    <cellStyle name="Normal 3 2 14" xfId="32042" xr:uid="{00000000-0005-0000-0000-000029650000}"/>
    <cellStyle name="Normal 3 2 15" xfId="32043" xr:uid="{00000000-0005-0000-0000-00002A650000}"/>
    <cellStyle name="Normal 3 2 16" xfId="9500" xr:uid="{00000000-0005-0000-0000-00002B650000}"/>
    <cellStyle name="Normal 3 2 2" xfId="9501" xr:uid="{00000000-0005-0000-0000-00002C650000}"/>
    <cellStyle name="Normal 3 2 2 10" xfId="32044" xr:uid="{00000000-0005-0000-0000-00002D650000}"/>
    <cellStyle name="Normal 3 2 2 11" xfId="32045" xr:uid="{00000000-0005-0000-0000-00002E650000}"/>
    <cellStyle name="Normal 3 2 2 2" xfId="11164" xr:uid="{00000000-0005-0000-0000-00002F650000}"/>
    <cellStyle name="Normal 3 2 2 2 2" xfId="12585" xr:uid="{00000000-0005-0000-0000-000030650000}"/>
    <cellStyle name="Normal 3 2 2 2 2 2" xfId="25486" xr:uid="{00000000-0005-0000-0000-000031650000}"/>
    <cellStyle name="Normal 3 2 2 2 3" xfId="14148" xr:uid="{00000000-0005-0000-0000-000032650000}"/>
    <cellStyle name="Normal 3 2 2 2 3 2" xfId="25487" xr:uid="{00000000-0005-0000-0000-000033650000}"/>
    <cellStyle name="Normal 3 2 2 2 4" xfId="15292" xr:uid="{00000000-0005-0000-0000-000034650000}"/>
    <cellStyle name="Normal 3 2 2 2 4 2" xfId="25488" xr:uid="{00000000-0005-0000-0000-000035650000}"/>
    <cellStyle name="Normal 3 2 2 2 5" xfId="25485" xr:uid="{00000000-0005-0000-0000-000036650000}"/>
    <cellStyle name="Normal 3 2 2 2_Additional Disclosures" xfId="16538" xr:uid="{00000000-0005-0000-0000-000037650000}"/>
    <cellStyle name="Normal 3 2 2 3" xfId="11935" xr:uid="{00000000-0005-0000-0000-000038650000}"/>
    <cellStyle name="Normal 3 2 2 3 2" xfId="25489" xr:uid="{00000000-0005-0000-0000-000039650000}"/>
    <cellStyle name="Normal 3 2 2 4" xfId="13637" xr:uid="{00000000-0005-0000-0000-00003A650000}"/>
    <cellStyle name="Normal 3 2 2 4 2" xfId="25490" xr:uid="{00000000-0005-0000-0000-00003B650000}"/>
    <cellStyle name="Normal 3 2 2 5" xfId="14782" xr:uid="{00000000-0005-0000-0000-00003C650000}"/>
    <cellStyle name="Normal 3 2 2 5 2" xfId="25491" xr:uid="{00000000-0005-0000-0000-00003D650000}"/>
    <cellStyle name="Normal 3 2 2 6" xfId="25484" xr:uid="{00000000-0005-0000-0000-00003E650000}"/>
    <cellStyle name="Normal 3 2 2 7" xfId="32046" xr:uid="{00000000-0005-0000-0000-00003F650000}"/>
    <cellStyle name="Normal 3 2 2 8" xfId="32047" xr:uid="{00000000-0005-0000-0000-000040650000}"/>
    <cellStyle name="Normal 3 2 2 9" xfId="32048" xr:uid="{00000000-0005-0000-0000-000041650000}"/>
    <cellStyle name="Normal 3 2 2_Additional Disclosures" xfId="16537" xr:uid="{00000000-0005-0000-0000-000042650000}"/>
    <cellStyle name="Normal 3 2 3" xfId="9502" xr:uid="{00000000-0005-0000-0000-000043650000}"/>
    <cellStyle name="Normal 3 2 3 2" xfId="11165" xr:uid="{00000000-0005-0000-0000-000044650000}"/>
    <cellStyle name="Normal 3 2 3 2 2" xfId="12586" xr:uid="{00000000-0005-0000-0000-000045650000}"/>
    <cellStyle name="Normal 3 2 3 2 2 2" xfId="25494" xr:uid="{00000000-0005-0000-0000-000046650000}"/>
    <cellStyle name="Normal 3 2 3 2 3" xfId="25493" xr:uid="{00000000-0005-0000-0000-000047650000}"/>
    <cellStyle name="Normal 3 2 3 3" xfId="11936" xr:uid="{00000000-0005-0000-0000-000048650000}"/>
    <cellStyle name="Normal 3 2 3 3 2" xfId="25495" xr:uid="{00000000-0005-0000-0000-000049650000}"/>
    <cellStyle name="Normal 3 2 3 4" xfId="13893" xr:uid="{00000000-0005-0000-0000-00004A650000}"/>
    <cellStyle name="Normal 3 2 3 4 2" xfId="25496" xr:uid="{00000000-0005-0000-0000-00004B650000}"/>
    <cellStyle name="Normal 3 2 3 5" xfId="15038" xr:uid="{00000000-0005-0000-0000-00004C650000}"/>
    <cellStyle name="Normal 3 2 3 5 2" xfId="25497" xr:uid="{00000000-0005-0000-0000-00004D650000}"/>
    <cellStyle name="Normal 3 2 3 6" xfId="25492" xr:uid="{00000000-0005-0000-0000-00004E650000}"/>
    <cellStyle name="Normal 3 2 3_Additional Disclosures" xfId="16539" xr:uid="{00000000-0005-0000-0000-00004F650000}"/>
    <cellStyle name="Normal 3 2 4" xfId="13382" xr:uid="{00000000-0005-0000-0000-000050650000}"/>
    <cellStyle name="Normal 3 2 4 2" xfId="25498" xr:uid="{00000000-0005-0000-0000-000051650000}"/>
    <cellStyle name="Normal 3 2 5" xfId="14526" xr:uid="{00000000-0005-0000-0000-000052650000}"/>
    <cellStyle name="Normal 3 2 5 2" xfId="25499" xr:uid="{00000000-0005-0000-0000-000053650000}"/>
    <cellStyle name="Normal 3 2 6" xfId="25483" xr:uid="{00000000-0005-0000-0000-000054650000}"/>
    <cellStyle name="Normal 3 2 7" xfId="28933" xr:uid="{00000000-0005-0000-0000-000055650000}"/>
    <cellStyle name="Normal 3 2 8" xfId="17000" xr:uid="{00000000-0005-0000-0000-000056650000}"/>
    <cellStyle name="Normal 3 2 9" xfId="28936" xr:uid="{00000000-0005-0000-0000-000057650000}"/>
    <cellStyle name="Normal 3 2_Additional Disclosures" xfId="16536" xr:uid="{00000000-0005-0000-0000-000058650000}"/>
    <cellStyle name="Normal 3 20" xfId="32049" xr:uid="{00000000-0005-0000-0000-000059650000}"/>
    <cellStyle name="Normal 3 21" xfId="565" xr:uid="{00000000-0005-0000-0000-00005A650000}"/>
    <cellStyle name="Normal 3 3" xfId="9503" xr:uid="{00000000-0005-0000-0000-00005B650000}"/>
    <cellStyle name="Normal 3 3 10" xfId="32050" xr:uid="{00000000-0005-0000-0000-00005C650000}"/>
    <cellStyle name="Normal 3 3 11" xfId="32051" xr:uid="{00000000-0005-0000-0000-00005D650000}"/>
    <cellStyle name="Normal 3 3 2" xfId="11166" xr:uid="{00000000-0005-0000-0000-00005E650000}"/>
    <cellStyle name="Normal 3 3 2 2" xfId="12587" xr:uid="{00000000-0005-0000-0000-00005F650000}"/>
    <cellStyle name="Normal 3 3 2 2 2" xfId="25502" xr:uid="{00000000-0005-0000-0000-000060650000}"/>
    <cellStyle name="Normal 3 3 2 3" xfId="14108" xr:uid="{00000000-0005-0000-0000-000061650000}"/>
    <cellStyle name="Normal 3 3 2 3 2" xfId="25503" xr:uid="{00000000-0005-0000-0000-000062650000}"/>
    <cellStyle name="Normal 3 3 2 4" xfId="15252" xr:uid="{00000000-0005-0000-0000-000063650000}"/>
    <cellStyle name="Normal 3 3 2 4 2" xfId="25504" xr:uid="{00000000-0005-0000-0000-000064650000}"/>
    <cellStyle name="Normal 3 3 2 5" xfId="25501" xr:uid="{00000000-0005-0000-0000-000065650000}"/>
    <cellStyle name="Normal 3 3 2 6" xfId="32052" xr:uid="{00000000-0005-0000-0000-000066650000}"/>
    <cellStyle name="Normal 3 3 2_Additional Disclosures" xfId="16541" xr:uid="{00000000-0005-0000-0000-000067650000}"/>
    <cellStyle name="Normal 3 3 3" xfId="11937" xr:uid="{00000000-0005-0000-0000-000068650000}"/>
    <cellStyle name="Normal 3 3 3 2" xfId="25505" xr:uid="{00000000-0005-0000-0000-000069650000}"/>
    <cellStyle name="Normal 3 3 4" xfId="13597" xr:uid="{00000000-0005-0000-0000-00006A650000}"/>
    <cellStyle name="Normal 3 3 4 2" xfId="25506" xr:uid="{00000000-0005-0000-0000-00006B650000}"/>
    <cellStyle name="Normal 3 3 5" xfId="14742" xr:uid="{00000000-0005-0000-0000-00006C650000}"/>
    <cellStyle name="Normal 3 3 5 2" xfId="25507" xr:uid="{00000000-0005-0000-0000-00006D650000}"/>
    <cellStyle name="Normal 3 3 6" xfId="25500" xr:uid="{00000000-0005-0000-0000-00006E650000}"/>
    <cellStyle name="Normal 3 3 7" xfId="32053" xr:uid="{00000000-0005-0000-0000-00006F650000}"/>
    <cellStyle name="Normal 3 3 8" xfId="32054" xr:uid="{00000000-0005-0000-0000-000070650000}"/>
    <cellStyle name="Normal 3 3 9" xfId="32055" xr:uid="{00000000-0005-0000-0000-000071650000}"/>
    <cellStyle name="Normal 3 3_Additional Disclosures" xfId="16540" xr:uid="{00000000-0005-0000-0000-000072650000}"/>
    <cellStyle name="Normal 3 4" xfId="9504" xr:uid="{00000000-0005-0000-0000-000073650000}"/>
    <cellStyle name="Normal 3 4 2" xfId="11167" xr:uid="{00000000-0005-0000-0000-000074650000}"/>
    <cellStyle name="Normal 3 4 2 2" xfId="12588" xr:uid="{00000000-0005-0000-0000-000075650000}"/>
    <cellStyle name="Normal 3 4 2 2 2" xfId="25510" xr:uid="{00000000-0005-0000-0000-000076650000}"/>
    <cellStyle name="Normal 3 4 2 3" xfId="25509" xr:uid="{00000000-0005-0000-0000-000077650000}"/>
    <cellStyle name="Normal 3 4 2 4" xfId="32056" xr:uid="{00000000-0005-0000-0000-000078650000}"/>
    <cellStyle name="Normal 3 4 3" xfId="11938" xr:uid="{00000000-0005-0000-0000-000079650000}"/>
    <cellStyle name="Normal 3 4 3 2" xfId="25511" xr:uid="{00000000-0005-0000-0000-00007A650000}"/>
    <cellStyle name="Normal 3 4 4" xfId="13853" xr:uid="{00000000-0005-0000-0000-00007B650000}"/>
    <cellStyle name="Normal 3 4 4 2" xfId="25512" xr:uid="{00000000-0005-0000-0000-00007C650000}"/>
    <cellStyle name="Normal 3 4 5" xfId="14998" xr:uid="{00000000-0005-0000-0000-00007D650000}"/>
    <cellStyle name="Normal 3 4 5 2" xfId="25513" xr:uid="{00000000-0005-0000-0000-00007E650000}"/>
    <cellStyle name="Normal 3 4 6" xfId="25508" xr:uid="{00000000-0005-0000-0000-00007F650000}"/>
    <cellStyle name="Normal 3 4 7" xfId="32057" xr:uid="{00000000-0005-0000-0000-000080650000}"/>
    <cellStyle name="Normal 3 4 8" xfId="32058" xr:uid="{00000000-0005-0000-0000-000081650000}"/>
    <cellStyle name="Normal 3 4_Additional Disclosures" xfId="16542" xr:uid="{00000000-0005-0000-0000-000082650000}"/>
    <cellStyle name="Normal 3 5" xfId="11470" xr:uid="{00000000-0005-0000-0000-000083650000}"/>
    <cellStyle name="Normal 3 5 2" xfId="25514" xr:uid="{00000000-0005-0000-0000-000084650000}"/>
    <cellStyle name="Normal 3 5 2 2" xfId="32059" xr:uid="{00000000-0005-0000-0000-000085650000}"/>
    <cellStyle name="Normal 3 6" xfId="12855" xr:uid="{00000000-0005-0000-0000-000086650000}"/>
    <cellStyle name="Normal 3 6 2" xfId="25515" xr:uid="{00000000-0005-0000-0000-000087650000}"/>
    <cellStyle name="Normal 3 6 2 2" xfId="33762" xr:uid="{00000000-0005-0000-0000-000088650000}"/>
    <cellStyle name="Normal 3 6 3" xfId="32060" xr:uid="{00000000-0005-0000-0000-000089650000}"/>
    <cellStyle name="Normal 3 6 3 2" xfId="33990" xr:uid="{00000000-0005-0000-0000-00008A650000}"/>
    <cellStyle name="Normal 3 6 4" xfId="32061" xr:uid="{00000000-0005-0000-0000-00008B650000}"/>
    <cellStyle name="Normal 3 6 4 2" xfId="32062" xr:uid="{00000000-0005-0000-0000-00008C650000}"/>
    <cellStyle name="Normal 3 6 4 3" xfId="34204" xr:uid="{00000000-0005-0000-0000-00008D650000}"/>
    <cellStyle name="Normal 3 6 5" xfId="32063" xr:uid="{00000000-0005-0000-0000-00008E650000}"/>
    <cellStyle name="Normal 3 6 6" xfId="32064" xr:uid="{00000000-0005-0000-0000-00008F650000}"/>
    <cellStyle name="Normal 3 6 7" xfId="33381" xr:uid="{00000000-0005-0000-0000-000090650000}"/>
    <cellStyle name="Normal 3 7" xfId="12856" xr:uid="{00000000-0005-0000-0000-000091650000}"/>
    <cellStyle name="Normal 3 7 2" xfId="25516" xr:uid="{00000000-0005-0000-0000-000092650000}"/>
    <cellStyle name="Normal 3 7 3" xfId="32065" xr:uid="{00000000-0005-0000-0000-000093650000}"/>
    <cellStyle name="Normal 3 8" xfId="12857" xr:uid="{00000000-0005-0000-0000-000094650000}"/>
    <cellStyle name="Normal 3 8 2" xfId="25517" xr:uid="{00000000-0005-0000-0000-000095650000}"/>
    <cellStyle name="Normal 3 8 3" xfId="32066" xr:uid="{00000000-0005-0000-0000-000096650000}"/>
    <cellStyle name="Normal 3 8 3 2" xfId="32067" xr:uid="{00000000-0005-0000-0000-000097650000}"/>
    <cellStyle name="Normal 3 9" xfId="12892" xr:uid="{00000000-0005-0000-0000-000098650000}"/>
    <cellStyle name="Normal 3 9 2" xfId="25518" xr:uid="{00000000-0005-0000-0000-000099650000}"/>
    <cellStyle name="Normal 3 9 3" xfId="32068" xr:uid="{00000000-0005-0000-0000-00009A650000}"/>
    <cellStyle name="Normal 3_Additional Disclosures" xfId="16535" xr:uid="{00000000-0005-0000-0000-00009B650000}"/>
    <cellStyle name="Normal 30" xfId="566" xr:uid="{00000000-0005-0000-0000-00009C650000}"/>
    <cellStyle name="Normal 30 10" xfId="17005" xr:uid="{00000000-0005-0000-0000-00009D650000}"/>
    <cellStyle name="Normal 30 11" xfId="32069" xr:uid="{00000000-0005-0000-0000-00009E650000}"/>
    <cellStyle name="Normal 30 12" xfId="32070" xr:uid="{00000000-0005-0000-0000-00009F650000}"/>
    <cellStyle name="Normal 30 13" xfId="32071" xr:uid="{00000000-0005-0000-0000-0000A0650000}"/>
    <cellStyle name="Normal 30 14" xfId="32072" xr:uid="{00000000-0005-0000-0000-0000A1650000}"/>
    <cellStyle name="Normal 30 15" xfId="32073" xr:uid="{00000000-0005-0000-0000-0000A2650000}"/>
    <cellStyle name="Normal 30 16" xfId="32074" xr:uid="{00000000-0005-0000-0000-0000A3650000}"/>
    <cellStyle name="Normal 30 2" xfId="9505" xr:uid="{00000000-0005-0000-0000-0000A4650000}"/>
    <cellStyle name="Normal 30 2 10" xfId="32075" xr:uid="{00000000-0005-0000-0000-0000A5650000}"/>
    <cellStyle name="Normal 30 2 11" xfId="32076" xr:uid="{00000000-0005-0000-0000-0000A6650000}"/>
    <cellStyle name="Normal 30 2 12" xfId="32077" xr:uid="{00000000-0005-0000-0000-0000A7650000}"/>
    <cellStyle name="Normal 30 2 13" xfId="32078" xr:uid="{00000000-0005-0000-0000-0000A8650000}"/>
    <cellStyle name="Normal 30 2 14" xfId="32079" xr:uid="{00000000-0005-0000-0000-0000A9650000}"/>
    <cellStyle name="Normal 30 2 15" xfId="32080" xr:uid="{00000000-0005-0000-0000-0000AA650000}"/>
    <cellStyle name="Normal 30 2 16" xfId="33421" xr:uid="{00000000-0005-0000-0000-0000AB650000}"/>
    <cellStyle name="Normal 30 2 2" xfId="11168" xr:uid="{00000000-0005-0000-0000-0000AC650000}"/>
    <cellStyle name="Normal 30 2 2 2" xfId="12589" xr:uid="{00000000-0005-0000-0000-0000AD650000}"/>
    <cellStyle name="Normal 30 2 2 2 2" xfId="25522" xr:uid="{00000000-0005-0000-0000-0000AE650000}"/>
    <cellStyle name="Normal 30 2 2 3" xfId="14197" xr:uid="{00000000-0005-0000-0000-0000AF650000}"/>
    <cellStyle name="Normal 30 2 2 3 2" xfId="25523" xr:uid="{00000000-0005-0000-0000-0000B0650000}"/>
    <cellStyle name="Normal 30 2 2 4" xfId="15341" xr:uid="{00000000-0005-0000-0000-0000B1650000}"/>
    <cellStyle name="Normal 30 2 2 4 2" xfId="25524" xr:uid="{00000000-0005-0000-0000-0000B2650000}"/>
    <cellStyle name="Normal 30 2 2 5" xfId="25521" xr:uid="{00000000-0005-0000-0000-0000B3650000}"/>
    <cellStyle name="Normal 30 2 2 6" xfId="33802" xr:uid="{00000000-0005-0000-0000-0000B4650000}"/>
    <cellStyle name="Normal 30 2 2_Additional Disclosures" xfId="16545" xr:uid="{00000000-0005-0000-0000-0000B5650000}"/>
    <cellStyle name="Normal 30 2 3" xfId="11939" xr:uid="{00000000-0005-0000-0000-0000B6650000}"/>
    <cellStyle name="Normal 30 2 3 2" xfId="25525" xr:uid="{00000000-0005-0000-0000-0000B7650000}"/>
    <cellStyle name="Normal 30 2 3 3" xfId="34030" xr:uid="{00000000-0005-0000-0000-0000B8650000}"/>
    <cellStyle name="Normal 30 2 4" xfId="13686" xr:uid="{00000000-0005-0000-0000-0000B9650000}"/>
    <cellStyle name="Normal 30 2 4 2" xfId="25526" xr:uid="{00000000-0005-0000-0000-0000BA650000}"/>
    <cellStyle name="Normal 30 2 4 3" xfId="34244" xr:uid="{00000000-0005-0000-0000-0000BB650000}"/>
    <cellStyle name="Normal 30 2 5" xfId="14831" xr:uid="{00000000-0005-0000-0000-0000BC650000}"/>
    <cellStyle name="Normal 30 2 5 2" xfId="25527" xr:uid="{00000000-0005-0000-0000-0000BD650000}"/>
    <cellStyle name="Normal 30 2 6" xfId="25520" xr:uid="{00000000-0005-0000-0000-0000BE650000}"/>
    <cellStyle name="Normal 30 2 7" xfId="32081" xr:uid="{00000000-0005-0000-0000-0000BF650000}"/>
    <cellStyle name="Normal 30 2 8" xfId="32082" xr:uid="{00000000-0005-0000-0000-0000C0650000}"/>
    <cellStyle name="Normal 30 2 9" xfId="32083" xr:uid="{00000000-0005-0000-0000-0000C1650000}"/>
    <cellStyle name="Normal 30 2_Additional Disclosures" xfId="16544" xr:uid="{00000000-0005-0000-0000-0000C2650000}"/>
    <cellStyle name="Normal 30 3" xfId="9506" xr:uid="{00000000-0005-0000-0000-0000C3650000}"/>
    <cellStyle name="Normal 30 3 10" xfId="32084" xr:uid="{00000000-0005-0000-0000-0000C4650000}"/>
    <cellStyle name="Normal 30 3 11" xfId="32085" xr:uid="{00000000-0005-0000-0000-0000C5650000}"/>
    <cellStyle name="Normal 30 3 2" xfId="11169" xr:uid="{00000000-0005-0000-0000-0000C6650000}"/>
    <cellStyle name="Normal 30 3 2 2" xfId="12590" xr:uid="{00000000-0005-0000-0000-0000C7650000}"/>
    <cellStyle name="Normal 30 3 2 2 2" xfId="25530" xr:uid="{00000000-0005-0000-0000-0000C8650000}"/>
    <cellStyle name="Normal 30 3 2 3" xfId="25529" xr:uid="{00000000-0005-0000-0000-0000C9650000}"/>
    <cellStyle name="Normal 30 3 3" xfId="11940" xr:uid="{00000000-0005-0000-0000-0000CA650000}"/>
    <cellStyle name="Normal 30 3 3 2" xfId="25531" xr:uid="{00000000-0005-0000-0000-0000CB650000}"/>
    <cellStyle name="Normal 30 3 4" xfId="13942" xr:uid="{00000000-0005-0000-0000-0000CC650000}"/>
    <cellStyle name="Normal 30 3 4 2" xfId="25532" xr:uid="{00000000-0005-0000-0000-0000CD650000}"/>
    <cellStyle name="Normal 30 3 5" xfId="15087" xr:uid="{00000000-0005-0000-0000-0000CE650000}"/>
    <cellStyle name="Normal 30 3 5 2" xfId="25533" xr:uid="{00000000-0005-0000-0000-0000CF650000}"/>
    <cellStyle name="Normal 30 3 6" xfId="25528" xr:uid="{00000000-0005-0000-0000-0000D0650000}"/>
    <cellStyle name="Normal 30 3 7" xfId="32086" xr:uid="{00000000-0005-0000-0000-0000D1650000}"/>
    <cellStyle name="Normal 30 3 8" xfId="32087" xr:uid="{00000000-0005-0000-0000-0000D2650000}"/>
    <cellStyle name="Normal 30 3 9" xfId="32088" xr:uid="{00000000-0005-0000-0000-0000D3650000}"/>
    <cellStyle name="Normal 30 3_Additional Disclosures" xfId="16546" xr:uid="{00000000-0005-0000-0000-0000D4650000}"/>
    <cellStyle name="Normal 30 4" xfId="13431" xr:uid="{00000000-0005-0000-0000-0000D5650000}"/>
    <cellStyle name="Normal 30 4 2" xfId="25534" xr:uid="{00000000-0005-0000-0000-0000D6650000}"/>
    <cellStyle name="Normal 30 5" xfId="14575" xr:uid="{00000000-0005-0000-0000-0000D7650000}"/>
    <cellStyle name="Normal 30 5 2" xfId="25535" xr:uid="{00000000-0005-0000-0000-0000D8650000}"/>
    <cellStyle name="Normal 30 6" xfId="25519" xr:uid="{00000000-0005-0000-0000-0000D9650000}"/>
    <cellStyle name="Normal 30 7" xfId="28935" xr:uid="{00000000-0005-0000-0000-0000DA650000}"/>
    <cellStyle name="Normal 30 8" xfId="17001" xr:uid="{00000000-0005-0000-0000-0000DB650000}"/>
    <cellStyle name="Normal 30 9" xfId="28938" xr:uid="{00000000-0005-0000-0000-0000DC650000}"/>
    <cellStyle name="Normal 30_Additional Disclosures" xfId="16543" xr:uid="{00000000-0005-0000-0000-0000DD650000}"/>
    <cellStyle name="Normal 300" xfId="11380" xr:uid="{00000000-0005-0000-0000-0000DE650000}"/>
    <cellStyle name="Normal 300 2" xfId="12802" xr:uid="{00000000-0005-0000-0000-0000DF650000}"/>
    <cellStyle name="Normal 300 2 2" xfId="25537" xr:uid="{00000000-0005-0000-0000-0000E0650000}"/>
    <cellStyle name="Normal 300 3" xfId="14446" xr:uid="{00000000-0005-0000-0000-0000E1650000}"/>
    <cellStyle name="Normal 300 3 2" xfId="25538" xr:uid="{00000000-0005-0000-0000-0000E2650000}"/>
    <cellStyle name="Normal 300 4" xfId="15589" xr:uid="{00000000-0005-0000-0000-0000E3650000}"/>
    <cellStyle name="Normal 300 4 2" xfId="25539" xr:uid="{00000000-0005-0000-0000-0000E4650000}"/>
    <cellStyle name="Normal 300 5" xfId="25536" xr:uid="{00000000-0005-0000-0000-0000E5650000}"/>
    <cellStyle name="Normal 300_Additional Disclosures" xfId="16547" xr:uid="{00000000-0005-0000-0000-0000E6650000}"/>
    <cellStyle name="Normal 301" xfId="11382" xr:uid="{00000000-0005-0000-0000-0000E7650000}"/>
    <cellStyle name="Normal 301 2" xfId="12804" xr:uid="{00000000-0005-0000-0000-0000E8650000}"/>
    <cellStyle name="Normal 301 2 2" xfId="25541" xr:uid="{00000000-0005-0000-0000-0000E9650000}"/>
    <cellStyle name="Normal 301 3" xfId="14447" xr:uid="{00000000-0005-0000-0000-0000EA650000}"/>
    <cellStyle name="Normal 301 3 2" xfId="25542" xr:uid="{00000000-0005-0000-0000-0000EB650000}"/>
    <cellStyle name="Normal 301 4" xfId="15590" xr:uid="{00000000-0005-0000-0000-0000EC650000}"/>
    <cellStyle name="Normal 301 4 2" xfId="25543" xr:uid="{00000000-0005-0000-0000-0000ED650000}"/>
    <cellStyle name="Normal 301 5" xfId="25540" xr:uid="{00000000-0005-0000-0000-0000EE650000}"/>
    <cellStyle name="Normal 301_Additional Disclosures" xfId="16548" xr:uid="{00000000-0005-0000-0000-0000EF650000}"/>
    <cellStyle name="Normal 302" xfId="11384" xr:uid="{00000000-0005-0000-0000-0000F0650000}"/>
    <cellStyle name="Normal 302 2" xfId="12806" xr:uid="{00000000-0005-0000-0000-0000F1650000}"/>
    <cellStyle name="Normal 302 2 2" xfId="25545" xr:uid="{00000000-0005-0000-0000-0000F2650000}"/>
    <cellStyle name="Normal 302 3" xfId="14448" xr:uid="{00000000-0005-0000-0000-0000F3650000}"/>
    <cellStyle name="Normal 302 3 2" xfId="25546" xr:uid="{00000000-0005-0000-0000-0000F4650000}"/>
    <cellStyle name="Normal 302 4" xfId="15591" xr:uid="{00000000-0005-0000-0000-0000F5650000}"/>
    <cellStyle name="Normal 302 4 2" xfId="25547" xr:uid="{00000000-0005-0000-0000-0000F6650000}"/>
    <cellStyle name="Normal 302 5" xfId="25544" xr:uid="{00000000-0005-0000-0000-0000F7650000}"/>
    <cellStyle name="Normal 302_Additional Disclosures" xfId="16549" xr:uid="{00000000-0005-0000-0000-0000F8650000}"/>
    <cellStyle name="Normal 303" xfId="11386" xr:uid="{00000000-0005-0000-0000-0000F9650000}"/>
    <cellStyle name="Normal 303 2" xfId="12808" xr:uid="{00000000-0005-0000-0000-0000FA650000}"/>
    <cellStyle name="Normal 303 2 2" xfId="25549" xr:uid="{00000000-0005-0000-0000-0000FB650000}"/>
    <cellStyle name="Normal 303 3" xfId="14449" xr:uid="{00000000-0005-0000-0000-0000FC650000}"/>
    <cellStyle name="Normal 303 3 2" xfId="25550" xr:uid="{00000000-0005-0000-0000-0000FD650000}"/>
    <cellStyle name="Normal 303 4" xfId="15592" xr:uid="{00000000-0005-0000-0000-0000FE650000}"/>
    <cellStyle name="Normal 303 4 2" xfId="25551" xr:uid="{00000000-0005-0000-0000-0000FF650000}"/>
    <cellStyle name="Normal 303 5" xfId="25548" xr:uid="{00000000-0005-0000-0000-000000660000}"/>
    <cellStyle name="Normal 303_Additional Disclosures" xfId="16550" xr:uid="{00000000-0005-0000-0000-000001660000}"/>
    <cellStyle name="Normal 304" xfId="9507" xr:uid="{00000000-0005-0000-0000-000002660000}"/>
    <cellStyle name="Normal 304 2" xfId="14450" xr:uid="{00000000-0005-0000-0000-000003660000}"/>
    <cellStyle name="Normal 304 2 2" xfId="25553" xr:uid="{00000000-0005-0000-0000-000004660000}"/>
    <cellStyle name="Normal 304 3" xfId="15593" xr:uid="{00000000-0005-0000-0000-000005660000}"/>
    <cellStyle name="Normal 304 3 2" xfId="25554" xr:uid="{00000000-0005-0000-0000-000006660000}"/>
    <cellStyle name="Normal 304 4" xfId="25552" xr:uid="{00000000-0005-0000-0000-000007660000}"/>
    <cellStyle name="Normal 304_Additional Disclosures" xfId="16551" xr:uid="{00000000-0005-0000-0000-000008660000}"/>
    <cellStyle name="Normal 305" xfId="11388" xr:uid="{00000000-0005-0000-0000-000009660000}"/>
    <cellStyle name="Normal 305 2" xfId="12810" xr:uid="{00000000-0005-0000-0000-00000A660000}"/>
    <cellStyle name="Normal 305 2 2" xfId="25556" xr:uid="{00000000-0005-0000-0000-00000B660000}"/>
    <cellStyle name="Normal 305 3" xfId="14451" xr:uid="{00000000-0005-0000-0000-00000C660000}"/>
    <cellStyle name="Normal 305 3 2" xfId="25557" xr:uid="{00000000-0005-0000-0000-00000D660000}"/>
    <cellStyle name="Normal 305 4" xfId="15594" xr:uid="{00000000-0005-0000-0000-00000E660000}"/>
    <cellStyle name="Normal 305 4 2" xfId="25558" xr:uid="{00000000-0005-0000-0000-00000F660000}"/>
    <cellStyle name="Normal 305 5" xfId="25555" xr:uid="{00000000-0005-0000-0000-000010660000}"/>
    <cellStyle name="Normal 305_Additional Disclosures" xfId="16552" xr:uid="{00000000-0005-0000-0000-000011660000}"/>
    <cellStyle name="Normal 306" xfId="11390" xr:uid="{00000000-0005-0000-0000-000012660000}"/>
    <cellStyle name="Normal 306 2" xfId="12812" xr:uid="{00000000-0005-0000-0000-000013660000}"/>
    <cellStyle name="Normal 306 2 2" xfId="25560" xr:uid="{00000000-0005-0000-0000-000014660000}"/>
    <cellStyle name="Normal 306 3" xfId="14452" xr:uid="{00000000-0005-0000-0000-000015660000}"/>
    <cellStyle name="Normal 306 3 2" xfId="25561" xr:uid="{00000000-0005-0000-0000-000016660000}"/>
    <cellStyle name="Normal 306 4" xfId="15595" xr:uid="{00000000-0005-0000-0000-000017660000}"/>
    <cellStyle name="Normal 306 4 2" xfId="25562" xr:uid="{00000000-0005-0000-0000-000018660000}"/>
    <cellStyle name="Normal 306 5" xfId="25559" xr:uid="{00000000-0005-0000-0000-000019660000}"/>
    <cellStyle name="Normal 306_Additional Disclosures" xfId="16553" xr:uid="{00000000-0005-0000-0000-00001A660000}"/>
    <cellStyle name="Normal 307" xfId="11392" xr:uid="{00000000-0005-0000-0000-00001B660000}"/>
    <cellStyle name="Normal 307 2" xfId="12814" xr:uid="{00000000-0005-0000-0000-00001C660000}"/>
    <cellStyle name="Normal 307 2 2" xfId="25564" xr:uid="{00000000-0005-0000-0000-00001D660000}"/>
    <cellStyle name="Normal 307 3" xfId="14453" xr:uid="{00000000-0005-0000-0000-00001E660000}"/>
    <cellStyle name="Normal 307 3 2" xfId="25565" xr:uid="{00000000-0005-0000-0000-00001F660000}"/>
    <cellStyle name="Normal 307 4" xfId="15596" xr:uid="{00000000-0005-0000-0000-000020660000}"/>
    <cellStyle name="Normal 307 4 2" xfId="25566" xr:uid="{00000000-0005-0000-0000-000021660000}"/>
    <cellStyle name="Normal 307 5" xfId="25563" xr:uid="{00000000-0005-0000-0000-000022660000}"/>
    <cellStyle name="Normal 307_Additional Disclosures" xfId="16554" xr:uid="{00000000-0005-0000-0000-000023660000}"/>
    <cellStyle name="Normal 308" xfId="11394" xr:uid="{00000000-0005-0000-0000-000024660000}"/>
    <cellStyle name="Normal 308 2" xfId="12816" xr:uid="{00000000-0005-0000-0000-000025660000}"/>
    <cellStyle name="Normal 308 2 2" xfId="25568" xr:uid="{00000000-0005-0000-0000-000026660000}"/>
    <cellStyle name="Normal 308 3" xfId="14454" xr:uid="{00000000-0005-0000-0000-000027660000}"/>
    <cellStyle name="Normal 308 3 2" xfId="25569" xr:uid="{00000000-0005-0000-0000-000028660000}"/>
    <cellStyle name="Normal 308 4" xfId="15597" xr:uid="{00000000-0005-0000-0000-000029660000}"/>
    <cellStyle name="Normal 308 4 2" xfId="25570" xr:uid="{00000000-0005-0000-0000-00002A660000}"/>
    <cellStyle name="Normal 308 5" xfId="25567" xr:uid="{00000000-0005-0000-0000-00002B660000}"/>
    <cellStyle name="Normal 308_Additional Disclosures" xfId="16555" xr:uid="{00000000-0005-0000-0000-00002C660000}"/>
    <cellStyle name="Normal 309" xfId="11396" xr:uid="{00000000-0005-0000-0000-00002D660000}"/>
    <cellStyle name="Normal 309 2" xfId="12818" xr:uid="{00000000-0005-0000-0000-00002E660000}"/>
    <cellStyle name="Normal 309 2 2" xfId="25572" xr:uid="{00000000-0005-0000-0000-00002F660000}"/>
    <cellStyle name="Normal 309 3" xfId="14455" xr:uid="{00000000-0005-0000-0000-000030660000}"/>
    <cellStyle name="Normal 309 3 2" xfId="25573" xr:uid="{00000000-0005-0000-0000-000031660000}"/>
    <cellStyle name="Normal 309 4" xfId="15598" xr:uid="{00000000-0005-0000-0000-000032660000}"/>
    <cellStyle name="Normal 309 4 2" xfId="25574" xr:uid="{00000000-0005-0000-0000-000033660000}"/>
    <cellStyle name="Normal 309 5" xfId="25571" xr:uid="{00000000-0005-0000-0000-000034660000}"/>
    <cellStyle name="Normal 309_Additional Disclosures" xfId="16556" xr:uid="{00000000-0005-0000-0000-000035660000}"/>
    <cellStyle name="Normal 31" xfId="567" xr:uid="{00000000-0005-0000-0000-000036660000}"/>
    <cellStyle name="Normal 31 10" xfId="28941" xr:uid="{00000000-0005-0000-0000-000037660000}"/>
    <cellStyle name="Normal 31 11" xfId="32089" xr:uid="{00000000-0005-0000-0000-000038660000}"/>
    <cellStyle name="Normal 31 12" xfId="32090" xr:uid="{00000000-0005-0000-0000-000039660000}"/>
    <cellStyle name="Normal 31 13" xfId="33182" xr:uid="{00000000-0005-0000-0000-00003A660000}"/>
    <cellStyle name="Normal 31 2" xfId="9508" xr:uid="{00000000-0005-0000-0000-00003B660000}"/>
    <cellStyle name="Normal 31 2 2" xfId="11170" xr:uid="{00000000-0005-0000-0000-00003C660000}"/>
    <cellStyle name="Normal 31 2 2 2" xfId="12591" xr:uid="{00000000-0005-0000-0000-00003D660000}"/>
    <cellStyle name="Normal 31 2 2 2 2" xfId="25578" xr:uid="{00000000-0005-0000-0000-00003E660000}"/>
    <cellStyle name="Normal 31 2 2 2 3" xfId="33729" xr:uid="{00000000-0005-0000-0000-00003F660000}"/>
    <cellStyle name="Normal 31 2 2 3" xfId="14198" xr:uid="{00000000-0005-0000-0000-000040660000}"/>
    <cellStyle name="Normal 31 2 2 3 2" xfId="25579" xr:uid="{00000000-0005-0000-0000-000041660000}"/>
    <cellStyle name="Normal 31 2 2 3 3" xfId="33958" xr:uid="{00000000-0005-0000-0000-000042660000}"/>
    <cellStyle name="Normal 31 2 2 4" xfId="15342" xr:uid="{00000000-0005-0000-0000-000043660000}"/>
    <cellStyle name="Normal 31 2 2 4 2" xfId="25580" xr:uid="{00000000-0005-0000-0000-000044660000}"/>
    <cellStyle name="Normal 31 2 2 4 3" xfId="34172" xr:uid="{00000000-0005-0000-0000-000045660000}"/>
    <cellStyle name="Normal 31 2 2 5" xfId="25577" xr:uid="{00000000-0005-0000-0000-000046660000}"/>
    <cellStyle name="Normal 31 2 2 6" xfId="33345" xr:uid="{00000000-0005-0000-0000-000047660000}"/>
    <cellStyle name="Normal 31 2 2_Additional Disclosures" xfId="16559" xr:uid="{00000000-0005-0000-0000-000048660000}"/>
    <cellStyle name="Normal 31 2 3" xfId="11941" xr:uid="{00000000-0005-0000-0000-000049660000}"/>
    <cellStyle name="Normal 31 2 3 2" xfId="25581" xr:uid="{00000000-0005-0000-0000-00004A660000}"/>
    <cellStyle name="Normal 31 2 3 3" xfId="33628" xr:uid="{00000000-0005-0000-0000-00004B660000}"/>
    <cellStyle name="Normal 31 2 4" xfId="13687" xr:uid="{00000000-0005-0000-0000-00004C660000}"/>
    <cellStyle name="Normal 31 2 4 2" xfId="25582" xr:uid="{00000000-0005-0000-0000-00004D660000}"/>
    <cellStyle name="Normal 31 2 4 3" xfId="33856" xr:uid="{00000000-0005-0000-0000-00004E660000}"/>
    <cellStyle name="Normal 31 2 5" xfId="14832" xr:uid="{00000000-0005-0000-0000-00004F660000}"/>
    <cellStyle name="Normal 31 2 5 2" xfId="25583" xr:uid="{00000000-0005-0000-0000-000050660000}"/>
    <cellStyle name="Normal 31 2 5 3" xfId="34075" xr:uid="{00000000-0005-0000-0000-000051660000}"/>
    <cellStyle name="Normal 31 2 6" xfId="25576" xr:uid="{00000000-0005-0000-0000-000052660000}"/>
    <cellStyle name="Normal 31 2 7" xfId="32091" xr:uid="{00000000-0005-0000-0000-000053660000}"/>
    <cellStyle name="Normal 31 2 8" xfId="33244" xr:uid="{00000000-0005-0000-0000-000054660000}"/>
    <cellStyle name="Normal 31 2_Additional Disclosures" xfId="16558" xr:uid="{00000000-0005-0000-0000-000055660000}"/>
    <cellStyle name="Normal 31 3" xfId="9509" xr:uid="{00000000-0005-0000-0000-000056660000}"/>
    <cellStyle name="Normal 31 3 2" xfId="11171" xr:uid="{00000000-0005-0000-0000-000057660000}"/>
    <cellStyle name="Normal 31 3 2 2" xfId="12592" xr:uid="{00000000-0005-0000-0000-000058660000}"/>
    <cellStyle name="Normal 31 3 2 2 2" xfId="25586" xr:uid="{00000000-0005-0000-0000-000059660000}"/>
    <cellStyle name="Normal 31 3 2 3" xfId="25585" xr:uid="{00000000-0005-0000-0000-00005A660000}"/>
    <cellStyle name="Normal 31 3 2 4" xfId="33688" xr:uid="{00000000-0005-0000-0000-00005B660000}"/>
    <cellStyle name="Normal 31 3 3" xfId="11942" xr:uid="{00000000-0005-0000-0000-00005C660000}"/>
    <cellStyle name="Normal 31 3 3 2" xfId="25587" xr:uid="{00000000-0005-0000-0000-00005D660000}"/>
    <cellStyle name="Normal 31 3 3 3" xfId="33916" xr:uid="{00000000-0005-0000-0000-00005E660000}"/>
    <cellStyle name="Normal 31 3 4" xfId="13943" xr:uid="{00000000-0005-0000-0000-00005F660000}"/>
    <cellStyle name="Normal 31 3 4 2" xfId="25588" xr:uid="{00000000-0005-0000-0000-000060660000}"/>
    <cellStyle name="Normal 31 3 4 3" xfId="34131" xr:uid="{00000000-0005-0000-0000-000061660000}"/>
    <cellStyle name="Normal 31 3 5" xfId="15088" xr:uid="{00000000-0005-0000-0000-000062660000}"/>
    <cellStyle name="Normal 31 3 5 2" xfId="25589" xr:uid="{00000000-0005-0000-0000-000063660000}"/>
    <cellStyle name="Normal 31 3 6" xfId="25584" xr:uid="{00000000-0005-0000-0000-000064660000}"/>
    <cellStyle name="Normal 31 3 7" xfId="33304" xr:uid="{00000000-0005-0000-0000-000065660000}"/>
    <cellStyle name="Normal 31 3_Additional Disclosures" xfId="16560" xr:uid="{00000000-0005-0000-0000-000066660000}"/>
    <cellStyle name="Normal 31 4" xfId="13311" xr:uid="{00000000-0005-0000-0000-000067660000}"/>
    <cellStyle name="Normal 31 4 2" xfId="25590" xr:uid="{00000000-0005-0000-0000-000068660000}"/>
    <cellStyle name="Normal 31 4 3" xfId="32092" xr:uid="{00000000-0005-0000-0000-000069660000}"/>
    <cellStyle name="Normal 31 4 4" xfId="33543" xr:uid="{00000000-0005-0000-0000-00006A660000}"/>
    <cellStyle name="Normal 31 5" xfId="13432" xr:uid="{00000000-0005-0000-0000-00006B660000}"/>
    <cellStyle name="Normal 31 5 2" xfId="25591" xr:uid="{00000000-0005-0000-0000-00006C660000}"/>
    <cellStyle name="Normal 31 5 3" xfId="33491" xr:uid="{00000000-0005-0000-0000-00006D660000}"/>
    <cellStyle name="Normal 31 6" xfId="14576" xr:uid="{00000000-0005-0000-0000-00006E660000}"/>
    <cellStyle name="Normal 31 6 2" xfId="25592" xr:uid="{00000000-0005-0000-0000-00006F660000}"/>
    <cellStyle name="Normal 31 6 3" xfId="33542" xr:uid="{00000000-0005-0000-0000-000070660000}"/>
    <cellStyle name="Normal 31 7" xfId="25575" xr:uid="{00000000-0005-0000-0000-000071660000}"/>
    <cellStyle name="Normal 31 8" xfId="28937" xr:uid="{00000000-0005-0000-0000-000072660000}"/>
    <cellStyle name="Normal 31 9" xfId="17004" xr:uid="{00000000-0005-0000-0000-000073660000}"/>
    <cellStyle name="Normal 31_Additional Disclosures" xfId="16557" xr:uid="{00000000-0005-0000-0000-000074660000}"/>
    <cellStyle name="Normal 310" xfId="11398" xr:uid="{00000000-0005-0000-0000-000075660000}"/>
    <cellStyle name="Normal 310 2" xfId="12820" xr:uid="{00000000-0005-0000-0000-000076660000}"/>
    <cellStyle name="Normal 310 2 2" xfId="25594" xr:uid="{00000000-0005-0000-0000-000077660000}"/>
    <cellStyle name="Normal 310 3" xfId="14456" xr:uid="{00000000-0005-0000-0000-000078660000}"/>
    <cellStyle name="Normal 310 3 2" xfId="25595" xr:uid="{00000000-0005-0000-0000-000079660000}"/>
    <cellStyle name="Normal 310 4" xfId="15599" xr:uid="{00000000-0005-0000-0000-00007A660000}"/>
    <cellStyle name="Normal 310 4 2" xfId="25596" xr:uid="{00000000-0005-0000-0000-00007B660000}"/>
    <cellStyle name="Normal 310 5" xfId="25593" xr:uid="{00000000-0005-0000-0000-00007C660000}"/>
    <cellStyle name="Normal 310_Additional Disclosures" xfId="16561" xr:uid="{00000000-0005-0000-0000-00007D660000}"/>
    <cellStyle name="Normal 311" xfId="11513" xr:uid="{00000000-0005-0000-0000-00007E660000}"/>
    <cellStyle name="Normal 311 2" xfId="12824" xr:uid="{00000000-0005-0000-0000-00007F660000}"/>
    <cellStyle name="Normal 311 2 2" xfId="25598" xr:uid="{00000000-0005-0000-0000-000080660000}"/>
    <cellStyle name="Normal 311 3" xfId="14457" xr:uid="{00000000-0005-0000-0000-000081660000}"/>
    <cellStyle name="Normal 311 3 2" xfId="25599" xr:uid="{00000000-0005-0000-0000-000082660000}"/>
    <cellStyle name="Normal 311 4" xfId="15600" xr:uid="{00000000-0005-0000-0000-000083660000}"/>
    <cellStyle name="Normal 311 4 2" xfId="25600" xr:uid="{00000000-0005-0000-0000-000084660000}"/>
    <cellStyle name="Normal 311 5" xfId="25597" xr:uid="{00000000-0005-0000-0000-000085660000}"/>
    <cellStyle name="Normal 311_Additional Disclosures" xfId="16562" xr:uid="{00000000-0005-0000-0000-000086660000}"/>
    <cellStyle name="Normal 312" xfId="11518" xr:uid="{00000000-0005-0000-0000-000087660000}"/>
    <cellStyle name="Normal 312 2" xfId="14458" xr:uid="{00000000-0005-0000-0000-000088660000}"/>
    <cellStyle name="Normal 312 2 2" xfId="25602" xr:uid="{00000000-0005-0000-0000-000089660000}"/>
    <cellStyle name="Normal 312 3" xfId="15601" xr:uid="{00000000-0005-0000-0000-00008A660000}"/>
    <cellStyle name="Normal 312 3 2" xfId="25603" xr:uid="{00000000-0005-0000-0000-00008B660000}"/>
    <cellStyle name="Normal 312 4" xfId="25601" xr:uid="{00000000-0005-0000-0000-00008C660000}"/>
    <cellStyle name="Normal 312_Additional Disclosures" xfId="16563" xr:uid="{00000000-0005-0000-0000-00008D660000}"/>
    <cellStyle name="Normal 313" xfId="11562" xr:uid="{00000000-0005-0000-0000-00008E660000}"/>
    <cellStyle name="Normal 313 2" xfId="14459" xr:uid="{00000000-0005-0000-0000-00008F660000}"/>
    <cellStyle name="Normal 313 2 2" xfId="25605" xr:uid="{00000000-0005-0000-0000-000090660000}"/>
    <cellStyle name="Normal 313 3" xfId="15602" xr:uid="{00000000-0005-0000-0000-000091660000}"/>
    <cellStyle name="Normal 313 3 2" xfId="25606" xr:uid="{00000000-0005-0000-0000-000092660000}"/>
    <cellStyle name="Normal 313 4" xfId="25604" xr:uid="{00000000-0005-0000-0000-000093660000}"/>
    <cellStyle name="Normal 313_Additional Disclosures" xfId="16564" xr:uid="{00000000-0005-0000-0000-000094660000}"/>
    <cellStyle name="Normal 314" xfId="11520" xr:uid="{00000000-0005-0000-0000-000095660000}"/>
    <cellStyle name="Normal 314 2" xfId="14460" xr:uid="{00000000-0005-0000-0000-000096660000}"/>
    <cellStyle name="Normal 314 2 2" xfId="25608" xr:uid="{00000000-0005-0000-0000-000097660000}"/>
    <cellStyle name="Normal 314 3" xfId="15603" xr:uid="{00000000-0005-0000-0000-000098660000}"/>
    <cellStyle name="Normal 314 3 2" xfId="25609" xr:uid="{00000000-0005-0000-0000-000099660000}"/>
    <cellStyle name="Normal 314 4" xfId="25607" xr:uid="{00000000-0005-0000-0000-00009A660000}"/>
    <cellStyle name="Normal 314_Additional Disclosures" xfId="16565" xr:uid="{00000000-0005-0000-0000-00009B660000}"/>
    <cellStyle name="Normal 315" xfId="11614" xr:uid="{00000000-0005-0000-0000-00009C660000}"/>
    <cellStyle name="Normal 315 2" xfId="14461" xr:uid="{00000000-0005-0000-0000-00009D660000}"/>
    <cellStyle name="Normal 315 2 2" xfId="25611" xr:uid="{00000000-0005-0000-0000-00009E660000}"/>
    <cellStyle name="Normal 315 3" xfId="15604" xr:uid="{00000000-0005-0000-0000-00009F660000}"/>
    <cellStyle name="Normal 315 3 2" xfId="25612" xr:uid="{00000000-0005-0000-0000-0000A0660000}"/>
    <cellStyle name="Normal 315 4" xfId="25610" xr:uid="{00000000-0005-0000-0000-0000A1660000}"/>
    <cellStyle name="Normal 315_Additional Disclosures" xfId="16566" xr:uid="{00000000-0005-0000-0000-0000A2660000}"/>
    <cellStyle name="Normal 316" xfId="12097" xr:uid="{00000000-0005-0000-0000-0000A3660000}"/>
    <cellStyle name="Normal 316 2" xfId="14462" xr:uid="{00000000-0005-0000-0000-0000A4660000}"/>
    <cellStyle name="Normal 316 2 2" xfId="25614" xr:uid="{00000000-0005-0000-0000-0000A5660000}"/>
    <cellStyle name="Normal 316 3" xfId="15605" xr:uid="{00000000-0005-0000-0000-0000A6660000}"/>
    <cellStyle name="Normal 316 3 2" xfId="25615" xr:uid="{00000000-0005-0000-0000-0000A7660000}"/>
    <cellStyle name="Normal 316 4" xfId="25613" xr:uid="{00000000-0005-0000-0000-0000A8660000}"/>
    <cellStyle name="Normal 316_Additional Disclosures" xfId="16567" xr:uid="{00000000-0005-0000-0000-0000A9660000}"/>
    <cellStyle name="Normal 317" xfId="11603" xr:uid="{00000000-0005-0000-0000-0000AA660000}"/>
    <cellStyle name="Normal 317 2" xfId="14463" xr:uid="{00000000-0005-0000-0000-0000AB660000}"/>
    <cellStyle name="Normal 317 2 2" xfId="25617" xr:uid="{00000000-0005-0000-0000-0000AC660000}"/>
    <cellStyle name="Normal 317 3" xfId="15606" xr:uid="{00000000-0005-0000-0000-0000AD660000}"/>
    <cellStyle name="Normal 317 3 2" xfId="25618" xr:uid="{00000000-0005-0000-0000-0000AE660000}"/>
    <cellStyle name="Normal 317 4" xfId="25616" xr:uid="{00000000-0005-0000-0000-0000AF660000}"/>
    <cellStyle name="Normal 317_Additional Disclosures" xfId="16568" xr:uid="{00000000-0005-0000-0000-0000B0660000}"/>
    <cellStyle name="Normal 318" xfId="12828" xr:uid="{00000000-0005-0000-0000-0000B1660000}"/>
    <cellStyle name="Normal 318 2" xfId="14464" xr:uid="{00000000-0005-0000-0000-0000B2660000}"/>
    <cellStyle name="Normal 318 2 2" xfId="25620" xr:uid="{00000000-0005-0000-0000-0000B3660000}"/>
    <cellStyle name="Normal 318 3" xfId="15607" xr:uid="{00000000-0005-0000-0000-0000B4660000}"/>
    <cellStyle name="Normal 318 3 2" xfId="25621" xr:uid="{00000000-0005-0000-0000-0000B5660000}"/>
    <cellStyle name="Normal 318 4" xfId="25619" xr:uid="{00000000-0005-0000-0000-0000B6660000}"/>
    <cellStyle name="Normal 318_Additional Disclosures" xfId="16569" xr:uid="{00000000-0005-0000-0000-0000B7660000}"/>
    <cellStyle name="Normal 319" xfId="12878" xr:uid="{00000000-0005-0000-0000-0000B8660000}"/>
    <cellStyle name="Normal 319 2" xfId="14465" xr:uid="{00000000-0005-0000-0000-0000B9660000}"/>
    <cellStyle name="Normal 319 2 2" xfId="25623" xr:uid="{00000000-0005-0000-0000-0000BA660000}"/>
    <cellStyle name="Normal 319 3" xfId="15608" xr:uid="{00000000-0005-0000-0000-0000BB660000}"/>
    <cellStyle name="Normal 319 3 2" xfId="25624" xr:uid="{00000000-0005-0000-0000-0000BC660000}"/>
    <cellStyle name="Normal 319 4" xfId="25622" xr:uid="{00000000-0005-0000-0000-0000BD660000}"/>
    <cellStyle name="Normal 319 5" xfId="32093" xr:uid="{00000000-0005-0000-0000-0000BE660000}"/>
    <cellStyle name="Normal 319_Additional Disclosures" xfId="16570" xr:uid="{00000000-0005-0000-0000-0000BF660000}"/>
    <cellStyle name="Normal 32" xfId="568" xr:uid="{00000000-0005-0000-0000-0000C0660000}"/>
    <cellStyle name="Normal 32 10" xfId="17020" xr:uid="{00000000-0005-0000-0000-0000C1660000}"/>
    <cellStyle name="Normal 32 11" xfId="32094" xr:uid="{00000000-0005-0000-0000-0000C2660000}"/>
    <cellStyle name="Normal 32 12" xfId="32095" xr:uid="{00000000-0005-0000-0000-0000C3660000}"/>
    <cellStyle name="Normal 32 13" xfId="32096" xr:uid="{00000000-0005-0000-0000-0000C4660000}"/>
    <cellStyle name="Normal 32 2" xfId="9510" xr:uid="{00000000-0005-0000-0000-0000C5660000}"/>
    <cellStyle name="Normal 32 2 10" xfId="17024" xr:uid="{00000000-0005-0000-0000-0000C6660000}"/>
    <cellStyle name="Normal 32 2 11" xfId="32097" xr:uid="{00000000-0005-0000-0000-0000C7660000}"/>
    <cellStyle name="Normal 32 2 12" xfId="32098" xr:uid="{00000000-0005-0000-0000-0000C8660000}"/>
    <cellStyle name="Normal 32 2 13" xfId="32099" xr:uid="{00000000-0005-0000-0000-0000C9660000}"/>
    <cellStyle name="Normal 32 2 14" xfId="32100" xr:uid="{00000000-0005-0000-0000-0000CA660000}"/>
    <cellStyle name="Normal 32 2 15" xfId="33422" xr:uid="{00000000-0005-0000-0000-0000CB660000}"/>
    <cellStyle name="Normal 32 2 2" xfId="12145" xr:uid="{00000000-0005-0000-0000-0000CC660000}"/>
    <cellStyle name="Normal 32 2 2 2" xfId="14199" xr:uid="{00000000-0005-0000-0000-0000CD660000}"/>
    <cellStyle name="Normal 32 2 2 2 2" xfId="25628" xr:uid="{00000000-0005-0000-0000-0000CE660000}"/>
    <cellStyle name="Normal 32 2 2 3" xfId="15343" xr:uid="{00000000-0005-0000-0000-0000CF660000}"/>
    <cellStyle name="Normal 32 2 2 3 2" xfId="25629" xr:uid="{00000000-0005-0000-0000-0000D0660000}"/>
    <cellStyle name="Normal 32 2 2 4" xfId="25627" xr:uid="{00000000-0005-0000-0000-0000D1660000}"/>
    <cellStyle name="Normal 32 2 2 5" xfId="33803" xr:uid="{00000000-0005-0000-0000-0000D2660000}"/>
    <cellStyle name="Normal 32 2 2_Additional Disclosures" xfId="16573" xr:uid="{00000000-0005-0000-0000-0000D3660000}"/>
    <cellStyle name="Normal 32 2 3" xfId="12146" xr:uid="{00000000-0005-0000-0000-0000D4660000}"/>
    <cellStyle name="Normal 32 2 3 2" xfId="25630" xr:uid="{00000000-0005-0000-0000-0000D5660000}"/>
    <cellStyle name="Normal 32 2 3 3" xfId="34031" xr:uid="{00000000-0005-0000-0000-0000D6660000}"/>
    <cellStyle name="Normal 32 2 4" xfId="13688" xr:uid="{00000000-0005-0000-0000-0000D7660000}"/>
    <cellStyle name="Normal 32 2 4 2" xfId="25631" xr:uid="{00000000-0005-0000-0000-0000D8660000}"/>
    <cellStyle name="Normal 32 2 4 3" xfId="34245" xr:uid="{00000000-0005-0000-0000-0000D9660000}"/>
    <cellStyle name="Normal 32 2 5" xfId="14833" xr:uid="{00000000-0005-0000-0000-0000DA660000}"/>
    <cellStyle name="Normal 32 2 5 2" xfId="25632" xr:uid="{00000000-0005-0000-0000-0000DB660000}"/>
    <cellStyle name="Normal 32 2 6" xfId="25626" xr:uid="{00000000-0005-0000-0000-0000DC660000}"/>
    <cellStyle name="Normal 32 2 7" xfId="28940" xr:uid="{00000000-0005-0000-0000-0000DD660000}"/>
    <cellStyle name="Normal 32 2 8" xfId="17021" xr:uid="{00000000-0005-0000-0000-0000DE660000}"/>
    <cellStyle name="Normal 32 2 9" xfId="28942" xr:uid="{00000000-0005-0000-0000-0000DF660000}"/>
    <cellStyle name="Normal 32 2_Additional Disclosures" xfId="16572" xr:uid="{00000000-0005-0000-0000-0000E0660000}"/>
    <cellStyle name="Normal 32 3" xfId="9511" xr:uid="{00000000-0005-0000-0000-0000E1660000}"/>
    <cellStyle name="Normal 32 3 2" xfId="11172" xr:uid="{00000000-0005-0000-0000-0000E2660000}"/>
    <cellStyle name="Normal 32 3 2 2" xfId="12593" xr:uid="{00000000-0005-0000-0000-0000E3660000}"/>
    <cellStyle name="Normal 32 3 2 2 2" xfId="25635" xr:uid="{00000000-0005-0000-0000-0000E4660000}"/>
    <cellStyle name="Normal 32 3 2 3" xfId="25634" xr:uid="{00000000-0005-0000-0000-0000E5660000}"/>
    <cellStyle name="Normal 32 3 3" xfId="11943" xr:uid="{00000000-0005-0000-0000-0000E6660000}"/>
    <cellStyle name="Normal 32 3 3 2" xfId="25636" xr:uid="{00000000-0005-0000-0000-0000E7660000}"/>
    <cellStyle name="Normal 32 3 4" xfId="13944" xr:uid="{00000000-0005-0000-0000-0000E8660000}"/>
    <cellStyle name="Normal 32 3 4 2" xfId="25637" xr:uid="{00000000-0005-0000-0000-0000E9660000}"/>
    <cellStyle name="Normal 32 3 5" xfId="15089" xr:uid="{00000000-0005-0000-0000-0000EA660000}"/>
    <cellStyle name="Normal 32 3 5 2" xfId="25638" xr:uid="{00000000-0005-0000-0000-0000EB660000}"/>
    <cellStyle name="Normal 32 3 6" xfId="25633" xr:uid="{00000000-0005-0000-0000-0000EC660000}"/>
    <cellStyle name="Normal 32 3_Additional Disclosures" xfId="16574" xr:uid="{00000000-0005-0000-0000-0000ED660000}"/>
    <cellStyle name="Normal 32 4" xfId="9512" xr:uid="{00000000-0005-0000-0000-0000EE660000}"/>
    <cellStyle name="Normal 32 4 2" xfId="11173" xr:uid="{00000000-0005-0000-0000-0000EF660000}"/>
    <cellStyle name="Normal 32 4 2 2" xfId="12594" xr:uid="{00000000-0005-0000-0000-0000F0660000}"/>
    <cellStyle name="Normal 32 4 2 2 2" xfId="25641" xr:uid="{00000000-0005-0000-0000-0000F1660000}"/>
    <cellStyle name="Normal 32 4 2 3" xfId="25640" xr:uid="{00000000-0005-0000-0000-0000F2660000}"/>
    <cellStyle name="Normal 32 4 3" xfId="11944" xr:uid="{00000000-0005-0000-0000-0000F3660000}"/>
    <cellStyle name="Normal 32 4 3 2" xfId="25642" xr:uid="{00000000-0005-0000-0000-0000F4660000}"/>
    <cellStyle name="Normal 32 4 4" xfId="25639" xr:uid="{00000000-0005-0000-0000-0000F5660000}"/>
    <cellStyle name="Normal 32 5" xfId="9513" xr:uid="{00000000-0005-0000-0000-0000F6660000}"/>
    <cellStyle name="Normal 32 5 2" xfId="11174" xr:uid="{00000000-0005-0000-0000-0000F7660000}"/>
    <cellStyle name="Normal 32 5 2 2" xfId="12595" xr:uid="{00000000-0005-0000-0000-0000F8660000}"/>
    <cellStyle name="Normal 32 5 2 2 2" xfId="25645" xr:uid="{00000000-0005-0000-0000-0000F9660000}"/>
    <cellStyle name="Normal 32 5 2 3" xfId="25644" xr:uid="{00000000-0005-0000-0000-0000FA660000}"/>
    <cellStyle name="Normal 32 5 3" xfId="11945" xr:uid="{00000000-0005-0000-0000-0000FB660000}"/>
    <cellStyle name="Normal 32 5 3 2" xfId="25646" xr:uid="{00000000-0005-0000-0000-0000FC660000}"/>
    <cellStyle name="Normal 32 5 4" xfId="25643" xr:uid="{00000000-0005-0000-0000-0000FD660000}"/>
    <cellStyle name="Normal 32 6" xfId="13433" xr:uid="{00000000-0005-0000-0000-0000FE660000}"/>
    <cellStyle name="Normal 32 6 2" xfId="25647" xr:uid="{00000000-0005-0000-0000-0000FF660000}"/>
    <cellStyle name="Normal 32 7" xfId="14577" xr:uid="{00000000-0005-0000-0000-000000670000}"/>
    <cellStyle name="Normal 32 7 2" xfId="25648" xr:uid="{00000000-0005-0000-0000-000001670000}"/>
    <cellStyle name="Normal 32 8" xfId="25625" xr:uid="{00000000-0005-0000-0000-000002670000}"/>
    <cellStyle name="Normal 32 9" xfId="28939" xr:uid="{00000000-0005-0000-0000-000003670000}"/>
    <cellStyle name="Normal 32_Additional Disclosures" xfId="16571" xr:uid="{00000000-0005-0000-0000-000004670000}"/>
    <cellStyle name="Normal 320" xfId="12898" xr:uid="{00000000-0005-0000-0000-000005670000}"/>
    <cellStyle name="Normal 320 2" xfId="14466" xr:uid="{00000000-0005-0000-0000-000006670000}"/>
    <cellStyle name="Normal 320 2 2" xfId="25650" xr:uid="{00000000-0005-0000-0000-000007670000}"/>
    <cellStyle name="Normal 320 3" xfId="15609" xr:uid="{00000000-0005-0000-0000-000008670000}"/>
    <cellStyle name="Normal 320 3 2" xfId="25651" xr:uid="{00000000-0005-0000-0000-000009670000}"/>
    <cellStyle name="Normal 320 4" xfId="25649" xr:uid="{00000000-0005-0000-0000-00000A670000}"/>
    <cellStyle name="Normal 320_Additional Disclosures" xfId="16575" xr:uid="{00000000-0005-0000-0000-00000B670000}"/>
    <cellStyle name="Normal 321" xfId="12858" xr:uid="{00000000-0005-0000-0000-00000C670000}"/>
    <cellStyle name="Normal 321 2" xfId="14467" xr:uid="{00000000-0005-0000-0000-00000D670000}"/>
    <cellStyle name="Normal 321 2 2" xfId="25653" xr:uid="{00000000-0005-0000-0000-00000E670000}"/>
    <cellStyle name="Normal 321 3" xfId="15610" xr:uid="{00000000-0005-0000-0000-00000F670000}"/>
    <cellStyle name="Normal 321 3 2" xfId="25654" xr:uid="{00000000-0005-0000-0000-000010670000}"/>
    <cellStyle name="Normal 321 4" xfId="25652" xr:uid="{00000000-0005-0000-0000-000011670000}"/>
    <cellStyle name="Normal 321 5" xfId="33377" xr:uid="{00000000-0005-0000-0000-000012670000}"/>
    <cellStyle name="Normal 321_Additional Disclosures" xfId="16576" xr:uid="{00000000-0005-0000-0000-000013670000}"/>
    <cellStyle name="Normal 322" xfId="12900" xr:uid="{00000000-0005-0000-0000-000014670000}"/>
    <cellStyle name="Normal 322 2" xfId="14468" xr:uid="{00000000-0005-0000-0000-000015670000}"/>
    <cellStyle name="Normal 322 2 2" xfId="25656" xr:uid="{00000000-0005-0000-0000-000016670000}"/>
    <cellStyle name="Normal 322 3" xfId="15611" xr:uid="{00000000-0005-0000-0000-000017670000}"/>
    <cellStyle name="Normal 322 3 2" xfId="25657" xr:uid="{00000000-0005-0000-0000-000018670000}"/>
    <cellStyle name="Normal 322 4" xfId="25655" xr:uid="{00000000-0005-0000-0000-000019670000}"/>
    <cellStyle name="Normal 322_Additional Disclosures" xfId="16577" xr:uid="{00000000-0005-0000-0000-00001A670000}"/>
    <cellStyle name="Normal 323" xfId="12902" xr:uid="{00000000-0005-0000-0000-00001B670000}"/>
    <cellStyle name="Normal 323 2" xfId="13372" xr:uid="{00000000-0005-0000-0000-00001C670000}"/>
    <cellStyle name="Normal 323 2 2" xfId="13627" xr:uid="{00000000-0005-0000-0000-00001D670000}"/>
    <cellStyle name="Normal 323 2 2 2" xfId="14138" xr:uid="{00000000-0005-0000-0000-00001E670000}"/>
    <cellStyle name="Normal 323 2 2 2 2" xfId="15282" xr:uid="{00000000-0005-0000-0000-00001F670000}"/>
    <cellStyle name="Normal 323 2 2 2 2 2" xfId="25662" xr:uid="{00000000-0005-0000-0000-000020670000}"/>
    <cellStyle name="Normal 323 2 2 2 3" xfId="25661" xr:uid="{00000000-0005-0000-0000-000021670000}"/>
    <cellStyle name="Normal 323 2 2 2_Additional Disclosures" xfId="16581" xr:uid="{00000000-0005-0000-0000-000022670000}"/>
    <cellStyle name="Normal 323 2 2 3" xfId="14772" xr:uid="{00000000-0005-0000-0000-000023670000}"/>
    <cellStyle name="Normal 323 2 2 3 2" xfId="25663" xr:uid="{00000000-0005-0000-0000-000024670000}"/>
    <cellStyle name="Normal 323 2 2 4" xfId="25660" xr:uid="{00000000-0005-0000-0000-000025670000}"/>
    <cellStyle name="Normal 323 2 2_Additional Disclosures" xfId="16580" xr:uid="{00000000-0005-0000-0000-000026670000}"/>
    <cellStyle name="Normal 323 2 3" xfId="13883" xr:uid="{00000000-0005-0000-0000-000027670000}"/>
    <cellStyle name="Normal 323 2 3 2" xfId="15028" xr:uid="{00000000-0005-0000-0000-000028670000}"/>
    <cellStyle name="Normal 323 2 3 2 2" xfId="25665" xr:uid="{00000000-0005-0000-0000-000029670000}"/>
    <cellStyle name="Normal 323 2 3 3" xfId="25664" xr:uid="{00000000-0005-0000-0000-00002A670000}"/>
    <cellStyle name="Normal 323 2 3_Additional Disclosures" xfId="16582" xr:uid="{00000000-0005-0000-0000-00002B670000}"/>
    <cellStyle name="Normal 323 2 4" xfId="14516" xr:uid="{00000000-0005-0000-0000-00002C670000}"/>
    <cellStyle name="Normal 323 2 4 2" xfId="25666" xr:uid="{00000000-0005-0000-0000-00002D670000}"/>
    <cellStyle name="Normal 323 2 5" xfId="25659" xr:uid="{00000000-0005-0000-0000-00002E670000}"/>
    <cellStyle name="Normal 323 2_Additional Disclosures" xfId="16579" xr:uid="{00000000-0005-0000-0000-00002F670000}"/>
    <cellStyle name="Normal 323 3" xfId="13587" xr:uid="{00000000-0005-0000-0000-000030670000}"/>
    <cellStyle name="Normal 323 3 2" xfId="14098" xr:uid="{00000000-0005-0000-0000-000031670000}"/>
    <cellStyle name="Normal 323 3 2 2" xfId="15242" xr:uid="{00000000-0005-0000-0000-000032670000}"/>
    <cellStyle name="Normal 323 3 2 2 2" xfId="25669" xr:uid="{00000000-0005-0000-0000-000033670000}"/>
    <cellStyle name="Normal 323 3 2 3" xfId="25668" xr:uid="{00000000-0005-0000-0000-000034670000}"/>
    <cellStyle name="Normal 323 3 2_Additional Disclosures" xfId="16584" xr:uid="{00000000-0005-0000-0000-000035670000}"/>
    <cellStyle name="Normal 323 3 3" xfId="14732" xr:uid="{00000000-0005-0000-0000-000036670000}"/>
    <cellStyle name="Normal 323 3 3 2" xfId="25670" xr:uid="{00000000-0005-0000-0000-000037670000}"/>
    <cellStyle name="Normal 323 3 4" xfId="25667" xr:uid="{00000000-0005-0000-0000-000038670000}"/>
    <cellStyle name="Normal 323 3_Additional Disclosures" xfId="16583" xr:uid="{00000000-0005-0000-0000-000039670000}"/>
    <cellStyle name="Normal 323 4" xfId="13843" xr:uid="{00000000-0005-0000-0000-00003A670000}"/>
    <cellStyle name="Normal 323 4 2" xfId="14988" xr:uid="{00000000-0005-0000-0000-00003B670000}"/>
    <cellStyle name="Normal 323 4 2 2" xfId="25672" xr:uid="{00000000-0005-0000-0000-00003C670000}"/>
    <cellStyle name="Normal 323 4 3" xfId="25671" xr:uid="{00000000-0005-0000-0000-00003D670000}"/>
    <cellStyle name="Normal 323 4_Additional Disclosures" xfId="16585" xr:uid="{00000000-0005-0000-0000-00003E670000}"/>
    <cellStyle name="Normal 323 5" xfId="13333" xr:uid="{00000000-0005-0000-0000-00003F670000}"/>
    <cellStyle name="Normal 323 5 2" xfId="25673" xr:uid="{00000000-0005-0000-0000-000040670000}"/>
    <cellStyle name="Normal 323 6" xfId="14475" xr:uid="{00000000-0005-0000-0000-000041670000}"/>
    <cellStyle name="Normal 323 6 2" xfId="25674" xr:uid="{00000000-0005-0000-0000-000042670000}"/>
    <cellStyle name="Normal 323 7" xfId="25658" xr:uid="{00000000-0005-0000-0000-000043670000}"/>
    <cellStyle name="Normal 323 8" xfId="33380" xr:uid="{00000000-0005-0000-0000-000044670000}"/>
    <cellStyle name="Normal 323 9" xfId="34281" xr:uid="{00000000-0005-0000-0000-000045670000}"/>
    <cellStyle name="Normal 323_Additional Disclosures" xfId="16578" xr:uid="{00000000-0005-0000-0000-000046670000}"/>
    <cellStyle name="Normal 324" xfId="12904" xr:uid="{00000000-0005-0000-0000-000047670000}"/>
    <cellStyle name="Normal 324 2" xfId="14469" xr:uid="{00000000-0005-0000-0000-000048670000}"/>
    <cellStyle name="Normal 324 2 2" xfId="25676" xr:uid="{00000000-0005-0000-0000-000049670000}"/>
    <cellStyle name="Normal 324 3" xfId="15612" xr:uid="{00000000-0005-0000-0000-00004A670000}"/>
    <cellStyle name="Normal 324 3 2" xfId="25677" xr:uid="{00000000-0005-0000-0000-00004B670000}"/>
    <cellStyle name="Normal 324 4" xfId="25675" xr:uid="{00000000-0005-0000-0000-00004C670000}"/>
    <cellStyle name="Normal 324_Additional Disclosures" xfId="16586" xr:uid="{00000000-0005-0000-0000-00004D670000}"/>
    <cellStyle name="Normal 325" xfId="12906" xr:uid="{00000000-0005-0000-0000-00004E670000}"/>
    <cellStyle name="Normal 325 2" xfId="14470" xr:uid="{00000000-0005-0000-0000-00004F670000}"/>
    <cellStyle name="Normal 325 2 2" xfId="25679" xr:uid="{00000000-0005-0000-0000-000050670000}"/>
    <cellStyle name="Normal 325 3" xfId="15613" xr:uid="{00000000-0005-0000-0000-000051670000}"/>
    <cellStyle name="Normal 325 3 2" xfId="25680" xr:uid="{00000000-0005-0000-0000-000052670000}"/>
    <cellStyle name="Normal 325 4" xfId="25678" xr:uid="{00000000-0005-0000-0000-000053670000}"/>
    <cellStyle name="Normal 325_Additional Disclosures" xfId="16587" xr:uid="{00000000-0005-0000-0000-000054670000}"/>
    <cellStyle name="Normal 326" xfId="12908" xr:uid="{00000000-0005-0000-0000-000055670000}"/>
    <cellStyle name="Normal 326 2" xfId="14471" xr:uid="{00000000-0005-0000-0000-000056670000}"/>
    <cellStyle name="Normal 326 2 2" xfId="25682" xr:uid="{00000000-0005-0000-0000-000057670000}"/>
    <cellStyle name="Normal 326 3" xfId="15614" xr:uid="{00000000-0005-0000-0000-000058670000}"/>
    <cellStyle name="Normal 326 3 2" xfId="25683" xr:uid="{00000000-0005-0000-0000-000059670000}"/>
    <cellStyle name="Normal 326 4" xfId="25681" xr:uid="{00000000-0005-0000-0000-00005A670000}"/>
    <cellStyle name="Normal 326_Additional Disclosures" xfId="16588" xr:uid="{00000000-0005-0000-0000-00005B670000}"/>
    <cellStyle name="Normal 327" xfId="9514" xr:uid="{00000000-0005-0000-0000-00005C670000}"/>
    <cellStyle name="Normal 327 2" xfId="9515" xr:uid="{00000000-0005-0000-0000-00005D670000}"/>
    <cellStyle name="Normal 327 2 2" xfId="11176" xr:uid="{00000000-0005-0000-0000-00005E670000}"/>
    <cellStyle name="Normal 327 2 2 2" xfId="12597" xr:uid="{00000000-0005-0000-0000-00005F670000}"/>
    <cellStyle name="Normal 327 2 2 2 2" xfId="14140" xr:uid="{00000000-0005-0000-0000-000060670000}"/>
    <cellStyle name="Normal 327 2 2 2 2 2" xfId="25688" xr:uid="{00000000-0005-0000-0000-000061670000}"/>
    <cellStyle name="Normal 327 2 2 2 3" xfId="15284" xr:uid="{00000000-0005-0000-0000-000062670000}"/>
    <cellStyle name="Normal 327 2 2 2 3 2" xfId="25689" xr:uid="{00000000-0005-0000-0000-000063670000}"/>
    <cellStyle name="Normal 327 2 2 2 4" xfId="25687" xr:uid="{00000000-0005-0000-0000-000064670000}"/>
    <cellStyle name="Normal 327 2 2 2_Additional Disclosures" xfId="16592" xr:uid="{00000000-0005-0000-0000-000065670000}"/>
    <cellStyle name="Normal 327 2 2 3" xfId="13629" xr:uid="{00000000-0005-0000-0000-000066670000}"/>
    <cellStyle name="Normal 327 2 2 3 2" xfId="25690" xr:uid="{00000000-0005-0000-0000-000067670000}"/>
    <cellStyle name="Normal 327 2 2 4" xfId="14774" xr:uid="{00000000-0005-0000-0000-000068670000}"/>
    <cellStyle name="Normal 327 2 2 4 2" xfId="25691" xr:uid="{00000000-0005-0000-0000-000069670000}"/>
    <cellStyle name="Normal 327 2 2 5" xfId="25686" xr:uid="{00000000-0005-0000-0000-00006A670000}"/>
    <cellStyle name="Normal 327 2 2_Additional Disclosures" xfId="16591" xr:uid="{00000000-0005-0000-0000-00006B670000}"/>
    <cellStyle name="Normal 327 2 3" xfId="11947" xr:uid="{00000000-0005-0000-0000-00006C670000}"/>
    <cellStyle name="Normal 327 2 3 2" xfId="13885" xr:uid="{00000000-0005-0000-0000-00006D670000}"/>
    <cellStyle name="Normal 327 2 3 2 2" xfId="25693" xr:uid="{00000000-0005-0000-0000-00006E670000}"/>
    <cellStyle name="Normal 327 2 3 3" xfId="15030" xr:uid="{00000000-0005-0000-0000-00006F670000}"/>
    <cellStyle name="Normal 327 2 3 3 2" xfId="25694" xr:uid="{00000000-0005-0000-0000-000070670000}"/>
    <cellStyle name="Normal 327 2 3 4" xfId="25692" xr:uid="{00000000-0005-0000-0000-000071670000}"/>
    <cellStyle name="Normal 327 2 3_Additional Disclosures" xfId="16593" xr:uid="{00000000-0005-0000-0000-000072670000}"/>
    <cellStyle name="Normal 327 2 4" xfId="13374" xr:uid="{00000000-0005-0000-0000-000073670000}"/>
    <cellStyle name="Normal 327 2 4 2" xfId="25695" xr:uid="{00000000-0005-0000-0000-000074670000}"/>
    <cellStyle name="Normal 327 2 5" xfId="14518" xr:uid="{00000000-0005-0000-0000-000075670000}"/>
    <cellStyle name="Normal 327 2 5 2" xfId="25696" xr:uid="{00000000-0005-0000-0000-000076670000}"/>
    <cellStyle name="Normal 327 2 6" xfId="25685" xr:uid="{00000000-0005-0000-0000-000077670000}"/>
    <cellStyle name="Normal 327 2 7" xfId="33778" xr:uid="{00000000-0005-0000-0000-000078670000}"/>
    <cellStyle name="Normal 327 2 8" xfId="34302" xr:uid="{00000000-0005-0000-0000-000079670000}"/>
    <cellStyle name="Normal 327 2_Additional Disclosures" xfId="16590" xr:uid="{00000000-0005-0000-0000-00007A670000}"/>
    <cellStyle name="Normal 327 3" xfId="11175" xr:uid="{00000000-0005-0000-0000-00007B670000}"/>
    <cellStyle name="Normal 327 3 2" xfId="12596" xr:uid="{00000000-0005-0000-0000-00007C670000}"/>
    <cellStyle name="Normal 327 3 2 2" xfId="14100" xr:uid="{00000000-0005-0000-0000-00007D670000}"/>
    <cellStyle name="Normal 327 3 2 2 2" xfId="25699" xr:uid="{00000000-0005-0000-0000-00007E670000}"/>
    <cellStyle name="Normal 327 3 2 3" xfId="15244" xr:uid="{00000000-0005-0000-0000-00007F670000}"/>
    <cellStyle name="Normal 327 3 2 3 2" xfId="25700" xr:uid="{00000000-0005-0000-0000-000080670000}"/>
    <cellStyle name="Normal 327 3 2 4" xfId="25698" xr:uid="{00000000-0005-0000-0000-000081670000}"/>
    <cellStyle name="Normal 327 3 2_Additional Disclosures" xfId="16595" xr:uid="{00000000-0005-0000-0000-000082670000}"/>
    <cellStyle name="Normal 327 3 3" xfId="13589" xr:uid="{00000000-0005-0000-0000-000083670000}"/>
    <cellStyle name="Normal 327 3 3 2" xfId="25701" xr:uid="{00000000-0005-0000-0000-000084670000}"/>
    <cellStyle name="Normal 327 3 4" xfId="14734" xr:uid="{00000000-0005-0000-0000-000085670000}"/>
    <cellStyle name="Normal 327 3 4 2" xfId="25702" xr:uid="{00000000-0005-0000-0000-000086670000}"/>
    <cellStyle name="Normal 327 3 5" xfId="25697" xr:uid="{00000000-0005-0000-0000-000087670000}"/>
    <cellStyle name="Normal 327 3 6" xfId="34006" xr:uid="{00000000-0005-0000-0000-000088670000}"/>
    <cellStyle name="Normal 327 3 7" xfId="34322" xr:uid="{00000000-0005-0000-0000-000089670000}"/>
    <cellStyle name="Normal 327 3_Additional Disclosures" xfId="16594" xr:uid="{00000000-0005-0000-0000-00008A670000}"/>
    <cellStyle name="Normal 327 4" xfId="11946" xr:uid="{00000000-0005-0000-0000-00008B670000}"/>
    <cellStyle name="Normal 327 4 2" xfId="13845" xr:uid="{00000000-0005-0000-0000-00008C670000}"/>
    <cellStyle name="Normal 327 4 2 2" xfId="25704" xr:uid="{00000000-0005-0000-0000-00008D670000}"/>
    <cellStyle name="Normal 327 4 3" xfId="14990" xr:uid="{00000000-0005-0000-0000-00008E670000}"/>
    <cellStyle name="Normal 327 4 3 2" xfId="25705" xr:uid="{00000000-0005-0000-0000-00008F670000}"/>
    <cellStyle name="Normal 327 4 4" xfId="25703" xr:uid="{00000000-0005-0000-0000-000090670000}"/>
    <cellStyle name="Normal 327 4 5" xfId="34220" xr:uid="{00000000-0005-0000-0000-000091670000}"/>
    <cellStyle name="Normal 327 4_Additional Disclosures" xfId="16596" xr:uid="{00000000-0005-0000-0000-000092670000}"/>
    <cellStyle name="Normal 327 5" xfId="13335" xr:uid="{00000000-0005-0000-0000-000093670000}"/>
    <cellStyle name="Normal 327 5 2" xfId="25706" xr:uid="{00000000-0005-0000-0000-000094670000}"/>
    <cellStyle name="Normal 327 6" xfId="14477" xr:uid="{00000000-0005-0000-0000-000095670000}"/>
    <cellStyle name="Normal 327 6 2" xfId="25707" xr:uid="{00000000-0005-0000-0000-000096670000}"/>
    <cellStyle name="Normal 327 7" xfId="25684" xr:uid="{00000000-0005-0000-0000-000097670000}"/>
    <cellStyle name="Normal 327 8" xfId="33397" xr:uid="{00000000-0005-0000-0000-000098670000}"/>
    <cellStyle name="Normal 327 9" xfId="34284" xr:uid="{00000000-0005-0000-0000-000099670000}"/>
    <cellStyle name="Normal 327_Additional Disclosures" xfId="16589" xr:uid="{00000000-0005-0000-0000-00009A670000}"/>
    <cellStyle name="Normal 328" xfId="12910" xr:uid="{00000000-0005-0000-0000-00009B670000}"/>
    <cellStyle name="Normal 328 2" xfId="13330" xr:uid="{00000000-0005-0000-0000-00009C670000}"/>
    <cellStyle name="Normal 328 2 2" xfId="25709" xr:uid="{00000000-0005-0000-0000-00009D670000}"/>
    <cellStyle name="Normal 328 3" xfId="15615" xr:uid="{00000000-0005-0000-0000-00009E670000}"/>
    <cellStyle name="Normal 328 3 2" xfId="25710" xr:uid="{00000000-0005-0000-0000-00009F670000}"/>
    <cellStyle name="Normal 328 4" xfId="25708" xr:uid="{00000000-0005-0000-0000-0000A0670000}"/>
    <cellStyle name="Normal 328_Additional Disclosures" xfId="16597" xr:uid="{00000000-0005-0000-0000-0000A1670000}"/>
    <cellStyle name="Normal 329" xfId="9516" xr:uid="{00000000-0005-0000-0000-0000A2670000}"/>
    <cellStyle name="Normal 329 2" xfId="9517" xr:uid="{00000000-0005-0000-0000-0000A3670000}"/>
    <cellStyle name="Normal 329 2 2" xfId="11178" xr:uid="{00000000-0005-0000-0000-0000A4670000}"/>
    <cellStyle name="Normal 329 2 2 2" xfId="12599" xr:uid="{00000000-0005-0000-0000-0000A5670000}"/>
    <cellStyle name="Normal 329 2 2 2 2" xfId="25714" xr:uid="{00000000-0005-0000-0000-0000A6670000}"/>
    <cellStyle name="Normal 329 2 2 3" xfId="25713" xr:uid="{00000000-0005-0000-0000-0000A7670000}"/>
    <cellStyle name="Normal 329 2 3" xfId="11949" xr:uid="{00000000-0005-0000-0000-0000A8670000}"/>
    <cellStyle name="Normal 329 2 3 2" xfId="25715" xr:uid="{00000000-0005-0000-0000-0000A9670000}"/>
    <cellStyle name="Normal 329 2 4" xfId="25712" xr:uid="{00000000-0005-0000-0000-0000AA670000}"/>
    <cellStyle name="Normal 329 3" xfId="11177" xr:uid="{00000000-0005-0000-0000-0000AB670000}"/>
    <cellStyle name="Normal 329 3 2" xfId="12598" xr:uid="{00000000-0005-0000-0000-0000AC670000}"/>
    <cellStyle name="Normal 329 3 2 2" xfId="25717" xr:uid="{00000000-0005-0000-0000-0000AD670000}"/>
    <cellStyle name="Normal 329 3 3" xfId="25716" xr:uid="{00000000-0005-0000-0000-0000AE670000}"/>
    <cellStyle name="Normal 329 4" xfId="11948" xr:uid="{00000000-0005-0000-0000-0000AF670000}"/>
    <cellStyle name="Normal 329 4 2" xfId="25718" xr:uid="{00000000-0005-0000-0000-0000B0670000}"/>
    <cellStyle name="Normal 329 5" xfId="15616" xr:uid="{00000000-0005-0000-0000-0000B1670000}"/>
    <cellStyle name="Normal 329 5 2" xfId="25719" xr:uid="{00000000-0005-0000-0000-0000B2670000}"/>
    <cellStyle name="Normal 329 6" xfId="25711" xr:uid="{00000000-0005-0000-0000-0000B3670000}"/>
    <cellStyle name="Normal 329_Additional Disclosures" xfId="16598" xr:uid="{00000000-0005-0000-0000-0000B4670000}"/>
    <cellStyle name="Normal 33" xfId="474" xr:uid="{00000000-0005-0000-0000-0000B5670000}"/>
    <cellStyle name="Normal 33 10" xfId="17025" xr:uid="{00000000-0005-0000-0000-0000B6670000}"/>
    <cellStyle name="Normal 33 11" xfId="32101" xr:uid="{00000000-0005-0000-0000-0000B7670000}"/>
    <cellStyle name="Normal 33 12" xfId="33255" xr:uid="{00000000-0005-0000-0000-0000B8670000}"/>
    <cellStyle name="Normal 33 13" xfId="569" xr:uid="{00000000-0005-0000-0000-0000B9670000}"/>
    <cellStyle name="Normal 33 2" xfId="9518" xr:uid="{00000000-0005-0000-0000-0000BA670000}"/>
    <cellStyle name="Normal 33 2 10" xfId="33354" xr:uid="{00000000-0005-0000-0000-0000BB670000}"/>
    <cellStyle name="Normal 33 2 2" xfId="12143" xr:uid="{00000000-0005-0000-0000-0000BC670000}"/>
    <cellStyle name="Normal 33 2 2 2" xfId="14200" xr:uid="{00000000-0005-0000-0000-0000BD670000}"/>
    <cellStyle name="Normal 33 2 2 2 2" xfId="25723" xr:uid="{00000000-0005-0000-0000-0000BE670000}"/>
    <cellStyle name="Normal 33 2 2 3" xfId="15344" xr:uid="{00000000-0005-0000-0000-0000BF670000}"/>
    <cellStyle name="Normal 33 2 2 3 2" xfId="25724" xr:uid="{00000000-0005-0000-0000-0000C0670000}"/>
    <cellStyle name="Normal 33 2 2 4" xfId="25722" xr:uid="{00000000-0005-0000-0000-0000C1670000}"/>
    <cellStyle name="Normal 33 2 2 5" xfId="33738" xr:uid="{00000000-0005-0000-0000-0000C2670000}"/>
    <cellStyle name="Normal 33 2 2_Additional Disclosures" xfId="16601" xr:uid="{00000000-0005-0000-0000-0000C3670000}"/>
    <cellStyle name="Normal 33 2 3" xfId="12144" xr:uid="{00000000-0005-0000-0000-0000C4670000}"/>
    <cellStyle name="Normal 33 2 3 2" xfId="25725" xr:uid="{00000000-0005-0000-0000-0000C5670000}"/>
    <cellStyle name="Normal 33 2 3 3" xfId="33967" xr:uid="{00000000-0005-0000-0000-0000C6670000}"/>
    <cellStyle name="Normal 33 2 4" xfId="13689" xr:uid="{00000000-0005-0000-0000-0000C7670000}"/>
    <cellStyle name="Normal 33 2 4 2" xfId="25726" xr:uid="{00000000-0005-0000-0000-0000C8670000}"/>
    <cellStyle name="Normal 33 2 4 3" xfId="34181" xr:uid="{00000000-0005-0000-0000-0000C9670000}"/>
    <cellStyle name="Normal 33 2 5" xfId="14834" xr:uid="{00000000-0005-0000-0000-0000CA670000}"/>
    <cellStyle name="Normal 33 2 5 2" xfId="25727" xr:uid="{00000000-0005-0000-0000-0000CB670000}"/>
    <cellStyle name="Normal 33 2 6" xfId="25721" xr:uid="{00000000-0005-0000-0000-0000CC670000}"/>
    <cellStyle name="Normal 33 2 7" xfId="32102" xr:uid="{00000000-0005-0000-0000-0000CD670000}"/>
    <cellStyle name="Normal 33 2 8" xfId="32103" xr:uid="{00000000-0005-0000-0000-0000CE670000}"/>
    <cellStyle name="Normal 33 2 9" xfId="32104" xr:uid="{00000000-0005-0000-0000-0000CF670000}"/>
    <cellStyle name="Normal 33 2_Additional Disclosures" xfId="16600" xr:uid="{00000000-0005-0000-0000-0000D0670000}"/>
    <cellStyle name="Normal 33 3" xfId="475" xr:uid="{00000000-0005-0000-0000-0000D1670000}"/>
    <cellStyle name="Normal 33 3 10" xfId="33640" xr:uid="{00000000-0005-0000-0000-0000D2670000}"/>
    <cellStyle name="Normal 33 3 11" xfId="9519" xr:uid="{00000000-0005-0000-0000-0000D3670000}"/>
    <cellStyle name="Normal 33 3 2" xfId="11179" xr:uid="{00000000-0005-0000-0000-0000D4670000}"/>
    <cellStyle name="Normal 33 3 2 2" xfId="12600" xr:uid="{00000000-0005-0000-0000-0000D5670000}"/>
    <cellStyle name="Normal 33 3 2 2 2" xfId="25730" xr:uid="{00000000-0005-0000-0000-0000D6670000}"/>
    <cellStyle name="Normal 33 3 2 3" xfId="25729" xr:uid="{00000000-0005-0000-0000-0000D7670000}"/>
    <cellStyle name="Normal 33 3 3" xfId="11950" xr:uid="{00000000-0005-0000-0000-0000D8670000}"/>
    <cellStyle name="Normal 33 3 3 2" xfId="25731" xr:uid="{00000000-0005-0000-0000-0000D9670000}"/>
    <cellStyle name="Normal 33 3 4" xfId="13945" xr:uid="{00000000-0005-0000-0000-0000DA670000}"/>
    <cellStyle name="Normal 33 3 4 2" xfId="25732" xr:uid="{00000000-0005-0000-0000-0000DB670000}"/>
    <cellStyle name="Normal 33 3 5" xfId="15090" xr:uid="{00000000-0005-0000-0000-0000DC670000}"/>
    <cellStyle name="Normal 33 3 5 2" xfId="25733" xr:uid="{00000000-0005-0000-0000-0000DD670000}"/>
    <cellStyle name="Normal 33 3 6" xfId="25728" xr:uid="{00000000-0005-0000-0000-0000DE670000}"/>
    <cellStyle name="Normal 33 3 7" xfId="32105" xr:uid="{00000000-0005-0000-0000-0000DF670000}"/>
    <cellStyle name="Normal 33 3 8" xfId="32106" xr:uid="{00000000-0005-0000-0000-0000E0670000}"/>
    <cellStyle name="Normal 33 3 9" xfId="32107" xr:uid="{00000000-0005-0000-0000-0000E1670000}"/>
    <cellStyle name="Normal 33 3_Additional Disclosures" xfId="16602" xr:uid="{00000000-0005-0000-0000-0000E2670000}"/>
    <cellStyle name="Normal 33 4" xfId="12893" xr:uid="{00000000-0005-0000-0000-0000E3670000}"/>
    <cellStyle name="Normal 33 4 2" xfId="25734" xr:uid="{00000000-0005-0000-0000-0000E4670000}"/>
    <cellStyle name="Normal 33 4 3" xfId="33869" xr:uid="{00000000-0005-0000-0000-0000E5670000}"/>
    <cellStyle name="Normal 33 5" xfId="12894" xr:uid="{00000000-0005-0000-0000-0000E6670000}"/>
    <cellStyle name="Normal 33 5 2" xfId="25735" xr:uid="{00000000-0005-0000-0000-0000E7670000}"/>
    <cellStyle name="Normal 33 5 3" xfId="34084" xr:uid="{00000000-0005-0000-0000-0000E8670000}"/>
    <cellStyle name="Normal 33 6" xfId="13434" xr:uid="{00000000-0005-0000-0000-0000E9670000}"/>
    <cellStyle name="Normal 33 6 2" xfId="25736" xr:uid="{00000000-0005-0000-0000-0000EA670000}"/>
    <cellStyle name="Normal 33 7" xfId="14578" xr:uid="{00000000-0005-0000-0000-0000EB670000}"/>
    <cellStyle name="Normal 33 7 2" xfId="25737" xr:uid="{00000000-0005-0000-0000-0000EC670000}"/>
    <cellStyle name="Normal 33 8" xfId="25720" xr:uid="{00000000-0005-0000-0000-0000ED670000}"/>
    <cellStyle name="Normal 33 9" xfId="28943" xr:uid="{00000000-0005-0000-0000-0000EE670000}"/>
    <cellStyle name="Normal 33_Additional Disclosures" xfId="16599" xr:uid="{00000000-0005-0000-0000-0000EF670000}"/>
    <cellStyle name="Normal 330" xfId="9520" xr:uid="{00000000-0005-0000-0000-0000F0670000}"/>
    <cellStyle name="Normal 330 2" xfId="9521" xr:uid="{00000000-0005-0000-0000-0000F1670000}"/>
    <cellStyle name="Normal 330 2 2" xfId="11181" xr:uid="{00000000-0005-0000-0000-0000F2670000}"/>
    <cellStyle name="Normal 330 2 2 2" xfId="12602" xr:uid="{00000000-0005-0000-0000-0000F3670000}"/>
    <cellStyle name="Normal 330 2 2 2 2" xfId="14146" xr:uid="{00000000-0005-0000-0000-0000F4670000}"/>
    <cellStyle name="Normal 330 2 2 2 2 2" xfId="25742" xr:uid="{00000000-0005-0000-0000-0000F5670000}"/>
    <cellStyle name="Normal 330 2 2 2 3" xfId="15290" xr:uid="{00000000-0005-0000-0000-0000F6670000}"/>
    <cellStyle name="Normal 330 2 2 2 3 2" xfId="25743" xr:uid="{00000000-0005-0000-0000-0000F7670000}"/>
    <cellStyle name="Normal 330 2 2 2 4" xfId="25741" xr:uid="{00000000-0005-0000-0000-0000F8670000}"/>
    <cellStyle name="Normal 330 2 2 2_Additional Disclosures" xfId="16606" xr:uid="{00000000-0005-0000-0000-0000F9670000}"/>
    <cellStyle name="Normal 330 2 2 3" xfId="13635" xr:uid="{00000000-0005-0000-0000-0000FA670000}"/>
    <cellStyle name="Normal 330 2 2 3 2" xfId="25744" xr:uid="{00000000-0005-0000-0000-0000FB670000}"/>
    <cellStyle name="Normal 330 2 2 4" xfId="14780" xr:uid="{00000000-0005-0000-0000-0000FC670000}"/>
    <cellStyle name="Normal 330 2 2 4 2" xfId="25745" xr:uid="{00000000-0005-0000-0000-0000FD670000}"/>
    <cellStyle name="Normal 330 2 2 5" xfId="25740" xr:uid="{00000000-0005-0000-0000-0000FE670000}"/>
    <cellStyle name="Normal 330 2 2_Additional Disclosures" xfId="16605" xr:uid="{00000000-0005-0000-0000-0000FF670000}"/>
    <cellStyle name="Normal 330 2 3" xfId="11952" xr:uid="{00000000-0005-0000-0000-000000680000}"/>
    <cellStyle name="Normal 330 2 3 2" xfId="13891" xr:uid="{00000000-0005-0000-0000-000001680000}"/>
    <cellStyle name="Normal 330 2 3 2 2" xfId="25747" xr:uid="{00000000-0005-0000-0000-000002680000}"/>
    <cellStyle name="Normal 330 2 3 3" xfId="15036" xr:uid="{00000000-0005-0000-0000-000003680000}"/>
    <cellStyle name="Normal 330 2 3 3 2" xfId="25748" xr:uid="{00000000-0005-0000-0000-000004680000}"/>
    <cellStyle name="Normal 330 2 3 4" xfId="25746" xr:uid="{00000000-0005-0000-0000-000005680000}"/>
    <cellStyle name="Normal 330 2 3_Additional Disclosures" xfId="16607" xr:uid="{00000000-0005-0000-0000-000006680000}"/>
    <cellStyle name="Normal 330 2 4" xfId="13380" xr:uid="{00000000-0005-0000-0000-000007680000}"/>
    <cellStyle name="Normal 330 2 4 2" xfId="25749" xr:uid="{00000000-0005-0000-0000-000008680000}"/>
    <cellStyle name="Normal 330 2 5" xfId="14524" xr:uid="{00000000-0005-0000-0000-000009680000}"/>
    <cellStyle name="Normal 330 2 5 2" xfId="25750" xr:uid="{00000000-0005-0000-0000-00000A680000}"/>
    <cellStyle name="Normal 330 2 6" xfId="25739" xr:uid="{00000000-0005-0000-0000-00000B680000}"/>
    <cellStyle name="Normal 330 2 7" xfId="33768" xr:uid="{00000000-0005-0000-0000-00000C680000}"/>
    <cellStyle name="Normal 330 2 8" xfId="34298" xr:uid="{00000000-0005-0000-0000-00000D680000}"/>
    <cellStyle name="Normal 330 2_Additional Disclosures" xfId="16604" xr:uid="{00000000-0005-0000-0000-00000E680000}"/>
    <cellStyle name="Normal 330 3" xfId="11180" xr:uid="{00000000-0005-0000-0000-00000F680000}"/>
    <cellStyle name="Normal 330 3 2" xfId="12601" xr:uid="{00000000-0005-0000-0000-000010680000}"/>
    <cellStyle name="Normal 330 3 2 2" xfId="14106" xr:uid="{00000000-0005-0000-0000-000011680000}"/>
    <cellStyle name="Normal 330 3 2 2 2" xfId="25753" xr:uid="{00000000-0005-0000-0000-000012680000}"/>
    <cellStyle name="Normal 330 3 2 3" xfId="15250" xr:uid="{00000000-0005-0000-0000-000013680000}"/>
    <cellStyle name="Normal 330 3 2 3 2" xfId="25754" xr:uid="{00000000-0005-0000-0000-000014680000}"/>
    <cellStyle name="Normal 330 3 2 4" xfId="25752" xr:uid="{00000000-0005-0000-0000-000015680000}"/>
    <cellStyle name="Normal 330 3 2_Additional Disclosures" xfId="16609" xr:uid="{00000000-0005-0000-0000-000016680000}"/>
    <cellStyle name="Normal 330 3 3" xfId="13595" xr:uid="{00000000-0005-0000-0000-000017680000}"/>
    <cellStyle name="Normal 330 3 3 2" xfId="25755" xr:uid="{00000000-0005-0000-0000-000018680000}"/>
    <cellStyle name="Normal 330 3 4" xfId="14740" xr:uid="{00000000-0005-0000-0000-000019680000}"/>
    <cellStyle name="Normal 330 3 4 2" xfId="25756" xr:uid="{00000000-0005-0000-0000-00001A680000}"/>
    <cellStyle name="Normal 330 3 5" xfId="25751" xr:uid="{00000000-0005-0000-0000-00001B680000}"/>
    <cellStyle name="Normal 330 3 6" xfId="33996" xr:uid="{00000000-0005-0000-0000-00001C680000}"/>
    <cellStyle name="Normal 330 3 7" xfId="34318" xr:uid="{00000000-0005-0000-0000-00001D680000}"/>
    <cellStyle name="Normal 330 3_Additional Disclosures" xfId="16608" xr:uid="{00000000-0005-0000-0000-00001E680000}"/>
    <cellStyle name="Normal 330 4" xfId="11951" xr:uid="{00000000-0005-0000-0000-00001F680000}"/>
    <cellStyle name="Normal 330 4 2" xfId="13851" xr:uid="{00000000-0005-0000-0000-000020680000}"/>
    <cellStyle name="Normal 330 4 2 2" xfId="25758" xr:uid="{00000000-0005-0000-0000-000021680000}"/>
    <cellStyle name="Normal 330 4 3" xfId="14996" xr:uid="{00000000-0005-0000-0000-000022680000}"/>
    <cellStyle name="Normal 330 4 3 2" xfId="25759" xr:uid="{00000000-0005-0000-0000-000023680000}"/>
    <cellStyle name="Normal 330 4 4" xfId="25757" xr:uid="{00000000-0005-0000-0000-000024680000}"/>
    <cellStyle name="Normal 330 4 5" xfId="34210" xr:uid="{00000000-0005-0000-0000-000025680000}"/>
    <cellStyle name="Normal 330 4_Additional Disclosures" xfId="16610" xr:uid="{00000000-0005-0000-0000-000026680000}"/>
    <cellStyle name="Normal 330 5" xfId="13340" xr:uid="{00000000-0005-0000-0000-000027680000}"/>
    <cellStyle name="Normal 330 5 2" xfId="25760" xr:uid="{00000000-0005-0000-0000-000028680000}"/>
    <cellStyle name="Normal 330 6" xfId="14483" xr:uid="{00000000-0005-0000-0000-000029680000}"/>
    <cellStyle name="Normal 330 6 2" xfId="25761" xr:uid="{00000000-0005-0000-0000-00002A680000}"/>
    <cellStyle name="Normal 330 7" xfId="25738" xr:uid="{00000000-0005-0000-0000-00002B680000}"/>
    <cellStyle name="Normal 330 8" xfId="33387" xr:uid="{00000000-0005-0000-0000-00002C680000}"/>
    <cellStyle name="Normal 330 9" xfId="34282" xr:uid="{00000000-0005-0000-0000-00002D680000}"/>
    <cellStyle name="Normal 330_Additional Disclosures" xfId="16603" xr:uid="{00000000-0005-0000-0000-00002E680000}"/>
    <cellStyle name="Normal 331" xfId="12912" xr:uid="{00000000-0005-0000-0000-00002F680000}"/>
    <cellStyle name="Normal 331 2" xfId="15617" xr:uid="{00000000-0005-0000-0000-000030680000}"/>
    <cellStyle name="Normal 331 2 2" xfId="25763" xr:uid="{00000000-0005-0000-0000-000031680000}"/>
    <cellStyle name="Normal 331 3" xfId="25762" xr:uid="{00000000-0005-0000-0000-000032680000}"/>
    <cellStyle name="Normal 331_Additional Disclosures" xfId="16611" xr:uid="{00000000-0005-0000-0000-000033680000}"/>
    <cellStyle name="Normal 332" xfId="12914" xr:uid="{00000000-0005-0000-0000-000034680000}"/>
    <cellStyle name="Normal 332 2" xfId="15618" xr:uid="{00000000-0005-0000-0000-000035680000}"/>
    <cellStyle name="Normal 332 2 2" xfId="25765" xr:uid="{00000000-0005-0000-0000-000036680000}"/>
    <cellStyle name="Normal 332 3" xfId="25764" xr:uid="{00000000-0005-0000-0000-000037680000}"/>
    <cellStyle name="Normal 332_Additional Disclosures" xfId="16612" xr:uid="{00000000-0005-0000-0000-000038680000}"/>
    <cellStyle name="Normal 333" xfId="12916" xr:uid="{00000000-0005-0000-0000-000039680000}"/>
    <cellStyle name="Normal 333 10" xfId="32108" xr:uid="{00000000-0005-0000-0000-00003A680000}"/>
    <cellStyle name="Normal 333 11" xfId="32109" xr:uid="{00000000-0005-0000-0000-00003B680000}"/>
    <cellStyle name="Normal 333 2" xfId="13373" xr:uid="{00000000-0005-0000-0000-00003C680000}"/>
    <cellStyle name="Normal 333 2 10" xfId="32110" xr:uid="{00000000-0005-0000-0000-00003D680000}"/>
    <cellStyle name="Normal 333 2 2" xfId="13628" xr:uid="{00000000-0005-0000-0000-00003E680000}"/>
    <cellStyle name="Normal 333 2 2 2" xfId="14139" xr:uid="{00000000-0005-0000-0000-00003F680000}"/>
    <cellStyle name="Normal 333 2 2 2 2" xfId="15283" xr:uid="{00000000-0005-0000-0000-000040680000}"/>
    <cellStyle name="Normal 333 2 2 2 2 2" xfId="25770" xr:uid="{00000000-0005-0000-0000-000041680000}"/>
    <cellStyle name="Normal 333 2 2 2 3" xfId="25769" xr:uid="{00000000-0005-0000-0000-000042680000}"/>
    <cellStyle name="Normal 333 2 2 2_Additional Disclosures" xfId="16616" xr:uid="{00000000-0005-0000-0000-000043680000}"/>
    <cellStyle name="Normal 333 2 2 3" xfId="14773" xr:uid="{00000000-0005-0000-0000-000044680000}"/>
    <cellStyle name="Normal 333 2 2 3 2" xfId="25771" xr:uid="{00000000-0005-0000-0000-000045680000}"/>
    <cellStyle name="Normal 333 2 2 4" xfId="25768" xr:uid="{00000000-0005-0000-0000-000046680000}"/>
    <cellStyle name="Normal 333 2 2_Additional Disclosures" xfId="16615" xr:uid="{00000000-0005-0000-0000-000047680000}"/>
    <cellStyle name="Normal 333 2 3" xfId="13884" xr:uid="{00000000-0005-0000-0000-000048680000}"/>
    <cellStyle name="Normal 333 2 3 2" xfId="15029" xr:uid="{00000000-0005-0000-0000-000049680000}"/>
    <cellStyle name="Normal 333 2 3 2 2" xfId="25773" xr:uid="{00000000-0005-0000-0000-00004A680000}"/>
    <cellStyle name="Normal 333 2 3 3" xfId="25772" xr:uid="{00000000-0005-0000-0000-00004B680000}"/>
    <cellStyle name="Normal 333 2 3_Additional Disclosures" xfId="16617" xr:uid="{00000000-0005-0000-0000-00004C680000}"/>
    <cellStyle name="Normal 333 2 4" xfId="14517" xr:uid="{00000000-0005-0000-0000-00004D680000}"/>
    <cellStyle name="Normal 333 2 4 2" xfId="25774" xr:uid="{00000000-0005-0000-0000-00004E680000}"/>
    <cellStyle name="Normal 333 2 5" xfId="25767" xr:uid="{00000000-0005-0000-0000-00004F680000}"/>
    <cellStyle name="Normal 333 2 6" xfId="32111" xr:uid="{00000000-0005-0000-0000-000050680000}"/>
    <cellStyle name="Normal 333 2 7" xfId="32112" xr:uid="{00000000-0005-0000-0000-000051680000}"/>
    <cellStyle name="Normal 333 2 8" xfId="32113" xr:uid="{00000000-0005-0000-0000-000052680000}"/>
    <cellStyle name="Normal 333 2 9" xfId="32114" xr:uid="{00000000-0005-0000-0000-000053680000}"/>
    <cellStyle name="Normal 333 2_Additional Disclosures" xfId="16614" xr:uid="{00000000-0005-0000-0000-000054680000}"/>
    <cellStyle name="Normal 333 3" xfId="13588" xr:uid="{00000000-0005-0000-0000-000055680000}"/>
    <cellStyle name="Normal 333 3 2" xfId="14099" xr:uid="{00000000-0005-0000-0000-000056680000}"/>
    <cellStyle name="Normal 333 3 2 2" xfId="15243" xr:uid="{00000000-0005-0000-0000-000057680000}"/>
    <cellStyle name="Normal 333 3 2 2 2" xfId="25777" xr:uid="{00000000-0005-0000-0000-000058680000}"/>
    <cellStyle name="Normal 333 3 2 3" xfId="25776" xr:uid="{00000000-0005-0000-0000-000059680000}"/>
    <cellStyle name="Normal 333 3 2_Additional Disclosures" xfId="16619" xr:uid="{00000000-0005-0000-0000-00005A680000}"/>
    <cellStyle name="Normal 333 3 3" xfId="14733" xr:uid="{00000000-0005-0000-0000-00005B680000}"/>
    <cellStyle name="Normal 333 3 3 2" xfId="25778" xr:uid="{00000000-0005-0000-0000-00005C680000}"/>
    <cellStyle name="Normal 333 3 4" xfId="25775" xr:uid="{00000000-0005-0000-0000-00005D680000}"/>
    <cellStyle name="Normal 333 3 5" xfId="32115" xr:uid="{00000000-0005-0000-0000-00005E680000}"/>
    <cellStyle name="Normal 333 3_Additional Disclosures" xfId="16618" xr:uid="{00000000-0005-0000-0000-00005F680000}"/>
    <cellStyle name="Normal 333 4" xfId="13844" xr:uid="{00000000-0005-0000-0000-000060680000}"/>
    <cellStyle name="Normal 333 4 2" xfId="14989" xr:uid="{00000000-0005-0000-0000-000061680000}"/>
    <cellStyle name="Normal 333 4 2 2" xfId="25780" xr:uid="{00000000-0005-0000-0000-000062680000}"/>
    <cellStyle name="Normal 333 4 3" xfId="25779" xr:uid="{00000000-0005-0000-0000-000063680000}"/>
    <cellStyle name="Normal 333 4_Additional Disclosures" xfId="16620" xr:uid="{00000000-0005-0000-0000-000064680000}"/>
    <cellStyle name="Normal 333 5" xfId="13334" xr:uid="{00000000-0005-0000-0000-000065680000}"/>
    <cellStyle name="Normal 333 5 2" xfId="25781" xr:uid="{00000000-0005-0000-0000-000066680000}"/>
    <cellStyle name="Normal 333 6" xfId="14476" xr:uid="{00000000-0005-0000-0000-000067680000}"/>
    <cellStyle name="Normal 333 6 2" xfId="25782" xr:uid="{00000000-0005-0000-0000-000068680000}"/>
    <cellStyle name="Normal 333 7" xfId="25766" xr:uid="{00000000-0005-0000-0000-000069680000}"/>
    <cellStyle name="Normal 333 8" xfId="32116" xr:uid="{00000000-0005-0000-0000-00006A680000}"/>
    <cellStyle name="Normal 333 9" xfId="32117" xr:uid="{00000000-0005-0000-0000-00006B680000}"/>
    <cellStyle name="Normal 333_Additional Disclosures" xfId="16613" xr:uid="{00000000-0005-0000-0000-00006C680000}"/>
    <cellStyle name="Normal 334" xfId="12918" xr:uid="{00000000-0005-0000-0000-00006D680000}"/>
    <cellStyle name="Normal 334 2" xfId="13397" xr:uid="{00000000-0005-0000-0000-00006E680000}"/>
    <cellStyle name="Normal 334 2 2" xfId="13652" xr:uid="{00000000-0005-0000-0000-00006F680000}"/>
    <cellStyle name="Normal 334 2 2 2" xfId="14163" xr:uid="{00000000-0005-0000-0000-000070680000}"/>
    <cellStyle name="Normal 334 2 2 2 2" xfId="15307" xr:uid="{00000000-0005-0000-0000-000071680000}"/>
    <cellStyle name="Normal 334 2 2 2 2 2" xfId="25787" xr:uid="{00000000-0005-0000-0000-000072680000}"/>
    <cellStyle name="Normal 334 2 2 2 3" xfId="25786" xr:uid="{00000000-0005-0000-0000-000073680000}"/>
    <cellStyle name="Normal 334 2 2 2_Additional Disclosures" xfId="16624" xr:uid="{00000000-0005-0000-0000-000074680000}"/>
    <cellStyle name="Normal 334 2 2 3" xfId="14797" xr:uid="{00000000-0005-0000-0000-000075680000}"/>
    <cellStyle name="Normal 334 2 2 3 2" xfId="25788" xr:uid="{00000000-0005-0000-0000-000076680000}"/>
    <cellStyle name="Normal 334 2 2 4" xfId="25785" xr:uid="{00000000-0005-0000-0000-000077680000}"/>
    <cellStyle name="Normal 334 2 2_Additional Disclosures" xfId="16623" xr:uid="{00000000-0005-0000-0000-000078680000}"/>
    <cellStyle name="Normal 334 2 3" xfId="13908" xr:uid="{00000000-0005-0000-0000-000079680000}"/>
    <cellStyle name="Normal 334 2 3 2" xfId="15053" xr:uid="{00000000-0005-0000-0000-00007A680000}"/>
    <cellStyle name="Normal 334 2 3 2 2" xfId="25790" xr:uid="{00000000-0005-0000-0000-00007B680000}"/>
    <cellStyle name="Normal 334 2 3 3" xfId="25789" xr:uid="{00000000-0005-0000-0000-00007C680000}"/>
    <cellStyle name="Normal 334 2 3_Additional Disclosures" xfId="16625" xr:uid="{00000000-0005-0000-0000-00007D680000}"/>
    <cellStyle name="Normal 334 2 4" xfId="14541" xr:uid="{00000000-0005-0000-0000-00007E680000}"/>
    <cellStyle name="Normal 334 2 4 2" xfId="25791" xr:uid="{00000000-0005-0000-0000-00007F680000}"/>
    <cellStyle name="Normal 334 2 5" xfId="25784" xr:uid="{00000000-0005-0000-0000-000080680000}"/>
    <cellStyle name="Normal 334 2_Additional Disclosures" xfId="16622" xr:uid="{00000000-0005-0000-0000-000081680000}"/>
    <cellStyle name="Normal 334 3" xfId="13612" xr:uid="{00000000-0005-0000-0000-000082680000}"/>
    <cellStyle name="Normal 334 3 2" xfId="14123" xr:uid="{00000000-0005-0000-0000-000083680000}"/>
    <cellStyle name="Normal 334 3 2 2" xfId="15267" xr:uid="{00000000-0005-0000-0000-000084680000}"/>
    <cellStyle name="Normal 334 3 2 2 2" xfId="25794" xr:uid="{00000000-0005-0000-0000-000085680000}"/>
    <cellStyle name="Normal 334 3 2 3" xfId="25793" xr:uid="{00000000-0005-0000-0000-000086680000}"/>
    <cellStyle name="Normal 334 3 2_Additional Disclosures" xfId="16627" xr:uid="{00000000-0005-0000-0000-000087680000}"/>
    <cellStyle name="Normal 334 3 3" xfId="14757" xr:uid="{00000000-0005-0000-0000-000088680000}"/>
    <cellStyle name="Normal 334 3 3 2" xfId="25795" xr:uid="{00000000-0005-0000-0000-000089680000}"/>
    <cellStyle name="Normal 334 3 4" xfId="25792" xr:uid="{00000000-0005-0000-0000-00008A680000}"/>
    <cellStyle name="Normal 334 3_Additional Disclosures" xfId="16626" xr:uid="{00000000-0005-0000-0000-00008B680000}"/>
    <cellStyle name="Normal 334 4" xfId="13868" xr:uid="{00000000-0005-0000-0000-00008C680000}"/>
    <cellStyle name="Normal 334 4 2" xfId="15013" xr:uid="{00000000-0005-0000-0000-00008D680000}"/>
    <cellStyle name="Normal 334 4 2 2" xfId="25797" xr:uid="{00000000-0005-0000-0000-00008E680000}"/>
    <cellStyle name="Normal 334 4 3" xfId="25796" xr:uid="{00000000-0005-0000-0000-00008F680000}"/>
    <cellStyle name="Normal 334 4_Additional Disclosures" xfId="16628" xr:uid="{00000000-0005-0000-0000-000090680000}"/>
    <cellStyle name="Normal 334 5" xfId="13357" xr:uid="{00000000-0005-0000-0000-000091680000}"/>
    <cellStyle name="Normal 334 5 2" xfId="25798" xr:uid="{00000000-0005-0000-0000-000092680000}"/>
    <cellStyle name="Normal 334 6" xfId="14500" xr:uid="{00000000-0005-0000-0000-000093680000}"/>
    <cellStyle name="Normal 334 6 2" xfId="25799" xr:uid="{00000000-0005-0000-0000-000094680000}"/>
    <cellStyle name="Normal 334 7" xfId="25783" xr:uid="{00000000-0005-0000-0000-000095680000}"/>
    <cellStyle name="Normal 334_Additional Disclosures" xfId="16621" xr:uid="{00000000-0005-0000-0000-000096680000}"/>
    <cellStyle name="Normal 335" xfId="12920" xr:uid="{00000000-0005-0000-0000-000097680000}"/>
    <cellStyle name="Normal 335 2" xfId="15619" xr:uid="{00000000-0005-0000-0000-000098680000}"/>
    <cellStyle name="Normal 335 2 2" xfId="25801" xr:uid="{00000000-0005-0000-0000-000099680000}"/>
    <cellStyle name="Normal 335 3" xfId="25800" xr:uid="{00000000-0005-0000-0000-00009A680000}"/>
    <cellStyle name="Normal 335_Additional Disclosures" xfId="16629" xr:uid="{00000000-0005-0000-0000-00009B680000}"/>
    <cellStyle name="Normal 336" xfId="9522" xr:uid="{00000000-0005-0000-0000-00009C680000}"/>
    <cellStyle name="Normal 336 2" xfId="9523" xr:uid="{00000000-0005-0000-0000-00009D680000}"/>
    <cellStyle name="Normal 336 2 2" xfId="11183" xr:uid="{00000000-0005-0000-0000-00009E680000}"/>
    <cellStyle name="Normal 336 2 2 2" xfId="12604" xr:uid="{00000000-0005-0000-0000-00009F680000}"/>
    <cellStyle name="Normal 336 2 2 2 2" xfId="25805" xr:uid="{00000000-0005-0000-0000-0000A0680000}"/>
    <cellStyle name="Normal 336 2 2 3" xfId="25804" xr:uid="{00000000-0005-0000-0000-0000A1680000}"/>
    <cellStyle name="Normal 336 2 3" xfId="11954" xr:uid="{00000000-0005-0000-0000-0000A2680000}"/>
    <cellStyle name="Normal 336 2 3 2" xfId="25806" xr:uid="{00000000-0005-0000-0000-0000A3680000}"/>
    <cellStyle name="Normal 336 2 4" xfId="25803" xr:uid="{00000000-0005-0000-0000-0000A4680000}"/>
    <cellStyle name="Normal 336 3" xfId="11182" xr:uid="{00000000-0005-0000-0000-0000A5680000}"/>
    <cellStyle name="Normal 336 3 2" xfId="12603" xr:uid="{00000000-0005-0000-0000-0000A6680000}"/>
    <cellStyle name="Normal 336 3 2 2" xfId="25808" xr:uid="{00000000-0005-0000-0000-0000A7680000}"/>
    <cellStyle name="Normal 336 3 3" xfId="25807" xr:uid="{00000000-0005-0000-0000-0000A8680000}"/>
    <cellStyle name="Normal 336 4" xfId="11953" xr:uid="{00000000-0005-0000-0000-0000A9680000}"/>
    <cellStyle name="Normal 336 4 2" xfId="25809" xr:uid="{00000000-0005-0000-0000-0000AA680000}"/>
    <cellStyle name="Normal 336 5" xfId="15620" xr:uid="{00000000-0005-0000-0000-0000AB680000}"/>
    <cellStyle name="Normal 336 5 2" xfId="25810" xr:uid="{00000000-0005-0000-0000-0000AC680000}"/>
    <cellStyle name="Normal 336 6" xfId="25802" xr:uid="{00000000-0005-0000-0000-0000AD680000}"/>
    <cellStyle name="Normal 336_Additional Disclosures" xfId="16630" xr:uid="{00000000-0005-0000-0000-0000AE680000}"/>
    <cellStyle name="Normal 337" xfId="12922" xr:uid="{00000000-0005-0000-0000-0000AF680000}"/>
    <cellStyle name="Normal 337 2" xfId="15621" xr:uid="{00000000-0005-0000-0000-0000B0680000}"/>
    <cellStyle name="Normal 337 2 2" xfId="25812" xr:uid="{00000000-0005-0000-0000-0000B1680000}"/>
    <cellStyle name="Normal 337 3" xfId="25811" xr:uid="{00000000-0005-0000-0000-0000B2680000}"/>
    <cellStyle name="Normal 337_Additional Disclosures" xfId="16631" xr:uid="{00000000-0005-0000-0000-0000B3680000}"/>
    <cellStyle name="Normal 338" xfId="12924" xr:uid="{00000000-0005-0000-0000-0000B4680000}"/>
    <cellStyle name="Normal 338 2" xfId="15622" xr:uid="{00000000-0005-0000-0000-0000B5680000}"/>
    <cellStyle name="Normal 338 2 2" xfId="25814" xr:uid="{00000000-0005-0000-0000-0000B6680000}"/>
    <cellStyle name="Normal 338 3" xfId="25813" xr:uid="{00000000-0005-0000-0000-0000B7680000}"/>
    <cellStyle name="Normal 338_Additional Disclosures" xfId="16632" xr:uid="{00000000-0005-0000-0000-0000B8680000}"/>
    <cellStyle name="Normal 339" xfId="13329" xr:uid="{00000000-0005-0000-0000-0000B9680000}"/>
    <cellStyle name="Normal 339 2" xfId="15623" xr:uid="{00000000-0005-0000-0000-0000BA680000}"/>
    <cellStyle name="Normal 339 2 2" xfId="25816" xr:uid="{00000000-0005-0000-0000-0000BB680000}"/>
    <cellStyle name="Normal 339 3" xfId="25815" xr:uid="{00000000-0005-0000-0000-0000BC680000}"/>
    <cellStyle name="Normal 339_Additional Disclosures" xfId="16633" xr:uid="{00000000-0005-0000-0000-0000BD680000}"/>
    <cellStyle name="Normal 34" xfId="570" xr:uid="{00000000-0005-0000-0000-0000BE680000}"/>
    <cellStyle name="Normal 34 10" xfId="28944" xr:uid="{00000000-0005-0000-0000-0000BF680000}"/>
    <cellStyle name="Normal 34 11" xfId="32118" xr:uid="{00000000-0005-0000-0000-0000C0680000}"/>
    <cellStyle name="Normal 34 12" xfId="32119" xr:uid="{00000000-0005-0000-0000-0000C1680000}"/>
    <cellStyle name="Normal 34 2" xfId="9524" xr:uid="{00000000-0005-0000-0000-0000C2680000}"/>
    <cellStyle name="Normal 34 2 10" xfId="32120" xr:uid="{00000000-0005-0000-0000-0000C3680000}"/>
    <cellStyle name="Normal 34 2 11" xfId="32121" xr:uid="{00000000-0005-0000-0000-0000C4680000}"/>
    <cellStyle name="Normal 34 2 12" xfId="32122" xr:uid="{00000000-0005-0000-0000-0000C5680000}"/>
    <cellStyle name="Normal 34 2 13" xfId="32123" xr:uid="{00000000-0005-0000-0000-0000C6680000}"/>
    <cellStyle name="Normal 34 2 14" xfId="33423" xr:uid="{00000000-0005-0000-0000-0000C7680000}"/>
    <cellStyle name="Normal 34 2 2" xfId="9525" xr:uid="{00000000-0005-0000-0000-0000C8680000}"/>
    <cellStyle name="Normal 34 2 2 2" xfId="9526" xr:uid="{00000000-0005-0000-0000-0000C9680000}"/>
    <cellStyle name="Normal 34 2 2 2 2" xfId="11186" xr:uid="{00000000-0005-0000-0000-0000CA680000}"/>
    <cellStyle name="Normal 34 2 2 2 2 2" xfId="12607" xr:uid="{00000000-0005-0000-0000-0000CB680000}"/>
    <cellStyle name="Normal 34 2 2 2 2 2 2" xfId="25822" xr:uid="{00000000-0005-0000-0000-0000CC680000}"/>
    <cellStyle name="Normal 34 2 2 2 2 3" xfId="25821" xr:uid="{00000000-0005-0000-0000-0000CD680000}"/>
    <cellStyle name="Normal 34 2 2 2 3" xfId="11957" xr:uid="{00000000-0005-0000-0000-0000CE680000}"/>
    <cellStyle name="Normal 34 2 2 2 3 2" xfId="25823" xr:uid="{00000000-0005-0000-0000-0000CF680000}"/>
    <cellStyle name="Normal 34 2 2 2 4" xfId="25820" xr:uid="{00000000-0005-0000-0000-0000D0680000}"/>
    <cellStyle name="Normal 34 2 2 3" xfId="11185" xr:uid="{00000000-0005-0000-0000-0000D1680000}"/>
    <cellStyle name="Normal 34 2 2 3 2" xfId="12606" xr:uid="{00000000-0005-0000-0000-0000D2680000}"/>
    <cellStyle name="Normal 34 2 2 3 2 2" xfId="25825" xr:uid="{00000000-0005-0000-0000-0000D3680000}"/>
    <cellStyle name="Normal 34 2 2 3 3" xfId="25824" xr:uid="{00000000-0005-0000-0000-0000D4680000}"/>
    <cellStyle name="Normal 34 2 2 4" xfId="11956" xr:uid="{00000000-0005-0000-0000-0000D5680000}"/>
    <cellStyle name="Normal 34 2 2 4 2" xfId="25826" xr:uid="{00000000-0005-0000-0000-0000D6680000}"/>
    <cellStyle name="Normal 34 2 2 5" xfId="14201" xr:uid="{00000000-0005-0000-0000-0000D7680000}"/>
    <cellStyle name="Normal 34 2 2 5 2" xfId="25827" xr:uid="{00000000-0005-0000-0000-0000D8680000}"/>
    <cellStyle name="Normal 34 2 2 6" xfId="15345" xr:uid="{00000000-0005-0000-0000-0000D9680000}"/>
    <cellStyle name="Normal 34 2 2 6 2" xfId="25828" xr:uid="{00000000-0005-0000-0000-0000DA680000}"/>
    <cellStyle name="Normal 34 2 2 7" xfId="25819" xr:uid="{00000000-0005-0000-0000-0000DB680000}"/>
    <cellStyle name="Normal 34 2 2 8" xfId="33804" xr:uid="{00000000-0005-0000-0000-0000DC680000}"/>
    <cellStyle name="Normal 34 2 2_Additional Disclosures" xfId="16636" xr:uid="{00000000-0005-0000-0000-0000DD680000}"/>
    <cellStyle name="Normal 34 2 3" xfId="9527" xr:uid="{00000000-0005-0000-0000-0000DE680000}"/>
    <cellStyle name="Normal 34 2 3 2" xfId="9528" xr:uid="{00000000-0005-0000-0000-0000DF680000}"/>
    <cellStyle name="Normal 34 2 3 2 2" xfId="11188" xr:uid="{00000000-0005-0000-0000-0000E0680000}"/>
    <cellStyle name="Normal 34 2 3 2 2 2" xfId="12609" xr:uid="{00000000-0005-0000-0000-0000E1680000}"/>
    <cellStyle name="Normal 34 2 3 2 2 2 2" xfId="25832" xr:uid="{00000000-0005-0000-0000-0000E2680000}"/>
    <cellStyle name="Normal 34 2 3 2 2 3" xfId="25831" xr:uid="{00000000-0005-0000-0000-0000E3680000}"/>
    <cellStyle name="Normal 34 2 3 2 3" xfId="11959" xr:uid="{00000000-0005-0000-0000-0000E4680000}"/>
    <cellStyle name="Normal 34 2 3 2 3 2" xfId="25833" xr:uid="{00000000-0005-0000-0000-0000E5680000}"/>
    <cellStyle name="Normal 34 2 3 2 4" xfId="25830" xr:uid="{00000000-0005-0000-0000-0000E6680000}"/>
    <cellStyle name="Normal 34 2 3 3" xfId="11187" xr:uid="{00000000-0005-0000-0000-0000E7680000}"/>
    <cellStyle name="Normal 34 2 3 3 2" xfId="12608" xr:uid="{00000000-0005-0000-0000-0000E8680000}"/>
    <cellStyle name="Normal 34 2 3 3 2 2" xfId="25835" xr:uid="{00000000-0005-0000-0000-0000E9680000}"/>
    <cellStyle name="Normal 34 2 3 3 3" xfId="25834" xr:uid="{00000000-0005-0000-0000-0000EA680000}"/>
    <cellStyle name="Normal 34 2 3 4" xfId="11958" xr:uid="{00000000-0005-0000-0000-0000EB680000}"/>
    <cellStyle name="Normal 34 2 3 4 2" xfId="25836" xr:uid="{00000000-0005-0000-0000-0000EC680000}"/>
    <cellStyle name="Normal 34 2 3 5" xfId="25829" xr:uid="{00000000-0005-0000-0000-0000ED680000}"/>
    <cellStyle name="Normal 34 2 3 6" xfId="34032" xr:uid="{00000000-0005-0000-0000-0000EE680000}"/>
    <cellStyle name="Normal 34 2 4" xfId="9529" xr:uid="{00000000-0005-0000-0000-0000EF680000}"/>
    <cellStyle name="Normal 34 2 4 2" xfId="11189" xr:uid="{00000000-0005-0000-0000-0000F0680000}"/>
    <cellStyle name="Normal 34 2 4 2 2" xfId="12610" xr:uid="{00000000-0005-0000-0000-0000F1680000}"/>
    <cellStyle name="Normal 34 2 4 2 2 2" xfId="25839" xr:uid="{00000000-0005-0000-0000-0000F2680000}"/>
    <cellStyle name="Normal 34 2 4 2 3" xfId="25838" xr:uid="{00000000-0005-0000-0000-0000F3680000}"/>
    <cellStyle name="Normal 34 2 4 3" xfId="11960" xr:uid="{00000000-0005-0000-0000-0000F4680000}"/>
    <cellStyle name="Normal 34 2 4 3 2" xfId="25840" xr:uid="{00000000-0005-0000-0000-0000F5680000}"/>
    <cellStyle name="Normal 34 2 4 4" xfId="25837" xr:uid="{00000000-0005-0000-0000-0000F6680000}"/>
    <cellStyle name="Normal 34 2 4 5" xfId="34246" xr:uid="{00000000-0005-0000-0000-0000F7680000}"/>
    <cellStyle name="Normal 34 2 5" xfId="11184" xr:uid="{00000000-0005-0000-0000-0000F8680000}"/>
    <cellStyle name="Normal 34 2 5 2" xfId="12605" xr:uid="{00000000-0005-0000-0000-0000F9680000}"/>
    <cellStyle name="Normal 34 2 5 2 2" xfId="25842" xr:uid="{00000000-0005-0000-0000-0000FA680000}"/>
    <cellStyle name="Normal 34 2 5 3" xfId="25841" xr:uid="{00000000-0005-0000-0000-0000FB680000}"/>
    <cellStyle name="Normal 34 2 6" xfId="11955" xr:uid="{00000000-0005-0000-0000-0000FC680000}"/>
    <cellStyle name="Normal 34 2 6 2" xfId="25843" xr:uid="{00000000-0005-0000-0000-0000FD680000}"/>
    <cellStyle name="Normal 34 2 7" xfId="13691" xr:uid="{00000000-0005-0000-0000-0000FE680000}"/>
    <cellStyle name="Normal 34 2 7 2" xfId="25844" xr:uid="{00000000-0005-0000-0000-0000FF680000}"/>
    <cellStyle name="Normal 34 2 8" xfId="14835" xr:uid="{00000000-0005-0000-0000-000000690000}"/>
    <cellStyle name="Normal 34 2 8 2" xfId="25845" xr:uid="{00000000-0005-0000-0000-000001690000}"/>
    <cellStyle name="Normal 34 2 9" xfId="25818" xr:uid="{00000000-0005-0000-0000-000002690000}"/>
    <cellStyle name="Normal 34 2_Additional Disclosures" xfId="16635" xr:uid="{00000000-0005-0000-0000-000003690000}"/>
    <cellStyle name="Normal 34 3" xfId="9530" xr:uid="{00000000-0005-0000-0000-000004690000}"/>
    <cellStyle name="Normal 34 3 2" xfId="9531" xr:uid="{00000000-0005-0000-0000-000005690000}"/>
    <cellStyle name="Normal 34 3 2 2" xfId="11191" xr:uid="{00000000-0005-0000-0000-000006690000}"/>
    <cellStyle name="Normal 34 3 2 2 2" xfId="12612" xr:uid="{00000000-0005-0000-0000-000007690000}"/>
    <cellStyle name="Normal 34 3 2 2 2 2" xfId="25849" xr:uid="{00000000-0005-0000-0000-000008690000}"/>
    <cellStyle name="Normal 34 3 2 2 3" xfId="25848" xr:uid="{00000000-0005-0000-0000-000009690000}"/>
    <cellStyle name="Normal 34 3 2 3" xfId="11962" xr:uid="{00000000-0005-0000-0000-00000A690000}"/>
    <cellStyle name="Normal 34 3 2 3 2" xfId="25850" xr:uid="{00000000-0005-0000-0000-00000B690000}"/>
    <cellStyle name="Normal 34 3 2 4" xfId="25847" xr:uid="{00000000-0005-0000-0000-00000C690000}"/>
    <cellStyle name="Normal 34 3 3" xfId="11190" xr:uid="{00000000-0005-0000-0000-00000D690000}"/>
    <cellStyle name="Normal 34 3 3 2" xfId="12611" xr:uid="{00000000-0005-0000-0000-00000E690000}"/>
    <cellStyle name="Normal 34 3 3 2 2" xfId="25852" xr:uid="{00000000-0005-0000-0000-00000F690000}"/>
    <cellStyle name="Normal 34 3 3 3" xfId="25851" xr:uid="{00000000-0005-0000-0000-000010690000}"/>
    <cellStyle name="Normal 34 3 4" xfId="11961" xr:uid="{00000000-0005-0000-0000-000011690000}"/>
    <cellStyle name="Normal 34 3 4 2" xfId="25853" xr:uid="{00000000-0005-0000-0000-000012690000}"/>
    <cellStyle name="Normal 34 3 5" xfId="13947" xr:uid="{00000000-0005-0000-0000-000013690000}"/>
    <cellStyle name="Normal 34 3 5 2" xfId="25854" xr:uid="{00000000-0005-0000-0000-000014690000}"/>
    <cellStyle name="Normal 34 3 6" xfId="15091" xr:uid="{00000000-0005-0000-0000-000015690000}"/>
    <cellStyle name="Normal 34 3 6 2" xfId="25855" xr:uid="{00000000-0005-0000-0000-000016690000}"/>
    <cellStyle name="Normal 34 3 7" xfId="25846" xr:uid="{00000000-0005-0000-0000-000017690000}"/>
    <cellStyle name="Normal 34 3_Additional Disclosures" xfId="16637" xr:uid="{00000000-0005-0000-0000-000018690000}"/>
    <cellStyle name="Normal 34 4" xfId="9532" xr:uid="{00000000-0005-0000-0000-000019690000}"/>
    <cellStyle name="Normal 34 4 2" xfId="9533" xr:uid="{00000000-0005-0000-0000-00001A690000}"/>
    <cellStyle name="Normal 34 4 2 2" xfId="11193" xr:uid="{00000000-0005-0000-0000-00001B690000}"/>
    <cellStyle name="Normal 34 4 2 2 2" xfId="12614" xr:uid="{00000000-0005-0000-0000-00001C690000}"/>
    <cellStyle name="Normal 34 4 2 2 2 2" xfId="25859" xr:uid="{00000000-0005-0000-0000-00001D690000}"/>
    <cellStyle name="Normal 34 4 2 2 3" xfId="25858" xr:uid="{00000000-0005-0000-0000-00001E690000}"/>
    <cellStyle name="Normal 34 4 2 3" xfId="11964" xr:uid="{00000000-0005-0000-0000-00001F690000}"/>
    <cellStyle name="Normal 34 4 2 3 2" xfId="25860" xr:uid="{00000000-0005-0000-0000-000020690000}"/>
    <cellStyle name="Normal 34 4 2 4" xfId="25857" xr:uid="{00000000-0005-0000-0000-000021690000}"/>
    <cellStyle name="Normal 34 4 3" xfId="11192" xr:uid="{00000000-0005-0000-0000-000022690000}"/>
    <cellStyle name="Normal 34 4 3 2" xfId="12613" xr:uid="{00000000-0005-0000-0000-000023690000}"/>
    <cellStyle name="Normal 34 4 3 2 2" xfId="25862" xr:uid="{00000000-0005-0000-0000-000024690000}"/>
    <cellStyle name="Normal 34 4 3 3" xfId="25861" xr:uid="{00000000-0005-0000-0000-000025690000}"/>
    <cellStyle name="Normal 34 4 4" xfId="11963" xr:uid="{00000000-0005-0000-0000-000026690000}"/>
    <cellStyle name="Normal 34 4 4 2" xfId="25863" xr:uid="{00000000-0005-0000-0000-000027690000}"/>
    <cellStyle name="Normal 34 4 5" xfId="25856" xr:uid="{00000000-0005-0000-0000-000028690000}"/>
    <cellStyle name="Normal 34 5" xfId="9534" xr:uid="{00000000-0005-0000-0000-000029690000}"/>
    <cellStyle name="Normal 34 5 2" xfId="11194" xr:uid="{00000000-0005-0000-0000-00002A690000}"/>
    <cellStyle name="Normal 34 5 2 2" xfId="12615" xr:uid="{00000000-0005-0000-0000-00002B690000}"/>
    <cellStyle name="Normal 34 5 2 2 2" xfId="25866" xr:uid="{00000000-0005-0000-0000-00002C690000}"/>
    <cellStyle name="Normal 34 5 2 3" xfId="25865" xr:uid="{00000000-0005-0000-0000-00002D690000}"/>
    <cellStyle name="Normal 34 5 3" xfId="11965" xr:uid="{00000000-0005-0000-0000-00002E690000}"/>
    <cellStyle name="Normal 34 5 3 2" xfId="25867" xr:uid="{00000000-0005-0000-0000-00002F690000}"/>
    <cellStyle name="Normal 34 5 4" xfId="25864" xr:uid="{00000000-0005-0000-0000-000030690000}"/>
    <cellStyle name="Normal 34 6" xfId="9535" xr:uid="{00000000-0005-0000-0000-000031690000}"/>
    <cellStyle name="Normal 34 6 2" xfId="25868" xr:uid="{00000000-0005-0000-0000-000032690000}"/>
    <cellStyle name="Normal 34 7" xfId="13436" xr:uid="{00000000-0005-0000-0000-000033690000}"/>
    <cellStyle name="Normal 34 7 2" xfId="25869" xr:uid="{00000000-0005-0000-0000-000034690000}"/>
    <cellStyle name="Normal 34 8" xfId="14581" xr:uid="{00000000-0005-0000-0000-000035690000}"/>
    <cellStyle name="Normal 34 8 2" xfId="25870" xr:uid="{00000000-0005-0000-0000-000036690000}"/>
    <cellStyle name="Normal 34 9" xfId="25817" xr:uid="{00000000-0005-0000-0000-000037690000}"/>
    <cellStyle name="Normal 34_Additional Disclosures" xfId="16634" xr:uid="{00000000-0005-0000-0000-000038690000}"/>
    <cellStyle name="Normal 340" xfId="15624" xr:uid="{00000000-0005-0000-0000-000039690000}"/>
    <cellStyle name="Normal 340 2" xfId="25871" xr:uid="{00000000-0005-0000-0000-00003A690000}"/>
    <cellStyle name="Normal 341" xfId="15625" xr:uid="{00000000-0005-0000-0000-00003B690000}"/>
    <cellStyle name="Normal 341 2" xfId="25872" xr:uid="{00000000-0005-0000-0000-00003C690000}"/>
    <cellStyle name="Normal 342" xfId="15626" xr:uid="{00000000-0005-0000-0000-00003D690000}"/>
    <cellStyle name="Normal 342 2" xfId="25873" xr:uid="{00000000-0005-0000-0000-00003E690000}"/>
    <cellStyle name="Normal 343" xfId="15627" xr:uid="{00000000-0005-0000-0000-00003F690000}"/>
    <cellStyle name="Normal 343 2" xfId="25874" xr:uid="{00000000-0005-0000-0000-000040690000}"/>
    <cellStyle name="Normal 344" xfId="15628" xr:uid="{00000000-0005-0000-0000-000041690000}"/>
    <cellStyle name="Normal 344 2" xfId="25875" xr:uid="{00000000-0005-0000-0000-000042690000}"/>
    <cellStyle name="Normal 345" xfId="15629" xr:uid="{00000000-0005-0000-0000-000043690000}"/>
    <cellStyle name="Normal 345 2" xfId="25876" xr:uid="{00000000-0005-0000-0000-000044690000}"/>
    <cellStyle name="Normal 346" xfId="15630" xr:uid="{00000000-0005-0000-0000-000045690000}"/>
    <cellStyle name="Normal 346 2" xfId="25877" xr:uid="{00000000-0005-0000-0000-000046690000}"/>
    <cellStyle name="Normal 347" xfId="15631" xr:uid="{00000000-0005-0000-0000-000047690000}"/>
    <cellStyle name="Normal 347 2" xfId="25878" xr:uid="{00000000-0005-0000-0000-000048690000}"/>
    <cellStyle name="Normal 348" xfId="15632" xr:uid="{00000000-0005-0000-0000-000049690000}"/>
    <cellStyle name="Normal 348 2" xfId="25879" xr:uid="{00000000-0005-0000-0000-00004A690000}"/>
    <cellStyle name="Normal 349" xfId="15633" xr:uid="{00000000-0005-0000-0000-00004B690000}"/>
    <cellStyle name="Normal 349 2" xfId="25880" xr:uid="{00000000-0005-0000-0000-00004C690000}"/>
    <cellStyle name="Normal 35" xfId="571" xr:uid="{00000000-0005-0000-0000-00004D690000}"/>
    <cellStyle name="Normal 35 10" xfId="28949" xr:uid="{00000000-0005-0000-0000-00004E690000}"/>
    <cellStyle name="Normal 35 11" xfId="32124" xr:uid="{00000000-0005-0000-0000-00004F690000}"/>
    <cellStyle name="Normal 35 12" xfId="32125" xr:uid="{00000000-0005-0000-0000-000050690000}"/>
    <cellStyle name="Normal 35 2" xfId="12141" xr:uid="{00000000-0005-0000-0000-000051690000}"/>
    <cellStyle name="Normal 35 2 10" xfId="32126" xr:uid="{00000000-0005-0000-0000-000052690000}"/>
    <cellStyle name="Normal 35 2 11" xfId="33424" xr:uid="{00000000-0005-0000-0000-000053690000}"/>
    <cellStyle name="Normal 35 2 2" xfId="12140" xr:uid="{00000000-0005-0000-0000-000054690000}"/>
    <cellStyle name="Normal 35 2 2 2" xfId="14202" xr:uid="{00000000-0005-0000-0000-000055690000}"/>
    <cellStyle name="Normal 35 2 2 2 2" xfId="25884" xr:uid="{00000000-0005-0000-0000-000056690000}"/>
    <cellStyle name="Normal 35 2 2 3" xfId="15346" xr:uid="{00000000-0005-0000-0000-000057690000}"/>
    <cellStyle name="Normal 35 2 2 3 2" xfId="25885" xr:uid="{00000000-0005-0000-0000-000058690000}"/>
    <cellStyle name="Normal 35 2 2 4" xfId="25883" xr:uid="{00000000-0005-0000-0000-000059690000}"/>
    <cellStyle name="Normal 35 2 2 5" xfId="33805" xr:uid="{00000000-0005-0000-0000-00005A690000}"/>
    <cellStyle name="Normal 35 2 2_Additional Disclosures" xfId="16640" xr:uid="{00000000-0005-0000-0000-00005B690000}"/>
    <cellStyle name="Normal 35 2 3" xfId="13692" xr:uid="{00000000-0005-0000-0000-00005C690000}"/>
    <cellStyle name="Normal 35 2 3 2" xfId="25886" xr:uid="{00000000-0005-0000-0000-00005D690000}"/>
    <cellStyle name="Normal 35 2 3 3" xfId="34033" xr:uid="{00000000-0005-0000-0000-00005E690000}"/>
    <cellStyle name="Normal 35 2 4" xfId="14836" xr:uid="{00000000-0005-0000-0000-00005F690000}"/>
    <cellStyle name="Normal 35 2 4 2" xfId="25887" xr:uid="{00000000-0005-0000-0000-000060690000}"/>
    <cellStyle name="Normal 35 2 4 3" xfId="34247" xr:uid="{00000000-0005-0000-0000-000061690000}"/>
    <cellStyle name="Normal 35 2 5" xfId="25882" xr:uid="{00000000-0005-0000-0000-000062690000}"/>
    <cellStyle name="Normal 35 2 6" xfId="32127" xr:uid="{00000000-0005-0000-0000-000063690000}"/>
    <cellStyle name="Normal 35 2 7" xfId="32128" xr:uid="{00000000-0005-0000-0000-000064690000}"/>
    <cellStyle name="Normal 35 2 8" xfId="32129" xr:uid="{00000000-0005-0000-0000-000065690000}"/>
    <cellStyle name="Normal 35 2 9" xfId="32130" xr:uid="{00000000-0005-0000-0000-000066690000}"/>
    <cellStyle name="Normal 35 2_Additional Disclosures" xfId="16639" xr:uid="{00000000-0005-0000-0000-000067690000}"/>
    <cellStyle name="Normal 35 3" xfId="12139" xr:uid="{00000000-0005-0000-0000-000068690000}"/>
    <cellStyle name="Normal 35 3 2" xfId="13948" xr:uid="{00000000-0005-0000-0000-000069690000}"/>
    <cellStyle name="Normal 35 3 2 2" xfId="25889" xr:uid="{00000000-0005-0000-0000-00006A690000}"/>
    <cellStyle name="Normal 35 3 3" xfId="15092" xr:uid="{00000000-0005-0000-0000-00006B690000}"/>
    <cellStyle name="Normal 35 3 3 2" xfId="25890" xr:uid="{00000000-0005-0000-0000-00006C690000}"/>
    <cellStyle name="Normal 35 3 4" xfId="25888" xr:uid="{00000000-0005-0000-0000-00006D690000}"/>
    <cellStyle name="Normal 35 3_Additional Disclosures" xfId="16641" xr:uid="{00000000-0005-0000-0000-00006E690000}"/>
    <cellStyle name="Normal 35 4" xfId="12142" xr:uid="{00000000-0005-0000-0000-00006F690000}"/>
    <cellStyle name="Normal 35 4 2" xfId="25891" xr:uid="{00000000-0005-0000-0000-000070690000}"/>
    <cellStyle name="Normal 35 5" xfId="13437" xr:uid="{00000000-0005-0000-0000-000071690000}"/>
    <cellStyle name="Normal 35 5 2" xfId="25892" xr:uid="{00000000-0005-0000-0000-000072690000}"/>
    <cellStyle name="Normal 35 6" xfId="14582" xr:uid="{00000000-0005-0000-0000-000073690000}"/>
    <cellStyle name="Normal 35 6 2" xfId="25893" xr:uid="{00000000-0005-0000-0000-000074690000}"/>
    <cellStyle name="Normal 35 7" xfId="25881" xr:uid="{00000000-0005-0000-0000-000075690000}"/>
    <cellStyle name="Normal 35 8" xfId="28945" xr:uid="{00000000-0005-0000-0000-000076690000}"/>
    <cellStyle name="Normal 35 9" xfId="17043" xr:uid="{00000000-0005-0000-0000-000077690000}"/>
    <cellStyle name="Normal 35_Additional Disclosures" xfId="16638" xr:uid="{00000000-0005-0000-0000-000078690000}"/>
    <cellStyle name="Normal 350" xfId="15634" xr:uid="{00000000-0005-0000-0000-000079690000}"/>
    <cellStyle name="Normal 350 2" xfId="25894" xr:uid="{00000000-0005-0000-0000-00007A690000}"/>
    <cellStyle name="Normal 351" xfId="15635" xr:uid="{00000000-0005-0000-0000-00007B690000}"/>
    <cellStyle name="Normal 351 2" xfId="25895" xr:uid="{00000000-0005-0000-0000-00007C690000}"/>
    <cellStyle name="Normal 352" xfId="15636" xr:uid="{00000000-0005-0000-0000-00007D690000}"/>
    <cellStyle name="Normal 352 2" xfId="25896" xr:uid="{00000000-0005-0000-0000-00007E690000}"/>
    <cellStyle name="Normal 353" xfId="15637" xr:uid="{00000000-0005-0000-0000-00007F690000}"/>
    <cellStyle name="Normal 353 2" xfId="25897" xr:uid="{00000000-0005-0000-0000-000080690000}"/>
    <cellStyle name="Normal 354" xfId="15638" xr:uid="{00000000-0005-0000-0000-000081690000}"/>
    <cellStyle name="Normal 354 2" xfId="25898" xr:uid="{00000000-0005-0000-0000-000082690000}"/>
    <cellStyle name="Normal 355" xfId="15639" xr:uid="{00000000-0005-0000-0000-000083690000}"/>
    <cellStyle name="Normal 355 2" xfId="25899" xr:uid="{00000000-0005-0000-0000-000084690000}"/>
    <cellStyle name="Normal 356" xfId="15640" xr:uid="{00000000-0005-0000-0000-000085690000}"/>
    <cellStyle name="Normal 356 2" xfId="25900" xr:uid="{00000000-0005-0000-0000-000086690000}"/>
    <cellStyle name="Normal 357" xfId="15641" xr:uid="{00000000-0005-0000-0000-000087690000}"/>
    <cellStyle name="Normal 357 2" xfId="25901" xr:uid="{00000000-0005-0000-0000-000088690000}"/>
    <cellStyle name="Normal 358" xfId="15642" xr:uid="{00000000-0005-0000-0000-000089690000}"/>
    <cellStyle name="Normal 358 2" xfId="25902" xr:uid="{00000000-0005-0000-0000-00008A690000}"/>
    <cellStyle name="Normal 359" xfId="15643" xr:uid="{00000000-0005-0000-0000-00008B690000}"/>
    <cellStyle name="Normal 359 2" xfId="25903" xr:uid="{00000000-0005-0000-0000-00008C690000}"/>
    <cellStyle name="Normal 36" xfId="572" xr:uid="{00000000-0005-0000-0000-00008D690000}"/>
    <cellStyle name="Normal 36 10" xfId="17062" xr:uid="{00000000-0005-0000-0000-00008E690000}"/>
    <cellStyle name="Normal 36 11" xfId="32131" xr:uid="{00000000-0005-0000-0000-00008F690000}"/>
    <cellStyle name="Normal 36 12" xfId="33256" xr:uid="{00000000-0005-0000-0000-000090690000}"/>
    <cellStyle name="Normal 36 2" xfId="9536" xr:uid="{00000000-0005-0000-0000-000091690000}"/>
    <cellStyle name="Normal 36 2 2" xfId="11195" xr:uid="{00000000-0005-0000-0000-000092690000}"/>
    <cellStyle name="Normal 36 2 2 2" xfId="12616" xr:uid="{00000000-0005-0000-0000-000093690000}"/>
    <cellStyle name="Normal 36 2 2 2 2" xfId="25907" xr:uid="{00000000-0005-0000-0000-000094690000}"/>
    <cellStyle name="Normal 36 2 2 3" xfId="14203" xr:uid="{00000000-0005-0000-0000-000095690000}"/>
    <cellStyle name="Normal 36 2 2 3 2" xfId="25908" xr:uid="{00000000-0005-0000-0000-000096690000}"/>
    <cellStyle name="Normal 36 2 2 4" xfId="15347" xr:uid="{00000000-0005-0000-0000-000097690000}"/>
    <cellStyle name="Normal 36 2 2 4 2" xfId="25909" xr:uid="{00000000-0005-0000-0000-000098690000}"/>
    <cellStyle name="Normal 36 2 2 5" xfId="25906" xr:uid="{00000000-0005-0000-0000-000099690000}"/>
    <cellStyle name="Normal 36 2 2 6" xfId="33739" xr:uid="{00000000-0005-0000-0000-00009A690000}"/>
    <cellStyle name="Normal 36 2 2_Additional Disclosures" xfId="16644" xr:uid="{00000000-0005-0000-0000-00009B690000}"/>
    <cellStyle name="Normal 36 2 3" xfId="11966" xr:uid="{00000000-0005-0000-0000-00009C690000}"/>
    <cellStyle name="Normal 36 2 3 2" xfId="25910" xr:uid="{00000000-0005-0000-0000-00009D690000}"/>
    <cellStyle name="Normal 36 2 3 3" xfId="33968" xr:uid="{00000000-0005-0000-0000-00009E690000}"/>
    <cellStyle name="Normal 36 2 4" xfId="13693" xr:uid="{00000000-0005-0000-0000-00009F690000}"/>
    <cellStyle name="Normal 36 2 4 2" xfId="25911" xr:uid="{00000000-0005-0000-0000-0000A0690000}"/>
    <cellStyle name="Normal 36 2 4 3" xfId="34182" xr:uid="{00000000-0005-0000-0000-0000A1690000}"/>
    <cellStyle name="Normal 36 2 5" xfId="14837" xr:uid="{00000000-0005-0000-0000-0000A2690000}"/>
    <cellStyle name="Normal 36 2 5 2" xfId="25912" xr:uid="{00000000-0005-0000-0000-0000A3690000}"/>
    <cellStyle name="Normal 36 2 6" xfId="25905" xr:uid="{00000000-0005-0000-0000-0000A4690000}"/>
    <cellStyle name="Normal 36 2 7" xfId="32132" xr:uid="{00000000-0005-0000-0000-0000A5690000}"/>
    <cellStyle name="Normal 36 2 8" xfId="32133" xr:uid="{00000000-0005-0000-0000-0000A6690000}"/>
    <cellStyle name="Normal 36 2 9" xfId="33355" xr:uid="{00000000-0005-0000-0000-0000A7690000}"/>
    <cellStyle name="Normal 36 2_Additional Disclosures" xfId="16643" xr:uid="{00000000-0005-0000-0000-0000A8690000}"/>
    <cellStyle name="Normal 36 3" xfId="12138" xr:uid="{00000000-0005-0000-0000-0000A9690000}"/>
    <cellStyle name="Normal 36 3 2" xfId="13949" xr:uid="{00000000-0005-0000-0000-0000AA690000}"/>
    <cellStyle name="Normal 36 3 2 2" xfId="25914" xr:uid="{00000000-0005-0000-0000-0000AB690000}"/>
    <cellStyle name="Normal 36 3 3" xfId="15093" xr:uid="{00000000-0005-0000-0000-0000AC690000}"/>
    <cellStyle name="Normal 36 3 3 2" xfId="25915" xr:uid="{00000000-0005-0000-0000-0000AD690000}"/>
    <cellStyle name="Normal 36 3 4" xfId="25913" xr:uid="{00000000-0005-0000-0000-0000AE690000}"/>
    <cellStyle name="Normal 36 3 5" xfId="33641" xr:uid="{00000000-0005-0000-0000-0000AF690000}"/>
    <cellStyle name="Normal 36 3_Additional Disclosures" xfId="16645" xr:uid="{00000000-0005-0000-0000-0000B0690000}"/>
    <cellStyle name="Normal 36 4" xfId="13438" xr:uid="{00000000-0005-0000-0000-0000B1690000}"/>
    <cellStyle name="Normal 36 4 2" xfId="25916" xr:uid="{00000000-0005-0000-0000-0000B2690000}"/>
    <cellStyle name="Normal 36 4 3" xfId="33870" xr:uid="{00000000-0005-0000-0000-0000B3690000}"/>
    <cellStyle name="Normal 36 5" xfId="14583" xr:uid="{00000000-0005-0000-0000-0000B4690000}"/>
    <cellStyle name="Normal 36 5 2" xfId="25917" xr:uid="{00000000-0005-0000-0000-0000B5690000}"/>
    <cellStyle name="Normal 36 5 3" xfId="34085" xr:uid="{00000000-0005-0000-0000-0000B6690000}"/>
    <cellStyle name="Normal 36 6" xfId="25904" xr:uid="{00000000-0005-0000-0000-0000B7690000}"/>
    <cellStyle name="Normal 36 7" xfId="28946" xr:uid="{00000000-0005-0000-0000-0000B8690000}"/>
    <cellStyle name="Normal 36 8" xfId="17044" xr:uid="{00000000-0005-0000-0000-0000B9690000}"/>
    <cellStyle name="Normal 36 9" xfId="28950" xr:uid="{00000000-0005-0000-0000-0000BA690000}"/>
    <cellStyle name="Normal 36_Additional Disclosures" xfId="16642" xr:uid="{00000000-0005-0000-0000-0000BB690000}"/>
    <cellStyle name="Normal 360" xfId="15644" xr:uid="{00000000-0005-0000-0000-0000BC690000}"/>
    <cellStyle name="Normal 360 2" xfId="25918" xr:uid="{00000000-0005-0000-0000-0000BD690000}"/>
    <cellStyle name="Normal 361" xfId="15645" xr:uid="{00000000-0005-0000-0000-0000BE690000}"/>
    <cellStyle name="Normal 361 2" xfId="25919" xr:uid="{00000000-0005-0000-0000-0000BF690000}"/>
    <cellStyle name="Normal 362" xfId="15646" xr:uid="{00000000-0005-0000-0000-0000C0690000}"/>
    <cellStyle name="Normal 362 2" xfId="25920" xr:uid="{00000000-0005-0000-0000-0000C1690000}"/>
    <cellStyle name="Normal 363" xfId="15647" xr:uid="{00000000-0005-0000-0000-0000C2690000}"/>
    <cellStyle name="Normal 363 2" xfId="25921" xr:uid="{00000000-0005-0000-0000-0000C3690000}"/>
    <cellStyle name="Normal 364" xfId="15648" xr:uid="{00000000-0005-0000-0000-0000C4690000}"/>
    <cellStyle name="Normal 364 2" xfId="25922" xr:uid="{00000000-0005-0000-0000-0000C5690000}"/>
    <cellStyle name="Normal 365" xfId="15649" xr:uid="{00000000-0005-0000-0000-0000C6690000}"/>
    <cellStyle name="Normal 365 2" xfId="25923" xr:uid="{00000000-0005-0000-0000-0000C7690000}"/>
    <cellStyle name="Normal 366" xfId="15650" xr:uid="{00000000-0005-0000-0000-0000C8690000}"/>
    <cellStyle name="Normal 366 2" xfId="25924" xr:uid="{00000000-0005-0000-0000-0000C9690000}"/>
    <cellStyle name="Normal 367" xfId="15651" xr:uid="{00000000-0005-0000-0000-0000CA690000}"/>
    <cellStyle name="Normal 367 2" xfId="25925" xr:uid="{00000000-0005-0000-0000-0000CB690000}"/>
    <cellStyle name="Normal 367 2 2" xfId="33769" xr:uid="{00000000-0005-0000-0000-0000CC690000}"/>
    <cellStyle name="Normal 367 3" xfId="33997" xr:uid="{00000000-0005-0000-0000-0000CD690000}"/>
    <cellStyle name="Normal 367 4" xfId="34211" xr:uid="{00000000-0005-0000-0000-0000CE690000}"/>
    <cellStyle name="Normal 367 5" xfId="33388" xr:uid="{00000000-0005-0000-0000-0000CF690000}"/>
    <cellStyle name="Normal 368" xfId="15652" xr:uid="{00000000-0005-0000-0000-0000D0690000}"/>
    <cellStyle name="Normal 368 2" xfId="25926" xr:uid="{00000000-0005-0000-0000-0000D1690000}"/>
    <cellStyle name="Normal 369" xfId="15653" xr:uid="{00000000-0005-0000-0000-0000D2690000}"/>
    <cellStyle name="Normal 369 2" xfId="25927" xr:uid="{00000000-0005-0000-0000-0000D3690000}"/>
    <cellStyle name="Normal 37" xfId="573" xr:uid="{00000000-0005-0000-0000-0000D4690000}"/>
    <cellStyle name="Normal 37 10" xfId="28952" xr:uid="{00000000-0005-0000-0000-0000D5690000}"/>
    <cellStyle name="Normal 37 11" xfId="32134" xr:uid="{00000000-0005-0000-0000-0000D6690000}"/>
    <cellStyle name="Normal 37 12" xfId="33260" xr:uid="{00000000-0005-0000-0000-0000D7690000}"/>
    <cellStyle name="Normal 37 2" xfId="12136" xr:uid="{00000000-0005-0000-0000-0000D8690000}"/>
    <cellStyle name="Normal 37 2 2" xfId="12135" xr:uid="{00000000-0005-0000-0000-0000D9690000}"/>
    <cellStyle name="Normal 37 2 2 2" xfId="14204" xr:uid="{00000000-0005-0000-0000-0000DA690000}"/>
    <cellStyle name="Normal 37 2 2 2 2" xfId="25931" xr:uid="{00000000-0005-0000-0000-0000DB690000}"/>
    <cellStyle name="Normal 37 2 2 3" xfId="15348" xr:uid="{00000000-0005-0000-0000-0000DC690000}"/>
    <cellStyle name="Normal 37 2 2 3 2" xfId="25932" xr:uid="{00000000-0005-0000-0000-0000DD690000}"/>
    <cellStyle name="Normal 37 2 2 4" xfId="25930" xr:uid="{00000000-0005-0000-0000-0000DE690000}"/>
    <cellStyle name="Normal 37 2 2 5" xfId="33742" xr:uid="{00000000-0005-0000-0000-0000DF690000}"/>
    <cellStyle name="Normal 37 2 2_Additional Disclosures" xfId="16648" xr:uid="{00000000-0005-0000-0000-0000E0690000}"/>
    <cellStyle name="Normal 37 2 3" xfId="13694" xr:uid="{00000000-0005-0000-0000-0000E1690000}"/>
    <cellStyle name="Normal 37 2 3 2" xfId="25933" xr:uid="{00000000-0005-0000-0000-0000E2690000}"/>
    <cellStyle name="Normal 37 2 3 3" xfId="33971" xr:uid="{00000000-0005-0000-0000-0000E3690000}"/>
    <cellStyle name="Normal 37 2 4" xfId="14838" xr:uid="{00000000-0005-0000-0000-0000E4690000}"/>
    <cellStyle name="Normal 37 2 4 2" xfId="25934" xr:uid="{00000000-0005-0000-0000-0000E5690000}"/>
    <cellStyle name="Normal 37 2 4 3" xfId="34185" xr:uid="{00000000-0005-0000-0000-0000E6690000}"/>
    <cellStyle name="Normal 37 2 5" xfId="25929" xr:uid="{00000000-0005-0000-0000-0000E7690000}"/>
    <cellStyle name="Normal 37 2 6" xfId="32135" xr:uid="{00000000-0005-0000-0000-0000E8690000}"/>
    <cellStyle name="Normal 37 2 7" xfId="32136" xr:uid="{00000000-0005-0000-0000-0000E9690000}"/>
    <cellStyle name="Normal 37 2 8" xfId="33358" xr:uid="{00000000-0005-0000-0000-0000EA690000}"/>
    <cellStyle name="Normal 37 2_Additional Disclosures" xfId="16647" xr:uid="{00000000-0005-0000-0000-0000EB690000}"/>
    <cellStyle name="Normal 37 3" xfId="12134" xr:uid="{00000000-0005-0000-0000-0000EC690000}"/>
    <cellStyle name="Normal 37 3 2" xfId="13950" xr:uid="{00000000-0005-0000-0000-0000ED690000}"/>
    <cellStyle name="Normal 37 3 2 2" xfId="25936" xr:uid="{00000000-0005-0000-0000-0000EE690000}"/>
    <cellStyle name="Normal 37 3 3" xfId="15094" xr:uid="{00000000-0005-0000-0000-0000EF690000}"/>
    <cellStyle name="Normal 37 3 3 2" xfId="25937" xr:uid="{00000000-0005-0000-0000-0000F0690000}"/>
    <cellStyle name="Normal 37 3 4" xfId="25935" xr:uid="{00000000-0005-0000-0000-0000F1690000}"/>
    <cellStyle name="Normal 37 3 5" xfId="33645" xr:uid="{00000000-0005-0000-0000-0000F2690000}"/>
    <cellStyle name="Normal 37 3_Additional Disclosures" xfId="16649" xr:uid="{00000000-0005-0000-0000-0000F3690000}"/>
    <cellStyle name="Normal 37 4" xfId="12137" xr:uid="{00000000-0005-0000-0000-0000F4690000}"/>
    <cellStyle name="Normal 37 4 2" xfId="25938" xr:uid="{00000000-0005-0000-0000-0000F5690000}"/>
    <cellStyle name="Normal 37 4 3" xfId="33873" xr:uid="{00000000-0005-0000-0000-0000F6690000}"/>
    <cellStyle name="Normal 37 5" xfId="13439" xr:uid="{00000000-0005-0000-0000-0000F7690000}"/>
    <cellStyle name="Normal 37 5 2" xfId="25939" xr:uid="{00000000-0005-0000-0000-0000F8690000}"/>
    <cellStyle name="Normal 37 5 3" xfId="34088" xr:uid="{00000000-0005-0000-0000-0000F9690000}"/>
    <cellStyle name="Normal 37 6" xfId="14584" xr:uid="{00000000-0005-0000-0000-0000FA690000}"/>
    <cellStyle name="Normal 37 6 2" xfId="25940" xr:uid="{00000000-0005-0000-0000-0000FB690000}"/>
    <cellStyle name="Normal 37 7" xfId="25928" xr:uid="{00000000-0005-0000-0000-0000FC690000}"/>
    <cellStyle name="Normal 37 8" xfId="28947" xr:uid="{00000000-0005-0000-0000-0000FD690000}"/>
    <cellStyle name="Normal 37 9" xfId="17046" xr:uid="{00000000-0005-0000-0000-0000FE690000}"/>
    <cellStyle name="Normal 37_Additional Disclosures" xfId="16646" xr:uid="{00000000-0005-0000-0000-0000FF690000}"/>
    <cellStyle name="Normal 370" xfId="15654" xr:uid="{00000000-0005-0000-0000-0000006A0000}"/>
    <cellStyle name="Normal 370 2" xfId="25941" xr:uid="{00000000-0005-0000-0000-0000016A0000}"/>
    <cellStyle name="Normal 371" xfId="15655" xr:uid="{00000000-0005-0000-0000-0000026A0000}"/>
    <cellStyle name="Normal 371 2" xfId="25942" xr:uid="{00000000-0005-0000-0000-0000036A0000}"/>
    <cellStyle name="Normal 372" xfId="15656" xr:uid="{00000000-0005-0000-0000-0000046A0000}"/>
    <cellStyle name="Normal 372 2" xfId="25943" xr:uid="{00000000-0005-0000-0000-0000056A0000}"/>
    <cellStyle name="Normal 373" xfId="15657" xr:uid="{00000000-0005-0000-0000-0000066A0000}"/>
    <cellStyle name="Normal 373 2" xfId="25944" xr:uid="{00000000-0005-0000-0000-0000076A0000}"/>
    <cellStyle name="Normal 374" xfId="15658" xr:uid="{00000000-0005-0000-0000-0000086A0000}"/>
    <cellStyle name="Normal 374 2" xfId="25945" xr:uid="{00000000-0005-0000-0000-0000096A0000}"/>
    <cellStyle name="Normal 375" xfId="15659" xr:uid="{00000000-0005-0000-0000-00000A6A0000}"/>
    <cellStyle name="Normal 375 2" xfId="25946" xr:uid="{00000000-0005-0000-0000-00000B6A0000}"/>
    <cellStyle name="Normal 376" xfId="15660" xr:uid="{00000000-0005-0000-0000-00000C6A0000}"/>
    <cellStyle name="Normal 376 2" xfId="25947" xr:uid="{00000000-0005-0000-0000-00000D6A0000}"/>
    <cellStyle name="Normal 377" xfId="15661" xr:uid="{00000000-0005-0000-0000-00000E6A0000}"/>
    <cellStyle name="Normal 377 2" xfId="25948" xr:uid="{00000000-0005-0000-0000-00000F6A0000}"/>
    <cellStyle name="Normal 378" xfId="15662" xr:uid="{00000000-0005-0000-0000-0000106A0000}"/>
    <cellStyle name="Normal 378 2" xfId="25949" xr:uid="{00000000-0005-0000-0000-0000116A0000}"/>
    <cellStyle name="Normal 379" xfId="15663" xr:uid="{00000000-0005-0000-0000-0000126A0000}"/>
    <cellStyle name="Normal 379 2" xfId="25950" xr:uid="{00000000-0005-0000-0000-0000136A0000}"/>
    <cellStyle name="Normal 38" xfId="180" xr:uid="{00000000-0005-0000-0000-0000146A0000}"/>
    <cellStyle name="Normal 38 10" xfId="28955" xr:uid="{00000000-0005-0000-0000-0000156A0000}"/>
    <cellStyle name="Normal 38 11" xfId="32137" xr:uid="{00000000-0005-0000-0000-0000166A0000}"/>
    <cellStyle name="Normal 38 12" xfId="32138" xr:uid="{00000000-0005-0000-0000-0000176A0000}"/>
    <cellStyle name="Normal 38 13" xfId="33261" xr:uid="{00000000-0005-0000-0000-0000186A0000}"/>
    <cellStyle name="Normal 38 14" xfId="574" xr:uid="{00000000-0005-0000-0000-0000196A0000}"/>
    <cellStyle name="Normal 38 2" xfId="358" xr:uid="{00000000-0005-0000-0000-00001A6A0000}"/>
    <cellStyle name="Normal 38 2 10" xfId="33425" xr:uid="{00000000-0005-0000-0000-00001B6A0000}"/>
    <cellStyle name="Normal 38 2 11" xfId="9537" xr:uid="{00000000-0005-0000-0000-00001C6A0000}"/>
    <cellStyle name="Normal 38 2 2" xfId="12132" xr:uid="{00000000-0005-0000-0000-00001D6A0000}"/>
    <cellStyle name="Normal 38 2 2 2" xfId="14165" xr:uid="{00000000-0005-0000-0000-00001E6A0000}"/>
    <cellStyle name="Normal 38 2 2 2 2" xfId="15309" xr:uid="{00000000-0005-0000-0000-00001F6A0000}"/>
    <cellStyle name="Normal 38 2 2 2 2 2" xfId="25955" xr:uid="{00000000-0005-0000-0000-0000206A0000}"/>
    <cellStyle name="Normal 38 2 2 2 3" xfId="25954" xr:uid="{00000000-0005-0000-0000-0000216A0000}"/>
    <cellStyle name="Normal 38 2 2 2_Additional Disclosures" xfId="16653" xr:uid="{00000000-0005-0000-0000-0000226A0000}"/>
    <cellStyle name="Normal 38 2 2 3" xfId="13654" xr:uid="{00000000-0005-0000-0000-0000236A0000}"/>
    <cellStyle name="Normal 38 2 2 3 2" xfId="25956" xr:uid="{00000000-0005-0000-0000-0000246A0000}"/>
    <cellStyle name="Normal 38 2 2 4" xfId="14799" xr:uid="{00000000-0005-0000-0000-0000256A0000}"/>
    <cellStyle name="Normal 38 2 2 4 2" xfId="25957" xr:uid="{00000000-0005-0000-0000-0000266A0000}"/>
    <cellStyle name="Normal 38 2 2 5" xfId="25953" xr:uid="{00000000-0005-0000-0000-0000276A0000}"/>
    <cellStyle name="Normal 38 2 2 6" xfId="33806" xr:uid="{00000000-0005-0000-0000-0000286A0000}"/>
    <cellStyle name="Normal 38 2 2 7" xfId="34303" xr:uid="{00000000-0005-0000-0000-0000296A0000}"/>
    <cellStyle name="Normal 38 2 2_Additional Disclosures" xfId="16652" xr:uid="{00000000-0005-0000-0000-00002A6A0000}"/>
    <cellStyle name="Normal 38 2 3" xfId="12133" xr:uid="{00000000-0005-0000-0000-00002B6A0000}"/>
    <cellStyle name="Normal 38 2 3 2" xfId="13910" xr:uid="{00000000-0005-0000-0000-00002C6A0000}"/>
    <cellStyle name="Normal 38 2 3 2 2" xfId="25959" xr:uid="{00000000-0005-0000-0000-00002D6A0000}"/>
    <cellStyle name="Normal 38 2 3 3" xfId="15055" xr:uid="{00000000-0005-0000-0000-00002E6A0000}"/>
    <cellStyle name="Normal 38 2 3 3 2" xfId="25960" xr:uid="{00000000-0005-0000-0000-00002F6A0000}"/>
    <cellStyle name="Normal 38 2 3 4" xfId="25958" xr:uid="{00000000-0005-0000-0000-0000306A0000}"/>
    <cellStyle name="Normal 38 2 3 5" xfId="34034" xr:uid="{00000000-0005-0000-0000-0000316A0000}"/>
    <cellStyle name="Normal 38 2 3_Additional Disclosures" xfId="16654" xr:uid="{00000000-0005-0000-0000-0000326A0000}"/>
    <cellStyle name="Normal 38 2 4" xfId="13399" xr:uid="{00000000-0005-0000-0000-0000336A0000}"/>
    <cellStyle name="Normal 38 2 4 2" xfId="25961" xr:uid="{00000000-0005-0000-0000-0000346A0000}"/>
    <cellStyle name="Normal 38 2 4 3" xfId="34248" xr:uid="{00000000-0005-0000-0000-0000356A0000}"/>
    <cellStyle name="Normal 38 2 5" xfId="14543" xr:uid="{00000000-0005-0000-0000-0000366A0000}"/>
    <cellStyle name="Normal 38 2 5 2" xfId="25962" xr:uid="{00000000-0005-0000-0000-0000376A0000}"/>
    <cellStyle name="Normal 38 2 6" xfId="25952" xr:uid="{00000000-0005-0000-0000-0000386A0000}"/>
    <cellStyle name="Normal 38 2 7" xfId="32139" xr:uid="{00000000-0005-0000-0000-0000396A0000}"/>
    <cellStyle name="Normal 38 2 8" xfId="32140" xr:uid="{00000000-0005-0000-0000-00003A6A0000}"/>
    <cellStyle name="Normal 38 2 9" xfId="32141" xr:uid="{00000000-0005-0000-0000-00003B6A0000}"/>
    <cellStyle name="Normal 38 2_Additional Disclosures" xfId="16651" xr:uid="{00000000-0005-0000-0000-00003C6A0000}"/>
    <cellStyle name="Normal 38 3" xfId="9538" xr:uid="{00000000-0005-0000-0000-00003D6A0000}"/>
    <cellStyle name="Normal 38 3 10" xfId="33263" xr:uid="{00000000-0005-0000-0000-00003E6A0000}"/>
    <cellStyle name="Normal 38 3 2" xfId="11196" xr:uid="{00000000-0005-0000-0000-00003F6A0000}"/>
    <cellStyle name="Normal 38 3 2 2" xfId="12617" xr:uid="{00000000-0005-0000-0000-0000406A0000}"/>
    <cellStyle name="Normal 38 3 2 2 2" xfId="25965" xr:uid="{00000000-0005-0000-0000-0000416A0000}"/>
    <cellStyle name="Normal 38 3 2 3" xfId="14125" xr:uid="{00000000-0005-0000-0000-0000426A0000}"/>
    <cellStyle name="Normal 38 3 2 3 2" xfId="25966" xr:uid="{00000000-0005-0000-0000-0000436A0000}"/>
    <cellStyle name="Normal 38 3 2 4" xfId="15269" xr:uid="{00000000-0005-0000-0000-0000446A0000}"/>
    <cellStyle name="Normal 38 3 2 4 2" xfId="25967" xr:uid="{00000000-0005-0000-0000-0000456A0000}"/>
    <cellStyle name="Normal 38 3 2 5" xfId="25964" xr:uid="{00000000-0005-0000-0000-0000466A0000}"/>
    <cellStyle name="Normal 38 3 2_Additional Disclosures" xfId="16656" xr:uid="{00000000-0005-0000-0000-0000476A0000}"/>
    <cellStyle name="Normal 38 3 3" xfId="11967" xr:uid="{00000000-0005-0000-0000-0000486A0000}"/>
    <cellStyle name="Normal 38 3 3 2" xfId="25968" xr:uid="{00000000-0005-0000-0000-0000496A0000}"/>
    <cellStyle name="Normal 38 3 4" xfId="13614" xr:uid="{00000000-0005-0000-0000-00004A6A0000}"/>
    <cellStyle name="Normal 38 3 4 2" xfId="25969" xr:uid="{00000000-0005-0000-0000-00004B6A0000}"/>
    <cellStyle name="Normal 38 3 5" xfId="14759" xr:uid="{00000000-0005-0000-0000-00004C6A0000}"/>
    <cellStyle name="Normal 38 3 5 2" xfId="25970" xr:uid="{00000000-0005-0000-0000-00004D6A0000}"/>
    <cellStyle name="Normal 38 3 6" xfId="25963" xr:uid="{00000000-0005-0000-0000-00004E6A0000}"/>
    <cellStyle name="Normal 38 3 7" xfId="32142" xr:uid="{00000000-0005-0000-0000-00004F6A0000}"/>
    <cellStyle name="Normal 38 3 8" xfId="32143" xr:uid="{00000000-0005-0000-0000-0000506A0000}"/>
    <cellStyle name="Normal 38 3 9" xfId="32144" xr:uid="{00000000-0005-0000-0000-0000516A0000}"/>
    <cellStyle name="Normal 38 3_Additional Disclosures" xfId="16655" xr:uid="{00000000-0005-0000-0000-0000526A0000}"/>
    <cellStyle name="Normal 38 4" xfId="10846" xr:uid="{00000000-0005-0000-0000-0000536A0000}"/>
    <cellStyle name="Normal 38 4 2" xfId="13870" xr:uid="{00000000-0005-0000-0000-0000546A0000}"/>
    <cellStyle name="Normal 38 4 2 2" xfId="25972" xr:uid="{00000000-0005-0000-0000-0000556A0000}"/>
    <cellStyle name="Normal 38 4 3" xfId="15015" xr:uid="{00000000-0005-0000-0000-0000566A0000}"/>
    <cellStyle name="Normal 38 4 3 2" xfId="25973" xr:uid="{00000000-0005-0000-0000-0000576A0000}"/>
    <cellStyle name="Normal 38 4 4" xfId="25971" xr:uid="{00000000-0005-0000-0000-0000586A0000}"/>
    <cellStyle name="Normal 38 4 5" xfId="33646" xr:uid="{00000000-0005-0000-0000-0000596A0000}"/>
    <cellStyle name="Normal 38 4_Additional Disclosures" xfId="16657" xr:uid="{00000000-0005-0000-0000-00005A6A0000}"/>
    <cellStyle name="Normal 38 5" xfId="13359" xr:uid="{00000000-0005-0000-0000-00005B6A0000}"/>
    <cellStyle name="Normal 38 5 2" xfId="25974" xr:uid="{00000000-0005-0000-0000-00005C6A0000}"/>
    <cellStyle name="Normal 38 5 3" xfId="33874" xr:uid="{00000000-0005-0000-0000-00005D6A0000}"/>
    <cellStyle name="Normal 38 6" xfId="14502" xr:uid="{00000000-0005-0000-0000-00005E6A0000}"/>
    <cellStyle name="Normal 38 6 2" xfId="25975" xr:uid="{00000000-0005-0000-0000-00005F6A0000}"/>
    <cellStyle name="Normal 38 6 3" xfId="34089" xr:uid="{00000000-0005-0000-0000-0000606A0000}"/>
    <cellStyle name="Normal 38 7" xfId="25951" xr:uid="{00000000-0005-0000-0000-0000616A0000}"/>
    <cellStyle name="Normal 38 8" xfId="28948" xr:uid="{00000000-0005-0000-0000-0000626A0000}"/>
    <cellStyle name="Normal 38 9" xfId="17054" xr:uid="{00000000-0005-0000-0000-0000636A0000}"/>
    <cellStyle name="Normal 38_Additional Disclosures" xfId="16650" xr:uid="{00000000-0005-0000-0000-0000646A0000}"/>
    <cellStyle name="Normal 380" xfId="15664" xr:uid="{00000000-0005-0000-0000-0000656A0000}"/>
    <cellStyle name="Normal 380 2" xfId="25976" xr:uid="{00000000-0005-0000-0000-0000666A0000}"/>
    <cellStyle name="Normal 381" xfId="15665" xr:uid="{00000000-0005-0000-0000-0000676A0000}"/>
    <cellStyle name="Normal 381 2" xfId="25977" xr:uid="{00000000-0005-0000-0000-0000686A0000}"/>
    <cellStyle name="Normal 382" xfId="15666" xr:uid="{00000000-0005-0000-0000-0000696A0000}"/>
    <cellStyle name="Normal 382 2" xfId="25978" xr:uid="{00000000-0005-0000-0000-00006A6A0000}"/>
    <cellStyle name="Normal 383" xfId="15667" xr:uid="{00000000-0005-0000-0000-00006B6A0000}"/>
    <cellStyle name="Normal 383 2" xfId="25979" xr:uid="{00000000-0005-0000-0000-00006C6A0000}"/>
    <cellStyle name="Normal 384" xfId="15668" xr:uid="{00000000-0005-0000-0000-00006D6A0000}"/>
    <cellStyle name="Normal 384 2" xfId="25980" xr:uid="{00000000-0005-0000-0000-00006E6A0000}"/>
    <cellStyle name="Normal 385" xfId="15669" xr:uid="{00000000-0005-0000-0000-00006F6A0000}"/>
    <cellStyle name="Normal 385 2" xfId="25981" xr:uid="{00000000-0005-0000-0000-0000706A0000}"/>
    <cellStyle name="Normal 386" xfId="15670" xr:uid="{00000000-0005-0000-0000-0000716A0000}"/>
    <cellStyle name="Normal 386 2" xfId="25982" xr:uid="{00000000-0005-0000-0000-0000726A0000}"/>
    <cellStyle name="Normal 387" xfId="15671" xr:uid="{00000000-0005-0000-0000-0000736A0000}"/>
    <cellStyle name="Normal 387 2" xfId="25983" xr:uid="{00000000-0005-0000-0000-0000746A0000}"/>
    <cellStyle name="Normal 387 2 2" xfId="33773" xr:uid="{00000000-0005-0000-0000-0000756A0000}"/>
    <cellStyle name="Normal 387 3" xfId="34001" xr:uid="{00000000-0005-0000-0000-0000766A0000}"/>
    <cellStyle name="Normal 387 4" xfId="34215" xr:uid="{00000000-0005-0000-0000-0000776A0000}"/>
    <cellStyle name="Normal 387 5" xfId="33392" xr:uid="{00000000-0005-0000-0000-0000786A0000}"/>
    <cellStyle name="Normal 388" xfId="15672" xr:uid="{00000000-0005-0000-0000-0000796A0000}"/>
    <cellStyle name="Normal 388 2" xfId="25984" xr:uid="{00000000-0005-0000-0000-00007A6A0000}"/>
    <cellStyle name="Normal 389" xfId="15673" xr:uid="{00000000-0005-0000-0000-00007B6A0000}"/>
    <cellStyle name="Normal 389 2" xfId="25985" xr:uid="{00000000-0005-0000-0000-00007C6A0000}"/>
    <cellStyle name="Normal 39" xfId="575" xr:uid="{00000000-0005-0000-0000-00007D6A0000}"/>
    <cellStyle name="Normal 39 10" xfId="25986" xr:uid="{00000000-0005-0000-0000-00007E6A0000}"/>
    <cellStyle name="Normal 39 11" xfId="32145" xr:uid="{00000000-0005-0000-0000-00007F6A0000}"/>
    <cellStyle name="Normal 39 12" xfId="32146" xr:uid="{00000000-0005-0000-0000-0000806A0000}"/>
    <cellStyle name="Normal 39 13" xfId="32147" xr:uid="{00000000-0005-0000-0000-0000816A0000}"/>
    <cellStyle name="Normal 39 2" xfId="9539" xr:uid="{00000000-0005-0000-0000-0000826A0000}"/>
    <cellStyle name="Normal 39 2 10" xfId="17070" xr:uid="{00000000-0005-0000-0000-0000836A0000}"/>
    <cellStyle name="Normal 39 2 11" xfId="32148" xr:uid="{00000000-0005-0000-0000-0000846A0000}"/>
    <cellStyle name="Normal 39 2 12" xfId="32149" xr:uid="{00000000-0005-0000-0000-0000856A0000}"/>
    <cellStyle name="Normal 39 2 13" xfId="32150" xr:uid="{00000000-0005-0000-0000-0000866A0000}"/>
    <cellStyle name="Normal 39 2 14" xfId="32151" xr:uid="{00000000-0005-0000-0000-0000876A0000}"/>
    <cellStyle name="Normal 39 2 15" xfId="32152" xr:uid="{00000000-0005-0000-0000-0000886A0000}"/>
    <cellStyle name="Normal 39 2 2" xfId="12130" xr:uid="{00000000-0005-0000-0000-0000896A0000}"/>
    <cellStyle name="Normal 39 2 2 2" xfId="14205" xr:uid="{00000000-0005-0000-0000-00008A6A0000}"/>
    <cellStyle name="Normal 39 2 2 2 2" xfId="25989" xr:uid="{00000000-0005-0000-0000-00008B6A0000}"/>
    <cellStyle name="Normal 39 2 2 3" xfId="15349" xr:uid="{00000000-0005-0000-0000-00008C6A0000}"/>
    <cellStyle name="Normal 39 2 2 3 2" xfId="25990" xr:uid="{00000000-0005-0000-0000-00008D6A0000}"/>
    <cellStyle name="Normal 39 2 2 4" xfId="25988" xr:uid="{00000000-0005-0000-0000-00008E6A0000}"/>
    <cellStyle name="Normal 39 2 2_Additional Disclosures" xfId="16660" xr:uid="{00000000-0005-0000-0000-00008F6A0000}"/>
    <cellStyle name="Normal 39 2 3" xfId="12131" xr:uid="{00000000-0005-0000-0000-0000906A0000}"/>
    <cellStyle name="Normal 39 2 3 2" xfId="25991" xr:uid="{00000000-0005-0000-0000-0000916A0000}"/>
    <cellStyle name="Normal 39 2 4" xfId="13695" xr:uid="{00000000-0005-0000-0000-0000926A0000}"/>
    <cellStyle name="Normal 39 2 4 2" xfId="25992" xr:uid="{00000000-0005-0000-0000-0000936A0000}"/>
    <cellStyle name="Normal 39 2 5" xfId="14839" xr:uid="{00000000-0005-0000-0000-0000946A0000}"/>
    <cellStyle name="Normal 39 2 5 2" xfId="25993" xr:uid="{00000000-0005-0000-0000-0000956A0000}"/>
    <cellStyle name="Normal 39 2 6" xfId="25987" xr:uid="{00000000-0005-0000-0000-0000966A0000}"/>
    <cellStyle name="Normal 39 2 7" xfId="28951" xr:uid="{00000000-0005-0000-0000-0000976A0000}"/>
    <cellStyle name="Normal 39 2 8" xfId="17065" xr:uid="{00000000-0005-0000-0000-0000986A0000}"/>
    <cellStyle name="Normal 39 2 9" xfId="28958" xr:uid="{00000000-0005-0000-0000-0000996A0000}"/>
    <cellStyle name="Normal 39 2_Additional Disclosures" xfId="16659" xr:uid="{00000000-0005-0000-0000-00009A6A0000}"/>
    <cellStyle name="Normal 39 3" xfId="9540" xr:uid="{00000000-0005-0000-0000-00009B6A0000}"/>
    <cellStyle name="Normal 39 3 2" xfId="12129" xr:uid="{00000000-0005-0000-0000-00009C6A0000}"/>
    <cellStyle name="Normal 39 3 2 2" xfId="25995" xr:uid="{00000000-0005-0000-0000-00009D6A0000}"/>
    <cellStyle name="Normal 39 3 3" xfId="13951" xr:uid="{00000000-0005-0000-0000-00009E6A0000}"/>
    <cellStyle name="Normal 39 3 3 2" xfId="25996" xr:uid="{00000000-0005-0000-0000-00009F6A0000}"/>
    <cellStyle name="Normal 39 3 4" xfId="15095" xr:uid="{00000000-0005-0000-0000-0000A06A0000}"/>
    <cellStyle name="Normal 39 3 4 2" xfId="25997" xr:uid="{00000000-0005-0000-0000-0000A16A0000}"/>
    <cellStyle name="Normal 39 3 5" xfId="25994" xr:uid="{00000000-0005-0000-0000-0000A26A0000}"/>
    <cellStyle name="Normal 39 3 6" xfId="32153" xr:uid="{00000000-0005-0000-0000-0000A36A0000}"/>
    <cellStyle name="Normal 39 3 7" xfId="32154" xr:uid="{00000000-0005-0000-0000-0000A46A0000}"/>
    <cellStyle name="Normal 39 3 8" xfId="32155" xr:uid="{00000000-0005-0000-0000-0000A56A0000}"/>
    <cellStyle name="Normal 39 3_Additional Disclosures" xfId="16661" xr:uid="{00000000-0005-0000-0000-0000A66A0000}"/>
    <cellStyle name="Normal 39 4" xfId="9541" xr:uid="{00000000-0005-0000-0000-0000A76A0000}"/>
    <cellStyle name="Normal 39 4 2" xfId="25998" xr:uid="{00000000-0005-0000-0000-0000A86A0000}"/>
    <cellStyle name="Normal 39 5" xfId="9542" xr:uid="{00000000-0005-0000-0000-0000A96A0000}"/>
    <cellStyle name="Normal 39 5 2" xfId="25999" xr:uid="{00000000-0005-0000-0000-0000AA6A0000}"/>
    <cellStyle name="Normal 39 6" xfId="9543" xr:uid="{00000000-0005-0000-0000-0000AB6A0000}"/>
    <cellStyle name="Normal 39 6 2" xfId="11197" xr:uid="{00000000-0005-0000-0000-0000AC6A0000}"/>
    <cellStyle name="Normal 39 6 2 2" xfId="12618" xr:uid="{00000000-0005-0000-0000-0000AD6A0000}"/>
    <cellStyle name="Normal 39 6 2 2 2" xfId="26002" xr:uid="{00000000-0005-0000-0000-0000AE6A0000}"/>
    <cellStyle name="Normal 39 6 2 3" xfId="26001" xr:uid="{00000000-0005-0000-0000-0000AF6A0000}"/>
    <cellStyle name="Normal 39 6 3" xfId="11968" xr:uid="{00000000-0005-0000-0000-0000B06A0000}"/>
    <cellStyle name="Normal 39 6 3 2" xfId="26003" xr:uid="{00000000-0005-0000-0000-0000B16A0000}"/>
    <cellStyle name="Normal 39 6 4" xfId="26000" xr:uid="{00000000-0005-0000-0000-0000B26A0000}"/>
    <cellStyle name="Normal 39 7" xfId="9544" xr:uid="{00000000-0005-0000-0000-0000B36A0000}"/>
    <cellStyle name="Normal 39 7 2" xfId="11198" xr:uid="{00000000-0005-0000-0000-0000B46A0000}"/>
    <cellStyle name="Normal 39 7 2 2" xfId="12619" xr:uid="{00000000-0005-0000-0000-0000B56A0000}"/>
    <cellStyle name="Normal 39 7 2 2 2" xfId="26006" xr:uid="{00000000-0005-0000-0000-0000B66A0000}"/>
    <cellStyle name="Normal 39 7 2 3" xfId="26005" xr:uid="{00000000-0005-0000-0000-0000B76A0000}"/>
    <cellStyle name="Normal 39 7 3" xfId="11969" xr:uid="{00000000-0005-0000-0000-0000B86A0000}"/>
    <cellStyle name="Normal 39 7 3 2" xfId="26007" xr:uid="{00000000-0005-0000-0000-0000B96A0000}"/>
    <cellStyle name="Normal 39 7 4" xfId="26004" xr:uid="{00000000-0005-0000-0000-0000BA6A0000}"/>
    <cellStyle name="Normal 39 8" xfId="13440" xr:uid="{00000000-0005-0000-0000-0000BB6A0000}"/>
    <cellStyle name="Normal 39 8 2" xfId="26008" xr:uid="{00000000-0005-0000-0000-0000BC6A0000}"/>
    <cellStyle name="Normal 39 9" xfId="14585" xr:uid="{00000000-0005-0000-0000-0000BD6A0000}"/>
    <cellStyle name="Normal 39 9 2" xfId="26009" xr:uid="{00000000-0005-0000-0000-0000BE6A0000}"/>
    <cellStyle name="Normal 39_Additional Disclosures" xfId="16658" xr:uid="{00000000-0005-0000-0000-0000BF6A0000}"/>
    <cellStyle name="Normal 390" xfId="15674" xr:uid="{00000000-0005-0000-0000-0000C06A0000}"/>
    <cellStyle name="Normal 390 2" xfId="26010" xr:uid="{00000000-0005-0000-0000-0000C16A0000}"/>
    <cellStyle name="Normal 391" xfId="15675" xr:uid="{00000000-0005-0000-0000-0000C26A0000}"/>
    <cellStyle name="Normal 391 2" xfId="26011" xr:uid="{00000000-0005-0000-0000-0000C36A0000}"/>
    <cellStyle name="Normal 392" xfId="15676" xr:uid="{00000000-0005-0000-0000-0000C46A0000}"/>
    <cellStyle name="Normal 392 2" xfId="26012" xr:uid="{00000000-0005-0000-0000-0000C56A0000}"/>
    <cellStyle name="Normal 393" xfId="15677" xr:uid="{00000000-0005-0000-0000-0000C66A0000}"/>
    <cellStyle name="Normal 393 2" xfId="26013" xr:uid="{00000000-0005-0000-0000-0000C76A0000}"/>
    <cellStyle name="Normal 393 2 2" xfId="33765" xr:uid="{00000000-0005-0000-0000-0000C86A0000}"/>
    <cellStyle name="Normal 393 3" xfId="33993" xr:uid="{00000000-0005-0000-0000-0000C96A0000}"/>
    <cellStyle name="Normal 393 4" xfId="34207" xr:uid="{00000000-0005-0000-0000-0000CA6A0000}"/>
    <cellStyle name="Normal 393 5" xfId="33384" xr:uid="{00000000-0005-0000-0000-0000CB6A0000}"/>
    <cellStyle name="Normal 394" xfId="15678" xr:uid="{00000000-0005-0000-0000-0000CC6A0000}"/>
    <cellStyle name="Normal 394 2" xfId="26014" xr:uid="{00000000-0005-0000-0000-0000CD6A0000}"/>
    <cellStyle name="Normal 395" xfId="15679" xr:uid="{00000000-0005-0000-0000-0000CE6A0000}"/>
    <cellStyle name="Normal 395 2" xfId="26015" xr:uid="{00000000-0005-0000-0000-0000CF6A0000}"/>
    <cellStyle name="Normal 396" xfId="15680" xr:uid="{00000000-0005-0000-0000-0000D06A0000}"/>
    <cellStyle name="Normal 396 2" xfId="26016" xr:uid="{00000000-0005-0000-0000-0000D16A0000}"/>
    <cellStyle name="Normal 397" xfId="15681" xr:uid="{00000000-0005-0000-0000-0000D26A0000}"/>
    <cellStyle name="Normal 397 2" xfId="26017" xr:uid="{00000000-0005-0000-0000-0000D36A0000}"/>
    <cellStyle name="Normal 398" xfId="15682" xr:uid="{00000000-0005-0000-0000-0000D46A0000}"/>
    <cellStyle name="Normal 398 2" xfId="26018" xr:uid="{00000000-0005-0000-0000-0000D56A0000}"/>
    <cellStyle name="Normal 399" xfId="15683" xr:uid="{00000000-0005-0000-0000-0000D66A0000}"/>
    <cellStyle name="Normal 399 2" xfId="26019" xr:uid="{00000000-0005-0000-0000-0000D76A0000}"/>
    <cellStyle name="Normal 399 2 2" xfId="33766" xr:uid="{00000000-0005-0000-0000-0000D86A0000}"/>
    <cellStyle name="Normal 399 3" xfId="33994" xr:uid="{00000000-0005-0000-0000-0000D96A0000}"/>
    <cellStyle name="Normal 399 4" xfId="34208" xr:uid="{00000000-0005-0000-0000-0000DA6A0000}"/>
    <cellStyle name="Normal 399 5" xfId="33385" xr:uid="{00000000-0005-0000-0000-0000DB6A0000}"/>
    <cellStyle name="Normal 4" xfId="190" xr:uid="{00000000-0005-0000-0000-0000DC6A0000}"/>
    <cellStyle name="Normal 4 10" xfId="12128" xr:uid="{00000000-0005-0000-0000-0000DD6A0000}"/>
    <cellStyle name="Normal 4 10 2" xfId="26021" xr:uid="{00000000-0005-0000-0000-0000DE6A0000}"/>
    <cellStyle name="Normal 4 11" xfId="13368" xr:uid="{00000000-0005-0000-0000-0000DF6A0000}"/>
    <cellStyle name="Normal 4 11 2" xfId="26022" xr:uid="{00000000-0005-0000-0000-0000E06A0000}"/>
    <cellStyle name="Normal 4 12" xfId="14512" xr:uid="{00000000-0005-0000-0000-0000E16A0000}"/>
    <cellStyle name="Normal 4 12 2" xfId="26023" xr:uid="{00000000-0005-0000-0000-0000E26A0000}"/>
    <cellStyle name="Normal 4 13" xfId="26020" xr:uid="{00000000-0005-0000-0000-0000E36A0000}"/>
    <cellStyle name="Normal 4 14" xfId="32156" xr:uid="{00000000-0005-0000-0000-0000E46A0000}"/>
    <cellStyle name="Normal 4 15" xfId="32157" xr:uid="{00000000-0005-0000-0000-0000E56A0000}"/>
    <cellStyle name="Normal 4 16" xfId="32158" xr:uid="{00000000-0005-0000-0000-0000E66A0000}"/>
    <cellStyle name="Normal 4 17" xfId="32159" xr:uid="{00000000-0005-0000-0000-0000E76A0000}"/>
    <cellStyle name="Normal 4 18" xfId="32160" xr:uid="{00000000-0005-0000-0000-0000E86A0000}"/>
    <cellStyle name="Normal 4 18 2" xfId="32161" xr:uid="{00000000-0005-0000-0000-0000E96A0000}"/>
    <cellStyle name="Normal 4 19" xfId="32162" xr:uid="{00000000-0005-0000-0000-0000EA6A0000}"/>
    <cellStyle name="Normal 4 2" xfId="467" xr:uid="{00000000-0005-0000-0000-0000EB6A0000}"/>
    <cellStyle name="Normal 4 2 10" xfId="17072" xr:uid="{00000000-0005-0000-0000-0000EC6A0000}"/>
    <cellStyle name="Normal 4 2 11" xfId="32163" xr:uid="{00000000-0005-0000-0000-0000ED6A0000}"/>
    <cellStyle name="Normal 4 2 12" xfId="32164" xr:uid="{00000000-0005-0000-0000-0000EE6A0000}"/>
    <cellStyle name="Normal 4 2 13" xfId="32165" xr:uid="{00000000-0005-0000-0000-0000EF6A0000}"/>
    <cellStyle name="Normal 4 2 14" xfId="32166" xr:uid="{00000000-0005-0000-0000-0000F06A0000}"/>
    <cellStyle name="Normal 4 2 15" xfId="9545" xr:uid="{00000000-0005-0000-0000-0000F16A0000}"/>
    <cellStyle name="Normal 4 2 2" xfId="11471" xr:uid="{00000000-0005-0000-0000-0000F26A0000}"/>
    <cellStyle name="Normal 4 2 2 2" xfId="12126" xr:uid="{00000000-0005-0000-0000-0000F36A0000}"/>
    <cellStyle name="Normal 4 2 2 2 2" xfId="14174" xr:uid="{00000000-0005-0000-0000-0000F46A0000}"/>
    <cellStyle name="Normal 4 2 2 2 2 2" xfId="26027" xr:uid="{00000000-0005-0000-0000-0000F56A0000}"/>
    <cellStyle name="Normal 4 2 2 2 3" xfId="15318" xr:uid="{00000000-0005-0000-0000-0000F66A0000}"/>
    <cellStyle name="Normal 4 2 2 2 3 2" xfId="26028" xr:uid="{00000000-0005-0000-0000-0000F76A0000}"/>
    <cellStyle name="Normal 4 2 2 2 4" xfId="26026" xr:uid="{00000000-0005-0000-0000-0000F86A0000}"/>
    <cellStyle name="Normal 4 2 2 2 5" xfId="32167" xr:uid="{00000000-0005-0000-0000-0000F96A0000}"/>
    <cellStyle name="Normal 4 2 2 2_Additional Disclosures" xfId="16665" xr:uid="{00000000-0005-0000-0000-0000FA6A0000}"/>
    <cellStyle name="Normal 4 2 2 3" xfId="13663" xr:uid="{00000000-0005-0000-0000-0000FB6A0000}"/>
    <cellStyle name="Normal 4 2 2 3 2" xfId="26029" xr:uid="{00000000-0005-0000-0000-0000FC6A0000}"/>
    <cellStyle name="Normal 4 2 2 4" xfId="14808" xr:uid="{00000000-0005-0000-0000-0000FD6A0000}"/>
    <cellStyle name="Normal 4 2 2 4 2" xfId="26030" xr:uid="{00000000-0005-0000-0000-0000FE6A0000}"/>
    <cellStyle name="Normal 4 2 2 5" xfId="26025" xr:uid="{00000000-0005-0000-0000-0000FF6A0000}"/>
    <cellStyle name="Normal 4 2 2 6" xfId="28954" xr:uid="{00000000-0005-0000-0000-0000006B0000}"/>
    <cellStyle name="Normal 4 2 2 7" xfId="17067" xr:uid="{00000000-0005-0000-0000-0000016B0000}"/>
    <cellStyle name="Normal 4 2 2 8" xfId="28961" xr:uid="{00000000-0005-0000-0000-0000026B0000}"/>
    <cellStyle name="Normal 4 2 2 9" xfId="17073" xr:uid="{00000000-0005-0000-0000-0000036B0000}"/>
    <cellStyle name="Normal 4 2 2_Additional Disclosures" xfId="16664" xr:uid="{00000000-0005-0000-0000-0000046B0000}"/>
    <cellStyle name="Normal 4 2 3" xfId="12127" xr:uid="{00000000-0005-0000-0000-0000056B0000}"/>
    <cellStyle name="Normal 4 2 3 2" xfId="13919" xr:uid="{00000000-0005-0000-0000-0000066B0000}"/>
    <cellStyle name="Normal 4 2 3 2 2" xfId="26032" xr:uid="{00000000-0005-0000-0000-0000076B0000}"/>
    <cellStyle name="Normal 4 2 3 3" xfId="15064" xr:uid="{00000000-0005-0000-0000-0000086B0000}"/>
    <cellStyle name="Normal 4 2 3 3 2" xfId="26033" xr:uid="{00000000-0005-0000-0000-0000096B0000}"/>
    <cellStyle name="Normal 4 2 3 4" xfId="26031" xr:uid="{00000000-0005-0000-0000-00000A6B0000}"/>
    <cellStyle name="Normal 4 2 3 5" xfId="32168" xr:uid="{00000000-0005-0000-0000-00000B6B0000}"/>
    <cellStyle name="Normal 4 2 3 6" xfId="32169" xr:uid="{00000000-0005-0000-0000-00000C6B0000}"/>
    <cellStyle name="Normal 4 2 3 7" xfId="32170" xr:uid="{00000000-0005-0000-0000-00000D6B0000}"/>
    <cellStyle name="Normal 4 2 3_Additional Disclosures" xfId="16666" xr:uid="{00000000-0005-0000-0000-00000E6B0000}"/>
    <cellStyle name="Normal 4 2 4" xfId="13408" xr:uid="{00000000-0005-0000-0000-00000F6B0000}"/>
    <cellStyle name="Normal 4 2 4 2" xfId="26034" xr:uid="{00000000-0005-0000-0000-0000106B0000}"/>
    <cellStyle name="Normal 4 2 5" xfId="14552" xr:uid="{00000000-0005-0000-0000-0000116B0000}"/>
    <cellStyle name="Normal 4 2 5 2" xfId="26035" xr:uid="{00000000-0005-0000-0000-0000126B0000}"/>
    <cellStyle name="Normal 4 2 6" xfId="26024" xr:uid="{00000000-0005-0000-0000-0000136B0000}"/>
    <cellStyle name="Normal 4 2 7" xfId="28953" xr:uid="{00000000-0005-0000-0000-0000146B0000}"/>
    <cellStyle name="Normal 4 2 8" xfId="17066" xr:uid="{00000000-0005-0000-0000-0000156B0000}"/>
    <cellStyle name="Normal 4 2 9" xfId="28960" xr:uid="{00000000-0005-0000-0000-0000166B0000}"/>
    <cellStyle name="Normal 4 2_Additional Disclosures" xfId="16663" xr:uid="{00000000-0005-0000-0000-0000176B0000}"/>
    <cellStyle name="Normal 4 20" xfId="33249" xr:uid="{00000000-0005-0000-0000-0000186B0000}"/>
    <cellStyle name="Normal 4 21" xfId="34274" xr:uid="{00000000-0005-0000-0000-0000196B0000}"/>
    <cellStyle name="Normal 4 22" xfId="576" xr:uid="{00000000-0005-0000-0000-00001A6B0000}"/>
    <cellStyle name="Normal 4 3" xfId="473" xr:uid="{00000000-0005-0000-0000-00001B6B0000}"/>
    <cellStyle name="Normal 4 3 10" xfId="32171" xr:uid="{00000000-0005-0000-0000-00001C6B0000}"/>
    <cellStyle name="Normal 4 3 11" xfId="32172" xr:uid="{00000000-0005-0000-0000-00001D6B0000}"/>
    <cellStyle name="Normal 4 3 12" xfId="32173" xr:uid="{00000000-0005-0000-0000-00001E6B0000}"/>
    <cellStyle name="Normal 4 3 13" xfId="9546" xr:uid="{00000000-0005-0000-0000-00001F6B0000}"/>
    <cellStyle name="Normal 4 3 2" xfId="12125" xr:uid="{00000000-0005-0000-0000-0000206B0000}"/>
    <cellStyle name="Normal 4 3 2 2" xfId="14134" xr:uid="{00000000-0005-0000-0000-0000216B0000}"/>
    <cellStyle name="Normal 4 3 2 2 2" xfId="26038" xr:uid="{00000000-0005-0000-0000-0000226B0000}"/>
    <cellStyle name="Normal 4 3 2 3" xfId="15278" xr:uid="{00000000-0005-0000-0000-0000236B0000}"/>
    <cellStyle name="Normal 4 3 2 3 2" xfId="26039" xr:uid="{00000000-0005-0000-0000-0000246B0000}"/>
    <cellStyle name="Normal 4 3 2 4" xfId="26037" xr:uid="{00000000-0005-0000-0000-0000256B0000}"/>
    <cellStyle name="Normal 4 3 2 5" xfId="32174" xr:uid="{00000000-0005-0000-0000-0000266B0000}"/>
    <cellStyle name="Normal 4 3 2 6" xfId="32175" xr:uid="{00000000-0005-0000-0000-0000276B0000}"/>
    <cellStyle name="Normal 4 3 2 7" xfId="32176" xr:uid="{00000000-0005-0000-0000-0000286B0000}"/>
    <cellStyle name="Normal 4 3 2_Additional Disclosures" xfId="16668" xr:uid="{00000000-0005-0000-0000-0000296B0000}"/>
    <cellStyle name="Normal 4 3 3" xfId="13623" xr:uid="{00000000-0005-0000-0000-00002A6B0000}"/>
    <cellStyle name="Normal 4 3 3 2" xfId="26040" xr:uid="{00000000-0005-0000-0000-00002B6B0000}"/>
    <cellStyle name="Normal 4 3 4" xfId="14768" xr:uid="{00000000-0005-0000-0000-00002C6B0000}"/>
    <cellStyle name="Normal 4 3 4 2" xfId="26041" xr:uid="{00000000-0005-0000-0000-00002D6B0000}"/>
    <cellStyle name="Normal 4 3 5" xfId="26036" xr:uid="{00000000-0005-0000-0000-00002E6B0000}"/>
    <cellStyle name="Normal 4 3 6" xfId="28956" xr:uid="{00000000-0005-0000-0000-00002F6B0000}"/>
    <cellStyle name="Normal 4 3 7" xfId="17068" xr:uid="{00000000-0005-0000-0000-0000306B0000}"/>
    <cellStyle name="Normal 4 3 8" xfId="28963" xr:uid="{00000000-0005-0000-0000-0000316B0000}"/>
    <cellStyle name="Normal 4 3 9" xfId="17076" xr:uid="{00000000-0005-0000-0000-0000326B0000}"/>
    <cellStyle name="Normal 4 3_Additional Disclosures" xfId="16667" xr:uid="{00000000-0005-0000-0000-0000336B0000}"/>
    <cellStyle name="Normal 4 4" xfId="9547" xr:uid="{00000000-0005-0000-0000-0000346B0000}"/>
    <cellStyle name="Normal 4 4 2" xfId="13879" xr:uid="{00000000-0005-0000-0000-0000356B0000}"/>
    <cellStyle name="Normal 4 4 2 2" xfId="26043" xr:uid="{00000000-0005-0000-0000-0000366B0000}"/>
    <cellStyle name="Normal 4 4 2 3" xfId="33732" xr:uid="{00000000-0005-0000-0000-0000376B0000}"/>
    <cellStyle name="Normal 4 4 3" xfId="15024" xr:uid="{00000000-0005-0000-0000-0000386B0000}"/>
    <cellStyle name="Normal 4 4 3 2" xfId="26044" xr:uid="{00000000-0005-0000-0000-0000396B0000}"/>
    <cellStyle name="Normal 4 4 3 3" xfId="33961" xr:uid="{00000000-0005-0000-0000-00003A6B0000}"/>
    <cellStyle name="Normal 4 4 4" xfId="26042" xr:uid="{00000000-0005-0000-0000-00003B6B0000}"/>
    <cellStyle name="Normal 4 4 4 2" xfId="34175" xr:uid="{00000000-0005-0000-0000-00003C6B0000}"/>
    <cellStyle name="Normal 4 4 5" xfId="32177" xr:uid="{00000000-0005-0000-0000-00003D6B0000}"/>
    <cellStyle name="Normal 4 4 6" xfId="33348" xr:uid="{00000000-0005-0000-0000-00003E6B0000}"/>
    <cellStyle name="Normal 4 4_Additional Disclosures" xfId="16669" xr:uid="{00000000-0005-0000-0000-00003F6B0000}"/>
    <cellStyle name="Normal 4 5" xfId="9548" xr:uid="{00000000-0005-0000-0000-0000406B0000}"/>
    <cellStyle name="Normal 4 5 2" xfId="26045" xr:uid="{00000000-0005-0000-0000-0000416B0000}"/>
    <cellStyle name="Normal 4 5 3" xfId="32178" xr:uid="{00000000-0005-0000-0000-0000426B0000}"/>
    <cellStyle name="Normal 4 5 4" xfId="33634" xr:uid="{00000000-0005-0000-0000-0000436B0000}"/>
    <cellStyle name="Normal 4 6" xfId="9549" xr:uid="{00000000-0005-0000-0000-0000446B0000}"/>
    <cellStyle name="Normal 4 6 2" xfId="26046" xr:uid="{00000000-0005-0000-0000-0000456B0000}"/>
    <cellStyle name="Normal 4 6 3" xfId="32179" xr:uid="{00000000-0005-0000-0000-0000466B0000}"/>
    <cellStyle name="Normal 4 6 3 2" xfId="32180" xr:uid="{00000000-0005-0000-0000-0000476B0000}"/>
    <cellStyle name="Normal 4 6 4" xfId="32181" xr:uid="{00000000-0005-0000-0000-0000486B0000}"/>
    <cellStyle name="Normal 4 6 5" xfId="32182" xr:uid="{00000000-0005-0000-0000-0000496B0000}"/>
    <cellStyle name="Normal 4 6 6" xfId="33863" xr:uid="{00000000-0005-0000-0000-00004A6B0000}"/>
    <cellStyle name="Normal 4 7" xfId="9550" xr:uid="{00000000-0005-0000-0000-00004B6B0000}"/>
    <cellStyle name="Normal 4 7 2" xfId="11199" xr:uid="{00000000-0005-0000-0000-00004C6B0000}"/>
    <cellStyle name="Normal 4 7 2 2" xfId="12620" xr:uid="{00000000-0005-0000-0000-00004D6B0000}"/>
    <cellStyle name="Normal 4 7 2 2 2" xfId="26049" xr:uid="{00000000-0005-0000-0000-00004E6B0000}"/>
    <cellStyle name="Normal 4 7 2 3" xfId="26048" xr:uid="{00000000-0005-0000-0000-00004F6B0000}"/>
    <cellStyle name="Normal 4 7 3" xfId="11970" xr:uid="{00000000-0005-0000-0000-0000506B0000}"/>
    <cellStyle name="Normal 4 7 3 2" xfId="26050" xr:uid="{00000000-0005-0000-0000-0000516B0000}"/>
    <cellStyle name="Normal 4 7 4" xfId="26047" xr:uid="{00000000-0005-0000-0000-0000526B0000}"/>
    <cellStyle name="Normal 4 7 5" xfId="34078" xr:uid="{00000000-0005-0000-0000-0000536B0000}"/>
    <cellStyle name="Normal 4 8" xfId="9551" xr:uid="{00000000-0005-0000-0000-0000546B0000}"/>
    <cellStyle name="Normal 4 8 2" xfId="11200" xr:uid="{00000000-0005-0000-0000-0000556B0000}"/>
    <cellStyle name="Normal 4 8 2 2" xfId="12621" xr:uid="{00000000-0005-0000-0000-0000566B0000}"/>
    <cellStyle name="Normal 4 8 2 2 2" xfId="26053" xr:uid="{00000000-0005-0000-0000-0000576B0000}"/>
    <cellStyle name="Normal 4 8 2 3" xfId="26052" xr:uid="{00000000-0005-0000-0000-0000586B0000}"/>
    <cellStyle name="Normal 4 8 3" xfId="11971" xr:uid="{00000000-0005-0000-0000-0000596B0000}"/>
    <cellStyle name="Normal 4 8 3 2" xfId="26054" xr:uid="{00000000-0005-0000-0000-00005A6B0000}"/>
    <cellStyle name="Normal 4 8 4" xfId="26051" xr:uid="{00000000-0005-0000-0000-00005B6B0000}"/>
    <cellStyle name="Normal 4 9" xfId="11519" xr:uid="{00000000-0005-0000-0000-00005C6B0000}"/>
    <cellStyle name="Normal 4 9 2" xfId="26055" xr:uid="{00000000-0005-0000-0000-00005D6B0000}"/>
    <cellStyle name="Normal 4_Additional Disclosures" xfId="16662" xr:uid="{00000000-0005-0000-0000-00005E6B0000}"/>
    <cellStyle name="Normal 40" xfId="577" xr:uid="{00000000-0005-0000-0000-00005F6B0000}"/>
    <cellStyle name="Normal 40 10" xfId="17069" xr:uid="{00000000-0005-0000-0000-0000606B0000}"/>
    <cellStyle name="Normal 40 11" xfId="32183" xr:uid="{00000000-0005-0000-0000-0000616B0000}"/>
    <cellStyle name="Normal 40 12" xfId="33360" xr:uid="{00000000-0005-0000-0000-0000626B0000}"/>
    <cellStyle name="Normal 40 2" xfId="9552" xr:uid="{00000000-0005-0000-0000-0000636B0000}"/>
    <cellStyle name="Normal 40 2 2" xfId="11201" xr:uid="{00000000-0005-0000-0000-0000646B0000}"/>
    <cellStyle name="Normal 40 2 2 2" xfId="12622" xr:uid="{00000000-0005-0000-0000-0000656B0000}"/>
    <cellStyle name="Normal 40 2 2 2 2" xfId="26059" xr:uid="{00000000-0005-0000-0000-0000666B0000}"/>
    <cellStyle name="Normal 40 2 2 3" xfId="14206" xr:uid="{00000000-0005-0000-0000-0000676B0000}"/>
    <cellStyle name="Normal 40 2 2 3 2" xfId="26060" xr:uid="{00000000-0005-0000-0000-0000686B0000}"/>
    <cellStyle name="Normal 40 2 2 4" xfId="15350" xr:uid="{00000000-0005-0000-0000-0000696B0000}"/>
    <cellStyle name="Normal 40 2 2 4 2" xfId="26061" xr:uid="{00000000-0005-0000-0000-00006A6B0000}"/>
    <cellStyle name="Normal 40 2 2 5" xfId="26058" xr:uid="{00000000-0005-0000-0000-00006B6B0000}"/>
    <cellStyle name="Normal 40 2 2_Additional Disclosures" xfId="16672" xr:uid="{00000000-0005-0000-0000-00006C6B0000}"/>
    <cellStyle name="Normal 40 2 3" xfId="11972" xr:uid="{00000000-0005-0000-0000-00006D6B0000}"/>
    <cellStyle name="Normal 40 2 3 2" xfId="26062" xr:uid="{00000000-0005-0000-0000-00006E6B0000}"/>
    <cellStyle name="Normal 40 2 4" xfId="13696" xr:uid="{00000000-0005-0000-0000-00006F6B0000}"/>
    <cellStyle name="Normal 40 2 4 2" xfId="26063" xr:uid="{00000000-0005-0000-0000-0000706B0000}"/>
    <cellStyle name="Normal 40 2 5" xfId="14840" xr:uid="{00000000-0005-0000-0000-0000716B0000}"/>
    <cellStyle name="Normal 40 2 5 2" xfId="26064" xr:uid="{00000000-0005-0000-0000-0000726B0000}"/>
    <cellStyle name="Normal 40 2 6" xfId="26057" xr:uid="{00000000-0005-0000-0000-0000736B0000}"/>
    <cellStyle name="Normal 40 2 7" xfId="32184" xr:uid="{00000000-0005-0000-0000-0000746B0000}"/>
    <cellStyle name="Normal 40 2 8" xfId="32185" xr:uid="{00000000-0005-0000-0000-0000756B0000}"/>
    <cellStyle name="Normal 40 2_Additional Disclosures" xfId="16671" xr:uid="{00000000-0005-0000-0000-0000766B0000}"/>
    <cellStyle name="Normal 40 3" xfId="9553" xr:uid="{00000000-0005-0000-0000-0000776B0000}"/>
    <cellStyle name="Normal 40 3 2" xfId="11202" xr:uid="{00000000-0005-0000-0000-0000786B0000}"/>
    <cellStyle name="Normal 40 3 2 2" xfId="12623" xr:uid="{00000000-0005-0000-0000-0000796B0000}"/>
    <cellStyle name="Normal 40 3 2 2 2" xfId="26067" xr:uid="{00000000-0005-0000-0000-00007A6B0000}"/>
    <cellStyle name="Normal 40 3 2 3" xfId="26066" xr:uid="{00000000-0005-0000-0000-00007B6B0000}"/>
    <cellStyle name="Normal 40 3 3" xfId="11973" xr:uid="{00000000-0005-0000-0000-00007C6B0000}"/>
    <cellStyle name="Normal 40 3 3 2" xfId="26068" xr:uid="{00000000-0005-0000-0000-00007D6B0000}"/>
    <cellStyle name="Normal 40 3 4" xfId="13952" xr:uid="{00000000-0005-0000-0000-00007E6B0000}"/>
    <cellStyle name="Normal 40 3 4 2" xfId="26069" xr:uid="{00000000-0005-0000-0000-00007F6B0000}"/>
    <cellStyle name="Normal 40 3 5" xfId="15096" xr:uid="{00000000-0005-0000-0000-0000806B0000}"/>
    <cellStyle name="Normal 40 3 5 2" xfId="26070" xr:uid="{00000000-0005-0000-0000-0000816B0000}"/>
    <cellStyle name="Normal 40 3 6" xfId="26065" xr:uid="{00000000-0005-0000-0000-0000826B0000}"/>
    <cellStyle name="Normal 40 3_Additional Disclosures" xfId="16673" xr:uid="{00000000-0005-0000-0000-0000836B0000}"/>
    <cellStyle name="Normal 40 4" xfId="12123" xr:uid="{00000000-0005-0000-0000-0000846B0000}"/>
    <cellStyle name="Normal 40 4 2" xfId="26071" xr:uid="{00000000-0005-0000-0000-0000856B0000}"/>
    <cellStyle name="Normal 40 5" xfId="12124" xr:uid="{00000000-0005-0000-0000-0000866B0000}"/>
    <cellStyle name="Normal 40 5 2" xfId="26072" xr:uid="{00000000-0005-0000-0000-0000876B0000}"/>
    <cellStyle name="Normal 40 6" xfId="13441" xr:uid="{00000000-0005-0000-0000-0000886B0000}"/>
    <cellStyle name="Normal 40 6 2" xfId="26073" xr:uid="{00000000-0005-0000-0000-0000896B0000}"/>
    <cellStyle name="Normal 40 7" xfId="14586" xr:uid="{00000000-0005-0000-0000-00008A6B0000}"/>
    <cellStyle name="Normal 40 7 2" xfId="26074" xr:uid="{00000000-0005-0000-0000-00008B6B0000}"/>
    <cellStyle name="Normal 40 8" xfId="26056" xr:uid="{00000000-0005-0000-0000-00008C6B0000}"/>
    <cellStyle name="Normal 40 9" xfId="28957" xr:uid="{00000000-0005-0000-0000-00008D6B0000}"/>
    <cellStyle name="Normal 40_Additional Disclosures" xfId="16670" xr:uid="{00000000-0005-0000-0000-00008E6B0000}"/>
    <cellStyle name="Normal 400" xfId="15684" xr:uid="{00000000-0005-0000-0000-00008F6B0000}"/>
    <cellStyle name="Normal 400 2" xfId="26075" xr:uid="{00000000-0005-0000-0000-0000906B0000}"/>
    <cellStyle name="Normal 401" xfId="15685" xr:uid="{00000000-0005-0000-0000-0000916B0000}"/>
    <cellStyle name="Normal 401 2" xfId="26076" xr:uid="{00000000-0005-0000-0000-0000926B0000}"/>
    <cellStyle name="Normal 402" xfId="15686" xr:uid="{00000000-0005-0000-0000-0000936B0000}"/>
    <cellStyle name="Normal 402 2" xfId="26077" xr:uid="{00000000-0005-0000-0000-0000946B0000}"/>
    <cellStyle name="Normal 403" xfId="15687" xr:uid="{00000000-0005-0000-0000-0000956B0000}"/>
    <cellStyle name="Normal 403 2" xfId="26078" xr:uid="{00000000-0005-0000-0000-0000966B0000}"/>
    <cellStyle name="Normal 404" xfId="15688" xr:uid="{00000000-0005-0000-0000-0000976B0000}"/>
    <cellStyle name="Normal 404 2" xfId="26079" xr:uid="{00000000-0005-0000-0000-0000986B0000}"/>
    <cellStyle name="Normal 405" xfId="15689" xr:uid="{00000000-0005-0000-0000-0000996B0000}"/>
    <cellStyle name="Normal 405 2" xfId="26080" xr:uid="{00000000-0005-0000-0000-00009A6B0000}"/>
    <cellStyle name="Normal 406" xfId="15690" xr:uid="{00000000-0005-0000-0000-00009B6B0000}"/>
    <cellStyle name="Normal 406 2" xfId="26081" xr:uid="{00000000-0005-0000-0000-00009C6B0000}"/>
    <cellStyle name="Normal 407" xfId="15691" xr:uid="{00000000-0005-0000-0000-00009D6B0000}"/>
    <cellStyle name="Normal 407 2" xfId="26082" xr:uid="{00000000-0005-0000-0000-00009E6B0000}"/>
    <cellStyle name="Normal 408" xfId="15692" xr:uid="{00000000-0005-0000-0000-00009F6B0000}"/>
    <cellStyle name="Normal 408 2" xfId="26083" xr:uid="{00000000-0005-0000-0000-0000A06B0000}"/>
    <cellStyle name="Normal 409" xfId="15693" xr:uid="{00000000-0005-0000-0000-0000A16B0000}"/>
    <cellStyle name="Normal 409 2" xfId="26084" xr:uid="{00000000-0005-0000-0000-0000A26B0000}"/>
    <cellStyle name="Normal 41" xfId="578" xr:uid="{00000000-0005-0000-0000-0000A36B0000}"/>
    <cellStyle name="Normal 41 10" xfId="17093" xr:uid="{00000000-0005-0000-0000-0000A46B0000}"/>
    <cellStyle name="Normal 41 11" xfId="32186" xr:uid="{00000000-0005-0000-0000-0000A56B0000}"/>
    <cellStyle name="Normal 41 12" xfId="32187" xr:uid="{00000000-0005-0000-0000-0000A66B0000}"/>
    <cellStyle name="Normal 41 13" xfId="32188" xr:uid="{00000000-0005-0000-0000-0000A76B0000}"/>
    <cellStyle name="Normal 41 14" xfId="32189" xr:uid="{00000000-0005-0000-0000-0000A86B0000}"/>
    <cellStyle name="Normal 41 15" xfId="33366" xr:uid="{00000000-0005-0000-0000-0000A96B0000}"/>
    <cellStyle name="Normal 41 2" xfId="9554" xr:uid="{00000000-0005-0000-0000-0000AA6B0000}"/>
    <cellStyle name="Normal 41 2 10" xfId="32190" xr:uid="{00000000-0005-0000-0000-0000AB6B0000}"/>
    <cellStyle name="Normal 41 2 11" xfId="32191" xr:uid="{00000000-0005-0000-0000-0000AC6B0000}"/>
    <cellStyle name="Normal 41 2 12" xfId="32192" xr:uid="{00000000-0005-0000-0000-0000AD6B0000}"/>
    <cellStyle name="Normal 41 2 2" xfId="11203" xr:uid="{00000000-0005-0000-0000-0000AE6B0000}"/>
    <cellStyle name="Normal 41 2 2 2" xfId="12624" xr:uid="{00000000-0005-0000-0000-0000AF6B0000}"/>
    <cellStyle name="Normal 41 2 2 2 2" xfId="26088" xr:uid="{00000000-0005-0000-0000-0000B06B0000}"/>
    <cellStyle name="Normal 41 2 2 3" xfId="14207" xr:uid="{00000000-0005-0000-0000-0000B16B0000}"/>
    <cellStyle name="Normal 41 2 2 3 2" xfId="26089" xr:uid="{00000000-0005-0000-0000-0000B26B0000}"/>
    <cellStyle name="Normal 41 2 2 4" xfId="15351" xr:uid="{00000000-0005-0000-0000-0000B36B0000}"/>
    <cellStyle name="Normal 41 2 2 4 2" xfId="26090" xr:uid="{00000000-0005-0000-0000-0000B46B0000}"/>
    <cellStyle name="Normal 41 2 2 5" xfId="26087" xr:uid="{00000000-0005-0000-0000-0000B56B0000}"/>
    <cellStyle name="Normal 41 2 2_Additional Disclosures" xfId="16676" xr:uid="{00000000-0005-0000-0000-0000B66B0000}"/>
    <cellStyle name="Normal 41 2 3" xfId="11974" xr:uid="{00000000-0005-0000-0000-0000B76B0000}"/>
    <cellStyle name="Normal 41 2 3 2" xfId="26091" xr:uid="{00000000-0005-0000-0000-0000B86B0000}"/>
    <cellStyle name="Normal 41 2 4" xfId="13697" xr:uid="{00000000-0005-0000-0000-0000B96B0000}"/>
    <cellStyle name="Normal 41 2 4 2" xfId="26092" xr:uid="{00000000-0005-0000-0000-0000BA6B0000}"/>
    <cellStyle name="Normal 41 2 5" xfId="14841" xr:uid="{00000000-0005-0000-0000-0000BB6B0000}"/>
    <cellStyle name="Normal 41 2 5 2" xfId="26093" xr:uid="{00000000-0005-0000-0000-0000BC6B0000}"/>
    <cellStyle name="Normal 41 2 6" xfId="26086" xr:uid="{00000000-0005-0000-0000-0000BD6B0000}"/>
    <cellStyle name="Normal 41 2 7" xfId="32193" xr:uid="{00000000-0005-0000-0000-0000BE6B0000}"/>
    <cellStyle name="Normal 41 2 8" xfId="32194" xr:uid="{00000000-0005-0000-0000-0000BF6B0000}"/>
    <cellStyle name="Normal 41 2 9" xfId="32195" xr:uid="{00000000-0005-0000-0000-0000C06B0000}"/>
    <cellStyle name="Normal 41 2_Additional Disclosures" xfId="16675" xr:uid="{00000000-0005-0000-0000-0000C16B0000}"/>
    <cellStyle name="Normal 41 3" xfId="9555" xr:uid="{00000000-0005-0000-0000-0000C26B0000}"/>
    <cellStyle name="Normal 41 3 2" xfId="11204" xr:uid="{00000000-0005-0000-0000-0000C36B0000}"/>
    <cellStyle name="Normal 41 3 2 2" xfId="12625" xr:uid="{00000000-0005-0000-0000-0000C46B0000}"/>
    <cellStyle name="Normal 41 3 2 2 2" xfId="26096" xr:uid="{00000000-0005-0000-0000-0000C56B0000}"/>
    <cellStyle name="Normal 41 3 2 3" xfId="26095" xr:uid="{00000000-0005-0000-0000-0000C66B0000}"/>
    <cellStyle name="Normal 41 3 3" xfId="11975" xr:uid="{00000000-0005-0000-0000-0000C76B0000}"/>
    <cellStyle name="Normal 41 3 3 2" xfId="26097" xr:uid="{00000000-0005-0000-0000-0000C86B0000}"/>
    <cellStyle name="Normal 41 3 4" xfId="13953" xr:uid="{00000000-0005-0000-0000-0000C96B0000}"/>
    <cellStyle name="Normal 41 3 4 2" xfId="26098" xr:uid="{00000000-0005-0000-0000-0000CA6B0000}"/>
    <cellStyle name="Normal 41 3 5" xfId="15097" xr:uid="{00000000-0005-0000-0000-0000CB6B0000}"/>
    <cellStyle name="Normal 41 3 5 2" xfId="26099" xr:uid="{00000000-0005-0000-0000-0000CC6B0000}"/>
    <cellStyle name="Normal 41 3 6" xfId="26094" xr:uid="{00000000-0005-0000-0000-0000CD6B0000}"/>
    <cellStyle name="Normal 41 3 7" xfId="32196" xr:uid="{00000000-0005-0000-0000-0000CE6B0000}"/>
    <cellStyle name="Normal 41 3 8" xfId="32197" xr:uid="{00000000-0005-0000-0000-0000CF6B0000}"/>
    <cellStyle name="Normal 41 3 9" xfId="32198" xr:uid="{00000000-0005-0000-0000-0000D06B0000}"/>
    <cellStyle name="Normal 41 3_Additional Disclosures" xfId="16677" xr:uid="{00000000-0005-0000-0000-0000D16B0000}"/>
    <cellStyle name="Normal 41 4" xfId="13442" xr:uid="{00000000-0005-0000-0000-0000D26B0000}"/>
    <cellStyle name="Normal 41 4 2" xfId="26100" xr:uid="{00000000-0005-0000-0000-0000D36B0000}"/>
    <cellStyle name="Normal 41 5" xfId="14587" xr:uid="{00000000-0005-0000-0000-0000D46B0000}"/>
    <cellStyle name="Normal 41 5 2" xfId="26101" xr:uid="{00000000-0005-0000-0000-0000D56B0000}"/>
    <cellStyle name="Normal 41 6" xfId="26085" xr:uid="{00000000-0005-0000-0000-0000D66B0000}"/>
    <cellStyle name="Normal 41 7" xfId="28959" xr:uid="{00000000-0005-0000-0000-0000D76B0000}"/>
    <cellStyle name="Normal 41 8" xfId="17071" xr:uid="{00000000-0005-0000-0000-0000D86B0000}"/>
    <cellStyle name="Normal 41 9" xfId="28966" xr:uid="{00000000-0005-0000-0000-0000D96B0000}"/>
    <cellStyle name="Normal 41_Additional Disclosures" xfId="16674" xr:uid="{00000000-0005-0000-0000-0000DA6B0000}"/>
    <cellStyle name="Normal 410" xfId="15694" xr:uid="{00000000-0005-0000-0000-0000DB6B0000}"/>
    <cellStyle name="Normal 410 2" xfId="26102" xr:uid="{00000000-0005-0000-0000-0000DC6B0000}"/>
    <cellStyle name="Normal 411" xfId="15695" xr:uid="{00000000-0005-0000-0000-0000DD6B0000}"/>
    <cellStyle name="Normal 411 2" xfId="26103" xr:uid="{00000000-0005-0000-0000-0000DE6B0000}"/>
    <cellStyle name="Normal 412" xfId="15696" xr:uid="{00000000-0005-0000-0000-0000DF6B0000}"/>
    <cellStyle name="Normal 412 2" xfId="26104" xr:uid="{00000000-0005-0000-0000-0000E06B0000}"/>
    <cellStyle name="Normal 413" xfId="15697" xr:uid="{00000000-0005-0000-0000-0000E16B0000}"/>
    <cellStyle name="Normal 413 2" xfId="26105" xr:uid="{00000000-0005-0000-0000-0000E26B0000}"/>
    <cellStyle name="Normal 414" xfId="15698" xr:uid="{00000000-0005-0000-0000-0000E36B0000}"/>
    <cellStyle name="Normal 414 2" xfId="26106" xr:uid="{00000000-0005-0000-0000-0000E46B0000}"/>
    <cellStyle name="Normal 415" xfId="15699" xr:uid="{00000000-0005-0000-0000-0000E56B0000}"/>
    <cellStyle name="Normal 415 2" xfId="26107" xr:uid="{00000000-0005-0000-0000-0000E66B0000}"/>
    <cellStyle name="Normal 416" xfId="15700" xr:uid="{00000000-0005-0000-0000-0000E76B0000}"/>
    <cellStyle name="Normal 416 2" xfId="26108" xr:uid="{00000000-0005-0000-0000-0000E86B0000}"/>
    <cellStyle name="Normal 417" xfId="15701" xr:uid="{00000000-0005-0000-0000-0000E96B0000}"/>
    <cellStyle name="Normal 417 2" xfId="26109" xr:uid="{00000000-0005-0000-0000-0000EA6B0000}"/>
    <cellStyle name="Normal 418" xfId="15702" xr:uid="{00000000-0005-0000-0000-0000EB6B0000}"/>
    <cellStyle name="Normal 418 2" xfId="26110" xr:uid="{00000000-0005-0000-0000-0000EC6B0000}"/>
    <cellStyle name="Normal 419" xfId="15703" xr:uid="{00000000-0005-0000-0000-0000ED6B0000}"/>
    <cellStyle name="Normal 419 2" xfId="26111" xr:uid="{00000000-0005-0000-0000-0000EE6B0000}"/>
    <cellStyle name="Normal 42" xfId="579" xr:uid="{00000000-0005-0000-0000-0000EF6B0000}"/>
    <cellStyle name="Normal 42 10" xfId="17097" xr:uid="{00000000-0005-0000-0000-0000F06B0000}"/>
    <cellStyle name="Normal 42 11" xfId="32199" xr:uid="{00000000-0005-0000-0000-0000F16B0000}"/>
    <cellStyle name="Normal 42 12" xfId="33262" xr:uid="{00000000-0005-0000-0000-0000F26B0000}"/>
    <cellStyle name="Normal 42 2" xfId="9556" xr:uid="{00000000-0005-0000-0000-0000F36B0000}"/>
    <cellStyle name="Normal 42 2 2" xfId="11205" xr:uid="{00000000-0005-0000-0000-0000F46B0000}"/>
    <cellStyle name="Normal 42 2 2 2" xfId="12626" xr:uid="{00000000-0005-0000-0000-0000F56B0000}"/>
    <cellStyle name="Normal 42 2 2 2 2" xfId="26115" xr:uid="{00000000-0005-0000-0000-0000F66B0000}"/>
    <cellStyle name="Normal 42 2 2 3" xfId="14208" xr:uid="{00000000-0005-0000-0000-0000F76B0000}"/>
    <cellStyle name="Normal 42 2 2 3 2" xfId="26116" xr:uid="{00000000-0005-0000-0000-0000F86B0000}"/>
    <cellStyle name="Normal 42 2 2 4" xfId="15352" xr:uid="{00000000-0005-0000-0000-0000F96B0000}"/>
    <cellStyle name="Normal 42 2 2 4 2" xfId="26117" xr:uid="{00000000-0005-0000-0000-0000FA6B0000}"/>
    <cellStyle name="Normal 42 2 2 5" xfId="26114" xr:uid="{00000000-0005-0000-0000-0000FB6B0000}"/>
    <cellStyle name="Normal 42 2 2_Additional Disclosures" xfId="16680" xr:uid="{00000000-0005-0000-0000-0000FC6B0000}"/>
    <cellStyle name="Normal 42 2 3" xfId="11976" xr:uid="{00000000-0005-0000-0000-0000FD6B0000}"/>
    <cellStyle name="Normal 42 2 3 2" xfId="26118" xr:uid="{00000000-0005-0000-0000-0000FE6B0000}"/>
    <cellStyle name="Normal 42 2 4" xfId="13698" xr:uid="{00000000-0005-0000-0000-0000FF6B0000}"/>
    <cellStyle name="Normal 42 2 4 2" xfId="26119" xr:uid="{00000000-0005-0000-0000-0000006C0000}"/>
    <cellStyle name="Normal 42 2 5" xfId="14842" xr:uid="{00000000-0005-0000-0000-0000016C0000}"/>
    <cellStyle name="Normal 42 2 5 2" xfId="26120" xr:uid="{00000000-0005-0000-0000-0000026C0000}"/>
    <cellStyle name="Normal 42 2 6" xfId="26113" xr:uid="{00000000-0005-0000-0000-0000036C0000}"/>
    <cellStyle name="Normal 42 2 7" xfId="32200" xr:uid="{00000000-0005-0000-0000-0000046C0000}"/>
    <cellStyle name="Normal 42 2 8" xfId="33647" xr:uid="{00000000-0005-0000-0000-0000056C0000}"/>
    <cellStyle name="Normal 42 2 9" xfId="34285" xr:uid="{00000000-0005-0000-0000-0000066C0000}"/>
    <cellStyle name="Normal 42 2_Additional Disclosures" xfId="16679" xr:uid="{00000000-0005-0000-0000-0000076C0000}"/>
    <cellStyle name="Normal 42 3" xfId="9557" xr:uid="{00000000-0005-0000-0000-0000086C0000}"/>
    <cellStyle name="Normal 42 3 2" xfId="11206" xr:uid="{00000000-0005-0000-0000-0000096C0000}"/>
    <cellStyle name="Normal 42 3 2 2" xfId="12627" xr:uid="{00000000-0005-0000-0000-00000A6C0000}"/>
    <cellStyle name="Normal 42 3 2 2 2" xfId="26123" xr:uid="{00000000-0005-0000-0000-00000B6C0000}"/>
    <cellStyle name="Normal 42 3 2 3" xfId="26122" xr:uid="{00000000-0005-0000-0000-00000C6C0000}"/>
    <cellStyle name="Normal 42 3 3" xfId="11977" xr:uid="{00000000-0005-0000-0000-00000D6C0000}"/>
    <cellStyle name="Normal 42 3 3 2" xfId="26124" xr:uid="{00000000-0005-0000-0000-00000E6C0000}"/>
    <cellStyle name="Normal 42 3 4" xfId="13954" xr:uid="{00000000-0005-0000-0000-00000F6C0000}"/>
    <cellStyle name="Normal 42 3 4 2" xfId="26125" xr:uid="{00000000-0005-0000-0000-0000106C0000}"/>
    <cellStyle name="Normal 42 3 5" xfId="15098" xr:uid="{00000000-0005-0000-0000-0000116C0000}"/>
    <cellStyle name="Normal 42 3 5 2" xfId="26126" xr:uid="{00000000-0005-0000-0000-0000126C0000}"/>
    <cellStyle name="Normal 42 3 6" xfId="26121" xr:uid="{00000000-0005-0000-0000-0000136C0000}"/>
    <cellStyle name="Normal 42 3 7" xfId="33875" xr:uid="{00000000-0005-0000-0000-0000146C0000}"/>
    <cellStyle name="Normal 42 3_Additional Disclosures" xfId="16681" xr:uid="{00000000-0005-0000-0000-0000156C0000}"/>
    <cellStyle name="Normal 42 4" xfId="13443" xr:uid="{00000000-0005-0000-0000-0000166C0000}"/>
    <cellStyle name="Normal 42 4 2" xfId="26127" xr:uid="{00000000-0005-0000-0000-0000176C0000}"/>
    <cellStyle name="Normal 42 4 3" xfId="34090" xr:uid="{00000000-0005-0000-0000-0000186C0000}"/>
    <cellStyle name="Normal 42 5" xfId="14588" xr:uid="{00000000-0005-0000-0000-0000196C0000}"/>
    <cellStyle name="Normal 42 5 2" xfId="26128" xr:uid="{00000000-0005-0000-0000-00001A6C0000}"/>
    <cellStyle name="Normal 42 6" xfId="26112" xr:uid="{00000000-0005-0000-0000-00001B6C0000}"/>
    <cellStyle name="Normal 42 7" xfId="28962" xr:uid="{00000000-0005-0000-0000-00001C6C0000}"/>
    <cellStyle name="Normal 42 8" xfId="17075" xr:uid="{00000000-0005-0000-0000-00001D6C0000}"/>
    <cellStyle name="Normal 42 9" xfId="28968" xr:uid="{00000000-0005-0000-0000-00001E6C0000}"/>
    <cellStyle name="Normal 42_Additional Disclosures" xfId="16678" xr:uid="{00000000-0005-0000-0000-00001F6C0000}"/>
    <cellStyle name="Normal 420" xfId="15704" xr:uid="{00000000-0005-0000-0000-0000206C0000}"/>
    <cellStyle name="Normal 420 2" xfId="26129" xr:uid="{00000000-0005-0000-0000-0000216C0000}"/>
    <cellStyle name="Normal 421" xfId="15705" xr:uid="{00000000-0005-0000-0000-0000226C0000}"/>
    <cellStyle name="Normal 421 2" xfId="26130" xr:uid="{00000000-0005-0000-0000-0000236C0000}"/>
    <cellStyle name="Normal 422" xfId="15706" xr:uid="{00000000-0005-0000-0000-0000246C0000}"/>
    <cellStyle name="Normal 422 2" xfId="26131" xr:uid="{00000000-0005-0000-0000-0000256C0000}"/>
    <cellStyle name="Normal 423" xfId="15707" xr:uid="{00000000-0005-0000-0000-0000266C0000}"/>
    <cellStyle name="Normal 423 2" xfId="26132" xr:uid="{00000000-0005-0000-0000-0000276C0000}"/>
    <cellStyle name="Normal 424" xfId="15708" xr:uid="{00000000-0005-0000-0000-0000286C0000}"/>
    <cellStyle name="Normal 424 2" xfId="26133" xr:uid="{00000000-0005-0000-0000-0000296C0000}"/>
    <cellStyle name="Normal 425" xfId="15709" xr:uid="{00000000-0005-0000-0000-00002A6C0000}"/>
    <cellStyle name="Normal 425 2" xfId="26134" xr:uid="{00000000-0005-0000-0000-00002B6C0000}"/>
    <cellStyle name="Normal 426" xfId="15710" xr:uid="{00000000-0005-0000-0000-00002C6C0000}"/>
    <cellStyle name="Normal 426 2" xfId="26135" xr:uid="{00000000-0005-0000-0000-00002D6C0000}"/>
    <cellStyle name="Normal 427" xfId="15711" xr:uid="{00000000-0005-0000-0000-00002E6C0000}"/>
    <cellStyle name="Normal 427 2" xfId="26136" xr:uid="{00000000-0005-0000-0000-00002F6C0000}"/>
    <cellStyle name="Normal 427 2 2" xfId="33770" xr:uid="{00000000-0005-0000-0000-0000306C0000}"/>
    <cellStyle name="Normal 427 3" xfId="33998" xr:uid="{00000000-0005-0000-0000-0000316C0000}"/>
    <cellStyle name="Normal 427 4" xfId="34212" xr:uid="{00000000-0005-0000-0000-0000326C0000}"/>
    <cellStyle name="Normal 427 5" xfId="33389" xr:uid="{00000000-0005-0000-0000-0000336C0000}"/>
    <cellStyle name="Normal 428" xfId="15712" xr:uid="{00000000-0005-0000-0000-0000346C0000}"/>
    <cellStyle name="Normal 428 2" xfId="26137" xr:uid="{00000000-0005-0000-0000-0000356C0000}"/>
    <cellStyle name="Normal 429" xfId="15713" xr:uid="{00000000-0005-0000-0000-0000366C0000}"/>
    <cellStyle name="Normal 429 2" xfId="26138" xr:uid="{00000000-0005-0000-0000-0000376C0000}"/>
    <cellStyle name="Normal 43" xfId="580" xr:uid="{00000000-0005-0000-0000-0000386C0000}"/>
    <cellStyle name="Normal 43 10" xfId="17098" xr:uid="{00000000-0005-0000-0000-0000396C0000}"/>
    <cellStyle name="Normal 43 11" xfId="32201" xr:uid="{00000000-0005-0000-0000-00003A6C0000}"/>
    <cellStyle name="Normal 43 12" xfId="34251" xr:uid="{00000000-0005-0000-0000-00003B6C0000}"/>
    <cellStyle name="Normal 43 2" xfId="9558" xr:uid="{00000000-0005-0000-0000-00003C6C0000}"/>
    <cellStyle name="Normal 43 2 2" xfId="11207" xr:uid="{00000000-0005-0000-0000-00003D6C0000}"/>
    <cellStyle name="Normal 43 2 2 2" xfId="12628" xr:uid="{00000000-0005-0000-0000-00003E6C0000}"/>
    <cellStyle name="Normal 43 2 2 2 2" xfId="26142" xr:uid="{00000000-0005-0000-0000-00003F6C0000}"/>
    <cellStyle name="Normal 43 2 2 3" xfId="14209" xr:uid="{00000000-0005-0000-0000-0000406C0000}"/>
    <cellStyle name="Normal 43 2 2 3 2" xfId="26143" xr:uid="{00000000-0005-0000-0000-0000416C0000}"/>
    <cellStyle name="Normal 43 2 2 4" xfId="15353" xr:uid="{00000000-0005-0000-0000-0000426C0000}"/>
    <cellStyle name="Normal 43 2 2 4 2" xfId="26144" xr:uid="{00000000-0005-0000-0000-0000436C0000}"/>
    <cellStyle name="Normal 43 2 2 5" xfId="26141" xr:uid="{00000000-0005-0000-0000-0000446C0000}"/>
    <cellStyle name="Normal 43 2 2_Additional Disclosures" xfId="16684" xr:uid="{00000000-0005-0000-0000-0000456C0000}"/>
    <cellStyle name="Normal 43 2 3" xfId="11978" xr:uid="{00000000-0005-0000-0000-0000466C0000}"/>
    <cellStyle name="Normal 43 2 3 2" xfId="26145" xr:uid="{00000000-0005-0000-0000-0000476C0000}"/>
    <cellStyle name="Normal 43 2 4" xfId="13699" xr:uid="{00000000-0005-0000-0000-0000486C0000}"/>
    <cellStyle name="Normal 43 2 4 2" xfId="26146" xr:uid="{00000000-0005-0000-0000-0000496C0000}"/>
    <cellStyle name="Normal 43 2 5" xfId="14843" xr:uid="{00000000-0005-0000-0000-00004A6C0000}"/>
    <cellStyle name="Normal 43 2 5 2" xfId="26147" xr:uid="{00000000-0005-0000-0000-00004B6C0000}"/>
    <cellStyle name="Normal 43 2 6" xfId="26140" xr:uid="{00000000-0005-0000-0000-00004C6C0000}"/>
    <cellStyle name="Normal 43 2 7" xfId="32202" xr:uid="{00000000-0005-0000-0000-00004D6C0000}"/>
    <cellStyle name="Normal 43 2_Additional Disclosures" xfId="16683" xr:uid="{00000000-0005-0000-0000-00004E6C0000}"/>
    <cellStyle name="Normal 43 3" xfId="9559" xr:uid="{00000000-0005-0000-0000-00004F6C0000}"/>
    <cellStyle name="Normal 43 3 2" xfId="11208" xr:uid="{00000000-0005-0000-0000-0000506C0000}"/>
    <cellStyle name="Normal 43 3 2 2" xfId="12629" xr:uid="{00000000-0005-0000-0000-0000516C0000}"/>
    <cellStyle name="Normal 43 3 2 2 2" xfId="26150" xr:uid="{00000000-0005-0000-0000-0000526C0000}"/>
    <cellStyle name="Normal 43 3 2 3" xfId="26149" xr:uid="{00000000-0005-0000-0000-0000536C0000}"/>
    <cellStyle name="Normal 43 3 3" xfId="11979" xr:uid="{00000000-0005-0000-0000-0000546C0000}"/>
    <cellStyle name="Normal 43 3 3 2" xfId="26151" xr:uid="{00000000-0005-0000-0000-0000556C0000}"/>
    <cellStyle name="Normal 43 3 4" xfId="13955" xr:uid="{00000000-0005-0000-0000-0000566C0000}"/>
    <cellStyle name="Normal 43 3 4 2" xfId="26152" xr:uid="{00000000-0005-0000-0000-0000576C0000}"/>
    <cellStyle name="Normal 43 3 5" xfId="15099" xr:uid="{00000000-0005-0000-0000-0000586C0000}"/>
    <cellStyle name="Normal 43 3 5 2" xfId="26153" xr:uid="{00000000-0005-0000-0000-0000596C0000}"/>
    <cellStyle name="Normal 43 3 6" xfId="26148" xr:uid="{00000000-0005-0000-0000-00005A6C0000}"/>
    <cellStyle name="Normal 43 3_Additional Disclosures" xfId="16685" xr:uid="{00000000-0005-0000-0000-00005B6C0000}"/>
    <cellStyle name="Normal 43 4" xfId="13444" xr:uid="{00000000-0005-0000-0000-00005C6C0000}"/>
    <cellStyle name="Normal 43 4 2" xfId="26154" xr:uid="{00000000-0005-0000-0000-00005D6C0000}"/>
    <cellStyle name="Normal 43 5" xfId="14589" xr:uid="{00000000-0005-0000-0000-00005E6C0000}"/>
    <cellStyle name="Normal 43 5 2" xfId="26155" xr:uid="{00000000-0005-0000-0000-00005F6C0000}"/>
    <cellStyle name="Normal 43 6" xfId="26139" xr:uid="{00000000-0005-0000-0000-0000606C0000}"/>
    <cellStyle name="Normal 43 7" xfId="28964" xr:uid="{00000000-0005-0000-0000-0000616C0000}"/>
    <cellStyle name="Normal 43 8" xfId="17084" xr:uid="{00000000-0005-0000-0000-0000626C0000}"/>
    <cellStyle name="Normal 43 9" xfId="28970" xr:uid="{00000000-0005-0000-0000-0000636C0000}"/>
    <cellStyle name="Normal 43_Additional Disclosures" xfId="16682" xr:uid="{00000000-0005-0000-0000-0000646C0000}"/>
    <cellStyle name="Normal 430" xfId="15714" xr:uid="{00000000-0005-0000-0000-0000656C0000}"/>
    <cellStyle name="Normal 430 2" xfId="26156" xr:uid="{00000000-0005-0000-0000-0000666C0000}"/>
    <cellStyle name="Normal 431" xfId="15715" xr:uid="{00000000-0005-0000-0000-0000676C0000}"/>
    <cellStyle name="Normal 431 2" xfId="26157" xr:uid="{00000000-0005-0000-0000-0000686C0000}"/>
    <cellStyle name="Normal 432" xfId="15716" xr:uid="{00000000-0005-0000-0000-0000696C0000}"/>
    <cellStyle name="Normal 432 2" xfId="26158" xr:uid="{00000000-0005-0000-0000-00006A6C0000}"/>
    <cellStyle name="Normal 433" xfId="15717" xr:uid="{00000000-0005-0000-0000-00006B6C0000}"/>
    <cellStyle name="Normal 433 2" xfId="26159" xr:uid="{00000000-0005-0000-0000-00006C6C0000}"/>
    <cellStyle name="Normal 434" xfId="15718" xr:uid="{00000000-0005-0000-0000-00006D6C0000}"/>
    <cellStyle name="Normal 434 2" xfId="26160" xr:uid="{00000000-0005-0000-0000-00006E6C0000}"/>
    <cellStyle name="Normal 435" xfId="15719" xr:uid="{00000000-0005-0000-0000-00006F6C0000}"/>
    <cellStyle name="Normal 435 2" xfId="26161" xr:uid="{00000000-0005-0000-0000-0000706C0000}"/>
    <cellStyle name="Normal 436" xfId="15720" xr:uid="{00000000-0005-0000-0000-0000716C0000}"/>
    <cellStyle name="Normal 436 2" xfId="26162" xr:uid="{00000000-0005-0000-0000-0000726C0000}"/>
    <cellStyle name="Normal 437" xfId="15721" xr:uid="{00000000-0005-0000-0000-0000736C0000}"/>
    <cellStyle name="Normal 437 2" xfId="26163" xr:uid="{00000000-0005-0000-0000-0000746C0000}"/>
    <cellStyle name="Normal 438" xfId="15722" xr:uid="{00000000-0005-0000-0000-0000756C0000}"/>
    <cellStyle name="Normal 438 2" xfId="26164" xr:uid="{00000000-0005-0000-0000-0000766C0000}"/>
    <cellStyle name="Normal 439" xfId="15723" xr:uid="{00000000-0005-0000-0000-0000776C0000}"/>
    <cellStyle name="Normal 439 2" xfId="26165" xr:uid="{00000000-0005-0000-0000-0000786C0000}"/>
    <cellStyle name="Normal 44" xfId="581" xr:uid="{00000000-0005-0000-0000-0000796C0000}"/>
    <cellStyle name="Normal 44 10" xfId="17100" xr:uid="{00000000-0005-0000-0000-00007A6C0000}"/>
    <cellStyle name="Normal 44 11" xfId="32203" xr:uid="{00000000-0005-0000-0000-00007B6C0000}"/>
    <cellStyle name="Normal 44 12" xfId="34250" xr:uid="{00000000-0005-0000-0000-00007C6C0000}"/>
    <cellStyle name="Normal 44 2" xfId="9560" xr:uid="{00000000-0005-0000-0000-00007D6C0000}"/>
    <cellStyle name="Normal 44 2 2" xfId="11209" xr:uid="{00000000-0005-0000-0000-00007E6C0000}"/>
    <cellStyle name="Normal 44 2 2 2" xfId="12630" xr:uid="{00000000-0005-0000-0000-00007F6C0000}"/>
    <cellStyle name="Normal 44 2 2 2 2" xfId="26169" xr:uid="{00000000-0005-0000-0000-0000806C0000}"/>
    <cellStyle name="Normal 44 2 2 3" xfId="14210" xr:uid="{00000000-0005-0000-0000-0000816C0000}"/>
    <cellStyle name="Normal 44 2 2 3 2" xfId="26170" xr:uid="{00000000-0005-0000-0000-0000826C0000}"/>
    <cellStyle name="Normal 44 2 2 4" xfId="15354" xr:uid="{00000000-0005-0000-0000-0000836C0000}"/>
    <cellStyle name="Normal 44 2 2 4 2" xfId="26171" xr:uid="{00000000-0005-0000-0000-0000846C0000}"/>
    <cellStyle name="Normal 44 2 2 5" xfId="26168" xr:uid="{00000000-0005-0000-0000-0000856C0000}"/>
    <cellStyle name="Normal 44 2 2_Additional Disclosures" xfId="16688" xr:uid="{00000000-0005-0000-0000-0000866C0000}"/>
    <cellStyle name="Normal 44 2 3" xfId="11980" xr:uid="{00000000-0005-0000-0000-0000876C0000}"/>
    <cellStyle name="Normal 44 2 3 2" xfId="26172" xr:uid="{00000000-0005-0000-0000-0000886C0000}"/>
    <cellStyle name="Normal 44 2 4" xfId="13700" xr:uid="{00000000-0005-0000-0000-0000896C0000}"/>
    <cellStyle name="Normal 44 2 4 2" xfId="26173" xr:uid="{00000000-0005-0000-0000-00008A6C0000}"/>
    <cellStyle name="Normal 44 2 5" xfId="14844" xr:uid="{00000000-0005-0000-0000-00008B6C0000}"/>
    <cellStyle name="Normal 44 2 5 2" xfId="26174" xr:uid="{00000000-0005-0000-0000-00008C6C0000}"/>
    <cellStyle name="Normal 44 2 6" xfId="26167" xr:uid="{00000000-0005-0000-0000-00008D6C0000}"/>
    <cellStyle name="Normal 44 2 7" xfId="32204" xr:uid="{00000000-0005-0000-0000-00008E6C0000}"/>
    <cellStyle name="Normal 44 2_Additional Disclosures" xfId="16687" xr:uid="{00000000-0005-0000-0000-00008F6C0000}"/>
    <cellStyle name="Normal 44 3" xfId="9561" xr:uid="{00000000-0005-0000-0000-0000906C0000}"/>
    <cellStyle name="Normal 44 3 2" xfId="11210" xr:uid="{00000000-0005-0000-0000-0000916C0000}"/>
    <cellStyle name="Normal 44 3 2 2" xfId="12631" xr:uid="{00000000-0005-0000-0000-0000926C0000}"/>
    <cellStyle name="Normal 44 3 2 2 2" xfId="26177" xr:uid="{00000000-0005-0000-0000-0000936C0000}"/>
    <cellStyle name="Normal 44 3 2 3" xfId="26176" xr:uid="{00000000-0005-0000-0000-0000946C0000}"/>
    <cellStyle name="Normal 44 3 3" xfId="11981" xr:uid="{00000000-0005-0000-0000-0000956C0000}"/>
    <cellStyle name="Normal 44 3 3 2" xfId="26178" xr:uid="{00000000-0005-0000-0000-0000966C0000}"/>
    <cellStyle name="Normal 44 3 4" xfId="13956" xr:uid="{00000000-0005-0000-0000-0000976C0000}"/>
    <cellStyle name="Normal 44 3 4 2" xfId="26179" xr:uid="{00000000-0005-0000-0000-0000986C0000}"/>
    <cellStyle name="Normal 44 3 5" xfId="15100" xr:uid="{00000000-0005-0000-0000-0000996C0000}"/>
    <cellStyle name="Normal 44 3 5 2" xfId="26180" xr:uid="{00000000-0005-0000-0000-00009A6C0000}"/>
    <cellStyle name="Normal 44 3 6" xfId="26175" xr:uid="{00000000-0005-0000-0000-00009B6C0000}"/>
    <cellStyle name="Normal 44 3_Additional Disclosures" xfId="16689" xr:uid="{00000000-0005-0000-0000-00009C6C0000}"/>
    <cellStyle name="Normal 44 4" xfId="13445" xr:uid="{00000000-0005-0000-0000-00009D6C0000}"/>
    <cellStyle name="Normal 44 4 2" xfId="26181" xr:uid="{00000000-0005-0000-0000-00009E6C0000}"/>
    <cellStyle name="Normal 44 5" xfId="14590" xr:uid="{00000000-0005-0000-0000-00009F6C0000}"/>
    <cellStyle name="Normal 44 5 2" xfId="26182" xr:uid="{00000000-0005-0000-0000-0000A06C0000}"/>
    <cellStyle name="Normal 44 6" xfId="26166" xr:uid="{00000000-0005-0000-0000-0000A16C0000}"/>
    <cellStyle name="Normal 44 7" xfId="28965" xr:uid="{00000000-0005-0000-0000-0000A26C0000}"/>
    <cellStyle name="Normal 44 8" xfId="17092" xr:uid="{00000000-0005-0000-0000-0000A36C0000}"/>
    <cellStyle name="Normal 44 9" xfId="28972" xr:uid="{00000000-0005-0000-0000-0000A46C0000}"/>
    <cellStyle name="Normal 44_Additional Disclosures" xfId="16686" xr:uid="{00000000-0005-0000-0000-0000A56C0000}"/>
    <cellStyle name="Normal 440" xfId="15724" xr:uid="{00000000-0005-0000-0000-0000A66C0000}"/>
    <cellStyle name="Normal 440 2" xfId="26183" xr:uid="{00000000-0005-0000-0000-0000A76C0000}"/>
    <cellStyle name="Normal 441" xfId="15725" xr:uid="{00000000-0005-0000-0000-0000A86C0000}"/>
    <cellStyle name="Normal 441 2" xfId="26184" xr:uid="{00000000-0005-0000-0000-0000A96C0000}"/>
    <cellStyle name="Normal 442" xfId="15726" xr:uid="{00000000-0005-0000-0000-0000AA6C0000}"/>
    <cellStyle name="Normal 442 2" xfId="26185" xr:uid="{00000000-0005-0000-0000-0000AB6C0000}"/>
    <cellStyle name="Normal 443" xfId="15727" xr:uid="{00000000-0005-0000-0000-0000AC6C0000}"/>
    <cellStyle name="Normal 443 2" xfId="26186" xr:uid="{00000000-0005-0000-0000-0000AD6C0000}"/>
    <cellStyle name="Normal 444" xfId="15728" xr:uid="{00000000-0005-0000-0000-0000AE6C0000}"/>
    <cellStyle name="Normal 444 2" xfId="26187" xr:uid="{00000000-0005-0000-0000-0000AF6C0000}"/>
    <cellStyle name="Normal 445" xfId="15729" xr:uid="{00000000-0005-0000-0000-0000B06C0000}"/>
    <cellStyle name="Normal 445 2" xfId="26188" xr:uid="{00000000-0005-0000-0000-0000B16C0000}"/>
    <cellStyle name="Normal 446" xfId="15730" xr:uid="{00000000-0005-0000-0000-0000B26C0000}"/>
    <cellStyle name="Normal 446 2" xfId="26189" xr:uid="{00000000-0005-0000-0000-0000B36C0000}"/>
    <cellStyle name="Normal 447" xfId="15731" xr:uid="{00000000-0005-0000-0000-0000B46C0000}"/>
    <cellStyle name="Normal 447 2" xfId="26190" xr:uid="{00000000-0005-0000-0000-0000B56C0000}"/>
    <cellStyle name="Normal 448" xfId="15732" xr:uid="{00000000-0005-0000-0000-0000B66C0000}"/>
    <cellStyle name="Normal 448 2" xfId="26191" xr:uid="{00000000-0005-0000-0000-0000B76C0000}"/>
    <cellStyle name="Normal 449" xfId="15733" xr:uid="{00000000-0005-0000-0000-0000B86C0000}"/>
    <cellStyle name="Normal 449 2" xfId="26192" xr:uid="{00000000-0005-0000-0000-0000B96C0000}"/>
    <cellStyle name="Normal 45" xfId="582" xr:uid="{00000000-0005-0000-0000-0000BA6C0000}"/>
    <cellStyle name="Normal 45 10" xfId="28973" xr:uid="{00000000-0005-0000-0000-0000BB6C0000}"/>
    <cellStyle name="Normal 45 11" xfId="32205" xr:uid="{00000000-0005-0000-0000-0000BC6C0000}"/>
    <cellStyle name="Normal 45 12" xfId="32206" xr:uid="{00000000-0005-0000-0000-0000BD6C0000}"/>
    <cellStyle name="Normal 45 13" xfId="32207" xr:uid="{00000000-0005-0000-0000-0000BE6C0000}"/>
    <cellStyle name="Normal 45 14" xfId="32208" xr:uid="{00000000-0005-0000-0000-0000BF6C0000}"/>
    <cellStyle name="Normal 45 15" xfId="34269" xr:uid="{00000000-0005-0000-0000-0000C06C0000}"/>
    <cellStyle name="Normal 45 2" xfId="9562" xr:uid="{00000000-0005-0000-0000-0000C16C0000}"/>
    <cellStyle name="Normal 45 2 10" xfId="32209" xr:uid="{00000000-0005-0000-0000-0000C26C0000}"/>
    <cellStyle name="Normal 45 2 11" xfId="32210" xr:uid="{00000000-0005-0000-0000-0000C36C0000}"/>
    <cellStyle name="Normal 45 2 12" xfId="32211" xr:uid="{00000000-0005-0000-0000-0000C46C0000}"/>
    <cellStyle name="Normal 45 2 2" xfId="11211" xr:uid="{00000000-0005-0000-0000-0000C56C0000}"/>
    <cellStyle name="Normal 45 2 2 2" xfId="12632" xr:uid="{00000000-0005-0000-0000-0000C66C0000}"/>
    <cellStyle name="Normal 45 2 2 2 2" xfId="26196" xr:uid="{00000000-0005-0000-0000-0000C76C0000}"/>
    <cellStyle name="Normal 45 2 2 3" xfId="14211" xr:uid="{00000000-0005-0000-0000-0000C86C0000}"/>
    <cellStyle name="Normal 45 2 2 3 2" xfId="26197" xr:uid="{00000000-0005-0000-0000-0000C96C0000}"/>
    <cellStyle name="Normal 45 2 2 4" xfId="15355" xr:uid="{00000000-0005-0000-0000-0000CA6C0000}"/>
    <cellStyle name="Normal 45 2 2 4 2" xfId="26198" xr:uid="{00000000-0005-0000-0000-0000CB6C0000}"/>
    <cellStyle name="Normal 45 2 2 5" xfId="26195" xr:uid="{00000000-0005-0000-0000-0000CC6C0000}"/>
    <cellStyle name="Normal 45 2 2_Additional Disclosures" xfId="16692" xr:uid="{00000000-0005-0000-0000-0000CD6C0000}"/>
    <cellStyle name="Normal 45 2 3" xfId="11982" xr:uid="{00000000-0005-0000-0000-0000CE6C0000}"/>
    <cellStyle name="Normal 45 2 3 2" xfId="26199" xr:uid="{00000000-0005-0000-0000-0000CF6C0000}"/>
    <cellStyle name="Normal 45 2 4" xfId="13701" xr:uid="{00000000-0005-0000-0000-0000D06C0000}"/>
    <cellStyle name="Normal 45 2 4 2" xfId="26200" xr:uid="{00000000-0005-0000-0000-0000D16C0000}"/>
    <cellStyle name="Normal 45 2 5" xfId="14845" xr:uid="{00000000-0005-0000-0000-0000D26C0000}"/>
    <cellStyle name="Normal 45 2 5 2" xfId="26201" xr:uid="{00000000-0005-0000-0000-0000D36C0000}"/>
    <cellStyle name="Normal 45 2 6" xfId="26194" xr:uid="{00000000-0005-0000-0000-0000D46C0000}"/>
    <cellStyle name="Normal 45 2 7" xfId="32212" xr:uid="{00000000-0005-0000-0000-0000D56C0000}"/>
    <cellStyle name="Normal 45 2 8" xfId="32213" xr:uid="{00000000-0005-0000-0000-0000D66C0000}"/>
    <cellStyle name="Normal 45 2 9" xfId="32214" xr:uid="{00000000-0005-0000-0000-0000D76C0000}"/>
    <cellStyle name="Normal 45 2_Additional Disclosures" xfId="16691" xr:uid="{00000000-0005-0000-0000-0000D86C0000}"/>
    <cellStyle name="Normal 45 3" xfId="9563" xr:uid="{00000000-0005-0000-0000-0000D96C0000}"/>
    <cellStyle name="Normal 45 3 2" xfId="11212" xr:uid="{00000000-0005-0000-0000-0000DA6C0000}"/>
    <cellStyle name="Normal 45 3 2 2" xfId="12633" xr:uid="{00000000-0005-0000-0000-0000DB6C0000}"/>
    <cellStyle name="Normal 45 3 2 2 2" xfId="26204" xr:uid="{00000000-0005-0000-0000-0000DC6C0000}"/>
    <cellStyle name="Normal 45 3 2 3" xfId="26203" xr:uid="{00000000-0005-0000-0000-0000DD6C0000}"/>
    <cellStyle name="Normal 45 3 3" xfId="11983" xr:uid="{00000000-0005-0000-0000-0000DE6C0000}"/>
    <cellStyle name="Normal 45 3 3 2" xfId="26205" xr:uid="{00000000-0005-0000-0000-0000DF6C0000}"/>
    <cellStyle name="Normal 45 3 4" xfId="13957" xr:uid="{00000000-0005-0000-0000-0000E06C0000}"/>
    <cellStyle name="Normal 45 3 4 2" xfId="26206" xr:uid="{00000000-0005-0000-0000-0000E16C0000}"/>
    <cellStyle name="Normal 45 3 5" xfId="15101" xr:uid="{00000000-0005-0000-0000-0000E26C0000}"/>
    <cellStyle name="Normal 45 3 5 2" xfId="26207" xr:uid="{00000000-0005-0000-0000-0000E36C0000}"/>
    <cellStyle name="Normal 45 3 6" xfId="26202" xr:uid="{00000000-0005-0000-0000-0000E46C0000}"/>
    <cellStyle name="Normal 45 3 7" xfId="32215" xr:uid="{00000000-0005-0000-0000-0000E56C0000}"/>
    <cellStyle name="Normal 45 3 8" xfId="32216" xr:uid="{00000000-0005-0000-0000-0000E66C0000}"/>
    <cellStyle name="Normal 45 3 9" xfId="32217" xr:uid="{00000000-0005-0000-0000-0000E76C0000}"/>
    <cellStyle name="Normal 45 3_Additional Disclosures" xfId="16693" xr:uid="{00000000-0005-0000-0000-0000E86C0000}"/>
    <cellStyle name="Normal 45 4" xfId="12859" xr:uid="{00000000-0005-0000-0000-0000E96C0000}"/>
    <cellStyle name="Normal 45 4 2" xfId="26208" xr:uid="{00000000-0005-0000-0000-0000EA6C0000}"/>
    <cellStyle name="Normal 45 5" xfId="13446" xr:uid="{00000000-0005-0000-0000-0000EB6C0000}"/>
    <cellStyle name="Normal 45 5 2" xfId="26209" xr:uid="{00000000-0005-0000-0000-0000EC6C0000}"/>
    <cellStyle name="Normal 45 6" xfId="14591" xr:uid="{00000000-0005-0000-0000-0000ED6C0000}"/>
    <cellStyle name="Normal 45 6 2" xfId="26210" xr:uid="{00000000-0005-0000-0000-0000EE6C0000}"/>
    <cellStyle name="Normal 45 7" xfId="26193" xr:uid="{00000000-0005-0000-0000-0000EF6C0000}"/>
    <cellStyle name="Normal 45 8" xfId="28967" xr:uid="{00000000-0005-0000-0000-0000F06C0000}"/>
    <cellStyle name="Normal 45 9" xfId="17096" xr:uid="{00000000-0005-0000-0000-0000F16C0000}"/>
    <cellStyle name="Normal 45_Additional Disclosures" xfId="16690" xr:uid="{00000000-0005-0000-0000-0000F26C0000}"/>
    <cellStyle name="Normal 450" xfId="15734" xr:uid="{00000000-0005-0000-0000-0000F36C0000}"/>
    <cellStyle name="Normal 450 2" xfId="26211" xr:uid="{00000000-0005-0000-0000-0000F46C0000}"/>
    <cellStyle name="Normal 451" xfId="15735" xr:uid="{00000000-0005-0000-0000-0000F56C0000}"/>
    <cellStyle name="Normal 451 2" xfId="26212" xr:uid="{00000000-0005-0000-0000-0000F66C0000}"/>
    <cellStyle name="Normal 452" xfId="15736" xr:uid="{00000000-0005-0000-0000-0000F76C0000}"/>
    <cellStyle name="Normal 452 2" xfId="26213" xr:uid="{00000000-0005-0000-0000-0000F86C0000}"/>
    <cellStyle name="Normal 453" xfId="15737" xr:uid="{00000000-0005-0000-0000-0000F96C0000}"/>
    <cellStyle name="Normal 453 2" xfId="26214" xr:uid="{00000000-0005-0000-0000-0000FA6C0000}"/>
    <cellStyle name="Normal 454" xfId="15738" xr:uid="{00000000-0005-0000-0000-0000FB6C0000}"/>
    <cellStyle name="Normal 454 2" xfId="26215" xr:uid="{00000000-0005-0000-0000-0000FC6C0000}"/>
    <cellStyle name="Normal 455" xfId="15739" xr:uid="{00000000-0005-0000-0000-0000FD6C0000}"/>
    <cellStyle name="Normal 455 2" xfId="26216" xr:uid="{00000000-0005-0000-0000-0000FE6C0000}"/>
    <cellStyle name="Normal 456" xfId="15740" xr:uid="{00000000-0005-0000-0000-0000FF6C0000}"/>
    <cellStyle name="Normal 456 2" xfId="26217" xr:uid="{00000000-0005-0000-0000-0000006D0000}"/>
    <cellStyle name="Normal 457" xfId="15741" xr:uid="{00000000-0005-0000-0000-0000016D0000}"/>
    <cellStyle name="Normal 457 2" xfId="26218" xr:uid="{00000000-0005-0000-0000-0000026D0000}"/>
    <cellStyle name="Normal 458" xfId="15742" xr:uid="{00000000-0005-0000-0000-0000036D0000}"/>
    <cellStyle name="Normal 458 2" xfId="26219" xr:uid="{00000000-0005-0000-0000-0000046D0000}"/>
    <cellStyle name="Normal 459" xfId="15743" xr:uid="{00000000-0005-0000-0000-0000056D0000}"/>
    <cellStyle name="Normal 459 2" xfId="26220" xr:uid="{00000000-0005-0000-0000-0000066D0000}"/>
    <cellStyle name="Normal 46" xfId="583" xr:uid="{00000000-0005-0000-0000-0000076D0000}"/>
    <cellStyle name="Normal 46 10" xfId="9564" xr:uid="{00000000-0005-0000-0000-0000086D0000}"/>
    <cellStyle name="Normal 46 10 2" xfId="26222" xr:uid="{00000000-0005-0000-0000-0000096D0000}"/>
    <cellStyle name="Normal 46 11" xfId="9565" xr:uid="{00000000-0005-0000-0000-00000A6D0000}"/>
    <cellStyle name="Normal 46 11 2" xfId="26223" xr:uid="{00000000-0005-0000-0000-00000B6D0000}"/>
    <cellStyle name="Normal 46 12" xfId="9566" xr:uid="{00000000-0005-0000-0000-00000C6D0000}"/>
    <cellStyle name="Normal 46 12 2" xfId="26224" xr:uid="{00000000-0005-0000-0000-00000D6D0000}"/>
    <cellStyle name="Normal 46 13" xfId="9567" xr:uid="{00000000-0005-0000-0000-00000E6D0000}"/>
    <cellStyle name="Normal 46 13 2" xfId="26225" xr:uid="{00000000-0005-0000-0000-00000F6D0000}"/>
    <cellStyle name="Normal 46 14" xfId="12122" xr:uid="{00000000-0005-0000-0000-0000106D0000}"/>
    <cellStyle name="Normal 46 14 2" xfId="26226" xr:uid="{00000000-0005-0000-0000-0000116D0000}"/>
    <cellStyle name="Normal 46 15" xfId="13447" xr:uid="{00000000-0005-0000-0000-0000126D0000}"/>
    <cellStyle name="Normal 46 15 2" xfId="26227" xr:uid="{00000000-0005-0000-0000-0000136D0000}"/>
    <cellStyle name="Normal 46 16" xfId="14592" xr:uid="{00000000-0005-0000-0000-0000146D0000}"/>
    <cellStyle name="Normal 46 16 2" xfId="26228" xr:uid="{00000000-0005-0000-0000-0000156D0000}"/>
    <cellStyle name="Normal 46 17" xfId="26221" xr:uid="{00000000-0005-0000-0000-0000166D0000}"/>
    <cellStyle name="Normal 46 18" xfId="32218" xr:uid="{00000000-0005-0000-0000-0000176D0000}"/>
    <cellStyle name="Normal 46 19" xfId="32219" xr:uid="{00000000-0005-0000-0000-0000186D0000}"/>
    <cellStyle name="Normal 46 2" xfId="9568" xr:uid="{00000000-0005-0000-0000-0000196D0000}"/>
    <cellStyle name="Normal 46 2 10" xfId="17104" xr:uid="{00000000-0005-0000-0000-00001A6D0000}"/>
    <cellStyle name="Normal 46 2 11" xfId="32220" xr:uid="{00000000-0005-0000-0000-00001B6D0000}"/>
    <cellStyle name="Normal 46 2 12" xfId="32221" xr:uid="{00000000-0005-0000-0000-00001C6D0000}"/>
    <cellStyle name="Normal 46 2 13" xfId="32222" xr:uid="{00000000-0005-0000-0000-00001D6D0000}"/>
    <cellStyle name="Normal 46 2 14" xfId="32223" xr:uid="{00000000-0005-0000-0000-00001E6D0000}"/>
    <cellStyle name="Normal 46 2 2" xfId="12120" xr:uid="{00000000-0005-0000-0000-00001F6D0000}"/>
    <cellStyle name="Normal 46 2 2 2" xfId="14212" xr:uid="{00000000-0005-0000-0000-0000206D0000}"/>
    <cellStyle name="Normal 46 2 2 2 2" xfId="26231" xr:uid="{00000000-0005-0000-0000-0000216D0000}"/>
    <cellStyle name="Normal 46 2 2 3" xfId="15356" xr:uid="{00000000-0005-0000-0000-0000226D0000}"/>
    <cellStyle name="Normal 46 2 2 3 2" xfId="26232" xr:uid="{00000000-0005-0000-0000-0000236D0000}"/>
    <cellStyle name="Normal 46 2 2 4" xfId="26230" xr:uid="{00000000-0005-0000-0000-0000246D0000}"/>
    <cellStyle name="Normal 46 2 2 5" xfId="32224" xr:uid="{00000000-0005-0000-0000-0000256D0000}"/>
    <cellStyle name="Normal 46 2 2_Additional Disclosures" xfId="16696" xr:uid="{00000000-0005-0000-0000-0000266D0000}"/>
    <cellStyle name="Normal 46 2 3" xfId="12121" xr:uid="{00000000-0005-0000-0000-0000276D0000}"/>
    <cellStyle name="Normal 46 2 3 2" xfId="26233" xr:uid="{00000000-0005-0000-0000-0000286D0000}"/>
    <cellStyle name="Normal 46 2 4" xfId="13702" xr:uid="{00000000-0005-0000-0000-0000296D0000}"/>
    <cellStyle name="Normal 46 2 4 2" xfId="26234" xr:uid="{00000000-0005-0000-0000-00002A6D0000}"/>
    <cellStyle name="Normal 46 2 5" xfId="14846" xr:uid="{00000000-0005-0000-0000-00002B6D0000}"/>
    <cellStyle name="Normal 46 2 5 2" xfId="26235" xr:uid="{00000000-0005-0000-0000-00002C6D0000}"/>
    <cellStyle name="Normal 46 2 6" xfId="26229" xr:uid="{00000000-0005-0000-0000-00002D6D0000}"/>
    <cellStyle name="Normal 46 2 7" xfId="28969" xr:uid="{00000000-0005-0000-0000-00002E6D0000}"/>
    <cellStyle name="Normal 46 2 8" xfId="17099" xr:uid="{00000000-0005-0000-0000-00002F6D0000}"/>
    <cellStyle name="Normal 46 2 9" xfId="28976" xr:uid="{00000000-0005-0000-0000-0000306D0000}"/>
    <cellStyle name="Normal 46 2_Additional Disclosures" xfId="16695" xr:uid="{00000000-0005-0000-0000-0000316D0000}"/>
    <cellStyle name="Normal 46 20" xfId="32225" xr:uid="{00000000-0005-0000-0000-0000326D0000}"/>
    <cellStyle name="Normal 46 3" xfId="9569" xr:uid="{00000000-0005-0000-0000-0000336D0000}"/>
    <cellStyle name="Normal 46 3 2" xfId="12119" xr:uid="{00000000-0005-0000-0000-0000346D0000}"/>
    <cellStyle name="Normal 46 3 2 2" xfId="26237" xr:uid="{00000000-0005-0000-0000-0000356D0000}"/>
    <cellStyle name="Normal 46 3 3" xfId="13958" xr:uid="{00000000-0005-0000-0000-0000366D0000}"/>
    <cellStyle name="Normal 46 3 3 2" xfId="26238" xr:uid="{00000000-0005-0000-0000-0000376D0000}"/>
    <cellStyle name="Normal 46 3 4" xfId="15102" xr:uid="{00000000-0005-0000-0000-0000386D0000}"/>
    <cellStyle name="Normal 46 3 4 2" xfId="26239" xr:uid="{00000000-0005-0000-0000-0000396D0000}"/>
    <cellStyle name="Normal 46 3 5" xfId="26236" xr:uid="{00000000-0005-0000-0000-00003A6D0000}"/>
    <cellStyle name="Normal 46 3 6" xfId="32226" xr:uid="{00000000-0005-0000-0000-00003B6D0000}"/>
    <cellStyle name="Normal 46 3 7" xfId="32227" xr:uid="{00000000-0005-0000-0000-00003C6D0000}"/>
    <cellStyle name="Normal 46 3 8" xfId="32228" xr:uid="{00000000-0005-0000-0000-00003D6D0000}"/>
    <cellStyle name="Normal 46 3_Additional Disclosures" xfId="16697" xr:uid="{00000000-0005-0000-0000-00003E6D0000}"/>
    <cellStyle name="Normal 46 4" xfId="9570" xr:uid="{00000000-0005-0000-0000-00003F6D0000}"/>
    <cellStyle name="Normal 46 4 2" xfId="26240" xr:uid="{00000000-0005-0000-0000-0000406D0000}"/>
    <cellStyle name="Normal 46 4 3" xfId="32229" xr:uid="{00000000-0005-0000-0000-0000416D0000}"/>
    <cellStyle name="Normal 46 5" xfId="9571" xr:uid="{00000000-0005-0000-0000-0000426D0000}"/>
    <cellStyle name="Normal 46 5 2" xfId="26241" xr:uid="{00000000-0005-0000-0000-0000436D0000}"/>
    <cellStyle name="Normal 46 5 3" xfId="32230" xr:uid="{00000000-0005-0000-0000-0000446D0000}"/>
    <cellStyle name="Normal 46 6" xfId="9572" xr:uid="{00000000-0005-0000-0000-0000456D0000}"/>
    <cellStyle name="Normal 46 6 2" xfId="26242" xr:uid="{00000000-0005-0000-0000-0000466D0000}"/>
    <cellStyle name="Normal 46 6 3" xfId="32231" xr:uid="{00000000-0005-0000-0000-0000476D0000}"/>
    <cellStyle name="Normal 46 7" xfId="9573" xr:uid="{00000000-0005-0000-0000-0000486D0000}"/>
    <cellStyle name="Normal 46 7 2" xfId="26243" xr:uid="{00000000-0005-0000-0000-0000496D0000}"/>
    <cellStyle name="Normal 46 7 3" xfId="32232" xr:uid="{00000000-0005-0000-0000-00004A6D0000}"/>
    <cellStyle name="Normal 46 8" xfId="9574" xr:uid="{00000000-0005-0000-0000-00004B6D0000}"/>
    <cellStyle name="Normal 46 8 2" xfId="26244" xr:uid="{00000000-0005-0000-0000-00004C6D0000}"/>
    <cellStyle name="Normal 46 8 3" xfId="32233" xr:uid="{00000000-0005-0000-0000-00004D6D0000}"/>
    <cellStyle name="Normal 46 9" xfId="9575" xr:uid="{00000000-0005-0000-0000-00004E6D0000}"/>
    <cellStyle name="Normal 46 9 2" xfId="26245" xr:uid="{00000000-0005-0000-0000-00004F6D0000}"/>
    <cellStyle name="Normal 46 9 3" xfId="32234" xr:uid="{00000000-0005-0000-0000-0000506D0000}"/>
    <cellStyle name="Normal 46_Additional Disclosures" xfId="16694" xr:uid="{00000000-0005-0000-0000-0000516D0000}"/>
    <cellStyle name="Normal 460" xfId="15744" xr:uid="{00000000-0005-0000-0000-0000526D0000}"/>
    <cellStyle name="Normal 460 2" xfId="26246" xr:uid="{00000000-0005-0000-0000-0000536D0000}"/>
    <cellStyle name="Normal 461" xfId="15745" xr:uid="{00000000-0005-0000-0000-0000546D0000}"/>
    <cellStyle name="Normal 461 2" xfId="26247" xr:uid="{00000000-0005-0000-0000-0000556D0000}"/>
    <cellStyle name="Normal 462" xfId="15746" xr:uid="{00000000-0005-0000-0000-0000566D0000}"/>
    <cellStyle name="Normal 462 2" xfId="26248" xr:uid="{00000000-0005-0000-0000-0000576D0000}"/>
    <cellStyle name="Normal 463" xfId="15747" xr:uid="{00000000-0005-0000-0000-0000586D0000}"/>
    <cellStyle name="Normal 463 2" xfId="26249" xr:uid="{00000000-0005-0000-0000-0000596D0000}"/>
    <cellStyle name="Normal 464" xfId="15748" xr:uid="{00000000-0005-0000-0000-00005A6D0000}"/>
    <cellStyle name="Normal 464 2" xfId="26250" xr:uid="{00000000-0005-0000-0000-00005B6D0000}"/>
    <cellStyle name="Normal 465" xfId="15749" xr:uid="{00000000-0005-0000-0000-00005C6D0000}"/>
    <cellStyle name="Normal 465 2" xfId="26251" xr:uid="{00000000-0005-0000-0000-00005D6D0000}"/>
    <cellStyle name="Normal 466" xfId="15750" xr:uid="{00000000-0005-0000-0000-00005E6D0000}"/>
    <cellStyle name="Normal 466 2" xfId="26252" xr:uid="{00000000-0005-0000-0000-00005F6D0000}"/>
    <cellStyle name="Normal 467" xfId="15751" xr:uid="{00000000-0005-0000-0000-0000606D0000}"/>
    <cellStyle name="Normal 467 2" xfId="26253" xr:uid="{00000000-0005-0000-0000-0000616D0000}"/>
    <cellStyle name="Normal 468" xfId="15752" xr:uid="{00000000-0005-0000-0000-0000626D0000}"/>
    <cellStyle name="Normal 468 2" xfId="26254" xr:uid="{00000000-0005-0000-0000-0000636D0000}"/>
    <cellStyle name="Normal 469" xfId="15753" xr:uid="{00000000-0005-0000-0000-0000646D0000}"/>
    <cellStyle name="Normal 469 2" xfId="26255" xr:uid="{00000000-0005-0000-0000-0000656D0000}"/>
    <cellStyle name="Normal 47" xfId="584" xr:uid="{00000000-0005-0000-0000-0000666D0000}"/>
    <cellStyle name="Normal 47 10" xfId="28977" xr:uid="{00000000-0005-0000-0000-0000676D0000}"/>
    <cellStyle name="Normal 47 11" xfId="32235" xr:uid="{00000000-0005-0000-0000-0000686D0000}"/>
    <cellStyle name="Normal 47 12" xfId="33374" xr:uid="{00000000-0005-0000-0000-0000696D0000}"/>
    <cellStyle name="Normal 47 2" xfId="9576" xr:uid="{00000000-0005-0000-0000-00006A6D0000}"/>
    <cellStyle name="Normal 47 2 2" xfId="11213" xr:uid="{00000000-0005-0000-0000-00006B6D0000}"/>
    <cellStyle name="Normal 47 2 2 2" xfId="12634" xr:uid="{00000000-0005-0000-0000-00006C6D0000}"/>
    <cellStyle name="Normal 47 2 2 2 2" xfId="14155" xr:uid="{00000000-0005-0000-0000-00006D6D0000}"/>
    <cellStyle name="Normal 47 2 2 2 2 2" xfId="26260" xr:uid="{00000000-0005-0000-0000-00006E6D0000}"/>
    <cellStyle name="Normal 47 2 2 2 3" xfId="15299" xr:uid="{00000000-0005-0000-0000-00006F6D0000}"/>
    <cellStyle name="Normal 47 2 2 2 3 2" xfId="26261" xr:uid="{00000000-0005-0000-0000-0000706D0000}"/>
    <cellStyle name="Normal 47 2 2 2 4" xfId="26259" xr:uid="{00000000-0005-0000-0000-0000716D0000}"/>
    <cellStyle name="Normal 47 2 2 2_Additional Disclosures" xfId="16701" xr:uid="{00000000-0005-0000-0000-0000726D0000}"/>
    <cellStyle name="Normal 47 2 2 3" xfId="13644" xr:uid="{00000000-0005-0000-0000-0000736D0000}"/>
    <cellStyle name="Normal 47 2 2 3 2" xfId="26262" xr:uid="{00000000-0005-0000-0000-0000746D0000}"/>
    <cellStyle name="Normal 47 2 2 4" xfId="14789" xr:uid="{00000000-0005-0000-0000-0000756D0000}"/>
    <cellStyle name="Normal 47 2 2 4 2" xfId="26263" xr:uid="{00000000-0005-0000-0000-0000766D0000}"/>
    <cellStyle name="Normal 47 2 2 5" xfId="26258" xr:uid="{00000000-0005-0000-0000-0000776D0000}"/>
    <cellStyle name="Normal 47 2 2_Additional Disclosures" xfId="16700" xr:uid="{00000000-0005-0000-0000-0000786D0000}"/>
    <cellStyle name="Normal 47 2 3" xfId="11984" xr:uid="{00000000-0005-0000-0000-0000796D0000}"/>
    <cellStyle name="Normal 47 2 3 2" xfId="13900" xr:uid="{00000000-0005-0000-0000-00007A6D0000}"/>
    <cellStyle name="Normal 47 2 3 2 2" xfId="26265" xr:uid="{00000000-0005-0000-0000-00007B6D0000}"/>
    <cellStyle name="Normal 47 2 3 3" xfId="15045" xr:uid="{00000000-0005-0000-0000-00007C6D0000}"/>
    <cellStyle name="Normal 47 2 3 3 2" xfId="26266" xr:uid="{00000000-0005-0000-0000-00007D6D0000}"/>
    <cellStyle name="Normal 47 2 3 4" xfId="26264" xr:uid="{00000000-0005-0000-0000-00007E6D0000}"/>
    <cellStyle name="Normal 47 2 3_Additional Disclosures" xfId="16702" xr:uid="{00000000-0005-0000-0000-00007F6D0000}"/>
    <cellStyle name="Normal 47 2 4" xfId="13389" xr:uid="{00000000-0005-0000-0000-0000806D0000}"/>
    <cellStyle name="Normal 47 2 4 2" xfId="26267" xr:uid="{00000000-0005-0000-0000-0000816D0000}"/>
    <cellStyle name="Normal 47 2 5" xfId="14533" xr:uid="{00000000-0005-0000-0000-0000826D0000}"/>
    <cellStyle name="Normal 47 2 5 2" xfId="26268" xr:uid="{00000000-0005-0000-0000-0000836D0000}"/>
    <cellStyle name="Normal 47 2 6" xfId="26257" xr:uid="{00000000-0005-0000-0000-0000846D0000}"/>
    <cellStyle name="Normal 47 2 7" xfId="32236" xr:uid="{00000000-0005-0000-0000-0000856D0000}"/>
    <cellStyle name="Normal 47 2 8" xfId="33757" xr:uid="{00000000-0005-0000-0000-0000866D0000}"/>
    <cellStyle name="Normal 47 2 9" xfId="34294" xr:uid="{00000000-0005-0000-0000-0000876D0000}"/>
    <cellStyle name="Normal 47 2_Additional Disclosures" xfId="16699" xr:uid="{00000000-0005-0000-0000-0000886D0000}"/>
    <cellStyle name="Normal 47 3" xfId="9577" xr:uid="{00000000-0005-0000-0000-0000896D0000}"/>
    <cellStyle name="Normal 47 3 2" xfId="11214" xr:uid="{00000000-0005-0000-0000-00008A6D0000}"/>
    <cellStyle name="Normal 47 3 2 2" xfId="12635" xr:uid="{00000000-0005-0000-0000-00008B6D0000}"/>
    <cellStyle name="Normal 47 3 2 2 2" xfId="26271" xr:uid="{00000000-0005-0000-0000-00008C6D0000}"/>
    <cellStyle name="Normal 47 3 2 3" xfId="14115" xr:uid="{00000000-0005-0000-0000-00008D6D0000}"/>
    <cellStyle name="Normal 47 3 2 3 2" xfId="26272" xr:uid="{00000000-0005-0000-0000-00008E6D0000}"/>
    <cellStyle name="Normal 47 3 2 4" xfId="15259" xr:uid="{00000000-0005-0000-0000-00008F6D0000}"/>
    <cellStyle name="Normal 47 3 2 4 2" xfId="26273" xr:uid="{00000000-0005-0000-0000-0000906D0000}"/>
    <cellStyle name="Normal 47 3 2 5" xfId="26270" xr:uid="{00000000-0005-0000-0000-0000916D0000}"/>
    <cellStyle name="Normal 47 3 2_Additional Disclosures" xfId="16704" xr:uid="{00000000-0005-0000-0000-0000926D0000}"/>
    <cellStyle name="Normal 47 3 3" xfId="11985" xr:uid="{00000000-0005-0000-0000-0000936D0000}"/>
    <cellStyle name="Normal 47 3 3 2" xfId="26274" xr:uid="{00000000-0005-0000-0000-0000946D0000}"/>
    <cellStyle name="Normal 47 3 4" xfId="13604" xr:uid="{00000000-0005-0000-0000-0000956D0000}"/>
    <cellStyle name="Normal 47 3 4 2" xfId="26275" xr:uid="{00000000-0005-0000-0000-0000966D0000}"/>
    <cellStyle name="Normal 47 3 5" xfId="14749" xr:uid="{00000000-0005-0000-0000-0000976D0000}"/>
    <cellStyle name="Normal 47 3 5 2" xfId="26276" xr:uid="{00000000-0005-0000-0000-0000986D0000}"/>
    <cellStyle name="Normal 47 3 6" xfId="26269" xr:uid="{00000000-0005-0000-0000-0000996D0000}"/>
    <cellStyle name="Normal 47 3 7" xfId="33985" xr:uid="{00000000-0005-0000-0000-00009A6D0000}"/>
    <cellStyle name="Normal 47 3 8" xfId="34314" xr:uid="{00000000-0005-0000-0000-00009B6D0000}"/>
    <cellStyle name="Normal 47 3_Additional Disclosures" xfId="16703" xr:uid="{00000000-0005-0000-0000-00009C6D0000}"/>
    <cellStyle name="Normal 47 4" xfId="13860" xr:uid="{00000000-0005-0000-0000-00009D6D0000}"/>
    <cellStyle name="Normal 47 4 2" xfId="15005" xr:uid="{00000000-0005-0000-0000-00009E6D0000}"/>
    <cellStyle name="Normal 47 4 2 2" xfId="26278" xr:uid="{00000000-0005-0000-0000-00009F6D0000}"/>
    <cellStyle name="Normal 47 4 3" xfId="26277" xr:uid="{00000000-0005-0000-0000-0000A06D0000}"/>
    <cellStyle name="Normal 47 4 4" xfId="34199" xr:uid="{00000000-0005-0000-0000-0000A16D0000}"/>
    <cellStyle name="Normal 47 4_Additional Disclosures" xfId="16705" xr:uid="{00000000-0005-0000-0000-0000A26D0000}"/>
    <cellStyle name="Normal 47 5" xfId="13349" xr:uid="{00000000-0005-0000-0000-0000A36D0000}"/>
    <cellStyle name="Normal 47 5 2" xfId="26279" xr:uid="{00000000-0005-0000-0000-0000A46D0000}"/>
    <cellStyle name="Normal 47 6" xfId="14492" xr:uid="{00000000-0005-0000-0000-0000A56D0000}"/>
    <cellStyle name="Normal 47 6 2" xfId="26280" xr:uid="{00000000-0005-0000-0000-0000A66D0000}"/>
    <cellStyle name="Normal 47 7" xfId="26256" xr:uid="{00000000-0005-0000-0000-0000A76D0000}"/>
    <cellStyle name="Normal 47 8" xfId="28971" xr:uid="{00000000-0005-0000-0000-0000A86D0000}"/>
    <cellStyle name="Normal 47 9" xfId="17101" xr:uid="{00000000-0005-0000-0000-0000A96D0000}"/>
    <cellStyle name="Normal 47_Additional Disclosures" xfId="16698" xr:uid="{00000000-0005-0000-0000-0000AA6D0000}"/>
    <cellStyle name="Normal 470" xfId="15754" xr:uid="{00000000-0005-0000-0000-0000AB6D0000}"/>
    <cellStyle name="Normal 470 2" xfId="26281" xr:uid="{00000000-0005-0000-0000-0000AC6D0000}"/>
    <cellStyle name="Normal 470 2 2" xfId="32237" xr:uid="{00000000-0005-0000-0000-0000AD6D0000}"/>
    <cellStyle name="Normal 470 2 3" xfId="32238" xr:uid="{00000000-0005-0000-0000-0000AE6D0000}"/>
    <cellStyle name="Normal 470 2 4" xfId="32239" xr:uid="{00000000-0005-0000-0000-0000AF6D0000}"/>
    <cellStyle name="Normal 470 3" xfId="32240" xr:uid="{00000000-0005-0000-0000-0000B06D0000}"/>
    <cellStyle name="Normal 470 3 2" xfId="32241" xr:uid="{00000000-0005-0000-0000-0000B16D0000}"/>
    <cellStyle name="Normal 470 4" xfId="32242" xr:uid="{00000000-0005-0000-0000-0000B26D0000}"/>
    <cellStyle name="Normal 471" xfId="15755" xr:uid="{00000000-0005-0000-0000-0000B36D0000}"/>
    <cellStyle name="Normal 471 2" xfId="26282" xr:uid="{00000000-0005-0000-0000-0000B46D0000}"/>
    <cellStyle name="Normal 472" xfId="15756" xr:uid="{00000000-0005-0000-0000-0000B56D0000}"/>
    <cellStyle name="Normal 472 2" xfId="26283" xr:uid="{00000000-0005-0000-0000-0000B66D0000}"/>
    <cellStyle name="Normal 473" xfId="15757" xr:uid="{00000000-0005-0000-0000-0000B76D0000}"/>
    <cellStyle name="Normal 473 2" xfId="26284" xr:uid="{00000000-0005-0000-0000-0000B86D0000}"/>
    <cellStyle name="Normal 474" xfId="15758" xr:uid="{00000000-0005-0000-0000-0000B96D0000}"/>
    <cellStyle name="Normal 474 2" xfId="26285" xr:uid="{00000000-0005-0000-0000-0000BA6D0000}"/>
    <cellStyle name="Normal 475" xfId="15759" xr:uid="{00000000-0005-0000-0000-0000BB6D0000}"/>
    <cellStyle name="Normal 475 2" xfId="26286" xr:uid="{00000000-0005-0000-0000-0000BC6D0000}"/>
    <cellStyle name="Normal 476" xfId="15760" xr:uid="{00000000-0005-0000-0000-0000BD6D0000}"/>
    <cellStyle name="Normal 476 2" xfId="26287" xr:uid="{00000000-0005-0000-0000-0000BE6D0000}"/>
    <cellStyle name="Normal 477" xfId="15761" xr:uid="{00000000-0005-0000-0000-0000BF6D0000}"/>
    <cellStyle name="Normal 477 2" xfId="26288" xr:uid="{00000000-0005-0000-0000-0000C06D0000}"/>
    <cellStyle name="Normal 477 2 2" xfId="32243" xr:uid="{00000000-0005-0000-0000-0000C16D0000}"/>
    <cellStyle name="Normal 477 2 3" xfId="32244" xr:uid="{00000000-0005-0000-0000-0000C26D0000}"/>
    <cellStyle name="Normal 477 2 4" xfId="32245" xr:uid="{00000000-0005-0000-0000-0000C36D0000}"/>
    <cellStyle name="Normal 477 3" xfId="32246" xr:uid="{00000000-0005-0000-0000-0000C46D0000}"/>
    <cellStyle name="Normal 477 3 2" xfId="32247" xr:uid="{00000000-0005-0000-0000-0000C56D0000}"/>
    <cellStyle name="Normal 477 4" xfId="32248" xr:uid="{00000000-0005-0000-0000-0000C66D0000}"/>
    <cellStyle name="Normal 478" xfId="15762" xr:uid="{00000000-0005-0000-0000-0000C76D0000}"/>
    <cellStyle name="Normal 478 2" xfId="26289" xr:uid="{00000000-0005-0000-0000-0000C86D0000}"/>
    <cellStyle name="Normal 478 2 2" xfId="32249" xr:uid="{00000000-0005-0000-0000-0000C96D0000}"/>
    <cellStyle name="Normal 478 2 3" xfId="32250" xr:uid="{00000000-0005-0000-0000-0000CA6D0000}"/>
    <cellStyle name="Normal 478 2 4" xfId="32251" xr:uid="{00000000-0005-0000-0000-0000CB6D0000}"/>
    <cellStyle name="Normal 478 2 5" xfId="33764" xr:uid="{00000000-0005-0000-0000-0000CC6D0000}"/>
    <cellStyle name="Normal 478 3" xfId="32252" xr:uid="{00000000-0005-0000-0000-0000CD6D0000}"/>
    <cellStyle name="Normal 478 3 2" xfId="32253" xr:uid="{00000000-0005-0000-0000-0000CE6D0000}"/>
    <cellStyle name="Normal 478 3 3" xfId="33992" xr:uid="{00000000-0005-0000-0000-0000CF6D0000}"/>
    <cellStyle name="Normal 478 4" xfId="32254" xr:uid="{00000000-0005-0000-0000-0000D06D0000}"/>
    <cellStyle name="Normal 478 4 2" xfId="34206" xr:uid="{00000000-0005-0000-0000-0000D16D0000}"/>
    <cellStyle name="Normal 478 5" xfId="33383" xr:uid="{00000000-0005-0000-0000-0000D26D0000}"/>
    <cellStyle name="Normal 479" xfId="15763" xr:uid="{00000000-0005-0000-0000-0000D36D0000}"/>
    <cellStyle name="Normal 479 2" xfId="26290" xr:uid="{00000000-0005-0000-0000-0000D46D0000}"/>
    <cellStyle name="Normal 48" xfId="585" xr:uid="{00000000-0005-0000-0000-0000D56D0000}"/>
    <cellStyle name="Normal 48 10" xfId="17124" xr:uid="{00000000-0005-0000-0000-0000D66D0000}"/>
    <cellStyle name="Normal 48 11" xfId="32255" xr:uid="{00000000-0005-0000-0000-0000D76D0000}"/>
    <cellStyle name="Normal 48 12" xfId="32256" xr:uid="{00000000-0005-0000-0000-0000D86D0000}"/>
    <cellStyle name="Normal 48 13" xfId="32257" xr:uid="{00000000-0005-0000-0000-0000D96D0000}"/>
    <cellStyle name="Normal 48 14" xfId="32258" xr:uid="{00000000-0005-0000-0000-0000DA6D0000}"/>
    <cellStyle name="Normal 48 2" xfId="9578" xr:uid="{00000000-0005-0000-0000-0000DB6D0000}"/>
    <cellStyle name="Normal 48 2 10" xfId="32259" xr:uid="{00000000-0005-0000-0000-0000DC6D0000}"/>
    <cellStyle name="Normal 48 2 11" xfId="32260" xr:uid="{00000000-0005-0000-0000-0000DD6D0000}"/>
    <cellStyle name="Normal 48 2 12" xfId="32261" xr:uid="{00000000-0005-0000-0000-0000DE6D0000}"/>
    <cellStyle name="Normal 48 2 2" xfId="11215" xr:uid="{00000000-0005-0000-0000-0000DF6D0000}"/>
    <cellStyle name="Normal 48 2 2 2" xfId="12636" xr:uid="{00000000-0005-0000-0000-0000E06D0000}"/>
    <cellStyle name="Normal 48 2 2 2 2" xfId="26294" xr:uid="{00000000-0005-0000-0000-0000E16D0000}"/>
    <cellStyle name="Normal 48 2 2 3" xfId="14213" xr:uid="{00000000-0005-0000-0000-0000E26D0000}"/>
    <cellStyle name="Normal 48 2 2 3 2" xfId="26295" xr:uid="{00000000-0005-0000-0000-0000E36D0000}"/>
    <cellStyle name="Normal 48 2 2 4" xfId="15357" xr:uid="{00000000-0005-0000-0000-0000E46D0000}"/>
    <cellStyle name="Normal 48 2 2 4 2" xfId="26296" xr:uid="{00000000-0005-0000-0000-0000E56D0000}"/>
    <cellStyle name="Normal 48 2 2 5" xfId="26293" xr:uid="{00000000-0005-0000-0000-0000E66D0000}"/>
    <cellStyle name="Normal 48 2 2_Additional Disclosures" xfId="16708" xr:uid="{00000000-0005-0000-0000-0000E76D0000}"/>
    <cellStyle name="Normal 48 2 3" xfId="11986" xr:uid="{00000000-0005-0000-0000-0000E86D0000}"/>
    <cellStyle name="Normal 48 2 3 2" xfId="26297" xr:uid="{00000000-0005-0000-0000-0000E96D0000}"/>
    <cellStyle name="Normal 48 2 4" xfId="13703" xr:uid="{00000000-0005-0000-0000-0000EA6D0000}"/>
    <cellStyle name="Normal 48 2 4 2" xfId="26298" xr:uid="{00000000-0005-0000-0000-0000EB6D0000}"/>
    <cellStyle name="Normal 48 2 5" xfId="14847" xr:uid="{00000000-0005-0000-0000-0000EC6D0000}"/>
    <cellStyle name="Normal 48 2 5 2" xfId="26299" xr:uid="{00000000-0005-0000-0000-0000ED6D0000}"/>
    <cellStyle name="Normal 48 2 6" xfId="26292" xr:uid="{00000000-0005-0000-0000-0000EE6D0000}"/>
    <cellStyle name="Normal 48 2 7" xfId="32262" xr:uid="{00000000-0005-0000-0000-0000EF6D0000}"/>
    <cellStyle name="Normal 48 2 8" xfId="32263" xr:uid="{00000000-0005-0000-0000-0000F06D0000}"/>
    <cellStyle name="Normal 48 2 9" xfId="32264" xr:uid="{00000000-0005-0000-0000-0000F16D0000}"/>
    <cellStyle name="Normal 48 2_Additional Disclosures" xfId="16707" xr:uid="{00000000-0005-0000-0000-0000F26D0000}"/>
    <cellStyle name="Normal 48 3" xfId="9579" xr:uid="{00000000-0005-0000-0000-0000F36D0000}"/>
    <cellStyle name="Normal 48 3 2" xfId="11216" xr:uid="{00000000-0005-0000-0000-0000F46D0000}"/>
    <cellStyle name="Normal 48 3 2 2" xfId="12637" xr:uid="{00000000-0005-0000-0000-0000F56D0000}"/>
    <cellStyle name="Normal 48 3 2 2 2" xfId="26302" xr:uid="{00000000-0005-0000-0000-0000F66D0000}"/>
    <cellStyle name="Normal 48 3 2 3" xfId="26301" xr:uid="{00000000-0005-0000-0000-0000F76D0000}"/>
    <cellStyle name="Normal 48 3 3" xfId="11987" xr:uid="{00000000-0005-0000-0000-0000F86D0000}"/>
    <cellStyle name="Normal 48 3 3 2" xfId="26303" xr:uid="{00000000-0005-0000-0000-0000F96D0000}"/>
    <cellStyle name="Normal 48 3 4" xfId="13959" xr:uid="{00000000-0005-0000-0000-0000FA6D0000}"/>
    <cellStyle name="Normal 48 3 4 2" xfId="26304" xr:uid="{00000000-0005-0000-0000-0000FB6D0000}"/>
    <cellStyle name="Normal 48 3 5" xfId="15103" xr:uid="{00000000-0005-0000-0000-0000FC6D0000}"/>
    <cellStyle name="Normal 48 3 5 2" xfId="26305" xr:uid="{00000000-0005-0000-0000-0000FD6D0000}"/>
    <cellStyle name="Normal 48 3 6" xfId="26300" xr:uid="{00000000-0005-0000-0000-0000FE6D0000}"/>
    <cellStyle name="Normal 48 3 7" xfId="32265" xr:uid="{00000000-0005-0000-0000-0000FF6D0000}"/>
    <cellStyle name="Normal 48 3 8" xfId="32266" xr:uid="{00000000-0005-0000-0000-0000006E0000}"/>
    <cellStyle name="Normal 48 3 9" xfId="32267" xr:uid="{00000000-0005-0000-0000-0000016E0000}"/>
    <cellStyle name="Normal 48 3_Additional Disclosures" xfId="16709" xr:uid="{00000000-0005-0000-0000-0000026E0000}"/>
    <cellStyle name="Normal 48 4" xfId="13448" xr:uid="{00000000-0005-0000-0000-0000036E0000}"/>
    <cellStyle name="Normal 48 4 2" xfId="26306" xr:uid="{00000000-0005-0000-0000-0000046E0000}"/>
    <cellStyle name="Normal 48 5" xfId="14593" xr:uid="{00000000-0005-0000-0000-0000056E0000}"/>
    <cellStyle name="Normal 48 5 2" xfId="26307" xr:uid="{00000000-0005-0000-0000-0000066E0000}"/>
    <cellStyle name="Normal 48 6" xfId="26291" xr:uid="{00000000-0005-0000-0000-0000076E0000}"/>
    <cellStyle name="Normal 48 7" xfId="28974" xr:uid="{00000000-0005-0000-0000-0000086E0000}"/>
    <cellStyle name="Normal 48 8" xfId="17102" xr:uid="{00000000-0005-0000-0000-0000096E0000}"/>
    <cellStyle name="Normal 48 9" xfId="28981" xr:uid="{00000000-0005-0000-0000-00000A6E0000}"/>
    <cellStyle name="Normal 48_Additional Disclosures" xfId="16706" xr:uid="{00000000-0005-0000-0000-00000B6E0000}"/>
    <cellStyle name="Normal 480" xfId="15764" xr:uid="{00000000-0005-0000-0000-00000C6E0000}"/>
    <cellStyle name="Normal 480 2" xfId="26308" xr:uid="{00000000-0005-0000-0000-00000D6E0000}"/>
    <cellStyle name="Normal 481" xfId="15765" xr:uid="{00000000-0005-0000-0000-00000E6E0000}"/>
    <cellStyle name="Normal 481 2" xfId="26309" xr:uid="{00000000-0005-0000-0000-00000F6E0000}"/>
    <cellStyle name="Normal 482" xfId="15766" xr:uid="{00000000-0005-0000-0000-0000106E0000}"/>
    <cellStyle name="Normal 482 2" xfId="26310" xr:uid="{00000000-0005-0000-0000-0000116E0000}"/>
    <cellStyle name="Normal 483" xfId="15767" xr:uid="{00000000-0005-0000-0000-0000126E0000}"/>
    <cellStyle name="Normal 483 2" xfId="26311" xr:uid="{00000000-0005-0000-0000-0000136E0000}"/>
    <cellStyle name="Normal 484" xfId="15768" xr:uid="{00000000-0005-0000-0000-0000146E0000}"/>
    <cellStyle name="Normal 484 2" xfId="26312" xr:uid="{00000000-0005-0000-0000-0000156E0000}"/>
    <cellStyle name="Normal 485" xfId="15769" xr:uid="{00000000-0005-0000-0000-0000166E0000}"/>
    <cellStyle name="Normal 485 2" xfId="26313" xr:uid="{00000000-0005-0000-0000-0000176E0000}"/>
    <cellStyle name="Normal 486" xfId="15770" xr:uid="{00000000-0005-0000-0000-0000186E0000}"/>
    <cellStyle name="Normal 486 2" xfId="26314" xr:uid="{00000000-0005-0000-0000-0000196E0000}"/>
    <cellStyle name="Normal 487" xfId="15771" xr:uid="{00000000-0005-0000-0000-00001A6E0000}"/>
    <cellStyle name="Normal 487 2" xfId="26315" xr:uid="{00000000-0005-0000-0000-00001B6E0000}"/>
    <cellStyle name="Normal 488" xfId="15772" xr:uid="{00000000-0005-0000-0000-00001C6E0000}"/>
    <cellStyle name="Normal 488 2" xfId="26316" xr:uid="{00000000-0005-0000-0000-00001D6E0000}"/>
    <cellStyle name="Normal 489" xfId="15773" xr:uid="{00000000-0005-0000-0000-00001E6E0000}"/>
    <cellStyle name="Normal 489 2" xfId="26317" xr:uid="{00000000-0005-0000-0000-00001F6E0000}"/>
    <cellStyle name="Normal 489 2 2" xfId="33771" xr:uid="{00000000-0005-0000-0000-0000206E0000}"/>
    <cellStyle name="Normal 489 3" xfId="33999" xr:uid="{00000000-0005-0000-0000-0000216E0000}"/>
    <cellStyle name="Normal 489 4" xfId="34213" xr:uid="{00000000-0005-0000-0000-0000226E0000}"/>
    <cellStyle name="Normal 489 5" xfId="33390" xr:uid="{00000000-0005-0000-0000-0000236E0000}"/>
    <cellStyle name="Normal 49" xfId="586" xr:uid="{00000000-0005-0000-0000-0000246E0000}"/>
    <cellStyle name="Normal 49 10" xfId="17126" xr:uid="{00000000-0005-0000-0000-0000256E0000}"/>
    <cellStyle name="Normal 49 11" xfId="32268" xr:uid="{00000000-0005-0000-0000-0000266E0000}"/>
    <cellStyle name="Normal 49 2" xfId="9580" xr:uid="{00000000-0005-0000-0000-0000276E0000}"/>
    <cellStyle name="Normal 49 2 2" xfId="11217" xr:uid="{00000000-0005-0000-0000-0000286E0000}"/>
    <cellStyle name="Normal 49 2 2 2" xfId="12638" xr:uid="{00000000-0005-0000-0000-0000296E0000}"/>
    <cellStyle name="Normal 49 2 2 2 2" xfId="26321" xr:uid="{00000000-0005-0000-0000-00002A6E0000}"/>
    <cellStyle name="Normal 49 2 2 3" xfId="14214" xr:uid="{00000000-0005-0000-0000-00002B6E0000}"/>
    <cellStyle name="Normal 49 2 2 3 2" xfId="26322" xr:uid="{00000000-0005-0000-0000-00002C6E0000}"/>
    <cellStyle name="Normal 49 2 2 4" xfId="15358" xr:uid="{00000000-0005-0000-0000-00002D6E0000}"/>
    <cellStyle name="Normal 49 2 2 4 2" xfId="26323" xr:uid="{00000000-0005-0000-0000-00002E6E0000}"/>
    <cellStyle name="Normal 49 2 2 5" xfId="26320" xr:uid="{00000000-0005-0000-0000-00002F6E0000}"/>
    <cellStyle name="Normal 49 2 2_Additional Disclosures" xfId="16712" xr:uid="{00000000-0005-0000-0000-0000306E0000}"/>
    <cellStyle name="Normal 49 2 3" xfId="11988" xr:uid="{00000000-0005-0000-0000-0000316E0000}"/>
    <cellStyle name="Normal 49 2 3 2" xfId="26324" xr:uid="{00000000-0005-0000-0000-0000326E0000}"/>
    <cellStyle name="Normal 49 2 4" xfId="13704" xr:uid="{00000000-0005-0000-0000-0000336E0000}"/>
    <cellStyle name="Normal 49 2 4 2" xfId="26325" xr:uid="{00000000-0005-0000-0000-0000346E0000}"/>
    <cellStyle name="Normal 49 2 5" xfId="14848" xr:uid="{00000000-0005-0000-0000-0000356E0000}"/>
    <cellStyle name="Normal 49 2 5 2" xfId="26326" xr:uid="{00000000-0005-0000-0000-0000366E0000}"/>
    <cellStyle name="Normal 49 2 6" xfId="26319" xr:uid="{00000000-0005-0000-0000-0000376E0000}"/>
    <cellStyle name="Normal 49 2 7" xfId="32269" xr:uid="{00000000-0005-0000-0000-0000386E0000}"/>
    <cellStyle name="Normal 49 2_Additional Disclosures" xfId="16711" xr:uid="{00000000-0005-0000-0000-0000396E0000}"/>
    <cellStyle name="Normal 49 3" xfId="9581" xr:uid="{00000000-0005-0000-0000-00003A6E0000}"/>
    <cellStyle name="Normal 49 3 2" xfId="11218" xr:uid="{00000000-0005-0000-0000-00003B6E0000}"/>
    <cellStyle name="Normal 49 3 2 2" xfId="12639" xr:uid="{00000000-0005-0000-0000-00003C6E0000}"/>
    <cellStyle name="Normal 49 3 2 2 2" xfId="26329" xr:uid="{00000000-0005-0000-0000-00003D6E0000}"/>
    <cellStyle name="Normal 49 3 2 3" xfId="26328" xr:uid="{00000000-0005-0000-0000-00003E6E0000}"/>
    <cellStyle name="Normal 49 3 3" xfId="11989" xr:uid="{00000000-0005-0000-0000-00003F6E0000}"/>
    <cellStyle name="Normal 49 3 3 2" xfId="26330" xr:uid="{00000000-0005-0000-0000-0000406E0000}"/>
    <cellStyle name="Normal 49 3 4" xfId="13960" xr:uid="{00000000-0005-0000-0000-0000416E0000}"/>
    <cellStyle name="Normal 49 3 4 2" xfId="26331" xr:uid="{00000000-0005-0000-0000-0000426E0000}"/>
    <cellStyle name="Normal 49 3 5" xfId="15104" xr:uid="{00000000-0005-0000-0000-0000436E0000}"/>
    <cellStyle name="Normal 49 3 5 2" xfId="26332" xr:uid="{00000000-0005-0000-0000-0000446E0000}"/>
    <cellStyle name="Normal 49 3 6" xfId="26327" xr:uid="{00000000-0005-0000-0000-0000456E0000}"/>
    <cellStyle name="Normal 49 3_Additional Disclosures" xfId="16713" xr:uid="{00000000-0005-0000-0000-0000466E0000}"/>
    <cellStyle name="Normal 49 4" xfId="13449" xr:uid="{00000000-0005-0000-0000-0000476E0000}"/>
    <cellStyle name="Normal 49 4 2" xfId="26333" xr:uid="{00000000-0005-0000-0000-0000486E0000}"/>
    <cellStyle name="Normal 49 5" xfId="14594" xr:uid="{00000000-0005-0000-0000-0000496E0000}"/>
    <cellStyle name="Normal 49 5 2" xfId="26334" xr:uid="{00000000-0005-0000-0000-00004A6E0000}"/>
    <cellStyle name="Normal 49 6" xfId="26318" xr:uid="{00000000-0005-0000-0000-00004B6E0000}"/>
    <cellStyle name="Normal 49 7" xfId="28975" xr:uid="{00000000-0005-0000-0000-00004C6E0000}"/>
    <cellStyle name="Normal 49 8" xfId="17112" xr:uid="{00000000-0005-0000-0000-00004D6E0000}"/>
    <cellStyle name="Normal 49 9" xfId="28983" xr:uid="{00000000-0005-0000-0000-00004E6E0000}"/>
    <cellStyle name="Normal 49_Additional Disclosures" xfId="16710" xr:uid="{00000000-0005-0000-0000-00004F6E0000}"/>
    <cellStyle name="Normal 490" xfId="15774" xr:uid="{00000000-0005-0000-0000-0000506E0000}"/>
    <cellStyle name="Normal 490 2" xfId="26335" xr:uid="{00000000-0005-0000-0000-0000516E0000}"/>
    <cellStyle name="Normal 491" xfId="15775" xr:uid="{00000000-0005-0000-0000-0000526E0000}"/>
    <cellStyle name="Normal 491 2" xfId="26336" xr:uid="{00000000-0005-0000-0000-0000536E0000}"/>
    <cellStyle name="Normal 492" xfId="15776" xr:uid="{00000000-0005-0000-0000-0000546E0000}"/>
    <cellStyle name="Normal 492 2" xfId="26337" xr:uid="{00000000-0005-0000-0000-0000556E0000}"/>
    <cellStyle name="Normal 493" xfId="15777" xr:uid="{00000000-0005-0000-0000-0000566E0000}"/>
    <cellStyle name="Normal 493 2" xfId="26338" xr:uid="{00000000-0005-0000-0000-0000576E0000}"/>
    <cellStyle name="Normal 494" xfId="15778" xr:uid="{00000000-0005-0000-0000-0000586E0000}"/>
    <cellStyle name="Normal 494 2" xfId="26339" xr:uid="{00000000-0005-0000-0000-0000596E0000}"/>
    <cellStyle name="Normal 495" xfId="15779" xr:uid="{00000000-0005-0000-0000-00005A6E0000}"/>
    <cellStyle name="Normal 495 2" xfId="26340" xr:uid="{00000000-0005-0000-0000-00005B6E0000}"/>
    <cellStyle name="Normal 496" xfId="15780" xr:uid="{00000000-0005-0000-0000-00005C6E0000}"/>
    <cellStyle name="Normal 496 2" xfId="26341" xr:uid="{00000000-0005-0000-0000-00005D6E0000}"/>
    <cellStyle name="Normal 497" xfId="15781" xr:uid="{00000000-0005-0000-0000-00005E6E0000}"/>
    <cellStyle name="Normal 497 2" xfId="26342" xr:uid="{00000000-0005-0000-0000-00005F6E0000}"/>
    <cellStyle name="Normal 498" xfId="15782" xr:uid="{00000000-0005-0000-0000-0000606E0000}"/>
    <cellStyle name="Normal 498 2" xfId="26343" xr:uid="{00000000-0005-0000-0000-0000616E0000}"/>
    <cellStyle name="Normal 499" xfId="15783" xr:uid="{00000000-0005-0000-0000-0000626E0000}"/>
    <cellStyle name="Normal 499 2" xfId="26344" xr:uid="{00000000-0005-0000-0000-0000636E0000}"/>
    <cellStyle name="Normal 5" xfId="452" xr:uid="{00000000-0005-0000-0000-0000646E0000}"/>
    <cellStyle name="Normal 5 10" xfId="14513" xr:uid="{00000000-0005-0000-0000-0000656E0000}"/>
    <cellStyle name="Normal 5 10 2" xfId="26346" xr:uid="{00000000-0005-0000-0000-0000666E0000}"/>
    <cellStyle name="Normal 5 11" xfId="26345" xr:uid="{00000000-0005-0000-0000-0000676E0000}"/>
    <cellStyle name="Normal 5 12" xfId="32270" xr:uid="{00000000-0005-0000-0000-0000686E0000}"/>
    <cellStyle name="Normal 5 13" xfId="32271" xr:uid="{00000000-0005-0000-0000-0000696E0000}"/>
    <cellStyle name="Normal 5 14" xfId="32272" xr:uid="{00000000-0005-0000-0000-00006A6E0000}"/>
    <cellStyle name="Normal 5 15" xfId="32273" xr:uid="{00000000-0005-0000-0000-00006B6E0000}"/>
    <cellStyle name="Normal 5 16" xfId="587" xr:uid="{00000000-0005-0000-0000-00006C6E0000}"/>
    <cellStyle name="Normal 5 2" xfId="471" xr:uid="{00000000-0005-0000-0000-00006D6E0000}"/>
    <cellStyle name="Normal 5 2 10" xfId="28985" xr:uid="{00000000-0005-0000-0000-00006E6E0000}"/>
    <cellStyle name="Normal 5 2 11" xfId="32274" xr:uid="{00000000-0005-0000-0000-00006F6E0000}"/>
    <cellStyle name="Normal 5 2 12" xfId="32275" xr:uid="{00000000-0005-0000-0000-0000706E0000}"/>
    <cellStyle name="Normal 5 2 13" xfId="32276" xr:uid="{00000000-0005-0000-0000-0000716E0000}"/>
    <cellStyle name="Normal 5 2 14" xfId="32277" xr:uid="{00000000-0005-0000-0000-0000726E0000}"/>
    <cellStyle name="Normal 5 2 15" xfId="9582" xr:uid="{00000000-0005-0000-0000-0000736E0000}"/>
    <cellStyle name="Normal 5 2 2" xfId="11472" xr:uid="{00000000-0005-0000-0000-0000746E0000}"/>
    <cellStyle name="Normal 5 2 2 2" xfId="12116" xr:uid="{00000000-0005-0000-0000-0000756E0000}"/>
    <cellStyle name="Normal 5 2 2 2 2" xfId="14175" xr:uid="{00000000-0005-0000-0000-0000766E0000}"/>
    <cellStyle name="Normal 5 2 2 2 2 2" xfId="26350" xr:uid="{00000000-0005-0000-0000-0000776E0000}"/>
    <cellStyle name="Normal 5 2 2 2 3" xfId="15319" xr:uid="{00000000-0005-0000-0000-0000786E0000}"/>
    <cellStyle name="Normal 5 2 2 2 3 2" xfId="26351" xr:uid="{00000000-0005-0000-0000-0000796E0000}"/>
    <cellStyle name="Normal 5 2 2 2 4" xfId="26349" xr:uid="{00000000-0005-0000-0000-00007A6E0000}"/>
    <cellStyle name="Normal 5 2 2 2 5" xfId="32278" xr:uid="{00000000-0005-0000-0000-00007B6E0000}"/>
    <cellStyle name="Normal 5 2 2 2_Additional Disclosures" xfId="16717" xr:uid="{00000000-0005-0000-0000-00007C6E0000}"/>
    <cellStyle name="Normal 5 2 2 3" xfId="13664" xr:uid="{00000000-0005-0000-0000-00007D6E0000}"/>
    <cellStyle name="Normal 5 2 2 3 2" xfId="26352" xr:uid="{00000000-0005-0000-0000-00007E6E0000}"/>
    <cellStyle name="Normal 5 2 2 4" xfId="14809" xr:uid="{00000000-0005-0000-0000-00007F6E0000}"/>
    <cellStyle name="Normal 5 2 2 4 2" xfId="26353" xr:uid="{00000000-0005-0000-0000-0000806E0000}"/>
    <cellStyle name="Normal 5 2 2 5" xfId="26348" xr:uid="{00000000-0005-0000-0000-0000816E0000}"/>
    <cellStyle name="Normal 5 2 2 6" xfId="28979" xr:uid="{00000000-0005-0000-0000-0000826E0000}"/>
    <cellStyle name="Normal 5 2 2 7" xfId="17121" xr:uid="{00000000-0005-0000-0000-0000836E0000}"/>
    <cellStyle name="Normal 5 2 2 8" xfId="28986" xr:uid="{00000000-0005-0000-0000-0000846E0000}"/>
    <cellStyle name="Normal 5 2 2 9" xfId="17129" xr:uid="{00000000-0005-0000-0000-0000856E0000}"/>
    <cellStyle name="Normal 5 2 2_Additional Disclosures" xfId="16716" xr:uid="{00000000-0005-0000-0000-0000866E0000}"/>
    <cellStyle name="Normal 5 2 3" xfId="12117" xr:uid="{00000000-0005-0000-0000-0000876E0000}"/>
    <cellStyle name="Normal 5 2 3 2" xfId="13920" xr:uid="{00000000-0005-0000-0000-0000886E0000}"/>
    <cellStyle name="Normal 5 2 3 2 2" xfId="26355" xr:uid="{00000000-0005-0000-0000-0000896E0000}"/>
    <cellStyle name="Normal 5 2 3 3" xfId="15065" xr:uid="{00000000-0005-0000-0000-00008A6E0000}"/>
    <cellStyle name="Normal 5 2 3 3 2" xfId="26356" xr:uid="{00000000-0005-0000-0000-00008B6E0000}"/>
    <cellStyle name="Normal 5 2 3 4" xfId="26354" xr:uid="{00000000-0005-0000-0000-00008C6E0000}"/>
    <cellStyle name="Normal 5 2 3 5" xfId="32279" xr:uid="{00000000-0005-0000-0000-00008D6E0000}"/>
    <cellStyle name="Normal 5 2 3 6" xfId="32280" xr:uid="{00000000-0005-0000-0000-00008E6E0000}"/>
    <cellStyle name="Normal 5 2 3 7" xfId="32281" xr:uid="{00000000-0005-0000-0000-00008F6E0000}"/>
    <cellStyle name="Normal 5 2 3_Additional Disclosures" xfId="16718" xr:uid="{00000000-0005-0000-0000-0000906E0000}"/>
    <cellStyle name="Normal 5 2 4" xfId="12860" xr:uid="{00000000-0005-0000-0000-0000916E0000}"/>
    <cellStyle name="Normal 5 2 4 2" xfId="26357" xr:uid="{00000000-0005-0000-0000-0000926E0000}"/>
    <cellStyle name="Normal 5 2 4 3" xfId="32282" xr:uid="{00000000-0005-0000-0000-0000936E0000}"/>
    <cellStyle name="Normal 5 2 5" xfId="13409" xr:uid="{00000000-0005-0000-0000-0000946E0000}"/>
    <cellStyle name="Normal 5 2 5 2" xfId="26358" xr:uid="{00000000-0005-0000-0000-0000956E0000}"/>
    <cellStyle name="Normal 5 2 6" xfId="14553" xr:uid="{00000000-0005-0000-0000-0000966E0000}"/>
    <cellStyle name="Normal 5 2 6 2" xfId="26359" xr:uid="{00000000-0005-0000-0000-0000976E0000}"/>
    <cellStyle name="Normal 5 2 7" xfId="26347" xr:uid="{00000000-0005-0000-0000-0000986E0000}"/>
    <cellStyle name="Normal 5 2 8" xfId="28978" xr:uid="{00000000-0005-0000-0000-0000996E0000}"/>
    <cellStyle name="Normal 5 2 9" xfId="17120" xr:uid="{00000000-0005-0000-0000-00009A6E0000}"/>
    <cellStyle name="Normal 5 2_Additional Disclosures" xfId="16715" xr:uid="{00000000-0005-0000-0000-00009B6E0000}"/>
    <cellStyle name="Normal 5 3" xfId="9583" xr:uid="{00000000-0005-0000-0000-00009C6E0000}"/>
    <cellStyle name="Normal 5 3 10" xfId="32283" xr:uid="{00000000-0005-0000-0000-00009D6E0000}"/>
    <cellStyle name="Normal 5 3 2" xfId="11473" xr:uid="{00000000-0005-0000-0000-00009E6E0000}"/>
    <cellStyle name="Normal 5 3 2 2" xfId="14135" xr:uid="{00000000-0005-0000-0000-00009F6E0000}"/>
    <cellStyle name="Normal 5 3 2 2 2" xfId="26362" xr:uid="{00000000-0005-0000-0000-0000A06E0000}"/>
    <cellStyle name="Normal 5 3 2 2 3" xfId="32284" xr:uid="{00000000-0005-0000-0000-0000A16E0000}"/>
    <cellStyle name="Normal 5 3 2 3" xfId="15279" xr:uid="{00000000-0005-0000-0000-0000A26E0000}"/>
    <cellStyle name="Normal 5 3 2 3 2" xfId="26363" xr:uid="{00000000-0005-0000-0000-0000A36E0000}"/>
    <cellStyle name="Normal 5 3 2 4" xfId="26361" xr:uid="{00000000-0005-0000-0000-0000A46E0000}"/>
    <cellStyle name="Normal 5 3 2_Additional Disclosures" xfId="16720" xr:uid="{00000000-0005-0000-0000-0000A56E0000}"/>
    <cellStyle name="Normal 5 3 3" xfId="12115" xr:uid="{00000000-0005-0000-0000-0000A66E0000}"/>
    <cellStyle name="Normal 5 3 3 2" xfId="26364" xr:uid="{00000000-0005-0000-0000-0000A76E0000}"/>
    <cellStyle name="Normal 5 3 3 3" xfId="32285" xr:uid="{00000000-0005-0000-0000-0000A86E0000}"/>
    <cellStyle name="Normal 5 3 3 4" xfId="32286" xr:uid="{00000000-0005-0000-0000-0000A96E0000}"/>
    <cellStyle name="Normal 5 3 3 5" xfId="32287" xr:uid="{00000000-0005-0000-0000-0000AA6E0000}"/>
    <cellStyle name="Normal 5 3 4" xfId="13624" xr:uid="{00000000-0005-0000-0000-0000AB6E0000}"/>
    <cellStyle name="Normal 5 3 4 2" xfId="26365" xr:uid="{00000000-0005-0000-0000-0000AC6E0000}"/>
    <cellStyle name="Normal 5 3 5" xfId="14769" xr:uid="{00000000-0005-0000-0000-0000AD6E0000}"/>
    <cellStyle name="Normal 5 3 5 2" xfId="26366" xr:uid="{00000000-0005-0000-0000-0000AE6E0000}"/>
    <cellStyle name="Normal 5 3 6" xfId="26360" xr:uid="{00000000-0005-0000-0000-0000AF6E0000}"/>
    <cellStyle name="Normal 5 3 7" xfId="32288" xr:uid="{00000000-0005-0000-0000-0000B06E0000}"/>
    <cellStyle name="Normal 5 3 8" xfId="32289" xr:uid="{00000000-0005-0000-0000-0000B16E0000}"/>
    <cellStyle name="Normal 5 3 9" xfId="32290" xr:uid="{00000000-0005-0000-0000-0000B26E0000}"/>
    <cellStyle name="Normal 5 3_Additional Disclosures" xfId="16719" xr:uid="{00000000-0005-0000-0000-0000B36E0000}"/>
    <cellStyle name="Normal 5 4" xfId="9584" xr:uid="{00000000-0005-0000-0000-0000B46E0000}"/>
    <cellStyle name="Normal 5 4 2" xfId="13880" xr:uid="{00000000-0005-0000-0000-0000B56E0000}"/>
    <cellStyle name="Normal 5 4 2 2" xfId="26368" xr:uid="{00000000-0005-0000-0000-0000B66E0000}"/>
    <cellStyle name="Normal 5 4 2 3" xfId="33782" xr:uid="{00000000-0005-0000-0000-0000B76E0000}"/>
    <cellStyle name="Normal 5 4 3" xfId="15025" xr:uid="{00000000-0005-0000-0000-0000B86E0000}"/>
    <cellStyle name="Normal 5 4 3 2" xfId="26369" xr:uid="{00000000-0005-0000-0000-0000B96E0000}"/>
    <cellStyle name="Normal 5 4 3 3" xfId="34010" xr:uid="{00000000-0005-0000-0000-0000BA6E0000}"/>
    <cellStyle name="Normal 5 4 4" xfId="26367" xr:uid="{00000000-0005-0000-0000-0000BB6E0000}"/>
    <cellStyle name="Normal 5 4 4 2" xfId="34224" xr:uid="{00000000-0005-0000-0000-0000BC6E0000}"/>
    <cellStyle name="Normal 5 4 5" xfId="32291" xr:uid="{00000000-0005-0000-0000-0000BD6E0000}"/>
    <cellStyle name="Normal 5 4 6" xfId="33401" xr:uid="{00000000-0005-0000-0000-0000BE6E0000}"/>
    <cellStyle name="Normal 5 4_Additional Disclosures" xfId="16721" xr:uid="{00000000-0005-0000-0000-0000BF6E0000}"/>
    <cellStyle name="Normal 5 5" xfId="9585" xr:uid="{00000000-0005-0000-0000-0000C06E0000}"/>
    <cellStyle name="Normal 5 5 2" xfId="26370" xr:uid="{00000000-0005-0000-0000-0000C16E0000}"/>
    <cellStyle name="Normal 5 6" xfId="9586" xr:uid="{00000000-0005-0000-0000-0000C26E0000}"/>
    <cellStyle name="Normal 5 6 2" xfId="11219" xr:uid="{00000000-0005-0000-0000-0000C36E0000}"/>
    <cellStyle name="Normal 5 6 2 2" xfId="12640" xr:uid="{00000000-0005-0000-0000-0000C46E0000}"/>
    <cellStyle name="Normal 5 6 2 2 2" xfId="26373" xr:uid="{00000000-0005-0000-0000-0000C56E0000}"/>
    <cellStyle name="Normal 5 6 2 3" xfId="26372" xr:uid="{00000000-0005-0000-0000-0000C66E0000}"/>
    <cellStyle name="Normal 5 6 3" xfId="11990" xr:uid="{00000000-0005-0000-0000-0000C76E0000}"/>
    <cellStyle name="Normal 5 6 3 2" xfId="26374" xr:uid="{00000000-0005-0000-0000-0000C86E0000}"/>
    <cellStyle name="Normal 5 6 4" xfId="26371" xr:uid="{00000000-0005-0000-0000-0000C96E0000}"/>
    <cellStyle name="Normal 5 6 5" xfId="32292" xr:uid="{00000000-0005-0000-0000-0000CA6E0000}"/>
    <cellStyle name="Normal 5 6 6" xfId="32293" xr:uid="{00000000-0005-0000-0000-0000CB6E0000}"/>
    <cellStyle name="Normal 5 7" xfId="9587" xr:uid="{00000000-0005-0000-0000-0000CC6E0000}"/>
    <cellStyle name="Normal 5 7 2" xfId="11220" xr:uid="{00000000-0005-0000-0000-0000CD6E0000}"/>
    <cellStyle name="Normal 5 7 2 2" xfId="12641" xr:uid="{00000000-0005-0000-0000-0000CE6E0000}"/>
    <cellStyle name="Normal 5 7 2 2 2" xfId="26377" xr:uid="{00000000-0005-0000-0000-0000CF6E0000}"/>
    <cellStyle name="Normal 5 7 2 3" xfId="26376" xr:uid="{00000000-0005-0000-0000-0000D06E0000}"/>
    <cellStyle name="Normal 5 7 3" xfId="11991" xr:uid="{00000000-0005-0000-0000-0000D16E0000}"/>
    <cellStyle name="Normal 5 7 3 2" xfId="26378" xr:uid="{00000000-0005-0000-0000-0000D26E0000}"/>
    <cellStyle name="Normal 5 7 4" xfId="26375" xr:uid="{00000000-0005-0000-0000-0000D36E0000}"/>
    <cellStyle name="Normal 5 8" xfId="12118" xr:uid="{00000000-0005-0000-0000-0000D46E0000}"/>
    <cellStyle name="Normal 5 8 2" xfId="26379" xr:uid="{00000000-0005-0000-0000-0000D56E0000}"/>
    <cellStyle name="Normal 5 9" xfId="13369" xr:uid="{00000000-0005-0000-0000-0000D66E0000}"/>
    <cellStyle name="Normal 5 9 2" xfId="26380" xr:uid="{00000000-0005-0000-0000-0000D76E0000}"/>
    <cellStyle name="Normal 5_Additional Disclosures" xfId="16714" xr:uid="{00000000-0005-0000-0000-0000D86E0000}"/>
    <cellStyle name="Normal 50" xfId="588" xr:uid="{00000000-0005-0000-0000-0000D96E0000}"/>
    <cellStyle name="Normal 50 10" xfId="17132" xr:uid="{00000000-0005-0000-0000-0000DA6E0000}"/>
    <cellStyle name="Normal 50 11" xfId="32294" xr:uid="{00000000-0005-0000-0000-0000DB6E0000}"/>
    <cellStyle name="Normal 50 2" xfId="9588" xr:uid="{00000000-0005-0000-0000-0000DC6E0000}"/>
    <cellStyle name="Normal 50 2 2" xfId="11221" xr:uid="{00000000-0005-0000-0000-0000DD6E0000}"/>
    <cellStyle name="Normal 50 2 2 2" xfId="12642" xr:uid="{00000000-0005-0000-0000-0000DE6E0000}"/>
    <cellStyle name="Normal 50 2 2 2 2" xfId="26384" xr:uid="{00000000-0005-0000-0000-0000DF6E0000}"/>
    <cellStyle name="Normal 50 2 2 3" xfId="14215" xr:uid="{00000000-0005-0000-0000-0000E06E0000}"/>
    <cellStyle name="Normal 50 2 2 3 2" xfId="26385" xr:uid="{00000000-0005-0000-0000-0000E16E0000}"/>
    <cellStyle name="Normal 50 2 2 4" xfId="15359" xr:uid="{00000000-0005-0000-0000-0000E26E0000}"/>
    <cellStyle name="Normal 50 2 2 4 2" xfId="26386" xr:uid="{00000000-0005-0000-0000-0000E36E0000}"/>
    <cellStyle name="Normal 50 2 2 5" xfId="26383" xr:uid="{00000000-0005-0000-0000-0000E46E0000}"/>
    <cellStyle name="Normal 50 2 2_Additional Disclosures" xfId="16724" xr:uid="{00000000-0005-0000-0000-0000E56E0000}"/>
    <cellStyle name="Normal 50 2 3" xfId="11992" xr:uid="{00000000-0005-0000-0000-0000E66E0000}"/>
    <cellStyle name="Normal 50 2 3 2" xfId="26387" xr:uid="{00000000-0005-0000-0000-0000E76E0000}"/>
    <cellStyle name="Normal 50 2 4" xfId="13705" xr:uid="{00000000-0005-0000-0000-0000E86E0000}"/>
    <cellStyle name="Normal 50 2 4 2" xfId="26388" xr:uid="{00000000-0005-0000-0000-0000E96E0000}"/>
    <cellStyle name="Normal 50 2 5" xfId="14849" xr:uid="{00000000-0005-0000-0000-0000EA6E0000}"/>
    <cellStyle name="Normal 50 2 5 2" xfId="26389" xr:uid="{00000000-0005-0000-0000-0000EB6E0000}"/>
    <cellStyle name="Normal 50 2 6" xfId="26382" xr:uid="{00000000-0005-0000-0000-0000EC6E0000}"/>
    <cellStyle name="Normal 50 2 7" xfId="32295" xr:uid="{00000000-0005-0000-0000-0000ED6E0000}"/>
    <cellStyle name="Normal 50 2_Additional Disclosures" xfId="16723" xr:uid="{00000000-0005-0000-0000-0000EE6E0000}"/>
    <cellStyle name="Normal 50 3" xfId="9589" xr:uid="{00000000-0005-0000-0000-0000EF6E0000}"/>
    <cellStyle name="Normal 50 3 2" xfId="11222" xr:uid="{00000000-0005-0000-0000-0000F06E0000}"/>
    <cellStyle name="Normal 50 3 2 2" xfId="12643" xr:uid="{00000000-0005-0000-0000-0000F16E0000}"/>
    <cellStyle name="Normal 50 3 2 2 2" xfId="26392" xr:uid="{00000000-0005-0000-0000-0000F26E0000}"/>
    <cellStyle name="Normal 50 3 2 3" xfId="26391" xr:uid="{00000000-0005-0000-0000-0000F36E0000}"/>
    <cellStyle name="Normal 50 3 3" xfId="11993" xr:uid="{00000000-0005-0000-0000-0000F46E0000}"/>
    <cellStyle name="Normal 50 3 3 2" xfId="26393" xr:uid="{00000000-0005-0000-0000-0000F56E0000}"/>
    <cellStyle name="Normal 50 3 4" xfId="13961" xr:uid="{00000000-0005-0000-0000-0000F66E0000}"/>
    <cellStyle name="Normal 50 3 4 2" xfId="26394" xr:uid="{00000000-0005-0000-0000-0000F76E0000}"/>
    <cellStyle name="Normal 50 3 5" xfId="15105" xr:uid="{00000000-0005-0000-0000-0000F86E0000}"/>
    <cellStyle name="Normal 50 3 5 2" xfId="26395" xr:uid="{00000000-0005-0000-0000-0000F96E0000}"/>
    <cellStyle name="Normal 50 3 6" xfId="26390" xr:uid="{00000000-0005-0000-0000-0000FA6E0000}"/>
    <cellStyle name="Normal 50 3_Additional Disclosures" xfId="16725" xr:uid="{00000000-0005-0000-0000-0000FB6E0000}"/>
    <cellStyle name="Normal 50 4" xfId="13450" xr:uid="{00000000-0005-0000-0000-0000FC6E0000}"/>
    <cellStyle name="Normal 50 4 2" xfId="26396" xr:uid="{00000000-0005-0000-0000-0000FD6E0000}"/>
    <cellStyle name="Normal 50 5" xfId="14595" xr:uid="{00000000-0005-0000-0000-0000FE6E0000}"/>
    <cellStyle name="Normal 50 5 2" xfId="26397" xr:uid="{00000000-0005-0000-0000-0000FF6E0000}"/>
    <cellStyle name="Normal 50 6" xfId="26381" xr:uid="{00000000-0005-0000-0000-0000006F0000}"/>
    <cellStyle name="Normal 50 7" xfId="28980" xr:uid="{00000000-0005-0000-0000-0000016F0000}"/>
    <cellStyle name="Normal 50 8" xfId="17125" xr:uid="{00000000-0005-0000-0000-0000026F0000}"/>
    <cellStyle name="Normal 50 9" xfId="28989" xr:uid="{00000000-0005-0000-0000-0000036F0000}"/>
    <cellStyle name="Normal 50_Additional Disclosures" xfId="16722" xr:uid="{00000000-0005-0000-0000-0000046F0000}"/>
    <cellStyle name="Normal 500" xfId="15784" xr:uid="{00000000-0005-0000-0000-0000056F0000}"/>
    <cellStyle name="Normal 500 2" xfId="26398" xr:uid="{00000000-0005-0000-0000-0000066F0000}"/>
    <cellStyle name="Normal 501" xfId="15785" xr:uid="{00000000-0005-0000-0000-0000076F0000}"/>
    <cellStyle name="Normal 501 2" xfId="26399" xr:uid="{00000000-0005-0000-0000-0000086F0000}"/>
    <cellStyle name="Normal 502" xfId="15786" xr:uid="{00000000-0005-0000-0000-0000096F0000}"/>
    <cellStyle name="Normal 502 2" xfId="26400" xr:uid="{00000000-0005-0000-0000-00000A6F0000}"/>
    <cellStyle name="Normal 503" xfId="15787" xr:uid="{00000000-0005-0000-0000-00000B6F0000}"/>
    <cellStyle name="Normal 503 2" xfId="26401" xr:uid="{00000000-0005-0000-0000-00000C6F0000}"/>
    <cellStyle name="Normal 504" xfId="15788" xr:uid="{00000000-0005-0000-0000-00000D6F0000}"/>
    <cellStyle name="Normal 504 2" xfId="26402" xr:uid="{00000000-0005-0000-0000-00000E6F0000}"/>
    <cellStyle name="Normal 505" xfId="15789" xr:uid="{00000000-0005-0000-0000-00000F6F0000}"/>
    <cellStyle name="Normal 505 2" xfId="26403" xr:uid="{00000000-0005-0000-0000-0000106F0000}"/>
    <cellStyle name="Normal 506" xfId="15790" xr:uid="{00000000-0005-0000-0000-0000116F0000}"/>
    <cellStyle name="Normal 506 2" xfId="26404" xr:uid="{00000000-0005-0000-0000-0000126F0000}"/>
    <cellStyle name="Normal 507" xfId="15791" xr:uid="{00000000-0005-0000-0000-0000136F0000}"/>
    <cellStyle name="Normal 507 2" xfId="26405" xr:uid="{00000000-0005-0000-0000-0000146F0000}"/>
    <cellStyle name="Normal 508" xfId="15792" xr:uid="{00000000-0005-0000-0000-0000156F0000}"/>
    <cellStyle name="Normal 508 2" xfId="26406" xr:uid="{00000000-0005-0000-0000-0000166F0000}"/>
    <cellStyle name="Normal 509" xfId="15793" xr:uid="{00000000-0005-0000-0000-0000176F0000}"/>
    <cellStyle name="Normal 509 2" xfId="26407" xr:uid="{00000000-0005-0000-0000-0000186F0000}"/>
    <cellStyle name="Normal 51" xfId="589" xr:uid="{00000000-0005-0000-0000-0000196F0000}"/>
    <cellStyle name="Normal 51 10" xfId="17136" xr:uid="{00000000-0005-0000-0000-00001A6F0000}"/>
    <cellStyle name="Normal 51 11" xfId="32296" xr:uid="{00000000-0005-0000-0000-00001B6F0000}"/>
    <cellStyle name="Normal 51 2" xfId="9590" xr:uid="{00000000-0005-0000-0000-00001C6F0000}"/>
    <cellStyle name="Normal 51 2 2" xfId="11223" xr:uid="{00000000-0005-0000-0000-00001D6F0000}"/>
    <cellStyle name="Normal 51 2 2 2" xfId="12644" xr:uid="{00000000-0005-0000-0000-00001E6F0000}"/>
    <cellStyle name="Normal 51 2 2 2 2" xfId="26411" xr:uid="{00000000-0005-0000-0000-00001F6F0000}"/>
    <cellStyle name="Normal 51 2 2 3" xfId="14216" xr:uid="{00000000-0005-0000-0000-0000206F0000}"/>
    <cellStyle name="Normal 51 2 2 3 2" xfId="26412" xr:uid="{00000000-0005-0000-0000-0000216F0000}"/>
    <cellStyle name="Normal 51 2 2 4" xfId="15360" xr:uid="{00000000-0005-0000-0000-0000226F0000}"/>
    <cellStyle name="Normal 51 2 2 4 2" xfId="26413" xr:uid="{00000000-0005-0000-0000-0000236F0000}"/>
    <cellStyle name="Normal 51 2 2 5" xfId="26410" xr:uid="{00000000-0005-0000-0000-0000246F0000}"/>
    <cellStyle name="Normal 51 2 2_Additional Disclosures" xfId="16728" xr:uid="{00000000-0005-0000-0000-0000256F0000}"/>
    <cellStyle name="Normal 51 2 3" xfId="11994" xr:uid="{00000000-0005-0000-0000-0000266F0000}"/>
    <cellStyle name="Normal 51 2 3 2" xfId="26414" xr:uid="{00000000-0005-0000-0000-0000276F0000}"/>
    <cellStyle name="Normal 51 2 4" xfId="13706" xr:uid="{00000000-0005-0000-0000-0000286F0000}"/>
    <cellStyle name="Normal 51 2 4 2" xfId="26415" xr:uid="{00000000-0005-0000-0000-0000296F0000}"/>
    <cellStyle name="Normal 51 2 5" xfId="14850" xr:uid="{00000000-0005-0000-0000-00002A6F0000}"/>
    <cellStyle name="Normal 51 2 5 2" xfId="26416" xr:uid="{00000000-0005-0000-0000-00002B6F0000}"/>
    <cellStyle name="Normal 51 2 6" xfId="26409" xr:uid="{00000000-0005-0000-0000-00002C6F0000}"/>
    <cellStyle name="Normal 51 2 7" xfId="32297" xr:uid="{00000000-0005-0000-0000-00002D6F0000}"/>
    <cellStyle name="Normal 51 2_Additional Disclosures" xfId="16727" xr:uid="{00000000-0005-0000-0000-00002E6F0000}"/>
    <cellStyle name="Normal 51 3" xfId="9591" xr:uid="{00000000-0005-0000-0000-00002F6F0000}"/>
    <cellStyle name="Normal 51 3 2" xfId="11224" xr:uid="{00000000-0005-0000-0000-0000306F0000}"/>
    <cellStyle name="Normal 51 3 2 2" xfId="12645" xr:uid="{00000000-0005-0000-0000-0000316F0000}"/>
    <cellStyle name="Normal 51 3 2 2 2" xfId="26419" xr:uid="{00000000-0005-0000-0000-0000326F0000}"/>
    <cellStyle name="Normal 51 3 2 3" xfId="26418" xr:uid="{00000000-0005-0000-0000-0000336F0000}"/>
    <cellStyle name="Normal 51 3 3" xfId="11995" xr:uid="{00000000-0005-0000-0000-0000346F0000}"/>
    <cellStyle name="Normal 51 3 3 2" xfId="26420" xr:uid="{00000000-0005-0000-0000-0000356F0000}"/>
    <cellStyle name="Normal 51 3 4" xfId="13962" xr:uid="{00000000-0005-0000-0000-0000366F0000}"/>
    <cellStyle name="Normal 51 3 4 2" xfId="26421" xr:uid="{00000000-0005-0000-0000-0000376F0000}"/>
    <cellStyle name="Normal 51 3 5" xfId="15106" xr:uid="{00000000-0005-0000-0000-0000386F0000}"/>
    <cellStyle name="Normal 51 3 5 2" xfId="26422" xr:uid="{00000000-0005-0000-0000-0000396F0000}"/>
    <cellStyle name="Normal 51 3 6" xfId="26417" xr:uid="{00000000-0005-0000-0000-00003A6F0000}"/>
    <cellStyle name="Normal 51 3_Additional Disclosures" xfId="16729" xr:uid="{00000000-0005-0000-0000-00003B6F0000}"/>
    <cellStyle name="Normal 51 4" xfId="13451" xr:uid="{00000000-0005-0000-0000-00003C6F0000}"/>
    <cellStyle name="Normal 51 4 2" xfId="26423" xr:uid="{00000000-0005-0000-0000-00003D6F0000}"/>
    <cellStyle name="Normal 51 5" xfId="14596" xr:uid="{00000000-0005-0000-0000-00003E6F0000}"/>
    <cellStyle name="Normal 51 5 2" xfId="26424" xr:uid="{00000000-0005-0000-0000-00003F6F0000}"/>
    <cellStyle name="Normal 51 6" xfId="26408" xr:uid="{00000000-0005-0000-0000-0000406F0000}"/>
    <cellStyle name="Normal 51 7" xfId="28982" xr:uid="{00000000-0005-0000-0000-0000416F0000}"/>
    <cellStyle name="Normal 51 8" xfId="17127" xr:uid="{00000000-0005-0000-0000-0000426F0000}"/>
    <cellStyle name="Normal 51 9" xfId="28992" xr:uid="{00000000-0005-0000-0000-0000436F0000}"/>
    <cellStyle name="Normal 51_Additional Disclosures" xfId="16726" xr:uid="{00000000-0005-0000-0000-0000446F0000}"/>
    <cellStyle name="Normal 510" xfId="14472" xr:uid="{00000000-0005-0000-0000-0000456F0000}"/>
    <cellStyle name="Normal 510 2" xfId="26425" xr:uid="{00000000-0005-0000-0000-0000466F0000}"/>
    <cellStyle name="Normal 511" xfId="15794" xr:uid="{00000000-0005-0000-0000-0000476F0000}"/>
    <cellStyle name="Normal 511 2" xfId="26426" xr:uid="{00000000-0005-0000-0000-0000486F0000}"/>
    <cellStyle name="Normal 512" xfId="26427" xr:uid="{00000000-0005-0000-0000-0000496F0000}"/>
    <cellStyle name="Normal 513" xfId="16979" xr:uid="{00000000-0005-0000-0000-00004A6F0000}"/>
    <cellStyle name="Normal 514" xfId="28614" xr:uid="{00000000-0005-0000-0000-00004B6F0000}"/>
    <cellStyle name="Normal 515" xfId="29099" xr:uid="{00000000-0005-0000-0000-00004C6F0000}"/>
    <cellStyle name="Normal 516" xfId="29100" xr:uid="{00000000-0005-0000-0000-00004D6F0000}"/>
    <cellStyle name="Normal 517" xfId="29101" xr:uid="{00000000-0005-0000-0000-00004E6F0000}"/>
    <cellStyle name="Normal 518" xfId="29113" xr:uid="{00000000-0005-0000-0000-00004F6F0000}"/>
    <cellStyle name="Normal 519" xfId="32298" xr:uid="{00000000-0005-0000-0000-0000506F0000}"/>
    <cellStyle name="Normal 52" xfId="590" xr:uid="{00000000-0005-0000-0000-0000516F0000}"/>
    <cellStyle name="Normal 52 10" xfId="17152" xr:uid="{00000000-0005-0000-0000-0000526F0000}"/>
    <cellStyle name="Normal 52 11" xfId="32299" xr:uid="{00000000-0005-0000-0000-0000536F0000}"/>
    <cellStyle name="Normal 52 2" xfId="9592" xr:uid="{00000000-0005-0000-0000-0000546F0000}"/>
    <cellStyle name="Normal 52 2 2" xfId="11225" xr:uid="{00000000-0005-0000-0000-0000556F0000}"/>
    <cellStyle name="Normal 52 2 2 2" xfId="12646" xr:uid="{00000000-0005-0000-0000-0000566F0000}"/>
    <cellStyle name="Normal 52 2 2 2 2" xfId="26431" xr:uid="{00000000-0005-0000-0000-0000576F0000}"/>
    <cellStyle name="Normal 52 2 2 3" xfId="14217" xr:uid="{00000000-0005-0000-0000-0000586F0000}"/>
    <cellStyle name="Normal 52 2 2 3 2" xfId="26432" xr:uid="{00000000-0005-0000-0000-0000596F0000}"/>
    <cellStyle name="Normal 52 2 2 4" xfId="15361" xr:uid="{00000000-0005-0000-0000-00005A6F0000}"/>
    <cellStyle name="Normal 52 2 2 4 2" xfId="26433" xr:uid="{00000000-0005-0000-0000-00005B6F0000}"/>
    <cellStyle name="Normal 52 2 2 5" xfId="26430" xr:uid="{00000000-0005-0000-0000-00005C6F0000}"/>
    <cellStyle name="Normal 52 2 2_Additional Disclosures" xfId="16732" xr:uid="{00000000-0005-0000-0000-00005D6F0000}"/>
    <cellStyle name="Normal 52 2 3" xfId="11996" xr:uid="{00000000-0005-0000-0000-00005E6F0000}"/>
    <cellStyle name="Normal 52 2 3 2" xfId="26434" xr:uid="{00000000-0005-0000-0000-00005F6F0000}"/>
    <cellStyle name="Normal 52 2 4" xfId="13707" xr:uid="{00000000-0005-0000-0000-0000606F0000}"/>
    <cellStyle name="Normal 52 2 4 2" xfId="26435" xr:uid="{00000000-0005-0000-0000-0000616F0000}"/>
    <cellStyle name="Normal 52 2 5" xfId="14851" xr:uid="{00000000-0005-0000-0000-0000626F0000}"/>
    <cellStyle name="Normal 52 2 5 2" xfId="26436" xr:uid="{00000000-0005-0000-0000-0000636F0000}"/>
    <cellStyle name="Normal 52 2 6" xfId="26429" xr:uid="{00000000-0005-0000-0000-0000646F0000}"/>
    <cellStyle name="Normal 52 2 7" xfId="32300" xr:uid="{00000000-0005-0000-0000-0000656F0000}"/>
    <cellStyle name="Normal 52 2_Additional Disclosures" xfId="16731" xr:uid="{00000000-0005-0000-0000-0000666F0000}"/>
    <cellStyle name="Normal 52 3" xfId="9593" xr:uid="{00000000-0005-0000-0000-0000676F0000}"/>
    <cellStyle name="Normal 52 3 2" xfId="11226" xr:uid="{00000000-0005-0000-0000-0000686F0000}"/>
    <cellStyle name="Normal 52 3 2 2" xfId="12647" xr:uid="{00000000-0005-0000-0000-0000696F0000}"/>
    <cellStyle name="Normal 52 3 2 2 2" xfId="26439" xr:uid="{00000000-0005-0000-0000-00006A6F0000}"/>
    <cellStyle name="Normal 52 3 2 3" xfId="26438" xr:uid="{00000000-0005-0000-0000-00006B6F0000}"/>
    <cellStyle name="Normal 52 3 3" xfId="11997" xr:uid="{00000000-0005-0000-0000-00006C6F0000}"/>
    <cellStyle name="Normal 52 3 3 2" xfId="26440" xr:uid="{00000000-0005-0000-0000-00006D6F0000}"/>
    <cellStyle name="Normal 52 3 4" xfId="13963" xr:uid="{00000000-0005-0000-0000-00006E6F0000}"/>
    <cellStyle name="Normal 52 3 4 2" xfId="26441" xr:uid="{00000000-0005-0000-0000-00006F6F0000}"/>
    <cellStyle name="Normal 52 3 5" xfId="15107" xr:uid="{00000000-0005-0000-0000-0000706F0000}"/>
    <cellStyle name="Normal 52 3 5 2" xfId="26442" xr:uid="{00000000-0005-0000-0000-0000716F0000}"/>
    <cellStyle name="Normal 52 3 6" xfId="26437" xr:uid="{00000000-0005-0000-0000-0000726F0000}"/>
    <cellStyle name="Normal 52 3_Additional Disclosures" xfId="16733" xr:uid="{00000000-0005-0000-0000-0000736F0000}"/>
    <cellStyle name="Normal 52 4" xfId="13452" xr:uid="{00000000-0005-0000-0000-0000746F0000}"/>
    <cellStyle name="Normal 52 4 2" xfId="26443" xr:uid="{00000000-0005-0000-0000-0000756F0000}"/>
    <cellStyle name="Normal 52 5" xfId="14597" xr:uid="{00000000-0005-0000-0000-0000766F0000}"/>
    <cellStyle name="Normal 52 5 2" xfId="26444" xr:uid="{00000000-0005-0000-0000-0000776F0000}"/>
    <cellStyle name="Normal 52 6" xfId="26428" xr:uid="{00000000-0005-0000-0000-0000786F0000}"/>
    <cellStyle name="Normal 52 7" xfId="28984" xr:uid="{00000000-0005-0000-0000-0000796F0000}"/>
    <cellStyle name="Normal 52 8" xfId="17128" xr:uid="{00000000-0005-0000-0000-00007A6F0000}"/>
    <cellStyle name="Normal 52 9" xfId="28994" xr:uid="{00000000-0005-0000-0000-00007B6F0000}"/>
    <cellStyle name="Normal 52_Additional Disclosures" xfId="16730" xr:uid="{00000000-0005-0000-0000-00007C6F0000}"/>
    <cellStyle name="Normal 520" xfId="32301" xr:uid="{00000000-0005-0000-0000-00007D6F0000}"/>
    <cellStyle name="Normal 521" xfId="32302" xr:uid="{00000000-0005-0000-0000-00007E6F0000}"/>
    <cellStyle name="Normal 522" xfId="32303" xr:uid="{00000000-0005-0000-0000-00007F6F0000}"/>
    <cellStyle name="Normal 523" xfId="32304" xr:uid="{00000000-0005-0000-0000-0000806F0000}"/>
    <cellStyle name="Normal 524" xfId="32305" xr:uid="{00000000-0005-0000-0000-0000816F0000}"/>
    <cellStyle name="Normal 525" xfId="32306" xr:uid="{00000000-0005-0000-0000-0000826F0000}"/>
    <cellStyle name="Normal 526" xfId="32307" xr:uid="{00000000-0005-0000-0000-0000836F0000}"/>
    <cellStyle name="Normal 527" xfId="32308" xr:uid="{00000000-0005-0000-0000-0000846F0000}"/>
    <cellStyle name="Normal 528" xfId="32309" xr:uid="{00000000-0005-0000-0000-0000856F0000}"/>
    <cellStyle name="Normal 529" xfId="32310" xr:uid="{00000000-0005-0000-0000-0000866F0000}"/>
    <cellStyle name="Normal 53" xfId="591" xr:uid="{00000000-0005-0000-0000-0000876F0000}"/>
    <cellStyle name="Normal 53 10" xfId="17154" xr:uid="{00000000-0005-0000-0000-0000886F0000}"/>
    <cellStyle name="Normal 53 11" xfId="32311" xr:uid="{00000000-0005-0000-0000-0000896F0000}"/>
    <cellStyle name="Normal 53 12" xfId="32312" xr:uid="{00000000-0005-0000-0000-00008A6F0000}"/>
    <cellStyle name="Normal 53 13" xfId="34249" xr:uid="{00000000-0005-0000-0000-00008B6F0000}"/>
    <cellStyle name="Normal 53 2" xfId="9594" xr:uid="{00000000-0005-0000-0000-00008C6F0000}"/>
    <cellStyle name="Normal 53 2 10" xfId="32313" xr:uid="{00000000-0005-0000-0000-00008D6F0000}"/>
    <cellStyle name="Normal 53 2 11" xfId="32314" xr:uid="{00000000-0005-0000-0000-00008E6F0000}"/>
    <cellStyle name="Normal 53 2 2" xfId="11227" xr:uid="{00000000-0005-0000-0000-00008F6F0000}"/>
    <cellStyle name="Normal 53 2 2 2" xfId="12648" xr:uid="{00000000-0005-0000-0000-0000906F0000}"/>
    <cellStyle name="Normal 53 2 2 2 2" xfId="26448" xr:uid="{00000000-0005-0000-0000-0000916F0000}"/>
    <cellStyle name="Normal 53 2 2 3" xfId="14218" xr:uid="{00000000-0005-0000-0000-0000926F0000}"/>
    <cellStyle name="Normal 53 2 2 3 2" xfId="26449" xr:uid="{00000000-0005-0000-0000-0000936F0000}"/>
    <cellStyle name="Normal 53 2 2 4" xfId="15362" xr:uid="{00000000-0005-0000-0000-0000946F0000}"/>
    <cellStyle name="Normal 53 2 2 4 2" xfId="26450" xr:uid="{00000000-0005-0000-0000-0000956F0000}"/>
    <cellStyle name="Normal 53 2 2 5" xfId="26447" xr:uid="{00000000-0005-0000-0000-0000966F0000}"/>
    <cellStyle name="Normal 53 2 2_Additional Disclosures" xfId="16736" xr:uid="{00000000-0005-0000-0000-0000976F0000}"/>
    <cellStyle name="Normal 53 2 3" xfId="11998" xr:uid="{00000000-0005-0000-0000-0000986F0000}"/>
    <cellStyle name="Normal 53 2 3 2" xfId="26451" xr:uid="{00000000-0005-0000-0000-0000996F0000}"/>
    <cellStyle name="Normal 53 2 4" xfId="13708" xr:uid="{00000000-0005-0000-0000-00009A6F0000}"/>
    <cellStyle name="Normal 53 2 4 2" xfId="26452" xr:uid="{00000000-0005-0000-0000-00009B6F0000}"/>
    <cellStyle name="Normal 53 2 5" xfId="14852" xr:uid="{00000000-0005-0000-0000-00009C6F0000}"/>
    <cellStyle name="Normal 53 2 5 2" xfId="26453" xr:uid="{00000000-0005-0000-0000-00009D6F0000}"/>
    <cellStyle name="Normal 53 2 6" xfId="26446" xr:uid="{00000000-0005-0000-0000-00009E6F0000}"/>
    <cellStyle name="Normal 53 2 7" xfId="32315" xr:uid="{00000000-0005-0000-0000-00009F6F0000}"/>
    <cellStyle name="Normal 53 2 8" xfId="32316" xr:uid="{00000000-0005-0000-0000-0000A06F0000}"/>
    <cellStyle name="Normal 53 2 9" xfId="32317" xr:uid="{00000000-0005-0000-0000-0000A16F0000}"/>
    <cellStyle name="Normal 53 2_Additional Disclosures" xfId="16735" xr:uid="{00000000-0005-0000-0000-0000A26F0000}"/>
    <cellStyle name="Normal 53 3" xfId="9595" xr:uid="{00000000-0005-0000-0000-0000A36F0000}"/>
    <cellStyle name="Normal 53 3 2" xfId="11228" xr:uid="{00000000-0005-0000-0000-0000A46F0000}"/>
    <cellStyle name="Normal 53 3 2 2" xfId="12649" xr:uid="{00000000-0005-0000-0000-0000A56F0000}"/>
    <cellStyle name="Normal 53 3 2 2 2" xfId="26456" xr:uid="{00000000-0005-0000-0000-0000A66F0000}"/>
    <cellStyle name="Normal 53 3 2 3" xfId="26455" xr:uid="{00000000-0005-0000-0000-0000A76F0000}"/>
    <cellStyle name="Normal 53 3 3" xfId="11999" xr:uid="{00000000-0005-0000-0000-0000A86F0000}"/>
    <cellStyle name="Normal 53 3 3 2" xfId="26457" xr:uid="{00000000-0005-0000-0000-0000A96F0000}"/>
    <cellStyle name="Normal 53 3 4" xfId="13964" xr:uid="{00000000-0005-0000-0000-0000AA6F0000}"/>
    <cellStyle name="Normal 53 3 4 2" xfId="26458" xr:uid="{00000000-0005-0000-0000-0000AB6F0000}"/>
    <cellStyle name="Normal 53 3 5" xfId="15108" xr:uid="{00000000-0005-0000-0000-0000AC6F0000}"/>
    <cellStyle name="Normal 53 3 5 2" xfId="26459" xr:uid="{00000000-0005-0000-0000-0000AD6F0000}"/>
    <cellStyle name="Normal 53 3 6" xfId="26454" xr:uid="{00000000-0005-0000-0000-0000AE6F0000}"/>
    <cellStyle name="Normal 53 3 7" xfId="32318" xr:uid="{00000000-0005-0000-0000-0000AF6F0000}"/>
    <cellStyle name="Normal 53 3 8" xfId="32319" xr:uid="{00000000-0005-0000-0000-0000B06F0000}"/>
    <cellStyle name="Normal 53 3_Additional Disclosures" xfId="16737" xr:uid="{00000000-0005-0000-0000-0000B16F0000}"/>
    <cellStyle name="Normal 53 4" xfId="13453" xr:uid="{00000000-0005-0000-0000-0000B26F0000}"/>
    <cellStyle name="Normal 53 4 2" xfId="26460" xr:uid="{00000000-0005-0000-0000-0000B36F0000}"/>
    <cellStyle name="Normal 53 5" xfId="14598" xr:uid="{00000000-0005-0000-0000-0000B46F0000}"/>
    <cellStyle name="Normal 53 5 2" xfId="26461" xr:uid="{00000000-0005-0000-0000-0000B56F0000}"/>
    <cellStyle name="Normal 53 6" xfId="26445" xr:uid="{00000000-0005-0000-0000-0000B66F0000}"/>
    <cellStyle name="Normal 53 7" xfId="28987" xr:uid="{00000000-0005-0000-0000-0000B76F0000}"/>
    <cellStyle name="Normal 53 8" xfId="17130" xr:uid="{00000000-0005-0000-0000-0000B86F0000}"/>
    <cellStyle name="Normal 53 9" xfId="28996" xr:uid="{00000000-0005-0000-0000-0000B96F0000}"/>
    <cellStyle name="Normal 53_Additional Disclosures" xfId="16734" xr:uid="{00000000-0005-0000-0000-0000BA6F0000}"/>
    <cellStyle name="Normal 530" xfId="32320" xr:uid="{00000000-0005-0000-0000-0000BB6F0000}"/>
    <cellStyle name="Normal 531" xfId="32321" xr:uid="{00000000-0005-0000-0000-0000BC6F0000}"/>
    <cellStyle name="Normal 531 2" xfId="32322" xr:uid="{00000000-0005-0000-0000-0000BD6F0000}"/>
    <cellStyle name="Normal 532" xfId="32323" xr:uid="{00000000-0005-0000-0000-0000BE6F0000}"/>
    <cellStyle name="Normal 532 2" xfId="32324" xr:uid="{00000000-0005-0000-0000-0000BF6F0000}"/>
    <cellStyle name="Normal 533" xfId="32325" xr:uid="{00000000-0005-0000-0000-0000C06F0000}"/>
    <cellStyle name="Normal 534" xfId="32326" xr:uid="{00000000-0005-0000-0000-0000C16F0000}"/>
    <cellStyle name="Normal 535" xfId="32327" xr:uid="{00000000-0005-0000-0000-0000C26F0000}"/>
    <cellStyle name="Normal 536" xfId="32328" xr:uid="{00000000-0005-0000-0000-0000C36F0000}"/>
    <cellStyle name="Normal 536 2" xfId="32329" xr:uid="{00000000-0005-0000-0000-0000C46F0000}"/>
    <cellStyle name="Normal 537" xfId="32330" xr:uid="{00000000-0005-0000-0000-0000C56F0000}"/>
    <cellStyle name="Normal 538" xfId="32331" xr:uid="{00000000-0005-0000-0000-0000C66F0000}"/>
    <cellStyle name="Normal 539" xfId="33104" xr:uid="{00000000-0005-0000-0000-0000C76F0000}"/>
    <cellStyle name="Normal 54" xfId="592" xr:uid="{00000000-0005-0000-0000-0000C86F0000}"/>
    <cellStyle name="Normal 54 10" xfId="17158" xr:uid="{00000000-0005-0000-0000-0000C96F0000}"/>
    <cellStyle name="Normal 54 11" xfId="32332" xr:uid="{00000000-0005-0000-0000-0000CA6F0000}"/>
    <cellStyle name="Normal 54 12" xfId="32333" xr:uid="{00000000-0005-0000-0000-0000CB6F0000}"/>
    <cellStyle name="Normal 54 2" xfId="9596" xr:uid="{00000000-0005-0000-0000-0000CC6F0000}"/>
    <cellStyle name="Normal 54 2 10" xfId="32334" xr:uid="{00000000-0005-0000-0000-0000CD6F0000}"/>
    <cellStyle name="Normal 54 2 2" xfId="11229" xr:uid="{00000000-0005-0000-0000-0000CE6F0000}"/>
    <cellStyle name="Normal 54 2 2 2" xfId="12650" xr:uid="{00000000-0005-0000-0000-0000CF6F0000}"/>
    <cellStyle name="Normal 54 2 2 2 2" xfId="26465" xr:uid="{00000000-0005-0000-0000-0000D06F0000}"/>
    <cellStyle name="Normal 54 2 2 3" xfId="14219" xr:uid="{00000000-0005-0000-0000-0000D16F0000}"/>
    <cellStyle name="Normal 54 2 2 3 2" xfId="26466" xr:uid="{00000000-0005-0000-0000-0000D26F0000}"/>
    <cellStyle name="Normal 54 2 2 4" xfId="15363" xr:uid="{00000000-0005-0000-0000-0000D36F0000}"/>
    <cellStyle name="Normal 54 2 2 4 2" xfId="26467" xr:uid="{00000000-0005-0000-0000-0000D46F0000}"/>
    <cellStyle name="Normal 54 2 2 5" xfId="26464" xr:uid="{00000000-0005-0000-0000-0000D56F0000}"/>
    <cellStyle name="Normal 54 2 2_Additional Disclosures" xfId="16740" xr:uid="{00000000-0005-0000-0000-0000D66F0000}"/>
    <cellStyle name="Normal 54 2 3" xfId="12000" xr:uid="{00000000-0005-0000-0000-0000D76F0000}"/>
    <cellStyle name="Normal 54 2 3 2" xfId="26468" xr:uid="{00000000-0005-0000-0000-0000D86F0000}"/>
    <cellStyle name="Normal 54 2 4" xfId="13709" xr:uid="{00000000-0005-0000-0000-0000D96F0000}"/>
    <cellStyle name="Normal 54 2 4 2" xfId="26469" xr:uid="{00000000-0005-0000-0000-0000DA6F0000}"/>
    <cellStyle name="Normal 54 2 5" xfId="14853" xr:uid="{00000000-0005-0000-0000-0000DB6F0000}"/>
    <cellStyle name="Normal 54 2 5 2" xfId="26470" xr:uid="{00000000-0005-0000-0000-0000DC6F0000}"/>
    <cellStyle name="Normal 54 2 6" xfId="26463" xr:uid="{00000000-0005-0000-0000-0000DD6F0000}"/>
    <cellStyle name="Normal 54 2 7" xfId="32335" xr:uid="{00000000-0005-0000-0000-0000DE6F0000}"/>
    <cellStyle name="Normal 54 2 8" xfId="32336" xr:uid="{00000000-0005-0000-0000-0000DF6F0000}"/>
    <cellStyle name="Normal 54 2 9" xfId="32337" xr:uid="{00000000-0005-0000-0000-0000E06F0000}"/>
    <cellStyle name="Normal 54 2_Additional Disclosures" xfId="16739" xr:uid="{00000000-0005-0000-0000-0000E16F0000}"/>
    <cellStyle name="Normal 54 3" xfId="9597" xr:uid="{00000000-0005-0000-0000-0000E26F0000}"/>
    <cellStyle name="Normal 54 3 2" xfId="11230" xr:uid="{00000000-0005-0000-0000-0000E36F0000}"/>
    <cellStyle name="Normal 54 3 2 2" xfId="12651" xr:uid="{00000000-0005-0000-0000-0000E46F0000}"/>
    <cellStyle name="Normal 54 3 2 2 2" xfId="26473" xr:uid="{00000000-0005-0000-0000-0000E56F0000}"/>
    <cellStyle name="Normal 54 3 2 3" xfId="26472" xr:uid="{00000000-0005-0000-0000-0000E66F0000}"/>
    <cellStyle name="Normal 54 3 3" xfId="12001" xr:uid="{00000000-0005-0000-0000-0000E76F0000}"/>
    <cellStyle name="Normal 54 3 3 2" xfId="26474" xr:uid="{00000000-0005-0000-0000-0000E86F0000}"/>
    <cellStyle name="Normal 54 3 4" xfId="13965" xr:uid="{00000000-0005-0000-0000-0000E96F0000}"/>
    <cellStyle name="Normal 54 3 4 2" xfId="26475" xr:uid="{00000000-0005-0000-0000-0000EA6F0000}"/>
    <cellStyle name="Normal 54 3 5" xfId="15109" xr:uid="{00000000-0005-0000-0000-0000EB6F0000}"/>
    <cellStyle name="Normal 54 3 5 2" xfId="26476" xr:uid="{00000000-0005-0000-0000-0000EC6F0000}"/>
    <cellStyle name="Normal 54 3 6" xfId="26471" xr:uid="{00000000-0005-0000-0000-0000ED6F0000}"/>
    <cellStyle name="Normal 54 3_Additional Disclosures" xfId="16741" xr:uid="{00000000-0005-0000-0000-0000EE6F0000}"/>
    <cellStyle name="Normal 54 4" xfId="13454" xr:uid="{00000000-0005-0000-0000-0000EF6F0000}"/>
    <cellStyle name="Normal 54 4 2" xfId="26477" xr:uid="{00000000-0005-0000-0000-0000F06F0000}"/>
    <cellStyle name="Normal 54 5" xfId="14599" xr:uid="{00000000-0005-0000-0000-0000F16F0000}"/>
    <cellStyle name="Normal 54 5 2" xfId="26478" xr:uid="{00000000-0005-0000-0000-0000F26F0000}"/>
    <cellStyle name="Normal 54 6" xfId="26462" xr:uid="{00000000-0005-0000-0000-0000F36F0000}"/>
    <cellStyle name="Normal 54 7" xfId="28988" xr:uid="{00000000-0005-0000-0000-0000F46F0000}"/>
    <cellStyle name="Normal 54 8" xfId="17131" xr:uid="{00000000-0005-0000-0000-0000F56F0000}"/>
    <cellStyle name="Normal 54 9" xfId="28998" xr:uid="{00000000-0005-0000-0000-0000F66F0000}"/>
    <cellStyle name="Normal 54_Additional Disclosures" xfId="16738" xr:uid="{00000000-0005-0000-0000-0000F76F0000}"/>
    <cellStyle name="Normal 540" xfId="33105" xr:uid="{00000000-0005-0000-0000-0000F86F0000}"/>
    <cellStyle name="Normal 541" xfId="33106" xr:uid="{00000000-0005-0000-0000-0000F96F0000}"/>
    <cellStyle name="Normal 542" xfId="33107" xr:uid="{00000000-0005-0000-0000-0000FA6F0000}"/>
    <cellStyle name="Normal 543" xfId="33200" xr:uid="{00000000-0005-0000-0000-0000FB6F0000}"/>
    <cellStyle name="Normal 544" xfId="34325" xr:uid="{00000000-0005-0000-0000-0000FC6F0000}"/>
    <cellStyle name="Normal 545" xfId="32338" xr:uid="{00000000-0005-0000-0000-0000FD6F0000}"/>
    <cellStyle name="Normal 546" xfId="34326" xr:uid="{00000000-0005-0000-0000-0000FE6F0000}"/>
    <cellStyle name="Normal 547" xfId="34327" xr:uid="{00000000-0005-0000-0000-0000FF6F0000}"/>
    <cellStyle name="Normal 548" xfId="34328" xr:uid="{00000000-0005-0000-0000-000000700000}"/>
    <cellStyle name="Normal 549" xfId="34337" xr:uid="{00000000-0005-0000-0000-000001700000}"/>
    <cellStyle name="Normal 55" xfId="593" xr:uid="{00000000-0005-0000-0000-000002700000}"/>
    <cellStyle name="Normal 55 10" xfId="17160" xr:uid="{00000000-0005-0000-0000-000003700000}"/>
    <cellStyle name="Normal 55 11" xfId="32339" xr:uid="{00000000-0005-0000-0000-000004700000}"/>
    <cellStyle name="Normal 55 12" xfId="32340" xr:uid="{00000000-0005-0000-0000-000005700000}"/>
    <cellStyle name="Normal 55 2" xfId="9598" xr:uid="{00000000-0005-0000-0000-000006700000}"/>
    <cellStyle name="Normal 55 2 10" xfId="32341" xr:uid="{00000000-0005-0000-0000-000007700000}"/>
    <cellStyle name="Normal 55 2 2" xfId="11231" xr:uid="{00000000-0005-0000-0000-000008700000}"/>
    <cellStyle name="Normal 55 2 2 2" xfId="12652" xr:uid="{00000000-0005-0000-0000-000009700000}"/>
    <cellStyle name="Normal 55 2 2 2 2" xfId="26482" xr:uid="{00000000-0005-0000-0000-00000A700000}"/>
    <cellStyle name="Normal 55 2 2 3" xfId="14220" xr:uid="{00000000-0005-0000-0000-00000B700000}"/>
    <cellStyle name="Normal 55 2 2 3 2" xfId="26483" xr:uid="{00000000-0005-0000-0000-00000C700000}"/>
    <cellStyle name="Normal 55 2 2 4" xfId="15364" xr:uid="{00000000-0005-0000-0000-00000D700000}"/>
    <cellStyle name="Normal 55 2 2 4 2" xfId="26484" xr:uid="{00000000-0005-0000-0000-00000E700000}"/>
    <cellStyle name="Normal 55 2 2 5" xfId="26481" xr:uid="{00000000-0005-0000-0000-00000F700000}"/>
    <cellStyle name="Normal 55 2 2_Additional Disclosures" xfId="16744" xr:uid="{00000000-0005-0000-0000-000010700000}"/>
    <cellStyle name="Normal 55 2 3" xfId="12002" xr:uid="{00000000-0005-0000-0000-000011700000}"/>
    <cellStyle name="Normal 55 2 3 2" xfId="26485" xr:uid="{00000000-0005-0000-0000-000012700000}"/>
    <cellStyle name="Normal 55 2 4" xfId="13710" xr:uid="{00000000-0005-0000-0000-000013700000}"/>
    <cellStyle name="Normal 55 2 4 2" xfId="26486" xr:uid="{00000000-0005-0000-0000-000014700000}"/>
    <cellStyle name="Normal 55 2 5" xfId="14854" xr:uid="{00000000-0005-0000-0000-000015700000}"/>
    <cellStyle name="Normal 55 2 5 2" xfId="26487" xr:uid="{00000000-0005-0000-0000-000016700000}"/>
    <cellStyle name="Normal 55 2 6" xfId="26480" xr:uid="{00000000-0005-0000-0000-000017700000}"/>
    <cellStyle name="Normal 55 2 7" xfId="32342" xr:uid="{00000000-0005-0000-0000-000018700000}"/>
    <cellStyle name="Normal 55 2 8" xfId="32343" xr:uid="{00000000-0005-0000-0000-000019700000}"/>
    <cellStyle name="Normal 55 2 9" xfId="32344" xr:uid="{00000000-0005-0000-0000-00001A700000}"/>
    <cellStyle name="Normal 55 2_Additional Disclosures" xfId="16743" xr:uid="{00000000-0005-0000-0000-00001B700000}"/>
    <cellStyle name="Normal 55 3" xfId="9599" xr:uid="{00000000-0005-0000-0000-00001C700000}"/>
    <cellStyle name="Normal 55 3 2" xfId="11232" xr:uid="{00000000-0005-0000-0000-00001D700000}"/>
    <cellStyle name="Normal 55 3 2 2" xfId="12653" xr:uid="{00000000-0005-0000-0000-00001E700000}"/>
    <cellStyle name="Normal 55 3 2 2 2" xfId="26490" xr:uid="{00000000-0005-0000-0000-00001F700000}"/>
    <cellStyle name="Normal 55 3 2 3" xfId="26489" xr:uid="{00000000-0005-0000-0000-000020700000}"/>
    <cellStyle name="Normal 55 3 3" xfId="12003" xr:uid="{00000000-0005-0000-0000-000021700000}"/>
    <cellStyle name="Normal 55 3 3 2" xfId="26491" xr:uid="{00000000-0005-0000-0000-000022700000}"/>
    <cellStyle name="Normal 55 3 4" xfId="13966" xr:uid="{00000000-0005-0000-0000-000023700000}"/>
    <cellStyle name="Normal 55 3 4 2" xfId="26492" xr:uid="{00000000-0005-0000-0000-000024700000}"/>
    <cellStyle name="Normal 55 3 5" xfId="15110" xr:uid="{00000000-0005-0000-0000-000025700000}"/>
    <cellStyle name="Normal 55 3 5 2" xfId="26493" xr:uid="{00000000-0005-0000-0000-000026700000}"/>
    <cellStyle name="Normal 55 3 6" xfId="26488" xr:uid="{00000000-0005-0000-0000-000027700000}"/>
    <cellStyle name="Normal 55 3_Additional Disclosures" xfId="16745" xr:uid="{00000000-0005-0000-0000-000028700000}"/>
    <cellStyle name="Normal 55 4" xfId="13455" xr:uid="{00000000-0005-0000-0000-000029700000}"/>
    <cellStyle name="Normal 55 4 2" xfId="26494" xr:uid="{00000000-0005-0000-0000-00002A700000}"/>
    <cellStyle name="Normal 55 5" xfId="14600" xr:uid="{00000000-0005-0000-0000-00002B700000}"/>
    <cellStyle name="Normal 55 5 2" xfId="26495" xr:uid="{00000000-0005-0000-0000-00002C700000}"/>
    <cellStyle name="Normal 55 6" xfId="26479" xr:uid="{00000000-0005-0000-0000-00002D700000}"/>
    <cellStyle name="Normal 55 7" xfId="28990" xr:uid="{00000000-0005-0000-0000-00002E700000}"/>
    <cellStyle name="Normal 55 8" xfId="17134" xr:uid="{00000000-0005-0000-0000-00002F700000}"/>
    <cellStyle name="Normal 55 9" xfId="29000" xr:uid="{00000000-0005-0000-0000-000030700000}"/>
    <cellStyle name="Normal 55_Additional Disclosures" xfId="16742" xr:uid="{00000000-0005-0000-0000-000031700000}"/>
    <cellStyle name="Normal 550" xfId="481" xr:uid="{00000000-0005-0000-0000-000032700000}"/>
    <cellStyle name="Normal 558" xfId="33103" xr:uid="{00000000-0005-0000-0000-000033700000}"/>
    <cellStyle name="Normal 558 2" xfId="33779" xr:uid="{00000000-0005-0000-0000-000034700000}"/>
    <cellStyle name="Normal 558 3" xfId="34007" xr:uid="{00000000-0005-0000-0000-000035700000}"/>
    <cellStyle name="Normal 558 4" xfId="34221" xr:uid="{00000000-0005-0000-0000-000036700000}"/>
    <cellStyle name="Normal 558 5" xfId="33398" xr:uid="{00000000-0005-0000-0000-000037700000}"/>
    <cellStyle name="Normal 56" xfId="594" xr:uid="{00000000-0005-0000-0000-000038700000}"/>
    <cellStyle name="Normal 56 10" xfId="17161" xr:uid="{00000000-0005-0000-0000-000039700000}"/>
    <cellStyle name="Normal 56 11" xfId="32345" xr:uid="{00000000-0005-0000-0000-00003A700000}"/>
    <cellStyle name="Normal 56 12" xfId="32346" xr:uid="{00000000-0005-0000-0000-00003B700000}"/>
    <cellStyle name="Normal 56 2" xfId="9600" xr:uid="{00000000-0005-0000-0000-00003C700000}"/>
    <cellStyle name="Normal 56 2 10" xfId="32347" xr:uid="{00000000-0005-0000-0000-00003D700000}"/>
    <cellStyle name="Normal 56 2 11" xfId="32348" xr:uid="{00000000-0005-0000-0000-00003E700000}"/>
    <cellStyle name="Normal 56 2 2" xfId="11233" xr:uid="{00000000-0005-0000-0000-00003F700000}"/>
    <cellStyle name="Normal 56 2 2 2" xfId="12654" xr:uid="{00000000-0005-0000-0000-000040700000}"/>
    <cellStyle name="Normal 56 2 2 2 2" xfId="26499" xr:uid="{00000000-0005-0000-0000-000041700000}"/>
    <cellStyle name="Normal 56 2 2 3" xfId="14221" xr:uid="{00000000-0005-0000-0000-000042700000}"/>
    <cellStyle name="Normal 56 2 2 3 2" xfId="26500" xr:uid="{00000000-0005-0000-0000-000043700000}"/>
    <cellStyle name="Normal 56 2 2 4" xfId="15365" xr:uid="{00000000-0005-0000-0000-000044700000}"/>
    <cellStyle name="Normal 56 2 2 4 2" xfId="26501" xr:uid="{00000000-0005-0000-0000-000045700000}"/>
    <cellStyle name="Normal 56 2 2 5" xfId="26498" xr:uid="{00000000-0005-0000-0000-000046700000}"/>
    <cellStyle name="Normal 56 2 2_Additional Disclosures" xfId="16748" xr:uid="{00000000-0005-0000-0000-000047700000}"/>
    <cellStyle name="Normal 56 2 3" xfId="12004" xr:uid="{00000000-0005-0000-0000-000048700000}"/>
    <cellStyle name="Normal 56 2 3 2" xfId="26502" xr:uid="{00000000-0005-0000-0000-000049700000}"/>
    <cellStyle name="Normal 56 2 4" xfId="13711" xr:uid="{00000000-0005-0000-0000-00004A700000}"/>
    <cellStyle name="Normal 56 2 4 2" xfId="26503" xr:uid="{00000000-0005-0000-0000-00004B700000}"/>
    <cellStyle name="Normal 56 2 5" xfId="14855" xr:uid="{00000000-0005-0000-0000-00004C700000}"/>
    <cellStyle name="Normal 56 2 5 2" xfId="26504" xr:uid="{00000000-0005-0000-0000-00004D700000}"/>
    <cellStyle name="Normal 56 2 6" xfId="26497" xr:uid="{00000000-0005-0000-0000-00004E700000}"/>
    <cellStyle name="Normal 56 2 7" xfId="32349" xr:uid="{00000000-0005-0000-0000-00004F700000}"/>
    <cellStyle name="Normal 56 2 8" xfId="32350" xr:uid="{00000000-0005-0000-0000-000050700000}"/>
    <cellStyle name="Normal 56 2 9" xfId="32351" xr:uid="{00000000-0005-0000-0000-000051700000}"/>
    <cellStyle name="Normal 56 2_Additional Disclosures" xfId="16747" xr:uid="{00000000-0005-0000-0000-000052700000}"/>
    <cellStyle name="Normal 56 3" xfId="9601" xr:uid="{00000000-0005-0000-0000-000053700000}"/>
    <cellStyle name="Normal 56 3 2" xfId="11234" xr:uid="{00000000-0005-0000-0000-000054700000}"/>
    <cellStyle name="Normal 56 3 2 2" xfId="12655" xr:uid="{00000000-0005-0000-0000-000055700000}"/>
    <cellStyle name="Normal 56 3 2 2 2" xfId="26507" xr:uid="{00000000-0005-0000-0000-000056700000}"/>
    <cellStyle name="Normal 56 3 2 3" xfId="26506" xr:uid="{00000000-0005-0000-0000-000057700000}"/>
    <cellStyle name="Normal 56 3 3" xfId="12005" xr:uid="{00000000-0005-0000-0000-000058700000}"/>
    <cellStyle name="Normal 56 3 3 2" xfId="26508" xr:uid="{00000000-0005-0000-0000-000059700000}"/>
    <cellStyle name="Normal 56 3 4" xfId="13967" xr:uid="{00000000-0005-0000-0000-00005A700000}"/>
    <cellStyle name="Normal 56 3 4 2" xfId="26509" xr:uid="{00000000-0005-0000-0000-00005B700000}"/>
    <cellStyle name="Normal 56 3 5" xfId="15111" xr:uid="{00000000-0005-0000-0000-00005C700000}"/>
    <cellStyle name="Normal 56 3 5 2" xfId="26510" xr:uid="{00000000-0005-0000-0000-00005D700000}"/>
    <cellStyle name="Normal 56 3 6" xfId="26505" xr:uid="{00000000-0005-0000-0000-00005E700000}"/>
    <cellStyle name="Normal 56 3_Additional Disclosures" xfId="16749" xr:uid="{00000000-0005-0000-0000-00005F700000}"/>
    <cellStyle name="Normal 56 4" xfId="13456" xr:uid="{00000000-0005-0000-0000-000060700000}"/>
    <cellStyle name="Normal 56 4 2" xfId="26511" xr:uid="{00000000-0005-0000-0000-000061700000}"/>
    <cellStyle name="Normal 56 5" xfId="14601" xr:uid="{00000000-0005-0000-0000-000062700000}"/>
    <cellStyle name="Normal 56 5 2" xfId="26512" xr:uid="{00000000-0005-0000-0000-000063700000}"/>
    <cellStyle name="Normal 56 6" xfId="26496" xr:uid="{00000000-0005-0000-0000-000064700000}"/>
    <cellStyle name="Normal 56 7" xfId="28991" xr:uid="{00000000-0005-0000-0000-000065700000}"/>
    <cellStyle name="Normal 56 8" xfId="17135" xr:uid="{00000000-0005-0000-0000-000066700000}"/>
    <cellStyle name="Normal 56 9" xfId="29002" xr:uid="{00000000-0005-0000-0000-000067700000}"/>
    <cellStyle name="Normal 56_Additional Disclosures" xfId="16746" xr:uid="{00000000-0005-0000-0000-000068700000}"/>
    <cellStyle name="Normal 57" xfId="595" xr:uid="{00000000-0005-0000-0000-000069700000}"/>
    <cellStyle name="Normal 57 10" xfId="17163" xr:uid="{00000000-0005-0000-0000-00006A700000}"/>
    <cellStyle name="Normal 57 11" xfId="32352" xr:uid="{00000000-0005-0000-0000-00006B700000}"/>
    <cellStyle name="Normal 57 12" xfId="32353" xr:uid="{00000000-0005-0000-0000-00006C700000}"/>
    <cellStyle name="Normal 57 2" xfId="9602" xr:uid="{00000000-0005-0000-0000-00006D700000}"/>
    <cellStyle name="Normal 57 2 10" xfId="32354" xr:uid="{00000000-0005-0000-0000-00006E700000}"/>
    <cellStyle name="Normal 57 2 2" xfId="11235" xr:uid="{00000000-0005-0000-0000-00006F700000}"/>
    <cellStyle name="Normal 57 2 2 2" xfId="12656" xr:uid="{00000000-0005-0000-0000-000070700000}"/>
    <cellStyle name="Normal 57 2 2 2 2" xfId="26516" xr:uid="{00000000-0005-0000-0000-000071700000}"/>
    <cellStyle name="Normal 57 2 2 3" xfId="14222" xr:uid="{00000000-0005-0000-0000-000072700000}"/>
    <cellStyle name="Normal 57 2 2 3 2" xfId="26517" xr:uid="{00000000-0005-0000-0000-000073700000}"/>
    <cellStyle name="Normal 57 2 2 4" xfId="15366" xr:uid="{00000000-0005-0000-0000-000074700000}"/>
    <cellStyle name="Normal 57 2 2 4 2" xfId="26518" xr:uid="{00000000-0005-0000-0000-000075700000}"/>
    <cellStyle name="Normal 57 2 2 5" xfId="26515" xr:uid="{00000000-0005-0000-0000-000076700000}"/>
    <cellStyle name="Normal 57 2 2_Additional Disclosures" xfId="16752" xr:uid="{00000000-0005-0000-0000-000077700000}"/>
    <cellStyle name="Normal 57 2 3" xfId="12006" xr:uid="{00000000-0005-0000-0000-000078700000}"/>
    <cellStyle name="Normal 57 2 3 2" xfId="26519" xr:uid="{00000000-0005-0000-0000-000079700000}"/>
    <cellStyle name="Normal 57 2 4" xfId="13712" xr:uid="{00000000-0005-0000-0000-00007A700000}"/>
    <cellStyle name="Normal 57 2 4 2" xfId="26520" xr:uid="{00000000-0005-0000-0000-00007B700000}"/>
    <cellStyle name="Normal 57 2 5" xfId="14856" xr:uid="{00000000-0005-0000-0000-00007C700000}"/>
    <cellStyle name="Normal 57 2 5 2" xfId="26521" xr:uid="{00000000-0005-0000-0000-00007D700000}"/>
    <cellStyle name="Normal 57 2 6" xfId="26514" xr:uid="{00000000-0005-0000-0000-00007E700000}"/>
    <cellStyle name="Normal 57 2 7" xfId="32355" xr:uid="{00000000-0005-0000-0000-00007F700000}"/>
    <cellStyle name="Normal 57 2 8" xfId="32356" xr:uid="{00000000-0005-0000-0000-000080700000}"/>
    <cellStyle name="Normal 57 2 9" xfId="32357" xr:uid="{00000000-0005-0000-0000-000081700000}"/>
    <cellStyle name="Normal 57 2_Additional Disclosures" xfId="16751" xr:uid="{00000000-0005-0000-0000-000082700000}"/>
    <cellStyle name="Normal 57 3" xfId="9603" xr:uid="{00000000-0005-0000-0000-000083700000}"/>
    <cellStyle name="Normal 57 3 2" xfId="11236" xr:uid="{00000000-0005-0000-0000-000084700000}"/>
    <cellStyle name="Normal 57 3 2 2" xfId="12657" xr:uid="{00000000-0005-0000-0000-000085700000}"/>
    <cellStyle name="Normal 57 3 2 2 2" xfId="26524" xr:uid="{00000000-0005-0000-0000-000086700000}"/>
    <cellStyle name="Normal 57 3 2 3" xfId="26523" xr:uid="{00000000-0005-0000-0000-000087700000}"/>
    <cellStyle name="Normal 57 3 3" xfId="12007" xr:uid="{00000000-0005-0000-0000-000088700000}"/>
    <cellStyle name="Normal 57 3 3 2" xfId="26525" xr:uid="{00000000-0005-0000-0000-000089700000}"/>
    <cellStyle name="Normal 57 3 4" xfId="13968" xr:uid="{00000000-0005-0000-0000-00008A700000}"/>
    <cellStyle name="Normal 57 3 4 2" xfId="26526" xr:uid="{00000000-0005-0000-0000-00008B700000}"/>
    <cellStyle name="Normal 57 3 5" xfId="15112" xr:uid="{00000000-0005-0000-0000-00008C700000}"/>
    <cellStyle name="Normal 57 3 5 2" xfId="26527" xr:uid="{00000000-0005-0000-0000-00008D700000}"/>
    <cellStyle name="Normal 57 3 6" xfId="26522" xr:uid="{00000000-0005-0000-0000-00008E700000}"/>
    <cellStyle name="Normal 57 3_Additional Disclosures" xfId="16753" xr:uid="{00000000-0005-0000-0000-00008F700000}"/>
    <cellStyle name="Normal 57 4" xfId="13457" xr:uid="{00000000-0005-0000-0000-000090700000}"/>
    <cellStyle name="Normal 57 4 2" xfId="26528" xr:uid="{00000000-0005-0000-0000-000091700000}"/>
    <cellStyle name="Normal 57 5" xfId="14602" xr:uid="{00000000-0005-0000-0000-000092700000}"/>
    <cellStyle name="Normal 57 5 2" xfId="26529" xr:uid="{00000000-0005-0000-0000-000093700000}"/>
    <cellStyle name="Normal 57 6" xfId="26513" xr:uid="{00000000-0005-0000-0000-000094700000}"/>
    <cellStyle name="Normal 57 7" xfId="28993" xr:uid="{00000000-0005-0000-0000-000095700000}"/>
    <cellStyle name="Normal 57 8" xfId="17151" xr:uid="{00000000-0005-0000-0000-000096700000}"/>
    <cellStyle name="Normal 57 9" xfId="29004" xr:uid="{00000000-0005-0000-0000-000097700000}"/>
    <cellStyle name="Normal 57_Additional Disclosures" xfId="16750" xr:uid="{00000000-0005-0000-0000-000098700000}"/>
    <cellStyle name="Normal 570" xfId="32358" xr:uid="{00000000-0005-0000-0000-000099700000}"/>
    <cellStyle name="Normal 58" xfId="596" xr:uid="{00000000-0005-0000-0000-00009A700000}"/>
    <cellStyle name="Normal 58 10" xfId="17165" xr:uid="{00000000-0005-0000-0000-00009B700000}"/>
    <cellStyle name="Normal 58 11" xfId="32359" xr:uid="{00000000-0005-0000-0000-00009C700000}"/>
    <cellStyle name="Normal 58 12" xfId="32360" xr:uid="{00000000-0005-0000-0000-00009D700000}"/>
    <cellStyle name="Normal 58 13" xfId="32361" xr:uid="{00000000-0005-0000-0000-00009E700000}"/>
    <cellStyle name="Normal 58 14" xfId="32362" xr:uid="{00000000-0005-0000-0000-00009F700000}"/>
    <cellStyle name="Normal 58 15" xfId="32363" xr:uid="{00000000-0005-0000-0000-0000A0700000}"/>
    <cellStyle name="Normal 58 2" xfId="9604" xr:uid="{00000000-0005-0000-0000-0000A1700000}"/>
    <cellStyle name="Normal 58 2 10" xfId="32364" xr:uid="{00000000-0005-0000-0000-0000A2700000}"/>
    <cellStyle name="Normal 58 2 11" xfId="32365" xr:uid="{00000000-0005-0000-0000-0000A3700000}"/>
    <cellStyle name="Normal 58 2 12" xfId="32366" xr:uid="{00000000-0005-0000-0000-0000A4700000}"/>
    <cellStyle name="Normal 58 2 13" xfId="32367" xr:uid="{00000000-0005-0000-0000-0000A5700000}"/>
    <cellStyle name="Normal 58 2 14" xfId="32368" xr:uid="{00000000-0005-0000-0000-0000A6700000}"/>
    <cellStyle name="Normal 58 2 2" xfId="11237" xr:uid="{00000000-0005-0000-0000-0000A7700000}"/>
    <cellStyle name="Normal 58 2 2 2" xfId="12658" xr:uid="{00000000-0005-0000-0000-0000A8700000}"/>
    <cellStyle name="Normal 58 2 2 2 2" xfId="26533" xr:uid="{00000000-0005-0000-0000-0000A9700000}"/>
    <cellStyle name="Normal 58 2 2 3" xfId="14223" xr:uid="{00000000-0005-0000-0000-0000AA700000}"/>
    <cellStyle name="Normal 58 2 2 3 2" xfId="26534" xr:uid="{00000000-0005-0000-0000-0000AB700000}"/>
    <cellStyle name="Normal 58 2 2 4" xfId="15367" xr:uid="{00000000-0005-0000-0000-0000AC700000}"/>
    <cellStyle name="Normal 58 2 2 4 2" xfId="26535" xr:uid="{00000000-0005-0000-0000-0000AD700000}"/>
    <cellStyle name="Normal 58 2 2 5" xfId="26532" xr:uid="{00000000-0005-0000-0000-0000AE700000}"/>
    <cellStyle name="Normal 58 2 2_Additional Disclosures" xfId="16756" xr:uid="{00000000-0005-0000-0000-0000AF700000}"/>
    <cellStyle name="Normal 58 2 3" xfId="12008" xr:uid="{00000000-0005-0000-0000-0000B0700000}"/>
    <cellStyle name="Normal 58 2 3 2" xfId="26536" xr:uid="{00000000-0005-0000-0000-0000B1700000}"/>
    <cellStyle name="Normal 58 2 4" xfId="13713" xr:uid="{00000000-0005-0000-0000-0000B2700000}"/>
    <cellStyle name="Normal 58 2 4 2" xfId="26537" xr:uid="{00000000-0005-0000-0000-0000B3700000}"/>
    <cellStyle name="Normal 58 2 5" xfId="14857" xr:uid="{00000000-0005-0000-0000-0000B4700000}"/>
    <cellStyle name="Normal 58 2 5 2" xfId="26538" xr:uid="{00000000-0005-0000-0000-0000B5700000}"/>
    <cellStyle name="Normal 58 2 6" xfId="26531" xr:uid="{00000000-0005-0000-0000-0000B6700000}"/>
    <cellStyle name="Normal 58 2 7" xfId="32369" xr:uid="{00000000-0005-0000-0000-0000B7700000}"/>
    <cellStyle name="Normal 58 2 8" xfId="32370" xr:uid="{00000000-0005-0000-0000-0000B8700000}"/>
    <cellStyle name="Normal 58 2 9" xfId="32371" xr:uid="{00000000-0005-0000-0000-0000B9700000}"/>
    <cellStyle name="Normal 58 2_Additional Disclosures" xfId="16755" xr:uid="{00000000-0005-0000-0000-0000BA700000}"/>
    <cellStyle name="Normal 58 3" xfId="9605" xr:uid="{00000000-0005-0000-0000-0000BB700000}"/>
    <cellStyle name="Normal 58 3 2" xfId="11238" xr:uid="{00000000-0005-0000-0000-0000BC700000}"/>
    <cellStyle name="Normal 58 3 2 2" xfId="12659" xr:uid="{00000000-0005-0000-0000-0000BD700000}"/>
    <cellStyle name="Normal 58 3 2 2 2" xfId="26541" xr:uid="{00000000-0005-0000-0000-0000BE700000}"/>
    <cellStyle name="Normal 58 3 2 3" xfId="26540" xr:uid="{00000000-0005-0000-0000-0000BF700000}"/>
    <cellStyle name="Normal 58 3 3" xfId="12009" xr:uid="{00000000-0005-0000-0000-0000C0700000}"/>
    <cellStyle name="Normal 58 3 3 2" xfId="26542" xr:uid="{00000000-0005-0000-0000-0000C1700000}"/>
    <cellStyle name="Normal 58 3 4" xfId="13969" xr:uid="{00000000-0005-0000-0000-0000C2700000}"/>
    <cellStyle name="Normal 58 3 4 2" xfId="26543" xr:uid="{00000000-0005-0000-0000-0000C3700000}"/>
    <cellStyle name="Normal 58 3 5" xfId="15113" xr:uid="{00000000-0005-0000-0000-0000C4700000}"/>
    <cellStyle name="Normal 58 3 5 2" xfId="26544" xr:uid="{00000000-0005-0000-0000-0000C5700000}"/>
    <cellStyle name="Normal 58 3 6" xfId="26539" xr:uid="{00000000-0005-0000-0000-0000C6700000}"/>
    <cellStyle name="Normal 58 3 7" xfId="32372" xr:uid="{00000000-0005-0000-0000-0000C7700000}"/>
    <cellStyle name="Normal 58 3 8" xfId="32373" xr:uid="{00000000-0005-0000-0000-0000C8700000}"/>
    <cellStyle name="Normal 58 3 9" xfId="32374" xr:uid="{00000000-0005-0000-0000-0000C9700000}"/>
    <cellStyle name="Normal 58 3_Additional Disclosures" xfId="16757" xr:uid="{00000000-0005-0000-0000-0000CA700000}"/>
    <cellStyle name="Normal 58 4" xfId="13458" xr:uid="{00000000-0005-0000-0000-0000CB700000}"/>
    <cellStyle name="Normal 58 4 2" xfId="26545" xr:uid="{00000000-0005-0000-0000-0000CC700000}"/>
    <cellStyle name="Normal 58 5" xfId="14603" xr:uid="{00000000-0005-0000-0000-0000CD700000}"/>
    <cellStyle name="Normal 58 5 2" xfId="26546" xr:uid="{00000000-0005-0000-0000-0000CE700000}"/>
    <cellStyle name="Normal 58 6" xfId="26530" xr:uid="{00000000-0005-0000-0000-0000CF700000}"/>
    <cellStyle name="Normal 58 7" xfId="28995" xr:uid="{00000000-0005-0000-0000-0000D0700000}"/>
    <cellStyle name="Normal 58 8" xfId="17153" xr:uid="{00000000-0005-0000-0000-0000D1700000}"/>
    <cellStyle name="Normal 58 9" xfId="29006" xr:uid="{00000000-0005-0000-0000-0000D2700000}"/>
    <cellStyle name="Normal 58_Additional Disclosures" xfId="16754" xr:uid="{00000000-0005-0000-0000-0000D3700000}"/>
    <cellStyle name="Normal 580" xfId="32375" xr:uid="{00000000-0005-0000-0000-0000D4700000}"/>
    <cellStyle name="Normal 59" xfId="597" xr:uid="{00000000-0005-0000-0000-0000D5700000}"/>
    <cellStyle name="Normal 59 10" xfId="17167" xr:uid="{00000000-0005-0000-0000-0000D6700000}"/>
    <cellStyle name="Normal 59 11" xfId="32376" xr:uid="{00000000-0005-0000-0000-0000D7700000}"/>
    <cellStyle name="Normal 59 2" xfId="9606" xr:uid="{00000000-0005-0000-0000-0000D8700000}"/>
    <cellStyle name="Normal 59 2 2" xfId="11239" xr:uid="{00000000-0005-0000-0000-0000D9700000}"/>
    <cellStyle name="Normal 59 2 2 2" xfId="12660" xr:uid="{00000000-0005-0000-0000-0000DA700000}"/>
    <cellStyle name="Normal 59 2 2 2 2" xfId="26550" xr:uid="{00000000-0005-0000-0000-0000DB700000}"/>
    <cellStyle name="Normal 59 2 2 3" xfId="14224" xr:uid="{00000000-0005-0000-0000-0000DC700000}"/>
    <cellStyle name="Normal 59 2 2 3 2" xfId="26551" xr:uid="{00000000-0005-0000-0000-0000DD700000}"/>
    <cellStyle name="Normal 59 2 2 4" xfId="15368" xr:uid="{00000000-0005-0000-0000-0000DE700000}"/>
    <cellStyle name="Normal 59 2 2 4 2" xfId="26552" xr:uid="{00000000-0005-0000-0000-0000DF700000}"/>
    <cellStyle name="Normal 59 2 2 5" xfId="26549" xr:uid="{00000000-0005-0000-0000-0000E0700000}"/>
    <cellStyle name="Normal 59 2 2_Additional Disclosures" xfId="16760" xr:uid="{00000000-0005-0000-0000-0000E1700000}"/>
    <cellStyle name="Normal 59 2 3" xfId="12010" xr:uid="{00000000-0005-0000-0000-0000E2700000}"/>
    <cellStyle name="Normal 59 2 3 2" xfId="26553" xr:uid="{00000000-0005-0000-0000-0000E3700000}"/>
    <cellStyle name="Normal 59 2 4" xfId="13714" xr:uid="{00000000-0005-0000-0000-0000E4700000}"/>
    <cellStyle name="Normal 59 2 4 2" xfId="26554" xr:uid="{00000000-0005-0000-0000-0000E5700000}"/>
    <cellStyle name="Normal 59 2 5" xfId="14858" xr:uid="{00000000-0005-0000-0000-0000E6700000}"/>
    <cellStyle name="Normal 59 2 5 2" xfId="26555" xr:uid="{00000000-0005-0000-0000-0000E7700000}"/>
    <cellStyle name="Normal 59 2 6" xfId="26548" xr:uid="{00000000-0005-0000-0000-0000E8700000}"/>
    <cellStyle name="Normal 59 2 7" xfId="32377" xr:uid="{00000000-0005-0000-0000-0000E9700000}"/>
    <cellStyle name="Normal 59 2_Additional Disclosures" xfId="16759" xr:uid="{00000000-0005-0000-0000-0000EA700000}"/>
    <cellStyle name="Normal 59 3" xfId="9607" xr:uid="{00000000-0005-0000-0000-0000EB700000}"/>
    <cellStyle name="Normal 59 3 2" xfId="11240" xr:uid="{00000000-0005-0000-0000-0000EC700000}"/>
    <cellStyle name="Normal 59 3 2 2" xfId="12661" xr:uid="{00000000-0005-0000-0000-0000ED700000}"/>
    <cellStyle name="Normal 59 3 2 2 2" xfId="26558" xr:uid="{00000000-0005-0000-0000-0000EE700000}"/>
    <cellStyle name="Normal 59 3 2 3" xfId="26557" xr:uid="{00000000-0005-0000-0000-0000EF700000}"/>
    <cellStyle name="Normal 59 3 3" xfId="12011" xr:uid="{00000000-0005-0000-0000-0000F0700000}"/>
    <cellStyle name="Normal 59 3 3 2" xfId="26559" xr:uid="{00000000-0005-0000-0000-0000F1700000}"/>
    <cellStyle name="Normal 59 3 4" xfId="13970" xr:uid="{00000000-0005-0000-0000-0000F2700000}"/>
    <cellStyle name="Normal 59 3 4 2" xfId="26560" xr:uid="{00000000-0005-0000-0000-0000F3700000}"/>
    <cellStyle name="Normal 59 3 5" xfId="15114" xr:uid="{00000000-0005-0000-0000-0000F4700000}"/>
    <cellStyle name="Normal 59 3 5 2" xfId="26561" xr:uid="{00000000-0005-0000-0000-0000F5700000}"/>
    <cellStyle name="Normal 59 3 6" xfId="26556" xr:uid="{00000000-0005-0000-0000-0000F6700000}"/>
    <cellStyle name="Normal 59 3_Additional Disclosures" xfId="16761" xr:uid="{00000000-0005-0000-0000-0000F7700000}"/>
    <cellStyle name="Normal 59 4" xfId="13459" xr:uid="{00000000-0005-0000-0000-0000F8700000}"/>
    <cellStyle name="Normal 59 4 2" xfId="26562" xr:uid="{00000000-0005-0000-0000-0000F9700000}"/>
    <cellStyle name="Normal 59 5" xfId="14604" xr:uid="{00000000-0005-0000-0000-0000FA700000}"/>
    <cellStyle name="Normal 59 5 2" xfId="26563" xr:uid="{00000000-0005-0000-0000-0000FB700000}"/>
    <cellStyle name="Normal 59 6" xfId="26547" xr:uid="{00000000-0005-0000-0000-0000FC700000}"/>
    <cellStyle name="Normal 59 7" xfId="28997" xr:uid="{00000000-0005-0000-0000-0000FD700000}"/>
    <cellStyle name="Normal 59 8" xfId="17157" xr:uid="{00000000-0005-0000-0000-0000FE700000}"/>
    <cellStyle name="Normal 59 9" xfId="29008" xr:uid="{00000000-0005-0000-0000-0000FF700000}"/>
    <cellStyle name="Normal 59_Additional Disclosures" xfId="16758" xr:uid="{00000000-0005-0000-0000-000000710000}"/>
    <cellStyle name="Normal 6" xfId="453" xr:uid="{00000000-0005-0000-0000-000001710000}"/>
    <cellStyle name="Normal 6 10" xfId="17159" xr:uid="{00000000-0005-0000-0000-000002710000}"/>
    <cellStyle name="Normal 6 11" xfId="32378" xr:uid="{00000000-0005-0000-0000-000003710000}"/>
    <cellStyle name="Normal 6 12" xfId="32379" xr:uid="{00000000-0005-0000-0000-000004710000}"/>
    <cellStyle name="Normal 6 13" xfId="33251" xr:uid="{00000000-0005-0000-0000-000005710000}"/>
    <cellStyle name="Normal 6 14" xfId="598" xr:uid="{00000000-0005-0000-0000-000006710000}"/>
    <cellStyle name="Normal 6 2" xfId="9608" xr:uid="{00000000-0005-0000-0000-000007710000}"/>
    <cellStyle name="Normal 6 2 10" xfId="32380" xr:uid="{00000000-0005-0000-0000-000008710000}"/>
    <cellStyle name="Normal 6 2 11" xfId="32381" xr:uid="{00000000-0005-0000-0000-000009710000}"/>
    <cellStyle name="Normal 6 2 12" xfId="32382" xr:uid="{00000000-0005-0000-0000-00000A710000}"/>
    <cellStyle name="Normal 6 2 2" xfId="11241" xr:uid="{00000000-0005-0000-0000-00000B710000}"/>
    <cellStyle name="Normal 6 2 2 10" xfId="33184" xr:uid="{00000000-0005-0000-0000-00000C710000}"/>
    <cellStyle name="Normal 6 2 2 2" xfId="12662" xr:uid="{00000000-0005-0000-0000-00000D710000}"/>
    <cellStyle name="Normal 6 2 2 2 2" xfId="14152" xr:uid="{00000000-0005-0000-0000-00000E710000}"/>
    <cellStyle name="Normal 6 2 2 2 2 2" xfId="26568" xr:uid="{00000000-0005-0000-0000-00000F710000}"/>
    <cellStyle name="Normal 6 2 2 2 3" xfId="15296" xr:uid="{00000000-0005-0000-0000-000010710000}"/>
    <cellStyle name="Normal 6 2 2 2 3 2" xfId="26569" xr:uid="{00000000-0005-0000-0000-000011710000}"/>
    <cellStyle name="Normal 6 2 2 2 4" xfId="26567" xr:uid="{00000000-0005-0000-0000-000012710000}"/>
    <cellStyle name="Normal 6 2 2 2 5" xfId="32383" xr:uid="{00000000-0005-0000-0000-000013710000}"/>
    <cellStyle name="Normal 6 2 2 2_Additional Disclosures" xfId="16765" xr:uid="{00000000-0005-0000-0000-000014710000}"/>
    <cellStyle name="Normal 6 2 2 3" xfId="13641" xr:uid="{00000000-0005-0000-0000-000015710000}"/>
    <cellStyle name="Normal 6 2 2 3 2" xfId="26570" xr:uid="{00000000-0005-0000-0000-000016710000}"/>
    <cellStyle name="Normal 6 2 2 4" xfId="14786" xr:uid="{00000000-0005-0000-0000-000017710000}"/>
    <cellStyle name="Normal 6 2 2 4 2" xfId="26571" xr:uid="{00000000-0005-0000-0000-000018710000}"/>
    <cellStyle name="Normal 6 2 2 5" xfId="26566" xr:uid="{00000000-0005-0000-0000-000019710000}"/>
    <cellStyle name="Normal 6 2 2 6" xfId="32384" xr:uid="{00000000-0005-0000-0000-00001A710000}"/>
    <cellStyle name="Normal 6 2 2 7" xfId="32385" xr:uid="{00000000-0005-0000-0000-00001B710000}"/>
    <cellStyle name="Normal 6 2 2 8" xfId="32386" xr:uid="{00000000-0005-0000-0000-00001C710000}"/>
    <cellStyle name="Normal 6 2 2 9" xfId="32387" xr:uid="{00000000-0005-0000-0000-00001D710000}"/>
    <cellStyle name="Normal 6 2 2_Additional Disclosures" xfId="16764" xr:uid="{00000000-0005-0000-0000-00001E710000}"/>
    <cellStyle name="Normal 6 2 3" xfId="12012" xr:uid="{00000000-0005-0000-0000-00001F710000}"/>
    <cellStyle name="Normal 6 2 3 2" xfId="13897" xr:uid="{00000000-0005-0000-0000-000020710000}"/>
    <cellStyle name="Normal 6 2 3 2 2" xfId="26573" xr:uid="{00000000-0005-0000-0000-000021710000}"/>
    <cellStyle name="Normal 6 2 3 3" xfId="15042" xr:uid="{00000000-0005-0000-0000-000022710000}"/>
    <cellStyle name="Normal 6 2 3 3 2" xfId="26574" xr:uid="{00000000-0005-0000-0000-000023710000}"/>
    <cellStyle name="Normal 6 2 3 4" xfId="26572" xr:uid="{00000000-0005-0000-0000-000024710000}"/>
    <cellStyle name="Normal 6 2 3 5" xfId="32388" xr:uid="{00000000-0005-0000-0000-000025710000}"/>
    <cellStyle name="Normal 6 2 3 6" xfId="32389" xr:uid="{00000000-0005-0000-0000-000026710000}"/>
    <cellStyle name="Normal 6 2 3 7" xfId="32390" xr:uid="{00000000-0005-0000-0000-000027710000}"/>
    <cellStyle name="Normal 6 2 3_Additional Disclosures" xfId="16766" xr:uid="{00000000-0005-0000-0000-000028710000}"/>
    <cellStyle name="Normal 6 2 4" xfId="13386" xr:uid="{00000000-0005-0000-0000-000029710000}"/>
    <cellStyle name="Normal 6 2 4 2" xfId="26575" xr:uid="{00000000-0005-0000-0000-00002A710000}"/>
    <cellStyle name="Normal 6 2 5" xfId="14530" xr:uid="{00000000-0005-0000-0000-00002B710000}"/>
    <cellStyle name="Normal 6 2 5 2" xfId="26576" xr:uid="{00000000-0005-0000-0000-00002C710000}"/>
    <cellStyle name="Normal 6 2 6" xfId="26565" xr:uid="{00000000-0005-0000-0000-00002D710000}"/>
    <cellStyle name="Normal 6 2 7" xfId="32391" xr:uid="{00000000-0005-0000-0000-00002E710000}"/>
    <cellStyle name="Normal 6 2 8" xfId="32392" xr:uid="{00000000-0005-0000-0000-00002F710000}"/>
    <cellStyle name="Normal 6 2 9" xfId="32393" xr:uid="{00000000-0005-0000-0000-000030710000}"/>
    <cellStyle name="Normal 6 2_Additional Disclosures" xfId="16763" xr:uid="{00000000-0005-0000-0000-000031710000}"/>
    <cellStyle name="Normal 6 3" xfId="9609" xr:uid="{00000000-0005-0000-0000-000032710000}"/>
    <cellStyle name="Normal 6 3 10" xfId="32394" xr:uid="{00000000-0005-0000-0000-000033710000}"/>
    <cellStyle name="Normal 6 3 2" xfId="11242" xr:uid="{00000000-0005-0000-0000-000034710000}"/>
    <cellStyle name="Normal 6 3 2 2" xfId="12663" xr:uid="{00000000-0005-0000-0000-000035710000}"/>
    <cellStyle name="Normal 6 3 2 2 2" xfId="26579" xr:uid="{00000000-0005-0000-0000-000036710000}"/>
    <cellStyle name="Normal 6 3 2 3" xfId="14112" xr:uid="{00000000-0005-0000-0000-000037710000}"/>
    <cellStyle name="Normal 6 3 2 3 2" xfId="26580" xr:uid="{00000000-0005-0000-0000-000038710000}"/>
    <cellStyle name="Normal 6 3 2 4" xfId="15256" xr:uid="{00000000-0005-0000-0000-000039710000}"/>
    <cellStyle name="Normal 6 3 2 4 2" xfId="26581" xr:uid="{00000000-0005-0000-0000-00003A710000}"/>
    <cellStyle name="Normal 6 3 2 5" xfId="26578" xr:uid="{00000000-0005-0000-0000-00003B710000}"/>
    <cellStyle name="Normal 6 3 2 6" xfId="32395" xr:uid="{00000000-0005-0000-0000-00003C710000}"/>
    <cellStyle name="Normal 6 3 2 7" xfId="32396" xr:uid="{00000000-0005-0000-0000-00003D710000}"/>
    <cellStyle name="Normal 6 3 2 8" xfId="32397" xr:uid="{00000000-0005-0000-0000-00003E710000}"/>
    <cellStyle name="Normal 6 3 2_Additional Disclosures" xfId="16768" xr:uid="{00000000-0005-0000-0000-00003F710000}"/>
    <cellStyle name="Normal 6 3 3" xfId="12013" xr:uid="{00000000-0005-0000-0000-000040710000}"/>
    <cellStyle name="Normal 6 3 3 2" xfId="26582" xr:uid="{00000000-0005-0000-0000-000041710000}"/>
    <cellStyle name="Normal 6 3 4" xfId="13601" xr:uid="{00000000-0005-0000-0000-000042710000}"/>
    <cellStyle name="Normal 6 3 4 2" xfId="26583" xr:uid="{00000000-0005-0000-0000-000043710000}"/>
    <cellStyle name="Normal 6 3 5" xfId="14746" xr:uid="{00000000-0005-0000-0000-000044710000}"/>
    <cellStyle name="Normal 6 3 5 2" xfId="26584" xr:uid="{00000000-0005-0000-0000-000045710000}"/>
    <cellStyle name="Normal 6 3 6" xfId="26577" xr:uid="{00000000-0005-0000-0000-000046710000}"/>
    <cellStyle name="Normal 6 3 7" xfId="32398" xr:uid="{00000000-0005-0000-0000-000047710000}"/>
    <cellStyle name="Normal 6 3 8" xfId="32399" xr:uid="{00000000-0005-0000-0000-000048710000}"/>
    <cellStyle name="Normal 6 3 9" xfId="32400" xr:uid="{00000000-0005-0000-0000-000049710000}"/>
    <cellStyle name="Normal 6 3_Additional Disclosures" xfId="16767" xr:uid="{00000000-0005-0000-0000-00004A710000}"/>
    <cellStyle name="Normal 6 4" xfId="12861" xr:uid="{00000000-0005-0000-0000-00004B710000}"/>
    <cellStyle name="Normal 6 4 2" xfId="13857" xr:uid="{00000000-0005-0000-0000-00004C710000}"/>
    <cellStyle name="Normal 6 4 2 2" xfId="26586" xr:uid="{00000000-0005-0000-0000-00004D710000}"/>
    <cellStyle name="Normal 6 4 2 3" xfId="33734" xr:uid="{00000000-0005-0000-0000-00004E710000}"/>
    <cellStyle name="Normal 6 4 3" xfId="15002" xr:uid="{00000000-0005-0000-0000-00004F710000}"/>
    <cellStyle name="Normal 6 4 3 2" xfId="26587" xr:uid="{00000000-0005-0000-0000-000050710000}"/>
    <cellStyle name="Normal 6 4 3 3" xfId="33963" xr:uid="{00000000-0005-0000-0000-000051710000}"/>
    <cellStyle name="Normal 6 4 4" xfId="26585" xr:uid="{00000000-0005-0000-0000-000052710000}"/>
    <cellStyle name="Normal 6 4 4 2" xfId="34177" xr:uid="{00000000-0005-0000-0000-000053710000}"/>
    <cellStyle name="Normal 6 4 5" xfId="32401" xr:uid="{00000000-0005-0000-0000-000054710000}"/>
    <cellStyle name="Normal 6 4 6" xfId="32402" xr:uid="{00000000-0005-0000-0000-000055710000}"/>
    <cellStyle name="Normal 6 4 7" xfId="33350" xr:uid="{00000000-0005-0000-0000-000056710000}"/>
    <cellStyle name="Normal 6 4_Additional Disclosures" xfId="16769" xr:uid="{00000000-0005-0000-0000-000057710000}"/>
    <cellStyle name="Normal 6 5" xfId="12862" xr:uid="{00000000-0005-0000-0000-000058710000}"/>
    <cellStyle name="Normal 6 5 2" xfId="26588" xr:uid="{00000000-0005-0000-0000-000059710000}"/>
    <cellStyle name="Normal 6 5 3" xfId="32403" xr:uid="{00000000-0005-0000-0000-00005A710000}"/>
    <cellStyle name="Normal 6 5 4" xfId="33636" xr:uid="{00000000-0005-0000-0000-00005B710000}"/>
    <cellStyle name="Normal 6 6" xfId="13346" xr:uid="{00000000-0005-0000-0000-00005C710000}"/>
    <cellStyle name="Normal 6 6 2" xfId="26589" xr:uid="{00000000-0005-0000-0000-00005D710000}"/>
    <cellStyle name="Normal 6 6 3" xfId="33865" xr:uid="{00000000-0005-0000-0000-00005E710000}"/>
    <cellStyle name="Normal 6 7" xfId="14489" xr:uid="{00000000-0005-0000-0000-00005F710000}"/>
    <cellStyle name="Normal 6 7 2" xfId="26590" xr:uid="{00000000-0005-0000-0000-000060710000}"/>
    <cellStyle name="Normal 6 7 3" xfId="34080" xr:uid="{00000000-0005-0000-0000-000061710000}"/>
    <cellStyle name="Normal 6 8" xfId="26564" xr:uid="{00000000-0005-0000-0000-000062710000}"/>
    <cellStyle name="Normal 6 9" xfId="28999" xr:uid="{00000000-0005-0000-0000-000063710000}"/>
    <cellStyle name="Normal 6_Additional Disclosures" xfId="16762" xr:uid="{00000000-0005-0000-0000-000064710000}"/>
    <cellStyle name="Normal 60" xfId="599" xr:uid="{00000000-0005-0000-0000-000065710000}"/>
    <cellStyle name="Normal 60 10" xfId="17186" xr:uid="{00000000-0005-0000-0000-000066710000}"/>
    <cellStyle name="Normal 60 11" xfId="32404" xr:uid="{00000000-0005-0000-0000-000067710000}"/>
    <cellStyle name="Normal 60 12" xfId="32405" xr:uid="{00000000-0005-0000-0000-000068710000}"/>
    <cellStyle name="Normal 60 2" xfId="9610" xr:uid="{00000000-0005-0000-0000-000069710000}"/>
    <cellStyle name="Normal 60 2 10" xfId="32406" xr:uid="{00000000-0005-0000-0000-00006A710000}"/>
    <cellStyle name="Normal 60 2 2" xfId="11243" xr:uid="{00000000-0005-0000-0000-00006B710000}"/>
    <cellStyle name="Normal 60 2 2 2" xfId="12664" xr:uid="{00000000-0005-0000-0000-00006C710000}"/>
    <cellStyle name="Normal 60 2 2 2 2" xfId="26594" xr:uid="{00000000-0005-0000-0000-00006D710000}"/>
    <cellStyle name="Normal 60 2 2 3" xfId="14225" xr:uid="{00000000-0005-0000-0000-00006E710000}"/>
    <cellStyle name="Normal 60 2 2 3 2" xfId="26595" xr:uid="{00000000-0005-0000-0000-00006F710000}"/>
    <cellStyle name="Normal 60 2 2 4" xfId="15369" xr:uid="{00000000-0005-0000-0000-000070710000}"/>
    <cellStyle name="Normal 60 2 2 4 2" xfId="26596" xr:uid="{00000000-0005-0000-0000-000071710000}"/>
    <cellStyle name="Normal 60 2 2 5" xfId="26593" xr:uid="{00000000-0005-0000-0000-000072710000}"/>
    <cellStyle name="Normal 60 2 2_Additional Disclosures" xfId="16772" xr:uid="{00000000-0005-0000-0000-000073710000}"/>
    <cellStyle name="Normal 60 2 3" xfId="12014" xr:uid="{00000000-0005-0000-0000-000074710000}"/>
    <cellStyle name="Normal 60 2 3 2" xfId="26597" xr:uid="{00000000-0005-0000-0000-000075710000}"/>
    <cellStyle name="Normal 60 2 4" xfId="13715" xr:uid="{00000000-0005-0000-0000-000076710000}"/>
    <cellStyle name="Normal 60 2 4 2" xfId="26598" xr:uid="{00000000-0005-0000-0000-000077710000}"/>
    <cellStyle name="Normal 60 2 5" xfId="14859" xr:uid="{00000000-0005-0000-0000-000078710000}"/>
    <cellStyle name="Normal 60 2 5 2" xfId="26599" xr:uid="{00000000-0005-0000-0000-000079710000}"/>
    <cellStyle name="Normal 60 2 6" xfId="26592" xr:uid="{00000000-0005-0000-0000-00007A710000}"/>
    <cellStyle name="Normal 60 2 7" xfId="32407" xr:uid="{00000000-0005-0000-0000-00007B710000}"/>
    <cellStyle name="Normal 60 2 8" xfId="32408" xr:uid="{00000000-0005-0000-0000-00007C710000}"/>
    <cellStyle name="Normal 60 2 9" xfId="32409" xr:uid="{00000000-0005-0000-0000-00007D710000}"/>
    <cellStyle name="Normal 60 2_Additional Disclosures" xfId="16771" xr:uid="{00000000-0005-0000-0000-00007E710000}"/>
    <cellStyle name="Normal 60 3" xfId="9611" xr:uid="{00000000-0005-0000-0000-00007F710000}"/>
    <cellStyle name="Normal 60 3 2" xfId="11244" xr:uid="{00000000-0005-0000-0000-000080710000}"/>
    <cellStyle name="Normal 60 3 2 2" xfId="12665" xr:uid="{00000000-0005-0000-0000-000081710000}"/>
    <cellStyle name="Normal 60 3 2 2 2" xfId="26602" xr:uid="{00000000-0005-0000-0000-000082710000}"/>
    <cellStyle name="Normal 60 3 2 3" xfId="26601" xr:uid="{00000000-0005-0000-0000-000083710000}"/>
    <cellStyle name="Normal 60 3 3" xfId="12015" xr:uid="{00000000-0005-0000-0000-000084710000}"/>
    <cellStyle name="Normal 60 3 3 2" xfId="26603" xr:uid="{00000000-0005-0000-0000-000085710000}"/>
    <cellStyle name="Normal 60 3 4" xfId="13971" xr:uid="{00000000-0005-0000-0000-000086710000}"/>
    <cellStyle name="Normal 60 3 4 2" xfId="26604" xr:uid="{00000000-0005-0000-0000-000087710000}"/>
    <cellStyle name="Normal 60 3 5" xfId="15115" xr:uid="{00000000-0005-0000-0000-000088710000}"/>
    <cellStyle name="Normal 60 3 5 2" xfId="26605" xr:uid="{00000000-0005-0000-0000-000089710000}"/>
    <cellStyle name="Normal 60 3 6" xfId="26600" xr:uid="{00000000-0005-0000-0000-00008A710000}"/>
    <cellStyle name="Normal 60 3_Additional Disclosures" xfId="16773" xr:uid="{00000000-0005-0000-0000-00008B710000}"/>
    <cellStyle name="Normal 60 4" xfId="13460" xr:uid="{00000000-0005-0000-0000-00008C710000}"/>
    <cellStyle name="Normal 60 4 2" xfId="26606" xr:uid="{00000000-0005-0000-0000-00008D710000}"/>
    <cellStyle name="Normal 60 5" xfId="14605" xr:uid="{00000000-0005-0000-0000-00008E710000}"/>
    <cellStyle name="Normal 60 5 2" xfId="26607" xr:uid="{00000000-0005-0000-0000-00008F710000}"/>
    <cellStyle name="Normal 60 6" xfId="26591" xr:uid="{00000000-0005-0000-0000-000090710000}"/>
    <cellStyle name="Normal 60 7" xfId="29001" xr:uid="{00000000-0005-0000-0000-000091710000}"/>
    <cellStyle name="Normal 60 8" xfId="17162" xr:uid="{00000000-0005-0000-0000-000092710000}"/>
    <cellStyle name="Normal 60 9" xfId="29011" xr:uid="{00000000-0005-0000-0000-000093710000}"/>
    <cellStyle name="Normal 60_Additional Disclosures" xfId="16770" xr:uid="{00000000-0005-0000-0000-000094710000}"/>
    <cellStyle name="Normal 61" xfId="600" xr:uid="{00000000-0005-0000-0000-000095710000}"/>
    <cellStyle name="Normal 61 10" xfId="29013" xr:uid="{00000000-0005-0000-0000-000096710000}"/>
    <cellStyle name="Normal 61 11" xfId="32410" xr:uid="{00000000-0005-0000-0000-000097710000}"/>
    <cellStyle name="Normal 61 12" xfId="32411" xr:uid="{00000000-0005-0000-0000-000098710000}"/>
    <cellStyle name="Normal 61 13" xfId="32412" xr:uid="{00000000-0005-0000-0000-000099710000}"/>
    <cellStyle name="Normal 61 2" xfId="9612" xr:uid="{00000000-0005-0000-0000-00009A710000}"/>
    <cellStyle name="Normal 61 2 2" xfId="11245" xr:uid="{00000000-0005-0000-0000-00009B710000}"/>
    <cellStyle name="Normal 61 2 2 2" xfId="12666" xr:uid="{00000000-0005-0000-0000-00009C710000}"/>
    <cellStyle name="Normal 61 2 2 2 2" xfId="26611" xr:uid="{00000000-0005-0000-0000-00009D710000}"/>
    <cellStyle name="Normal 61 2 2 3" xfId="14226" xr:uid="{00000000-0005-0000-0000-00009E710000}"/>
    <cellStyle name="Normal 61 2 2 3 2" xfId="26612" xr:uid="{00000000-0005-0000-0000-00009F710000}"/>
    <cellStyle name="Normal 61 2 2 4" xfId="15370" xr:uid="{00000000-0005-0000-0000-0000A0710000}"/>
    <cellStyle name="Normal 61 2 2 4 2" xfId="26613" xr:uid="{00000000-0005-0000-0000-0000A1710000}"/>
    <cellStyle name="Normal 61 2 2 5" xfId="26610" xr:uid="{00000000-0005-0000-0000-0000A2710000}"/>
    <cellStyle name="Normal 61 2 2_Additional Disclosures" xfId="16776" xr:uid="{00000000-0005-0000-0000-0000A3710000}"/>
    <cellStyle name="Normal 61 2 3" xfId="12016" xr:uid="{00000000-0005-0000-0000-0000A4710000}"/>
    <cellStyle name="Normal 61 2 3 2" xfId="26614" xr:uid="{00000000-0005-0000-0000-0000A5710000}"/>
    <cellStyle name="Normal 61 2 4" xfId="13716" xr:uid="{00000000-0005-0000-0000-0000A6710000}"/>
    <cellStyle name="Normal 61 2 4 2" xfId="26615" xr:uid="{00000000-0005-0000-0000-0000A7710000}"/>
    <cellStyle name="Normal 61 2 5" xfId="14860" xr:uid="{00000000-0005-0000-0000-0000A8710000}"/>
    <cellStyle name="Normal 61 2 5 2" xfId="26616" xr:uid="{00000000-0005-0000-0000-0000A9710000}"/>
    <cellStyle name="Normal 61 2 6" xfId="26609" xr:uid="{00000000-0005-0000-0000-0000AA710000}"/>
    <cellStyle name="Normal 61 2 7" xfId="32413" xr:uid="{00000000-0005-0000-0000-0000AB710000}"/>
    <cellStyle name="Normal 61 2_Additional Disclosures" xfId="16775" xr:uid="{00000000-0005-0000-0000-0000AC710000}"/>
    <cellStyle name="Normal 61 3" xfId="9613" xr:uid="{00000000-0005-0000-0000-0000AD710000}"/>
    <cellStyle name="Normal 61 3 10" xfId="32414" xr:uid="{00000000-0005-0000-0000-0000AE710000}"/>
    <cellStyle name="Normal 61 3 2" xfId="11246" xr:uid="{00000000-0005-0000-0000-0000AF710000}"/>
    <cellStyle name="Normal 61 3 2 2" xfId="12667" xr:uid="{00000000-0005-0000-0000-0000B0710000}"/>
    <cellStyle name="Normal 61 3 2 2 2" xfId="26619" xr:uid="{00000000-0005-0000-0000-0000B1710000}"/>
    <cellStyle name="Normal 61 3 2 3" xfId="26618" xr:uid="{00000000-0005-0000-0000-0000B2710000}"/>
    <cellStyle name="Normal 61 3 3" xfId="12017" xr:uid="{00000000-0005-0000-0000-0000B3710000}"/>
    <cellStyle name="Normal 61 3 3 2" xfId="26620" xr:uid="{00000000-0005-0000-0000-0000B4710000}"/>
    <cellStyle name="Normal 61 3 4" xfId="13972" xr:uid="{00000000-0005-0000-0000-0000B5710000}"/>
    <cellStyle name="Normal 61 3 4 2" xfId="26621" xr:uid="{00000000-0005-0000-0000-0000B6710000}"/>
    <cellStyle name="Normal 61 3 5" xfId="15116" xr:uid="{00000000-0005-0000-0000-0000B7710000}"/>
    <cellStyle name="Normal 61 3 5 2" xfId="26622" xr:uid="{00000000-0005-0000-0000-0000B8710000}"/>
    <cellStyle name="Normal 61 3 6" xfId="26617" xr:uid="{00000000-0005-0000-0000-0000B9710000}"/>
    <cellStyle name="Normal 61 3 7" xfId="32415" xr:uid="{00000000-0005-0000-0000-0000BA710000}"/>
    <cellStyle name="Normal 61 3 8" xfId="32416" xr:uid="{00000000-0005-0000-0000-0000BB710000}"/>
    <cellStyle name="Normal 61 3 9" xfId="32417" xr:uid="{00000000-0005-0000-0000-0000BC710000}"/>
    <cellStyle name="Normal 61 3_Additional Disclosures" xfId="16777" xr:uid="{00000000-0005-0000-0000-0000BD710000}"/>
    <cellStyle name="Normal 61 4" xfId="12114" xr:uid="{00000000-0005-0000-0000-0000BE710000}"/>
    <cellStyle name="Normal 61 4 2" xfId="26623" xr:uid="{00000000-0005-0000-0000-0000BF710000}"/>
    <cellStyle name="Normal 61 4 3" xfId="32418" xr:uid="{00000000-0005-0000-0000-0000C0710000}"/>
    <cellStyle name="Normal 61 4 4" xfId="32419" xr:uid="{00000000-0005-0000-0000-0000C1710000}"/>
    <cellStyle name="Normal 61 5" xfId="13461" xr:uid="{00000000-0005-0000-0000-0000C2710000}"/>
    <cellStyle name="Normal 61 5 2" xfId="26624" xr:uid="{00000000-0005-0000-0000-0000C3710000}"/>
    <cellStyle name="Normal 61 6" xfId="14606" xr:uid="{00000000-0005-0000-0000-0000C4710000}"/>
    <cellStyle name="Normal 61 6 2" xfId="26625" xr:uid="{00000000-0005-0000-0000-0000C5710000}"/>
    <cellStyle name="Normal 61 7" xfId="26608" xr:uid="{00000000-0005-0000-0000-0000C6710000}"/>
    <cellStyle name="Normal 61 8" xfId="29003" xr:uid="{00000000-0005-0000-0000-0000C7710000}"/>
    <cellStyle name="Normal 61 9" xfId="17164" xr:uid="{00000000-0005-0000-0000-0000C8710000}"/>
    <cellStyle name="Normal 61_Additional Disclosures" xfId="16774" xr:uid="{00000000-0005-0000-0000-0000C9710000}"/>
    <cellStyle name="Normal 62" xfId="601" xr:uid="{00000000-0005-0000-0000-0000CA710000}"/>
    <cellStyle name="Normal 62 10" xfId="17192" xr:uid="{00000000-0005-0000-0000-0000CB710000}"/>
    <cellStyle name="Normal 62 11" xfId="32420" xr:uid="{00000000-0005-0000-0000-0000CC710000}"/>
    <cellStyle name="Normal 62 2" xfId="9614" xr:uid="{00000000-0005-0000-0000-0000CD710000}"/>
    <cellStyle name="Normal 62 2 10" xfId="32421" xr:uid="{00000000-0005-0000-0000-0000CE710000}"/>
    <cellStyle name="Normal 62 2 2" xfId="11247" xr:uid="{00000000-0005-0000-0000-0000CF710000}"/>
    <cellStyle name="Normal 62 2 2 2" xfId="12668" xr:uid="{00000000-0005-0000-0000-0000D0710000}"/>
    <cellStyle name="Normal 62 2 2 2 2" xfId="26629" xr:uid="{00000000-0005-0000-0000-0000D1710000}"/>
    <cellStyle name="Normal 62 2 2 3" xfId="14227" xr:uid="{00000000-0005-0000-0000-0000D2710000}"/>
    <cellStyle name="Normal 62 2 2 3 2" xfId="26630" xr:uid="{00000000-0005-0000-0000-0000D3710000}"/>
    <cellStyle name="Normal 62 2 2 4" xfId="15371" xr:uid="{00000000-0005-0000-0000-0000D4710000}"/>
    <cellStyle name="Normal 62 2 2 4 2" xfId="26631" xr:uid="{00000000-0005-0000-0000-0000D5710000}"/>
    <cellStyle name="Normal 62 2 2 5" xfId="26628" xr:uid="{00000000-0005-0000-0000-0000D6710000}"/>
    <cellStyle name="Normal 62 2 2_Additional Disclosures" xfId="16780" xr:uid="{00000000-0005-0000-0000-0000D7710000}"/>
    <cellStyle name="Normal 62 2 3" xfId="12018" xr:uid="{00000000-0005-0000-0000-0000D8710000}"/>
    <cellStyle name="Normal 62 2 3 2" xfId="26632" xr:uid="{00000000-0005-0000-0000-0000D9710000}"/>
    <cellStyle name="Normal 62 2 4" xfId="13717" xr:uid="{00000000-0005-0000-0000-0000DA710000}"/>
    <cellStyle name="Normal 62 2 4 2" xfId="26633" xr:uid="{00000000-0005-0000-0000-0000DB710000}"/>
    <cellStyle name="Normal 62 2 5" xfId="14861" xr:uid="{00000000-0005-0000-0000-0000DC710000}"/>
    <cellStyle name="Normal 62 2 5 2" xfId="26634" xr:uid="{00000000-0005-0000-0000-0000DD710000}"/>
    <cellStyle name="Normal 62 2 6" xfId="26627" xr:uid="{00000000-0005-0000-0000-0000DE710000}"/>
    <cellStyle name="Normal 62 2 7" xfId="32422" xr:uid="{00000000-0005-0000-0000-0000DF710000}"/>
    <cellStyle name="Normal 62 2 8" xfId="32423" xr:uid="{00000000-0005-0000-0000-0000E0710000}"/>
    <cellStyle name="Normal 62 2 9" xfId="32424" xr:uid="{00000000-0005-0000-0000-0000E1710000}"/>
    <cellStyle name="Normal 62 2_Additional Disclosures" xfId="16779" xr:uid="{00000000-0005-0000-0000-0000E2710000}"/>
    <cellStyle name="Normal 62 3" xfId="9615" xr:uid="{00000000-0005-0000-0000-0000E3710000}"/>
    <cellStyle name="Normal 62 3 2" xfId="11248" xr:uid="{00000000-0005-0000-0000-0000E4710000}"/>
    <cellStyle name="Normal 62 3 2 2" xfId="12669" xr:uid="{00000000-0005-0000-0000-0000E5710000}"/>
    <cellStyle name="Normal 62 3 2 2 2" xfId="26637" xr:uid="{00000000-0005-0000-0000-0000E6710000}"/>
    <cellStyle name="Normal 62 3 2 3" xfId="26636" xr:uid="{00000000-0005-0000-0000-0000E7710000}"/>
    <cellStyle name="Normal 62 3 3" xfId="12019" xr:uid="{00000000-0005-0000-0000-0000E8710000}"/>
    <cellStyle name="Normal 62 3 3 2" xfId="26638" xr:uid="{00000000-0005-0000-0000-0000E9710000}"/>
    <cellStyle name="Normal 62 3 4" xfId="13973" xr:uid="{00000000-0005-0000-0000-0000EA710000}"/>
    <cellStyle name="Normal 62 3 4 2" xfId="26639" xr:uid="{00000000-0005-0000-0000-0000EB710000}"/>
    <cellStyle name="Normal 62 3 5" xfId="15117" xr:uid="{00000000-0005-0000-0000-0000EC710000}"/>
    <cellStyle name="Normal 62 3 5 2" xfId="26640" xr:uid="{00000000-0005-0000-0000-0000ED710000}"/>
    <cellStyle name="Normal 62 3 6" xfId="26635" xr:uid="{00000000-0005-0000-0000-0000EE710000}"/>
    <cellStyle name="Normal 62 3_Additional Disclosures" xfId="16781" xr:uid="{00000000-0005-0000-0000-0000EF710000}"/>
    <cellStyle name="Normal 62 4" xfId="13462" xr:uid="{00000000-0005-0000-0000-0000F0710000}"/>
    <cellStyle name="Normal 62 4 2" xfId="26641" xr:uid="{00000000-0005-0000-0000-0000F1710000}"/>
    <cellStyle name="Normal 62 5" xfId="14607" xr:uid="{00000000-0005-0000-0000-0000F2710000}"/>
    <cellStyle name="Normal 62 5 2" xfId="26642" xr:uid="{00000000-0005-0000-0000-0000F3710000}"/>
    <cellStyle name="Normal 62 6" xfId="26626" xr:uid="{00000000-0005-0000-0000-0000F4710000}"/>
    <cellStyle name="Normal 62 7" xfId="29005" xr:uid="{00000000-0005-0000-0000-0000F5710000}"/>
    <cellStyle name="Normal 62 8" xfId="17166" xr:uid="{00000000-0005-0000-0000-0000F6710000}"/>
    <cellStyle name="Normal 62 9" xfId="29016" xr:uid="{00000000-0005-0000-0000-0000F7710000}"/>
    <cellStyle name="Normal 62_Additional Disclosures" xfId="16778" xr:uid="{00000000-0005-0000-0000-0000F8710000}"/>
    <cellStyle name="Normal 620" xfId="32425" xr:uid="{00000000-0005-0000-0000-0000F9710000}"/>
    <cellStyle name="Normal 63" xfId="602" xr:uid="{00000000-0005-0000-0000-0000FA710000}"/>
    <cellStyle name="Normal 63 10" xfId="17193" xr:uid="{00000000-0005-0000-0000-0000FB710000}"/>
    <cellStyle name="Normal 63 11" xfId="32426" xr:uid="{00000000-0005-0000-0000-0000FC710000}"/>
    <cellStyle name="Normal 63 12" xfId="32427" xr:uid="{00000000-0005-0000-0000-0000FD710000}"/>
    <cellStyle name="Normal 63 2" xfId="9616" xr:uid="{00000000-0005-0000-0000-0000FE710000}"/>
    <cellStyle name="Normal 63 2 2" xfId="11249" xr:uid="{00000000-0005-0000-0000-0000FF710000}"/>
    <cellStyle name="Normal 63 2 2 2" xfId="12670" xr:uid="{00000000-0005-0000-0000-000000720000}"/>
    <cellStyle name="Normal 63 2 2 2 2" xfId="26646" xr:uid="{00000000-0005-0000-0000-000001720000}"/>
    <cellStyle name="Normal 63 2 2 3" xfId="14228" xr:uid="{00000000-0005-0000-0000-000002720000}"/>
    <cellStyle name="Normal 63 2 2 3 2" xfId="26647" xr:uid="{00000000-0005-0000-0000-000003720000}"/>
    <cellStyle name="Normal 63 2 2 4" xfId="15372" xr:uid="{00000000-0005-0000-0000-000004720000}"/>
    <cellStyle name="Normal 63 2 2 4 2" xfId="26648" xr:uid="{00000000-0005-0000-0000-000005720000}"/>
    <cellStyle name="Normal 63 2 2 5" xfId="26645" xr:uid="{00000000-0005-0000-0000-000006720000}"/>
    <cellStyle name="Normal 63 2 2_Additional Disclosures" xfId="16784" xr:uid="{00000000-0005-0000-0000-000007720000}"/>
    <cellStyle name="Normal 63 2 3" xfId="12020" xr:uid="{00000000-0005-0000-0000-000008720000}"/>
    <cellStyle name="Normal 63 2 3 2" xfId="26649" xr:uid="{00000000-0005-0000-0000-000009720000}"/>
    <cellStyle name="Normal 63 2 4" xfId="13718" xr:uid="{00000000-0005-0000-0000-00000A720000}"/>
    <cellStyle name="Normal 63 2 4 2" xfId="26650" xr:uid="{00000000-0005-0000-0000-00000B720000}"/>
    <cellStyle name="Normal 63 2 5" xfId="14862" xr:uid="{00000000-0005-0000-0000-00000C720000}"/>
    <cellStyle name="Normal 63 2 5 2" xfId="26651" xr:uid="{00000000-0005-0000-0000-00000D720000}"/>
    <cellStyle name="Normal 63 2 6" xfId="26644" xr:uid="{00000000-0005-0000-0000-00000E720000}"/>
    <cellStyle name="Normal 63 2 7" xfId="32428" xr:uid="{00000000-0005-0000-0000-00000F720000}"/>
    <cellStyle name="Normal 63 2 8" xfId="32429" xr:uid="{00000000-0005-0000-0000-000010720000}"/>
    <cellStyle name="Normal 63 2_Additional Disclosures" xfId="16783" xr:uid="{00000000-0005-0000-0000-000011720000}"/>
    <cellStyle name="Normal 63 3" xfId="9617" xr:uid="{00000000-0005-0000-0000-000012720000}"/>
    <cellStyle name="Normal 63 3 2" xfId="11250" xr:uid="{00000000-0005-0000-0000-000013720000}"/>
    <cellStyle name="Normal 63 3 2 2" xfId="12671" xr:uid="{00000000-0005-0000-0000-000014720000}"/>
    <cellStyle name="Normal 63 3 2 2 2" xfId="26654" xr:uid="{00000000-0005-0000-0000-000015720000}"/>
    <cellStyle name="Normal 63 3 2 3" xfId="26653" xr:uid="{00000000-0005-0000-0000-000016720000}"/>
    <cellStyle name="Normal 63 3 3" xfId="12021" xr:uid="{00000000-0005-0000-0000-000017720000}"/>
    <cellStyle name="Normal 63 3 3 2" xfId="26655" xr:uid="{00000000-0005-0000-0000-000018720000}"/>
    <cellStyle name="Normal 63 3 4" xfId="13974" xr:uid="{00000000-0005-0000-0000-000019720000}"/>
    <cellStyle name="Normal 63 3 4 2" xfId="26656" xr:uid="{00000000-0005-0000-0000-00001A720000}"/>
    <cellStyle name="Normal 63 3 5" xfId="15118" xr:uid="{00000000-0005-0000-0000-00001B720000}"/>
    <cellStyle name="Normal 63 3 5 2" xfId="26657" xr:uid="{00000000-0005-0000-0000-00001C720000}"/>
    <cellStyle name="Normal 63 3 6" xfId="26652" xr:uid="{00000000-0005-0000-0000-00001D720000}"/>
    <cellStyle name="Normal 63 3_Additional Disclosures" xfId="16785" xr:uid="{00000000-0005-0000-0000-00001E720000}"/>
    <cellStyle name="Normal 63 4" xfId="13463" xr:uid="{00000000-0005-0000-0000-00001F720000}"/>
    <cellStyle name="Normal 63 4 2" xfId="26658" xr:uid="{00000000-0005-0000-0000-000020720000}"/>
    <cellStyle name="Normal 63 5" xfId="14608" xr:uid="{00000000-0005-0000-0000-000021720000}"/>
    <cellStyle name="Normal 63 5 2" xfId="26659" xr:uid="{00000000-0005-0000-0000-000022720000}"/>
    <cellStyle name="Normal 63 6" xfId="26643" xr:uid="{00000000-0005-0000-0000-000023720000}"/>
    <cellStyle name="Normal 63 7" xfId="29007" xr:uid="{00000000-0005-0000-0000-000024720000}"/>
    <cellStyle name="Normal 63 8" xfId="17168" xr:uid="{00000000-0005-0000-0000-000025720000}"/>
    <cellStyle name="Normal 63 9" xfId="29017" xr:uid="{00000000-0005-0000-0000-000026720000}"/>
    <cellStyle name="Normal 63_Additional Disclosures" xfId="16782" xr:uid="{00000000-0005-0000-0000-000027720000}"/>
    <cellStyle name="Normal 630" xfId="32430" xr:uid="{00000000-0005-0000-0000-000028720000}"/>
    <cellStyle name="Normal 64" xfId="603" xr:uid="{00000000-0005-0000-0000-000029720000}"/>
    <cellStyle name="Normal 64 10" xfId="17195" xr:uid="{00000000-0005-0000-0000-00002A720000}"/>
    <cellStyle name="Normal 64 11" xfId="32431" xr:uid="{00000000-0005-0000-0000-00002B720000}"/>
    <cellStyle name="Normal 64 12" xfId="32432" xr:uid="{00000000-0005-0000-0000-00002C720000}"/>
    <cellStyle name="Normal 64 2" xfId="9618" xr:uid="{00000000-0005-0000-0000-00002D720000}"/>
    <cellStyle name="Normal 64 2 10" xfId="32433" xr:uid="{00000000-0005-0000-0000-00002E720000}"/>
    <cellStyle name="Normal 64 2 11" xfId="32434" xr:uid="{00000000-0005-0000-0000-00002F720000}"/>
    <cellStyle name="Normal 64 2 2" xfId="11251" xr:uid="{00000000-0005-0000-0000-000030720000}"/>
    <cellStyle name="Normal 64 2 2 2" xfId="12672" xr:uid="{00000000-0005-0000-0000-000031720000}"/>
    <cellStyle name="Normal 64 2 2 2 2" xfId="26663" xr:uid="{00000000-0005-0000-0000-000032720000}"/>
    <cellStyle name="Normal 64 2 2 3" xfId="14229" xr:uid="{00000000-0005-0000-0000-000033720000}"/>
    <cellStyle name="Normal 64 2 2 3 2" xfId="26664" xr:uid="{00000000-0005-0000-0000-000034720000}"/>
    <cellStyle name="Normal 64 2 2 4" xfId="15373" xr:uid="{00000000-0005-0000-0000-000035720000}"/>
    <cellStyle name="Normal 64 2 2 4 2" xfId="26665" xr:uid="{00000000-0005-0000-0000-000036720000}"/>
    <cellStyle name="Normal 64 2 2 5" xfId="26662" xr:uid="{00000000-0005-0000-0000-000037720000}"/>
    <cellStyle name="Normal 64 2 2_Additional Disclosures" xfId="16788" xr:uid="{00000000-0005-0000-0000-000038720000}"/>
    <cellStyle name="Normal 64 2 3" xfId="12022" xr:uid="{00000000-0005-0000-0000-000039720000}"/>
    <cellStyle name="Normal 64 2 3 2" xfId="26666" xr:uid="{00000000-0005-0000-0000-00003A720000}"/>
    <cellStyle name="Normal 64 2 4" xfId="13719" xr:uid="{00000000-0005-0000-0000-00003B720000}"/>
    <cellStyle name="Normal 64 2 4 2" xfId="26667" xr:uid="{00000000-0005-0000-0000-00003C720000}"/>
    <cellStyle name="Normal 64 2 5" xfId="14863" xr:uid="{00000000-0005-0000-0000-00003D720000}"/>
    <cellStyle name="Normal 64 2 5 2" xfId="26668" xr:uid="{00000000-0005-0000-0000-00003E720000}"/>
    <cellStyle name="Normal 64 2 6" xfId="26661" xr:uid="{00000000-0005-0000-0000-00003F720000}"/>
    <cellStyle name="Normal 64 2 7" xfId="32435" xr:uid="{00000000-0005-0000-0000-000040720000}"/>
    <cellStyle name="Normal 64 2 8" xfId="32436" xr:uid="{00000000-0005-0000-0000-000041720000}"/>
    <cellStyle name="Normal 64 2 9" xfId="32437" xr:uid="{00000000-0005-0000-0000-000042720000}"/>
    <cellStyle name="Normal 64 2_Additional Disclosures" xfId="16787" xr:uid="{00000000-0005-0000-0000-000043720000}"/>
    <cellStyle name="Normal 64 3" xfId="9619" xr:uid="{00000000-0005-0000-0000-000044720000}"/>
    <cellStyle name="Normal 64 3 2" xfId="11252" xr:uid="{00000000-0005-0000-0000-000045720000}"/>
    <cellStyle name="Normal 64 3 2 2" xfId="12673" xr:uid="{00000000-0005-0000-0000-000046720000}"/>
    <cellStyle name="Normal 64 3 2 2 2" xfId="26671" xr:uid="{00000000-0005-0000-0000-000047720000}"/>
    <cellStyle name="Normal 64 3 2 3" xfId="26670" xr:uid="{00000000-0005-0000-0000-000048720000}"/>
    <cellStyle name="Normal 64 3 3" xfId="12023" xr:uid="{00000000-0005-0000-0000-000049720000}"/>
    <cellStyle name="Normal 64 3 3 2" xfId="26672" xr:uid="{00000000-0005-0000-0000-00004A720000}"/>
    <cellStyle name="Normal 64 3 4" xfId="13975" xr:uid="{00000000-0005-0000-0000-00004B720000}"/>
    <cellStyle name="Normal 64 3 4 2" xfId="26673" xr:uid="{00000000-0005-0000-0000-00004C720000}"/>
    <cellStyle name="Normal 64 3 5" xfId="15119" xr:uid="{00000000-0005-0000-0000-00004D720000}"/>
    <cellStyle name="Normal 64 3 5 2" xfId="26674" xr:uid="{00000000-0005-0000-0000-00004E720000}"/>
    <cellStyle name="Normal 64 3 6" xfId="26669" xr:uid="{00000000-0005-0000-0000-00004F720000}"/>
    <cellStyle name="Normal 64 3_Additional Disclosures" xfId="16789" xr:uid="{00000000-0005-0000-0000-000050720000}"/>
    <cellStyle name="Normal 64 4" xfId="13464" xr:uid="{00000000-0005-0000-0000-000051720000}"/>
    <cellStyle name="Normal 64 4 2" xfId="26675" xr:uid="{00000000-0005-0000-0000-000052720000}"/>
    <cellStyle name="Normal 64 5" xfId="14609" xr:uid="{00000000-0005-0000-0000-000053720000}"/>
    <cellStyle name="Normal 64 5 2" xfId="26676" xr:uid="{00000000-0005-0000-0000-000054720000}"/>
    <cellStyle name="Normal 64 6" xfId="26660" xr:uid="{00000000-0005-0000-0000-000055720000}"/>
    <cellStyle name="Normal 64 7" xfId="29009" xr:uid="{00000000-0005-0000-0000-000056720000}"/>
    <cellStyle name="Normal 64 8" xfId="17170" xr:uid="{00000000-0005-0000-0000-000057720000}"/>
    <cellStyle name="Normal 64 9" xfId="29019" xr:uid="{00000000-0005-0000-0000-000058720000}"/>
    <cellStyle name="Normal 64_Additional Disclosures" xfId="16786" xr:uid="{00000000-0005-0000-0000-000059720000}"/>
    <cellStyle name="Normal 644" xfId="29105" xr:uid="{00000000-0005-0000-0000-00005A720000}"/>
    <cellStyle name="Normal 644 2" xfId="33351" xr:uid="{00000000-0005-0000-0000-00005B720000}"/>
    <cellStyle name="Normal 644 2 2" xfId="33735" xr:uid="{00000000-0005-0000-0000-00005C720000}"/>
    <cellStyle name="Normal 644 2 3" xfId="33964" xr:uid="{00000000-0005-0000-0000-00005D720000}"/>
    <cellStyle name="Normal 644 2 4" xfId="34178" xr:uid="{00000000-0005-0000-0000-00005E720000}"/>
    <cellStyle name="Normal 644 3" xfId="33637" xr:uid="{00000000-0005-0000-0000-00005F720000}"/>
    <cellStyle name="Normal 644 4" xfId="33866" xr:uid="{00000000-0005-0000-0000-000060720000}"/>
    <cellStyle name="Normal 644 5" xfId="34081" xr:uid="{00000000-0005-0000-0000-000061720000}"/>
    <cellStyle name="Normal 644 6" xfId="33252" xr:uid="{00000000-0005-0000-0000-000062720000}"/>
    <cellStyle name="Normal 65" xfId="604" xr:uid="{00000000-0005-0000-0000-000063720000}"/>
    <cellStyle name="Normal 65 10" xfId="17197" xr:uid="{00000000-0005-0000-0000-000064720000}"/>
    <cellStyle name="Normal 65 11" xfId="32438" xr:uid="{00000000-0005-0000-0000-000065720000}"/>
    <cellStyle name="Normal 65 12" xfId="32439" xr:uid="{00000000-0005-0000-0000-000066720000}"/>
    <cellStyle name="Normal 65 2" xfId="9620" xr:uid="{00000000-0005-0000-0000-000067720000}"/>
    <cellStyle name="Normal 65 2 10" xfId="32440" xr:uid="{00000000-0005-0000-0000-000068720000}"/>
    <cellStyle name="Normal 65 2 2" xfId="11253" xr:uid="{00000000-0005-0000-0000-000069720000}"/>
    <cellStyle name="Normal 65 2 2 2" xfId="12674" xr:uid="{00000000-0005-0000-0000-00006A720000}"/>
    <cellStyle name="Normal 65 2 2 2 2" xfId="26680" xr:uid="{00000000-0005-0000-0000-00006B720000}"/>
    <cellStyle name="Normal 65 2 2 3" xfId="14230" xr:uid="{00000000-0005-0000-0000-00006C720000}"/>
    <cellStyle name="Normal 65 2 2 3 2" xfId="26681" xr:uid="{00000000-0005-0000-0000-00006D720000}"/>
    <cellStyle name="Normal 65 2 2 4" xfId="15374" xr:uid="{00000000-0005-0000-0000-00006E720000}"/>
    <cellStyle name="Normal 65 2 2 4 2" xfId="26682" xr:uid="{00000000-0005-0000-0000-00006F720000}"/>
    <cellStyle name="Normal 65 2 2 5" xfId="26679" xr:uid="{00000000-0005-0000-0000-000070720000}"/>
    <cellStyle name="Normal 65 2 2_Additional Disclosures" xfId="16792" xr:uid="{00000000-0005-0000-0000-000071720000}"/>
    <cellStyle name="Normal 65 2 3" xfId="12024" xr:uid="{00000000-0005-0000-0000-000072720000}"/>
    <cellStyle name="Normal 65 2 3 2" xfId="26683" xr:uid="{00000000-0005-0000-0000-000073720000}"/>
    <cellStyle name="Normal 65 2 4" xfId="13720" xr:uid="{00000000-0005-0000-0000-000074720000}"/>
    <cellStyle name="Normal 65 2 4 2" xfId="26684" xr:uid="{00000000-0005-0000-0000-000075720000}"/>
    <cellStyle name="Normal 65 2 5" xfId="14864" xr:uid="{00000000-0005-0000-0000-000076720000}"/>
    <cellStyle name="Normal 65 2 5 2" xfId="26685" xr:uid="{00000000-0005-0000-0000-000077720000}"/>
    <cellStyle name="Normal 65 2 6" xfId="26678" xr:uid="{00000000-0005-0000-0000-000078720000}"/>
    <cellStyle name="Normal 65 2 7" xfId="32441" xr:uid="{00000000-0005-0000-0000-000079720000}"/>
    <cellStyle name="Normal 65 2 8" xfId="32442" xr:uid="{00000000-0005-0000-0000-00007A720000}"/>
    <cellStyle name="Normal 65 2 9" xfId="32443" xr:uid="{00000000-0005-0000-0000-00007B720000}"/>
    <cellStyle name="Normal 65 2_Additional Disclosures" xfId="16791" xr:uid="{00000000-0005-0000-0000-00007C720000}"/>
    <cellStyle name="Normal 65 3" xfId="9621" xr:uid="{00000000-0005-0000-0000-00007D720000}"/>
    <cellStyle name="Normal 65 3 2" xfId="11254" xr:uid="{00000000-0005-0000-0000-00007E720000}"/>
    <cellStyle name="Normal 65 3 2 2" xfId="12675" xr:uid="{00000000-0005-0000-0000-00007F720000}"/>
    <cellStyle name="Normal 65 3 2 2 2" xfId="26688" xr:uid="{00000000-0005-0000-0000-000080720000}"/>
    <cellStyle name="Normal 65 3 2 3" xfId="26687" xr:uid="{00000000-0005-0000-0000-000081720000}"/>
    <cellStyle name="Normal 65 3 3" xfId="12025" xr:uid="{00000000-0005-0000-0000-000082720000}"/>
    <cellStyle name="Normal 65 3 3 2" xfId="26689" xr:uid="{00000000-0005-0000-0000-000083720000}"/>
    <cellStyle name="Normal 65 3 4" xfId="13976" xr:uid="{00000000-0005-0000-0000-000084720000}"/>
    <cellStyle name="Normal 65 3 4 2" xfId="26690" xr:uid="{00000000-0005-0000-0000-000085720000}"/>
    <cellStyle name="Normal 65 3 5" xfId="15120" xr:uid="{00000000-0005-0000-0000-000086720000}"/>
    <cellStyle name="Normal 65 3 5 2" xfId="26691" xr:uid="{00000000-0005-0000-0000-000087720000}"/>
    <cellStyle name="Normal 65 3 6" xfId="26686" xr:uid="{00000000-0005-0000-0000-000088720000}"/>
    <cellStyle name="Normal 65 3_Additional Disclosures" xfId="16793" xr:uid="{00000000-0005-0000-0000-000089720000}"/>
    <cellStyle name="Normal 65 4" xfId="13465" xr:uid="{00000000-0005-0000-0000-00008A720000}"/>
    <cellStyle name="Normal 65 4 2" xfId="26692" xr:uid="{00000000-0005-0000-0000-00008B720000}"/>
    <cellStyle name="Normal 65 5" xfId="14610" xr:uid="{00000000-0005-0000-0000-00008C720000}"/>
    <cellStyle name="Normal 65 5 2" xfId="26693" xr:uid="{00000000-0005-0000-0000-00008D720000}"/>
    <cellStyle name="Normal 65 6" xfId="26677" xr:uid="{00000000-0005-0000-0000-00008E720000}"/>
    <cellStyle name="Normal 65 7" xfId="29010" xr:uid="{00000000-0005-0000-0000-00008F720000}"/>
    <cellStyle name="Normal 65 8" xfId="17178" xr:uid="{00000000-0005-0000-0000-000090720000}"/>
    <cellStyle name="Normal 65 9" xfId="29021" xr:uid="{00000000-0005-0000-0000-000091720000}"/>
    <cellStyle name="Normal 65_Additional Disclosures" xfId="16790" xr:uid="{00000000-0005-0000-0000-000092720000}"/>
    <cellStyle name="Normal 659" xfId="29103" xr:uid="{00000000-0005-0000-0000-000093720000}"/>
    <cellStyle name="Normal 66" xfId="605" xr:uid="{00000000-0005-0000-0000-000094720000}"/>
    <cellStyle name="Normal 66 10" xfId="17199" xr:uid="{00000000-0005-0000-0000-000095720000}"/>
    <cellStyle name="Normal 66 11" xfId="32444" xr:uid="{00000000-0005-0000-0000-000096720000}"/>
    <cellStyle name="Normal 66 12" xfId="32445" xr:uid="{00000000-0005-0000-0000-000097720000}"/>
    <cellStyle name="Normal 66 2" xfId="9622" xr:uid="{00000000-0005-0000-0000-000098720000}"/>
    <cellStyle name="Normal 66 2 2" xfId="11255" xr:uid="{00000000-0005-0000-0000-000099720000}"/>
    <cellStyle name="Normal 66 2 2 2" xfId="12676" xr:uid="{00000000-0005-0000-0000-00009A720000}"/>
    <cellStyle name="Normal 66 2 2 2 2" xfId="26697" xr:uid="{00000000-0005-0000-0000-00009B720000}"/>
    <cellStyle name="Normal 66 2 2 3" xfId="14231" xr:uid="{00000000-0005-0000-0000-00009C720000}"/>
    <cellStyle name="Normal 66 2 2 3 2" xfId="26698" xr:uid="{00000000-0005-0000-0000-00009D720000}"/>
    <cellStyle name="Normal 66 2 2 4" xfId="15375" xr:uid="{00000000-0005-0000-0000-00009E720000}"/>
    <cellStyle name="Normal 66 2 2 4 2" xfId="26699" xr:uid="{00000000-0005-0000-0000-00009F720000}"/>
    <cellStyle name="Normal 66 2 2 5" xfId="26696" xr:uid="{00000000-0005-0000-0000-0000A0720000}"/>
    <cellStyle name="Normal 66 2 2_Additional Disclosures" xfId="16796" xr:uid="{00000000-0005-0000-0000-0000A1720000}"/>
    <cellStyle name="Normal 66 2 3" xfId="12026" xr:uid="{00000000-0005-0000-0000-0000A2720000}"/>
    <cellStyle name="Normal 66 2 3 2" xfId="26700" xr:uid="{00000000-0005-0000-0000-0000A3720000}"/>
    <cellStyle name="Normal 66 2 4" xfId="13721" xr:uid="{00000000-0005-0000-0000-0000A4720000}"/>
    <cellStyle name="Normal 66 2 4 2" xfId="26701" xr:uid="{00000000-0005-0000-0000-0000A5720000}"/>
    <cellStyle name="Normal 66 2 5" xfId="14865" xr:uid="{00000000-0005-0000-0000-0000A6720000}"/>
    <cellStyle name="Normal 66 2 5 2" xfId="26702" xr:uid="{00000000-0005-0000-0000-0000A7720000}"/>
    <cellStyle name="Normal 66 2 6" xfId="26695" xr:uid="{00000000-0005-0000-0000-0000A8720000}"/>
    <cellStyle name="Normal 66 2 7" xfId="32446" xr:uid="{00000000-0005-0000-0000-0000A9720000}"/>
    <cellStyle name="Normal 66 2_Additional Disclosures" xfId="16795" xr:uid="{00000000-0005-0000-0000-0000AA720000}"/>
    <cellStyle name="Normal 66 3" xfId="9623" xr:uid="{00000000-0005-0000-0000-0000AB720000}"/>
    <cellStyle name="Normal 66 3 2" xfId="11256" xr:uid="{00000000-0005-0000-0000-0000AC720000}"/>
    <cellStyle name="Normal 66 3 2 2" xfId="12677" xr:uid="{00000000-0005-0000-0000-0000AD720000}"/>
    <cellStyle name="Normal 66 3 2 2 2" xfId="26705" xr:uid="{00000000-0005-0000-0000-0000AE720000}"/>
    <cellStyle name="Normal 66 3 2 3" xfId="26704" xr:uid="{00000000-0005-0000-0000-0000AF720000}"/>
    <cellStyle name="Normal 66 3 3" xfId="12027" xr:uid="{00000000-0005-0000-0000-0000B0720000}"/>
    <cellStyle name="Normal 66 3 3 2" xfId="26706" xr:uid="{00000000-0005-0000-0000-0000B1720000}"/>
    <cellStyle name="Normal 66 3 4" xfId="13977" xr:uid="{00000000-0005-0000-0000-0000B2720000}"/>
    <cellStyle name="Normal 66 3 4 2" xfId="26707" xr:uid="{00000000-0005-0000-0000-0000B3720000}"/>
    <cellStyle name="Normal 66 3 5" xfId="15121" xr:uid="{00000000-0005-0000-0000-0000B4720000}"/>
    <cellStyle name="Normal 66 3 5 2" xfId="26708" xr:uid="{00000000-0005-0000-0000-0000B5720000}"/>
    <cellStyle name="Normal 66 3 6" xfId="26703" xr:uid="{00000000-0005-0000-0000-0000B6720000}"/>
    <cellStyle name="Normal 66 3_Additional Disclosures" xfId="16797" xr:uid="{00000000-0005-0000-0000-0000B7720000}"/>
    <cellStyle name="Normal 66 4" xfId="13466" xr:uid="{00000000-0005-0000-0000-0000B8720000}"/>
    <cellStyle name="Normal 66 4 2" xfId="26709" xr:uid="{00000000-0005-0000-0000-0000B9720000}"/>
    <cellStyle name="Normal 66 5" xfId="14611" xr:uid="{00000000-0005-0000-0000-0000BA720000}"/>
    <cellStyle name="Normal 66 5 2" xfId="26710" xr:uid="{00000000-0005-0000-0000-0000BB720000}"/>
    <cellStyle name="Normal 66 6" xfId="26694" xr:uid="{00000000-0005-0000-0000-0000BC720000}"/>
    <cellStyle name="Normal 66 7" xfId="29012" xr:uid="{00000000-0005-0000-0000-0000BD720000}"/>
    <cellStyle name="Normal 66 8" xfId="17187" xr:uid="{00000000-0005-0000-0000-0000BE720000}"/>
    <cellStyle name="Normal 66 9" xfId="29023" xr:uid="{00000000-0005-0000-0000-0000BF720000}"/>
    <cellStyle name="Normal 66_Additional Disclosures" xfId="16794" xr:uid="{00000000-0005-0000-0000-0000C0720000}"/>
    <cellStyle name="Normal 663" xfId="32447" xr:uid="{00000000-0005-0000-0000-0000C1720000}"/>
    <cellStyle name="Normal 667" xfId="29102" xr:uid="{00000000-0005-0000-0000-0000C2720000}"/>
    <cellStyle name="Normal 669" xfId="32448" xr:uid="{00000000-0005-0000-0000-0000C3720000}"/>
    <cellStyle name="Normal 67" xfId="606" xr:uid="{00000000-0005-0000-0000-0000C4720000}"/>
    <cellStyle name="Normal 67 10" xfId="29025" xr:uid="{00000000-0005-0000-0000-0000C5720000}"/>
    <cellStyle name="Normal 67 11" xfId="32449" xr:uid="{00000000-0005-0000-0000-0000C6720000}"/>
    <cellStyle name="Normal 67 12" xfId="32450" xr:uid="{00000000-0005-0000-0000-0000C7720000}"/>
    <cellStyle name="Normal 67 13" xfId="33371" xr:uid="{00000000-0005-0000-0000-0000C8720000}"/>
    <cellStyle name="Normal 67 2" xfId="9624" xr:uid="{00000000-0005-0000-0000-0000C9720000}"/>
    <cellStyle name="Normal 67 2 10" xfId="9625" xr:uid="{00000000-0005-0000-0000-0000CA720000}"/>
    <cellStyle name="Normal 67 2 10 2" xfId="26713" xr:uid="{00000000-0005-0000-0000-0000CB720000}"/>
    <cellStyle name="Normal 67 2 11" xfId="9626" xr:uid="{00000000-0005-0000-0000-0000CC720000}"/>
    <cellStyle name="Normal 67 2 11 2" xfId="26714" xr:uid="{00000000-0005-0000-0000-0000CD720000}"/>
    <cellStyle name="Normal 67 2 12" xfId="9627" xr:uid="{00000000-0005-0000-0000-0000CE720000}"/>
    <cellStyle name="Normal 67 2 12 2" xfId="26715" xr:uid="{00000000-0005-0000-0000-0000CF720000}"/>
    <cellStyle name="Normal 67 2 13" xfId="12113" xr:uid="{00000000-0005-0000-0000-0000D0720000}"/>
    <cellStyle name="Normal 67 2 13 2" xfId="26716" xr:uid="{00000000-0005-0000-0000-0000D1720000}"/>
    <cellStyle name="Normal 67 2 14" xfId="13395" xr:uid="{00000000-0005-0000-0000-0000D2720000}"/>
    <cellStyle name="Normal 67 2 14 2" xfId="26717" xr:uid="{00000000-0005-0000-0000-0000D3720000}"/>
    <cellStyle name="Normal 67 2 15" xfId="14539" xr:uid="{00000000-0005-0000-0000-0000D4720000}"/>
    <cellStyle name="Normal 67 2 15 2" xfId="26718" xr:uid="{00000000-0005-0000-0000-0000D5720000}"/>
    <cellStyle name="Normal 67 2 16" xfId="26712" xr:uid="{00000000-0005-0000-0000-0000D6720000}"/>
    <cellStyle name="Normal 67 2 17" xfId="32451" xr:uid="{00000000-0005-0000-0000-0000D7720000}"/>
    <cellStyle name="Normal 67 2 18" xfId="32452" xr:uid="{00000000-0005-0000-0000-0000D8720000}"/>
    <cellStyle name="Normal 67 2 19" xfId="33754" xr:uid="{00000000-0005-0000-0000-0000D9720000}"/>
    <cellStyle name="Normal 67 2 2" xfId="9628" xr:uid="{00000000-0005-0000-0000-0000DA720000}"/>
    <cellStyle name="Normal 67 2 2 10" xfId="32453" xr:uid="{00000000-0005-0000-0000-0000DB720000}"/>
    <cellStyle name="Normal 67 2 2 2" xfId="14161" xr:uid="{00000000-0005-0000-0000-0000DC720000}"/>
    <cellStyle name="Normal 67 2 2 2 2" xfId="15305" xr:uid="{00000000-0005-0000-0000-0000DD720000}"/>
    <cellStyle name="Normal 67 2 2 2 2 2" xfId="26721" xr:uid="{00000000-0005-0000-0000-0000DE720000}"/>
    <cellStyle name="Normal 67 2 2 2 3" xfId="26720" xr:uid="{00000000-0005-0000-0000-0000DF720000}"/>
    <cellStyle name="Normal 67 2 2 2_Additional Disclosures" xfId="16801" xr:uid="{00000000-0005-0000-0000-0000E0720000}"/>
    <cellStyle name="Normal 67 2 2 3" xfId="13650" xr:uid="{00000000-0005-0000-0000-0000E1720000}"/>
    <cellStyle name="Normal 67 2 2 3 2" xfId="26722" xr:uid="{00000000-0005-0000-0000-0000E2720000}"/>
    <cellStyle name="Normal 67 2 2 4" xfId="14795" xr:uid="{00000000-0005-0000-0000-0000E3720000}"/>
    <cellStyle name="Normal 67 2 2 4 2" xfId="26723" xr:uid="{00000000-0005-0000-0000-0000E4720000}"/>
    <cellStyle name="Normal 67 2 2 5" xfId="26719" xr:uid="{00000000-0005-0000-0000-0000E5720000}"/>
    <cellStyle name="Normal 67 2 2 6" xfId="29015" xr:uid="{00000000-0005-0000-0000-0000E6720000}"/>
    <cellStyle name="Normal 67 2 2 7" xfId="17191" xr:uid="{00000000-0005-0000-0000-0000E7720000}"/>
    <cellStyle name="Normal 67 2 2 8" xfId="29027" xr:uid="{00000000-0005-0000-0000-0000E8720000}"/>
    <cellStyle name="Normal 67 2 2 9" xfId="17202" xr:uid="{00000000-0005-0000-0000-0000E9720000}"/>
    <cellStyle name="Normal 67 2 2_Additional Disclosures" xfId="16800" xr:uid="{00000000-0005-0000-0000-0000EA720000}"/>
    <cellStyle name="Normal 67 2 3" xfId="9629" xr:uid="{00000000-0005-0000-0000-0000EB720000}"/>
    <cellStyle name="Normal 67 2 3 2" xfId="13906" xr:uid="{00000000-0005-0000-0000-0000EC720000}"/>
    <cellStyle name="Normal 67 2 3 2 2" xfId="26725" xr:uid="{00000000-0005-0000-0000-0000ED720000}"/>
    <cellStyle name="Normal 67 2 3 3" xfId="15051" xr:uid="{00000000-0005-0000-0000-0000EE720000}"/>
    <cellStyle name="Normal 67 2 3 3 2" xfId="26726" xr:uid="{00000000-0005-0000-0000-0000EF720000}"/>
    <cellStyle name="Normal 67 2 3 4" xfId="26724" xr:uid="{00000000-0005-0000-0000-0000F0720000}"/>
    <cellStyle name="Normal 67 2 3 5" xfId="32454" xr:uid="{00000000-0005-0000-0000-0000F1720000}"/>
    <cellStyle name="Normal 67 2 3_Additional Disclosures" xfId="16802" xr:uid="{00000000-0005-0000-0000-0000F2720000}"/>
    <cellStyle name="Normal 67 2 4" xfId="9630" xr:uid="{00000000-0005-0000-0000-0000F3720000}"/>
    <cellStyle name="Normal 67 2 4 2" xfId="26727" xr:uid="{00000000-0005-0000-0000-0000F4720000}"/>
    <cellStyle name="Normal 67 2 4 3" xfId="32455" xr:uid="{00000000-0005-0000-0000-0000F5720000}"/>
    <cellStyle name="Normal 67 2 5" xfId="9631" xr:uid="{00000000-0005-0000-0000-0000F6720000}"/>
    <cellStyle name="Normal 67 2 5 2" xfId="26728" xr:uid="{00000000-0005-0000-0000-0000F7720000}"/>
    <cellStyle name="Normal 67 2 5 3" xfId="32456" xr:uid="{00000000-0005-0000-0000-0000F8720000}"/>
    <cellStyle name="Normal 67 2 6" xfId="9632" xr:uid="{00000000-0005-0000-0000-0000F9720000}"/>
    <cellStyle name="Normal 67 2 6 2" xfId="26729" xr:uid="{00000000-0005-0000-0000-0000FA720000}"/>
    <cellStyle name="Normal 67 2 6 3" xfId="32457" xr:uid="{00000000-0005-0000-0000-0000FB720000}"/>
    <cellStyle name="Normal 67 2 7" xfId="9633" xr:uid="{00000000-0005-0000-0000-0000FC720000}"/>
    <cellStyle name="Normal 67 2 7 2" xfId="26730" xr:uid="{00000000-0005-0000-0000-0000FD720000}"/>
    <cellStyle name="Normal 67 2 7 3" xfId="32458" xr:uid="{00000000-0005-0000-0000-0000FE720000}"/>
    <cellStyle name="Normal 67 2 8" xfId="9634" xr:uid="{00000000-0005-0000-0000-0000FF720000}"/>
    <cellStyle name="Normal 67 2 8 2" xfId="26731" xr:uid="{00000000-0005-0000-0000-000000730000}"/>
    <cellStyle name="Normal 67 2 8 3" xfId="32459" xr:uid="{00000000-0005-0000-0000-000001730000}"/>
    <cellStyle name="Normal 67 2 9" xfId="9635" xr:uid="{00000000-0005-0000-0000-000002730000}"/>
    <cellStyle name="Normal 67 2 9 2" xfId="26732" xr:uid="{00000000-0005-0000-0000-000003730000}"/>
    <cellStyle name="Normal 67 2_Additional Disclosures" xfId="16799" xr:uid="{00000000-0005-0000-0000-000004730000}"/>
    <cellStyle name="Normal 67 3" xfId="9636" xr:uid="{00000000-0005-0000-0000-000005730000}"/>
    <cellStyle name="Normal 67 3 2" xfId="11257" xr:uid="{00000000-0005-0000-0000-000006730000}"/>
    <cellStyle name="Normal 67 3 2 2" xfId="12678" xr:uid="{00000000-0005-0000-0000-000007730000}"/>
    <cellStyle name="Normal 67 3 2 2 2" xfId="26735" xr:uid="{00000000-0005-0000-0000-000008730000}"/>
    <cellStyle name="Normal 67 3 2 3" xfId="14121" xr:uid="{00000000-0005-0000-0000-000009730000}"/>
    <cellStyle name="Normal 67 3 2 3 2" xfId="26736" xr:uid="{00000000-0005-0000-0000-00000A730000}"/>
    <cellStyle name="Normal 67 3 2 4" xfId="15265" xr:uid="{00000000-0005-0000-0000-00000B730000}"/>
    <cellStyle name="Normal 67 3 2 4 2" xfId="26737" xr:uid="{00000000-0005-0000-0000-00000C730000}"/>
    <cellStyle name="Normal 67 3 2 5" xfId="26734" xr:uid="{00000000-0005-0000-0000-00000D730000}"/>
    <cellStyle name="Normal 67 3 2_Additional Disclosures" xfId="16804" xr:uid="{00000000-0005-0000-0000-00000E730000}"/>
    <cellStyle name="Normal 67 3 3" xfId="12028" xr:uid="{00000000-0005-0000-0000-00000F730000}"/>
    <cellStyle name="Normal 67 3 3 2" xfId="26738" xr:uid="{00000000-0005-0000-0000-000010730000}"/>
    <cellStyle name="Normal 67 3 4" xfId="13610" xr:uid="{00000000-0005-0000-0000-000011730000}"/>
    <cellStyle name="Normal 67 3 4 2" xfId="26739" xr:uid="{00000000-0005-0000-0000-000012730000}"/>
    <cellStyle name="Normal 67 3 5" xfId="14755" xr:uid="{00000000-0005-0000-0000-000013730000}"/>
    <cellStyle name="Normal 67 3 5 2" xfId="26740" xr:uid="{00000000-0005-0000-0000-000014730000}"/>
    <cellStyle name="Normal 67 3 6" xfId="26733" xr:uid="{00000000-0005-0000-0000-000015730000}"/>
    <cellStyle name="Normal 67 3 7" xfId="33982" xr:uid="{00000000-0005-0000-0000-000016730000}"/>
    <cellStyle name="Normal 67 3 8" xfId="34311" xr:uid="{00000000-0005-0000-0000-000017730000}"/>
    <cellStyle name="Normal 67 3_Additional Disclosures" xfId="16803" xr:uid="{00000000-0005-0000-0000-000018730000}"/>
    <cellStyle name="Normal 67 4" xfId="9637" xr:uid="{00000000-0005-0000-0000-000019730000}"/>
    <cellStyle name="Normal 67 4 2" xfId="11258" xr:uid="{00000000-0005-0000-0000-00001A730000}"/>
    <cellStyle name="Normal 67 4 2 2" xfId="12679" xr:uid="{00000000-0005-0000-0000-00001B730000}"/>
    <cellStyle name="Normal 67 4 2 2 2" xfId="26743" xr:uid="{00000000-0005-0000-0000-00001C730000}"/>
    <cellStyle name="Normal 67 4 2 3" xfId="26742" xr:uid="{00000000-0005-0000-0000-00001D730000}"/>
    <cellStyle name="Normal 67 4 3" xfId="12029" xr:uid="{00000000-0005-0000-0000-00001E730000}"/>
    <cellStyle name="Normal 67 4 3 2" xfId="26744" xr:uid="{00000000-0005-0000-0000-00001F730000}"/>
    <cellStyle name="Normal 67 4 4" xfId="13866" xr:uid="{00000000-0005-0000-0000-000020730000}"/>
    <cellStyle name="Normal 67 4 4 2" xfId="26745" xr:uid="{00000000-0005-0000-0000-000021730000}"/>
    <cellStyle name="Normal 67 4 5" xfId="15011" xr:uid="{00000000-0005-0000-0000-000022730000}"/>
    <cellStyle name="Normal 67 4 5 2" xfId="26746" xr:uid="{00000000-0005-0000-0000-000023730000}"/>
    <cellStyle name="Normal 67 4 6" xfId="26741" xr:uid="{00000000-0005-0000-0000-000024730000}"/>
    <cellStyle name="Normal 67 4 7" xfId="34196" xr:uid="{00000000-0005-0000-0000-000025730000}"/>
    <cellStyle name="Normal 67 4_Additional Disclosures" xfId="16805" xr:uid="{00000000-0005-0000-0000-000026730000}"/>
    <cellStyle name="Normal 67 5" xfId="13355" xr:uid="{00000000-0005-0000-0000-000027730000}"/>
    <cellStyle name="Normal 67 5 2" xfId="26747" xr:uid="{00000000-0005-0000-0000-000028730000}"/>
    <cellStyle name="Normal 67 6" xfId="14498" xr:uid="{00000000-0005-0000-0000-000029730000}"/>
    <cellStyle name="Normal 67 6 2" xfId="26748" xr:uid="{00000000-0005-0000-0000-00002A730000}"/>
    <cellStyle name="Normal 67 7" xfId="26711" xr:uid="{00000000-0005-0000-0000-00002B730000}"/>
    <cellStyle name="Normal 67 8" xfId="29014" xr:uid="{00000000-0005-0000-0000-00002C730000}"/>
    <cellStyle name="Normal 67 9" xfId="17190" xr:uid="{00000000-0005-0000-0000-00002D730000}"/>
    <cellStyle name="Normal 67_Additional Disclosures" xfId="16798" xr:uid="{00000000-0005-0000-0000-00002E730000}"/>
    <cellStyle name="Normal 675" xfId="33396" xr:uid="{00000000-0005-0000-0000-00002F730000}"/>
    <cellStyle name="Normal 675 2" xfId="33777" xr:uid="{00000000-0005-0000-0000-000030730000}"/>
    <cellStyle name="Normal 675 3" xfId="34005" xr:uid="{00000000-0005-0000-0000-000031730000}"/>
    <cellStyle name="Normal 675 4" xfId="34219" xr:uid="{00000000-0005-0000-0000-000032730000}"/>
    <cellStyle name="Normal 677" xfId="32460" xr:uid="{00000000-0005-0000-0000-000033730000}"/>
    <cellStyle name="Normal 678" xfId="33369" xr:uid="{00000000-0005-0000-0000-000034730000}"/>
    <cellStyle name="Normal 678 2" xfId="33752" xr:uid="{00000000-0005-0000-0000-000035730000}"/>
    <cellStyle name="Normal 678 3" xfId="33980" xr:uid="{00000000-0005-0000-0000-000036730000}"/>
    <cellStyle name="Normal 678 4" xfId="34194" xr:uid="{00000000-0005-0000-0000-000037730000}"/>
    <cellStyle name="Normal 68" xfId="607" xr:uid="{00000000-0005-0000-0000-000038730000}"/>
    <cellStyle name="Normal 68 10" xfId="17212" xr:uid="{00000000-0005-0000-0000-000039730000}"/>
    <cellStyle name="Normal 68 11" xfId="32461" xr:uid="{00000000-0005-0000-0000-00003A730000}"/>
    <cellStyle name="Normal 68 2" xfId="9638" xr:uid="{00000000-0005-0000-0000-00003B730000}"/>
    <cellStyle name="Normal 68 2 2" xfId="11259" xr:uid="{00000000-0005-0000-0000-00003C730000}"/>
    <cellStyle name="Normal 68 2 2 2" xfId="12680" xr:uid="{00000000-0005-0000-0000-00003D730000}"/>
    <cellStyle name="Normal 68 2 2 2 2" xfId="26752" xr:uid="{00000000-0005-0000-0000-00003E730000}"/>
    <cellStyle name="Normal 68 2 2 3" xfId="14232" xr:uid="{00000000-0005-0000-0000-00003F730000}"/>
    <cellStyle name="Normal 68 2 2 3 2" xfId="26753" xr:uid="{00000000-0005-0000-0000-000040730000}"/>
    <cellStyle name="Normal 68 2 2 4" xfId="15376" xr:uid="{00000000-0005-0000-0000-000041730000}"/>
    <cellStyle name="Normal 68 2 2 4 2" xfId="26754" xr:uid="{00000000-0005-0000-0000-000042730000}"/>
    <cellStyle name="Normal 68 2 2 5" xfId="26751" xr:uid="{00000000-0005-0000-0000-000043730000}"/>
    <cellStyle name="Normal 68 2 2_Additional Disclosures" xfId="16808" xr:uid="{00000000-0005-0000-0000-000044730000}"/>
    <cellStyle name="Normal 68 2 3" xfId="12030" xr:uid="{00000000-0005-0000-0000-000045730000}"/>
    <cellStyle name="Normal 68 2 3 2" xfId="26755" xr:uid="{00000000-0005-0000-0000-000046730000}"/>
    <cellStyle name="Normal 68 2 4" xfId="13722" xr:uid="{00000000-0005-0000-0000-000047730000}"/>
    <cellStyle name="Normal 68 2 4 2" xfId="26756" xr:uid="{00000000-0005-0000-0000-000048730000}"/>
    <cellStyle name="Normal 68 2 5" xfId="14866" xr:uid="{00000000-0005-0000-0000-000049730000}"/>
    <cellStyle name="Normal 68 2 5 2" xfId="26757" xr:uid="{00000000-0005-0000-0000-00004A730000}"/>
    <cellStyle name="Normal 68 2 6" xfId="26750" xr:uid="{00000000-0005-0000-0000-00004B730000}"/>
    <cellStyle name="Normal 68 2 7" xfId="32462" xr:uid="{00000000-0005-0000-0000-00004C730000}"/>
    <cellStyle name="Normal 68 2_Additional Disclosures" xfId="16807" xr:uid="{00000000-0005-0000-0000-00004D730000}"/>
    <cellStyle name="Normal 68 3" xfId="9639" xr:uid="{00000000-0005-0000-0000-00004E730000}"/>
    <cellStyle name="Normal 68 3 2" xfId="11260" xr:uid="{00000000-0005-0000-0000-00004F730000}"/>
    <cellStyle name="Normal 68 3 2 2" xfId="12681" xr:uid="{00000000-0005-0000-0000-000050730000}"/>
    <cellStyle name="Normal 68 3 2 2 2" xfId="26760" xr:uid="{00000000-0005-0000-0000-000051730000}"/>
    <cellStyle name="Normal 68 3 2 3" xfId="26759" xr:uid="{00000000-0005-0000-0000-000052730000}"/>
    <cellStyle name="Normal 68 3 3" xfId="12031" xr:uid="{00000000-0005-0000-0000-000053730000}"/>
    <cellStyle name="Normal 68 3 3 2" xfId="26761" xr:uid="{00000000-0005-0000-0000-000054730000}"/>
    <cellStyle name="Normal 68 3 4" xfId="13978" xr:uid="{00000000-0005-0000-0000-000055730000}"/>
    <cellStyle name="Normal 68 3 4 2" xfId="26762" xr:uid="{00000000-0005-0000-0000-000056730000}"/>
    <cellStyle name="Normal 68 3 5" xfId="15122" xr:uid="{00000000-0005-0000-0000-000057730000}"/>
    <cellStyle name="Normal 68 3 5 2" xfId="26763" xr:uid="{00000000-0005-0000-0000-000058730000}"/>
    <cellStyle name="Normal 68 3 6" xfId="26758" xr:uid="{00000000-0005-0000-0000-000059730000}"/>
    <cellStyle name="Normal 68 3_Additional Disclosures" xfId="16809" xr:uid="{00000000-0005-0000-0000-00005A730000}"/>
    <cellStyle name="Normal 68 4" xfId="13467" xr:uid="{00000000-0005-0000-0000-00005B730000}"/>
    <cellStyle name="Normal 68 4 2" xfId="26764" xr:uid="{00000000-0005-0000-0000-00005C730000}"/>
    <cellStyle name="Normal 68 5" xfId="14612" xr:uid="{00000000-0005-0000-0000-00005D730000}"/>
    <cellStyle name="Normal 68 5 2" xfId="26765" xr:uid="{00000000-0005-0000-0000-00005E730000}"/>
    <cellStyle name="Normal 68 6" xfId="26749" xr:uid="{00000000-0005-0000-0000-00005F730000}"/>
    <cellStyle name="Normal 68 7" xfId="29018" xr:uid="{00000000-0005-0000-0000-000060730000}"/>
    <cellStyle name="Normal 68 8" xfId="17194" xr:uid="{00000000-0005-0000-0000-000061730000}"/>
    <cellStyle name="Normal 68 9" xfId="29029" xr:uid="{00000000-0005-0000-0000-000062730000}"/>
    <cellStyle name="Normal 68_Additional Disclosures" xfId="16806" xr:uid="{00000000-0005-0000-0000-000063730000}"/>
    <cellStyle name="Normal 683" xfId="16976" xr:uid="{00000000-0005-0000-0000-000064730000}"/>
    <cellStyle name="Normal 683 2" xfId="26766" xr:uid="{00000000-0005-0000-0000-000065730000}"/>
    <cellStyle name="Normal 69" xfId="608" xr:uid="{00000000-0005-0000-0000-000066730000}"/>
    <cellStyle name="Normal 69 10" xfId="17221" xr:uid="{00000000-0005-0000-0000-000067730000}"/>
    <cellStyle name="Normal 69 11" xfId="32463" xr:uid="{00000000-0005-0000-0000-000068730000}"/>
    <cellStyle name="Normal 69 2" xfId="9640" xr:uid="{00000000-0005-0000-0000-000069730000}"/>
    <cellStyle name="Normal 69 2 2" xfId="11261" xr:uid="{00000000-0005-0000-0000-00006A730000}"/>
    <cellStyle name="Normal 69 2 2 2" xfId="12682" xr:uid="{00000000-0005-0000-0000-00006B730000}"/>
    <cellStyle name="Normal 69 2 2 2 2" xfId="26770" xr:uid="{00000000-0005-0000-0000-00006C730000}"/>
    <cellStyle name="Normal 69 2 2 3" xfId="14233" xr:uid="{00000000-0005-0000-0000-00006D730000}"/>
    <cellStyle name="Normal 69 2 2 3 2" xfId="26771" xr:uid="{00000000-0005-0000-0000-00006E730000}"/>
    <cellStyle name="Normal 69 2 2 4" xfId="15377" xr:uid="{00000000-0005-0000-0000-00006F730000}"/>
    <cellStyle name="Normal 69 2 2 4 2" xfId="26772" xr:uid="{00000000-0005-0000-0000-000070730000}"/>
    <cellStyle name="Normal 69 2 2 5" xfId="26769" xr:uid="{00000000-0005-0000-0000-000071730000}"/>
    <cellStyle name="Normal 69 2 2_Additional Disclosures" xfId="16812" xr:uid="{00000000-0005-0000-0000-000072730000}"/>
    <cellStyle name="Normal 69 2 3" xfId="12032" xr:uid="{00000000-0005-0000-0000-000073730000}"/>
    <cellStyle name="Normal 69 2 3 2" xfId="26773" xr:uid="{00000000-0005-0000-0000-000074730000}"/>
    <cellStyle name="Normal 69 2 4" xfId="13723" xr:uid="{00000000-0005-0000-0000-000075730000}"/>
    <cellStyle name="Normal 69 2 4 2" xfId="26774" xr:uid="{00000000-0005-0000-0000-000076730000}"/>
    <cellStyle name="Normal 69 2 5" xfId="14867" xr:uid="{00000000-0005-0000-0000-000077730000}"/>
    <cellStyle name="Normal 69 2 5 2" xfId="26775" xr:uid="{00000000-0005-0000-0000-000078730000}"/>
    <cellStyle name="Normal 69 2 6" xfId="26768" xr:uid="{00000000-0005-0000-0000-000079730000}"/>
    <cellStyle name="Normal 69 2 7" xfId="32464" xr:uid="{00000000-0005-0000-0000-00007A730000}"/>
    <cellStyle name="Normal 69 2_Additional Disclosures" xfId="16811" xr:uid="{00000000-0005-0000-0000-00007B730000}"/>
    <cellStyle name="Normal 69 3" xfId="9641" xr:uid="{00000000-0005-0000-0000-00007C730000}"/>
    <cellStyle name="Normal 69 3 2" xfId="11262" xr:uid="{00000000-0005-0000-0000-00007D730000}"/>
    <cellStyle name="Normal 69 3 2 2" xfId="12683" xr:uid="{00000000-0005-0000-0000-00007E730000}"/>
    <cellStyle name="Normal 69 3 2 2 2" xfId="26778" xr:uid="{00000000-0005-0000-0000-00007F730000}"/>
    <cellStyle name="Normal 69 3 2 3" xfId="26777" xr:uid="{00000000-0005-0000-0000-000080730000}"/>
    <cellStyle name="Normal 69 3 3" xfId="12033" xr:uid="{00000000-0005-0000-0000-000081730000}"/>
    <cellStyle name="Normal 69 3 3 2" xfId="26779" xr:uid="{00000000-0005-0000-0000-000082730000}"/>
    <cellStyle name="Normal 69 3 4" xfId="13979" xr:uid="{00000000-0005-0000-0000-000083730000}"/>
    <cellStyle name="Normal 69 3 4 2" xfId="26780" xr:uid="{00000000-0005-0000-0000-000084730000}"/>
    <cellStyle name="Normal 69 3 5" xfId="15123" xr:uid="{00000000-0005-0000-0000-000085730000}"/>
    <cellStyle name="Normal 69 3 5 2" xfId="26781" xr:uid="{00000000-0005-0000-0000-000086730000}"/>
    <cellStyle name="Normal 69 3 6" xfId="26776" xr:uid="{00000000-0005-0000-0000-000087730000}"/>
    <cellStyle name="Normal 69 3_Additional Disclosures" xfId="16813" xr:uid="{00000000-0005-0000-0000-000088730000}"/>
    <cellStyle name="Normal 69 4" xfId="13468" xr:uid="{00000000-0005-0000-0000-000089730000}"/>
    <cellStyle name="Normal 69 4 2" xfId="26782" xr:uid="{00000000-0005-0000-0000-00008A730000}"/>
    <cellStyle name="Normal 69 5" xfId="14613" xr:uid="{00000000-0005-0000-0000-00008B730000}"/>
    <cellStyle name="Normal 69 5 2" xfId="26783" xr:uid="{00000000-0005-0000-0000-00008C730000}"/>
    <cellStyle name="Normal 69 6" xfId="26767" xr:uid="{00000000-0005-0000-0000-00008D730000}"/>
    <cellStyle name="Normal 69 7" xfId="29020" xr:uid="{00000000-0005-0000-0000-00008E730000}"/>
    <cellStyle name="Normal 69 8" xfId="17196" xr:uid="{00000000-0005-0000-0000-00008F730000}"/>
    <cellStyle name="Normal 69 9" xfId="29031" xr:uid="{00000000-0005-0000-0000-000090730000}"/>
    <cellStyle name="Normal 69_Additional Disclosures" xfId="16810" xr:uid="{00000000-0005-0000-0000-000091730000}"/>
    <cellStyle name="Normal 691" xfId="16975" xr:uid="{00000000-0005-0000-0000-000092730000}"/>
    <cellStyle name="Normal 691 2" xfId="26784" xr:uid="{00000000-0005-0000-0000-000093730000}"/>
    <cellStyle name="Normal 7" xfId="461" xr:uid="{00000000-0005-0000-0000-000094730000}"/>
    <cellStyle name="Normal 7 10" xfId="29033" xr:uid="{00000000-0005-0000-0000-000095730000}"/>
    <cellStyle name="Normal 7 11" xfId="32465" xr:uid="{00000000-0005-0000-0000-000096730000}"/>
    <cellStyle name="Normal 7 12" xfId="32466" xr:uid="{00000000-0005-0000-0000-000097730000}"/>
    <cellStyle name="Normal 7 13" xfId="32467" xr:uid="{00000000-0005-0000-0000-000098730000}"/>
    <cellStyle name="Normal 7 14" xfId="609" xr:uid="{00000000-0005-0000-0000-000099730000}"/>
    <cellStyle name="Normal 7 2" xfId="9642" xr:uid="{00000000-0005-0000-0000-00009A730000}"/>
    <cellStyle name="Normal 7 2 10" xfId="32468" xr:uid="{00000000-0005-0000-0000-00009B730000}"/>
    <cellStyle name="Normal 7 2 11" xfId="32469" xr:uid="{00000000-0005-0000-0000-00009C730000}"/>
    <cellStyle name="Normal 7 2 2" xfId="11263" xr:uid="{00000000-0005-0000-0000-00009D730000}"/>
    <cellStyle name="Normal 7 2 2 2" xfId="12684" xr:uid="{00000000-0005-0000-0000-00009E730000}"/>
    <cellStyle name="Normal 7 2 2 2 2" xfId="26788" xr:uid="{00000000-0005-0000-0000-00009F730000}"/>
    <cellStyle name="Normal 7 2 2 3" xfId="14176" xr:uid="{00000000-0005-0000-0000-0000A0730000}"/>
    <cellStyle name="Normal 7 2 2 3 2" xfId="26789" xr:uid="{00000000-0005-0000-0000-0000A1730000}"/>
    <cellStyle name="Normal 7 2 2 4" xfId="15320" xr:uid="{00000000-0005-0000-0000-0000A2730000}"/>
    <cellStyle name="Normal 7 2 2 4 2" xfId="26790" xr:uid="{00000000-0005-0000-0000-0000A3730000}"/>
    <cellStyle name="Normal 7 2 2 5" xfId="26787" xr:uid="{00000000-0005-0000-0000-0000A4730000}"/>
    <cellStyle name="Normal 7 2 2 6" xfId="32470" xr:uid="{00000000-0005-0000-0000-0000A5730000}"/>
    <cellStyle name="Normal 7 2 2 7" xfId="32471" xr:uid="{00000000-0005-0000-0000-0000A6730000}"/>
    <cellStyle name="Normal 7 2 2 8" xfId="32472" xr:uid="{00000000-0005-0000-0000-0000A7730000}"/>
    <cellStyle name="Normal 7 2 2_Additional Disclosures" xfId="16816" xr:uid="{00000000-0005-0000-0000-0000A8730000}"/>
    <cellStyle name="Normal 7 2 3" xfId="12034" xr:uid="{00000000-0005-0000-0000-0000A9730000}"/>
    <cellStyle name="Normal 7 2 3 2" xfId="26791" xr:uid="{00000000-0005-0000-0000-0000AA730000}"/>
    <cellStyle name="Normal 7 2 4" xfId="13665" xr:uid="{00000000-0005-0000-0000-0000AB730000}"/>
    <cellStyle name="Normal 7 2 4 2" xfId="26792" xr:uid="{00000000-0005-0000-0000-0000AC730000}"/>
    <cellStyle name="Normal 7 2 5" xfId="14810" xr:uid="{00000000-0005-0000-0000-0000AD730000}"/>
    <cellStyle name="Normal 7 2 5 2" xfId="26793" xr:uid="{00000000-0005-0000-0000-0000AE730000}"/>
    <cellStyle name="Normal 7 2 6" xfId="26786" xr:uid="{00000000-0005-0000-0000-0000AF730000}"/>
    <cellStyle name="Normal 7 2 7" xfId="32473" xr:uid="{00000000-0005-0000-0000-0000B0730000}"/>
    <cellStyle name="Normal 7 2 8" xfId="32474" xr:uid="{00000000-0005-0000-0000-0000B1730000}"/>
    <cellStyle name="Normal 7 2 9" xfId="32475" xr:uid="{00000000-0005-0000-0000-0000B2730000}"/>
    <cellStyle name="Normal 7 2_Additional Disclosures" xfId="16815" xr:uid="{00000000-0005-0000-0000-0000B3730000}"/>
    <cellStyle name="Normal 7 3" xfId="9643" xr:uid="{00000000-0005-0000-0000-0000B4730000}"/>
    <cellStyle name="Normal 7 3 2" xfId="11264" xr:uid="{00000000-0005-0000-0000-0000B5730000}"/>
    <cellStyle name="Normal 7 3 2 2" xfId="12685" xr:uid="{00000000-0005-0000-0000-0000B6730000}"/>
    <cellStyle name="Normal 7 3 2 2 2" xfId="26796" xr:uid="{00000000-0005-0000-0000-0000B7730000}"/>
    <cellStyle name="Normal 7 3 2 3" xfId="26795" xr:uid="{00000000-0005-0000-0000-0000B8730000}"/>
    <cellStyle name="Normal 7 3 2 4" xfId="32476" xr:uid="{00000000-0005-0000-0000-0000B9730000}"/>
    <cellStyle name="Normal 7 3 2 5" xfId="32477" xr:uid="{00000000-0005-0000-0000-0000BA730000}"/>
    <cellStyle name="Normal 7 3 2 6" xfId="32478" xr:uid="{00000000-0005-0000-0000-0000BB730000}"/>
    <cellStyle name="Normal 7 3 3" xfId="12035" xr:uid="{00000000-0005-0000-0000-0000BC730000}"/>
    <cellStyle name="Normal 7 3 3 2" xfId="26797" xr:uid="{00000000-0005-0000-0000-0000BD730000}"/>
    <cellStyle name="Normal 7 3 4" xfId="13921" xr:uid="{00000000-0005-0000-0000-0000BE730000}"/>
    <cellStyle name="Normal 7 3 4 2" xfId="26798" xr:uid="{00000000-0005-0000-0000-0000BF730000}"/>
    <cellStyle name="Normal 7 3 5" xfId="15066" xr:uid="{00000000-0005-0000-0000-0000C0730000}"/>
    <cellStyle name="Normal 7 3 5 2" xfId="26799" xr:uid="{00000000-0005-0000-0000-0000C1730000}"/>
    <cellStyle name="Normal 7 3 6" xfId="26794" xr:uid="{00000000-0005-0000-0000-0000C2730000}"/>
    <cellStyle name="Normal 7 3 7" xfId="32479" xr:uid="{00000000-0005-0000-0000-0000C3730000}"/>
    <cellStyle name="Normal 7 3 8" xfId="32480" xr:uid="{00000000-0005-0000-0000-0000C4730000}"/>
    <cellStyle name="Normal 7 3 9" xfId="32481" xr:uid="{00000000-0005-0000-0000-0000C5730000}"/>
    <cellStyle name="Normal 7 3_Additional Disclosures" xfId="16817" xr:uid="{00000000-0005-0000-0000-0000C6730000}"/>
    <cellStyle name="Normal 7 4" xfId="12863" xr:uid="{00000000-0005-0000-0000-0000C7730000}"/>
    <cellStyle name="Normal 7 4 2" xfId="26800" xr:uid="{00000000-0005-0000-0000-0000C8730000}"/>
    <cellStyle name="Normal 7 4 2 2" xfId="33780" xr:uid="{00000000-0005-0000-0000-0000C9730000}"/>
    <cellStyle name="Normal 7 4 3" xfId="32482" xr:uid="{00000000-0005-0000-0000-0000CA730000}"/>
    <cellStyle name="Normal 7 4 3 2" xfId="34008" xr:uid="{00000000-0005-0000-0000-0000CB730000}"/>
    <cellStyle name="Normal 7 4 4" xfId="34222" xr:uid="{00000000-0005-0000-0000-0000CC730000}"/>
    <cellStyle name="Normal 7 4 5" xfId="33399" xr:uid="{00000000-0005-0000-0000-0000CD730000}"/>
    <cellStyle name="Normal 7 5" xfId="13410" xr:uid="{00000000-0005-0000-0000-0000CE730000}"/>
    <cellStyle name="Normal 7 5 2" xfId="26801" xr:uid="{00000000-0005-0000-0000-0000CF730000}"/>
    <cellStyle name="Normal 7 6" xfId="14554" xr:uid="{00000000-0005-0000-0000-0000D0730000}"/>
    <cellStyle name="Normal 7 6 2" xfId="26802" xr:uid="{00000000-0005-0000-0000-0000D1730000}"/>
    <cellStyle name="Normal 7 7" xfId="26785" xr:uid="{00000000-0005-0000-0000-0000D2730000}"/>
    <cellStyle name="Normal 7 8" xfId="29022" xr:uid="{00000000-0005-0000-0000-0000D3730000}"/>
    <cellStyle name="Normal 7 9" xfId="17198" xr:uid="{00000000-0005-0000-0000-0000D4730000}"/>
    <cellStyle name="Normal 7_Additional Disclosures" xfId="16814" xr:uid="{00000000-0005-0000-0000-0000D5730000}"/>
    <cellStyle name="Normal 70" xfId="610" xr:uid="{00000000-0005-0000-0000-0000D6730000}"/>
    <cellStyle name="Normal 70 10" xfId="17226" xr:uid="{00000000-0005-0000-0000-0000D7730000}"/>
    <cellStyle name="Normal 70 11" xfId="32483" xr:uid="{00000000-0005-0000-0000-0000D8730000}"/>
    <cellStyle name="Normal 70 2" xfId="9644" xr:uid="{00000000-0005-0000-0000-0000D9730000}"/>
    <cellStyle name="Normal 70 2 2" xfId="11265" xr:uid="{00000000-0005-0000-0000-0000DA730000}"/>
    <cellStyle name="Normal 70 2 2 2" xfId="12686" xr:uid="{00000000-0005-0000-0000-0000DB730000}"/>
    <cellStyle name="Normal 70 2 2 2 2" xfId="26806" xr:uid="{00000000-0005-0000-0000-0000DC730000}"/>
    <cellStyle name="Normal 70 2 2 3" xfId="14234" xr:uid="{00000000-0005-0000-0000-0000DD730000}"/>
    <cellStyle name="Normal 70 2 2 3 2" xfId="26807" xr:uid="{00000000-0005-0000-0000-0000DE730000}"/>
    <cellStyle name="Normal 70 2 2 4" xfId="15378" xr:uid="{00000000-0005-0000-0000-0000DF730000}"/>
    <cellStyle name="Normal 70 2 2 4 2" xfId="26808" xr:uid="{00000000-0005-0000-0000-0000E0730000}"/>
    <cellStyle name="Normal 70 2 2 5" xfId="26805" xr:uid="{00000000-0005-0000-0000-0000E1730000}"/>
    <cellStyle name="Normal 70 2 2_Additional Disclosures" xfId="16820" xr:uid="{00000000-0005-0000-0000-0000E2730000}"/>
    <cellStyle name="Normal 70 2 3" xfId="12036" xr:uid="{00000000-0005-0000-0000-0000E3730000}"/>
    <cellStyle name="Normal 70 2 3 2" xfId="26809" xr:uid="{00000000-0005-0000-0000-0000E4730000}"/>
    <cellStyle name="Normal 70 2 4" xfId="13724" xr:uid="{00000000-0005-0000-0000-0000E5730000}"/>
    <cellStyle name="Normal 70 2 4 2" xfId="26810" xr:uid="{00000000-0005-0000-0000-0000E6730000}"/>
    <cellStyle name="Normal 70 2 5" xfId="14868" xr:uid="{00000000-0005-0000-0000-0000E7730000}"/>
    <cellStyle name="Normal 70 2 5 2" xfId="26811" xr:uid="{00000000-0005-0000-0000-0000E8730000}"/>
    <cellStyle name="Normal 70 2 6" xfId="26804" xr:uid="{00000000-0005-0000-0000-0000E9730000}"/>
    <cellStyle name="Normal 70 2 7" xfId="32484" xr:uid="{00000000-0005-0000-0000-0000EA730000}"/>
    <cellStyle name="Normal 70 2_Additional Disclosures" xfId="16819" xr:uid="{00000000-0005-0000-0000-0000EB730000}"/>
    <cellStyle name="Normal 70 3" xfId="9645" xr:uid="{00000000-0005-0000-0000-0000EC730000}"/>
    <cellStyle name="Normal 70 3 2" xfId="11266" xr:uid="{00000000-0005-0000-0000-0000ED730000}"/>
    <cellStyle name="Normal 70 3 2 2" xfId="12687" xr:uid="{00000000-0005-0000-0000-0000EE730000}"/>
    <cellStyle name="Normal 70 3 2 2 2" xfId="26814" xr:uid="{00000000-0005-0000-0000-0000EF730000}"/>
    <cellStyle name="Normal 70 3 2 3" xfId="26813" xr:uid="{00000000-0005-0000-0000-0000F0730000}"/>
    <cellStyle name="Normal 70 3 3" xfId="12037" xr:uid="{00000000-0005-0000-0000-0000F1730000}"/>
    <cellStyle name="Normal 70 3 3 2" xfId="26815" xr:uid="{00000000-0005-0000-0000-0000F2730000}"/>
    <cellStyle name="Normal 70 3 4" xfId="13980" xr:uid="{00000000-0005-0000-0000-0000F3730000}"/>
    <cellStyle name="Normal 70 3 4 2" xfId="26816" xr:uid="{00000000-0005-0000-0000-0000F4730000}"/>
    <cellStyle name="Normal 70 3 5" xfId="15124" xr:uid="{00000000-0005-0000-0000-0000F5730000}"/>
    <cellStyle name="Normal 70 3 5 2" xfId="26817" xr:uid="{00000000-0005-0000-0000-0000F6730000}"/>
    <cellStyle name="Normal 70 3 6" xfId="26812" xr:uid="{00000000-0005-0000-0000-0000F7730000}"/>
    <cellStyle name="Normal 70 3_Additional Disclosures" xfId="16821" xr:uid="{00000000-0005-0000-0000-0000F8730000}"/>
    <cellStyle name="Normal 70 4" xfId="13469" xr:uid="{00000000-0005-0000-0000-0000F9730000}"/>
    <cellStyle name="Normal 70 4 2" xfId="26818" xr:uid="{00000000-0005-0000-0000-0000FA730000}"/>
    <cellStyle name="Normal 70 5" xfId="14614" xr:uid="{00000000-0005-0000-0000-0000FB730000}"/>
    <cellStyle name="Normal 70 5 2" xfId="26819" xr:uid="{00000000-0005-0000-0000-0000FC730000}"/>
    <cellStyle name="Normal 70 6" xfId="26803" xr:uid="{00000000-0005-0000-0000-0000FD730000}"/>
    <cellStyle name="Normal 70 7" xfId="29024" xr:uid="{00000000-0005-0000-0000-0000FE730000}"/>
    <cellStyle name="Normal 70 8" xfId="17200" xr:uid="{00000000-0005-0000-0000-0000FF730000}"/>
    <cellStyle name="Normal 70 9" xfId="29035" xr:uid="{00000000-0005-0000-0000-000000740000}"/>
    <cellStyle name="Normal 70_Additional Disclosures" xfId="16818" xr:uid="{00000000-0005-0000-0000-000001740000}"/>
    <cellStyle name="Normal 700" xfId="32485" xr:uid="{00000000-0005-0000-0000-000002740000}"/>
    <cellStyle name="Normal 701" xfId="32486" xr:uid="{00000000-0005-0000-0000-000003740000}"/>
    <cellStyle name="Normal 707" xfId="32487" xr:uid="{00000000-0005-0000-0000-000004740000}"/>
    <cellStyle name="Normal 71" xfId="611" xr:uid="{00000000-0005-0000-0000-000005740000}"/>
    <cellStyle name="Normal 71 10" xfId="17228" xr:uid="{00000000-0005-0000-0000-000006740000}"/>
    <cellStyle name="Normal 71 11" xfId="32488" xr:uid="{00000000-0005-0000-0000-000007740000}"/>
    <cellStyle name="Normal 71 2" xfId="9646" xr:uid="{00000000-0005-0000-0000-000008740000}"/>
    <cellStyle name="Normal 71 2 2" xfId="11267" xr:uid="{00000000-0005-0000-0000-000009740000}"/>
    <cellStyle name="Normal 71 2 2 2" xfId="12688" xr:uid="{00000000-0005-0000-0000-00000A740000}"/>
    <cellStyle name="Normal 71 2 2 2 2" xfId="26823" xr:uid="{00000000-0005-0000-0000-00000B740000}"/>
    <cellStyle name="Normal 71 2 2 3" xfId="14235" xr:uid="{00000000-0005-0000-0000-00000C740000}"/>
    <cellStyle name="Normal 71 2 2 3 2" xfId="26824" xr:uid="{00000000-0005-0000-0000-00000D740000}"/>
    <cellStyle name="Normal 71 2 2 4" xfId="15379" xr:uid="{00000000-0005-0000-0000-00000E740000}"/>
    <cellStyle name="Normal 71 2 2 4 2" xfId="26825" xr:uid="{00000000-0005-0000-0000-00000F740000}"/>
    <cellStyle name="Normal 71 2 2 5" xfId="26822" xr:uid="{00000000-0005-0000-0000-000010740000}"/>
    <cellStyle name="Normal 71 2 2_Additional Disclosures" xfId="16824" xr:uid="{00000000-0005-0000-0000-000011740000}"/>
    <cellStyle name="Normal 71 2 3" xfId="12038" xr:uid="{00000000-0005-0000-0000-000012740000}"/>
    <cellStyle name="Normal 71 2 3 2" xfId="26826" xr:uid="{00000000-0005-0000-0000-000013740000}"/>
    <cellStyle name="Normal 71 2 4" xfId="13725" xr:uid="{00000000-0005-0000-0000-000014740000}"/>
    <cellStyle name="Normal 71 2 4 2" xfId="26827" xr:uid="{00000000-0005-0000-0000-000015740000}"/>
    <cellStyle name="Normal 71 2 5" xfId="14869" xr:uid="{00000000-0005-0000-0000-000016740000}"/>
    <cellStyle name="Normal 71 2 5 2" xfId="26828" xr:uid="{00000000-0005-0000-0000-000017740000}"/>
    <cellStyle name="Normal 71 2 6" xfId="26821" xr:uid="{00000000-0005-0000-0000-000018740000}"/>
    <cellStyle name="Normal 71 2 7" xfId="32489" xr:uid="{00000000-0005-0000-0000-000019740000}"/>
    <cellStyle name="Normal 71 2_Additional Disclosures" xfId="16823" xr:uid="{00000000-0005-0000-0000-00001A740000}"/>
    <cellStyle name="Normal 71 3" xfId="9647" xr:uid="{00000000-0005-0000-0000-00001B740000}"/>
    <cellStyle name="Normal 71 3 2" xfId="11268" xr:uid="{00000000-0005-0000-0000-00001C740000}"/>
    <cellStyle name="Normal 71 3 2 2" xfId="12689" xr:uid="{00000000-0005-0000-0000-00001D740000}"/>
    <cellStyle name="Normal 71 3 2 2 2" xfId="26831" xr:uid="{00000000-0005-0000-0000-00001E740000}"/>
    <cellStyle name="Normal 71 3 2 3" xfId="26830" xr:uid="{00000000-0005-0000-0000-00001F740000}"/>
    <cellStyle name="Normal 71 3 3" xfId="12039" xr:uid="{00000000-0005-0000-0000-000020740000}"/>
    <cellStyle name="Normal 71 3 3 2" xfId="26832" xr:uid="{00000000-0005-0000-0000-000021740000}"/>
    <cellStyle name="Normal 71 3 4" xfId="13981" xr:uid="{00000000-0005-0000-0000-000022740000}"/>
    <cellStyle name="Normal 71 3 4 2" xfId="26833" xr:uid="{00000000-0005-0000-0000-000023740000}"/>
    <cellStyle name="Normal 71 3 5" xfId="15125" xr:uid="{00000000-0005-0000-0000-000024740000}"/>
    <cellStyle name="Normal 71 3 5 2" xfId="26834" xr:uid="{00000000-0005-0000-0000-000025740000}"/>
    <cellStyle name="Normal 71 3 6" xfId="26829" xr:uid="{00000000-0005-0000-0000-000026740000}"/>
    <cellStyle name="Normal 71 3_Additional Disclosures" xfId="16825" xr:uid="{00000000-0005-0000-0000-000027740000}"/>
    <cellStyle name="Normal 71 4" xfId="13470" xr:uid="{00000000-0005-0000-0000-000028740000}"/>
    <cellStyle name="Normal 71 4 2" xfId="26835" xr:uid="{00000000-0005-0000-0000-000029740000}"/>
    <cellStyle name="Normal 71 5" xfId="14615" xr:uid="{00000000-0005-0000-0000-00002A740000}"/>
    <cellStyle name="Normal 71 5 2" xfId="26836" xr:uid="{00000000-0005-0000-0000-00002B740000}"/>
    <cellStyle name="Normal 71 6" xfId="26820" xr:uid="{00000000-0005-0000-0000-00002C740000}"/>
    <cellStyle name="Normal 71 7" xfId="29026" xr:uid="{00000000-0005-0000-0000-00002D740000}"/>
    <cellStyle name="Normal 71 8" xfId="17201" xr:uid="{00000000-0005-0000-0000-00002E740000}"/>
    <cellStyle name="Normal 71 9" xfId="29037" xr:uid="{00000000-0005-0000-0000-00002F740000}"/>
    <cellStyle name="Normal 71_Additional Disclosures" xfId="16822" xr:uid="{00000000-0005-0000-0000-000030740000}"/>
    <cellStyle name="Normal 714" xfId="32490" xr:uid="{00000000-0005-0000-0000-000031740000}"/>
    <cellStyle name="Normal 72" xfId="612" xr:uid="{00000000-0005-0000-0000-000032740000}"/>
    <cellStyle name="Normal 72 10" xfId="17230" xr:uid="{00000000-0005-0000-0000-000033740000}"/>
    <cellStyle name="Normal 72 11" xfId="32491" xr:uid="{00000000-0005-0000-0000-000034740000}"/>
    <cellStyle name="Normal 72 2" xfId="9648" xr:uid="{00000000-0005-0000-0000-000035740000}"/>
    <cellStyle name="Normal 72 2 2" xfId="11269" xr:uid="{00000000-0005-0000-0000-000036740000}"/>
    <cellStyle name="Normal 72 2 2 2" xfId="12690" xr:uid="{00000000-0005-0000-0000-000037740000}"/>
    <cellStyle name="Normal 72 2 2 2 2" xfId="26840" xr:uid="{00000000-0005-0000-0000-000038740000}"/>
    <cellStyle name="Normal 72 2 2 3" xfId="14236" xr:uid="{00000000-0005-0000-0000-000039740000}"/>
    <cellStyle name="Normal 72 2 2 3 2" xfId="26841" xr:uid="{00000000-0005-0000-0000-00003A740000}"/>
    <cellStyle name="Normal 72 2 2 4" xfId="15380" xr:uid="{00000000-0005-0000-0000-00003B740000}"/>
    <cellStyle name="Normal 72 2 2 4 2" xfId="26842" xr:uid="{00000000-0005-0000-0000-00003C740000}"/>
    <cellStyle name="Normal 72 2 2 5" xfId="26839" xr:uid="{00000000-0005-0000-0000-00003D740000}"/>
    <cellStyle name="Normal 72 2 2_Additional Disclosures" xfId="16828" xr:uid="{00000000-0005-0000-0000-00003E740000}"/>
    <cellStyle name="Normal 72 2 3" xfId="12040" xr:uid="{00000000-0005-0000-0000-00003F740000}"/>
    <cellStyle name="Normal 72 2 3 2" xfId="26843" xr:uid="{00000000-0005-0000-0000-000040740000}"/>
    <cellStyle name="Normal 72 2 4" xfId="13726" xr:uid="{00000000-0005-0000-0000-000041740000}"/>
    <cellStyle name="Normal 72 2 4 2" xfId="26844" xr:uid="{00000000-0005-0000-0000-000042740000}"/>
    <cellStyle name="Normal 72 2 5" xfId="14870" xr:uid="{00000000-0005-0000-0000-000043740000}"/>
    <cellStyle name="Normal 72 2 5 2" xfId="26845" xr:uid="{00000000-0005-0000-0000-000044740000}"/>
    <cellStyle name="Normal 72 2 6" xfId="26838" xr:uid="{00000000-0005-0000-0000-000045740000}"/>
    <cellStyle name="Normal 72 2 7" xfId="32492" xr:uid="{00000000-0005-0000-0000-000046740000}"/>
    <cellStyle name="Normal 72 2_Additional Disclosures" xfId="16827" xr:uid="{00000000-0005-0000-0000-000047740000}"/>
    <cellStyle name="Normal 72 3" xfId="9649" xr:uid="{00000000-0005-0000-0000-000048740000}"/>
    <cellStyle name="Normal 72 3 2" xfId="11270" xr:uid="{00000000-0005-0000-0000-000049740000}"/>
    <cellStyle name="Normal 72 3 2 2" xfId="12691" xr:uid="{00000000-0005-0000-0000-00004A740000}"/>
    <cellStyle name="Normal 72 3 2 2 2" xfId="26848" xr:uid="{00000000-0005-0000-0000-00004B740000}"/>
    <cellStyle name="Normal 72 3 2 3" xfId="26847" xr:uid="{00000000-0005-0000-0000-00004C740000}"/>
    <cellStyle name="Normal 72 3 3" xfId="12041" xr:uid="{00000000-0005-0000-0000-00004D740000}"/>
    <cellStyle name="Normal 72 3 3 2" xfId="26849" xr:uid="{00000000-0005-0000-0000-00004E740000}"/>
    <cellStyle name="Normal 72 3 4" xfId="13982" xr:uid="{00000000-0005-0000-0000-00004F740000}"/>
    <cellStyle name="Normal 72 3 4 2" xfId="26850" xr:uid="{00000000-0005-0000-0000-000050740000}"/>
    <cellStyle name="Normal 72 3 5" xfId="15126" xr:uid="{00000000-0005-0000-0000-000051740000}"/>
    <cellStyle name="Normal 72 3 5 2" xfId="26851" xr:uid="{00000000-0005-0000-0000-000052740000}"/>
    <cellStyle name="Normal 72 3 6" xfId="26846" xr:uid="{00000000-0005-0000-0000-000053740000}"/>
    <cellStyle name="Normal 72 3_Additional Disclosures" xfId="16829" xr:uid="{00000000-0005-0000-0000-000054740000}"/>
    <cellStyle name="Normal 72 4" xfId="13471" xr:uid="{00000000-0005-0000-0000-000055740000}"/>
    <cellStyle name="Normal 72 4 2" xfId="26852" xr:uid="{00000000-0005-0000-0000-000056740000}"/>
    <cellStyle name="Normal 72 5" xfId="14616" xr:uid="{00000000-0005-0000-0000-000057740000}"/>
    <cellStyle name="Normal 72 5 2" xfId="26853" xr:uid="{00000000-0005-0000-0000-000058740000}"/>
    <cellStyle name="Normal 72 6" xfId="26837" xr:uid="{00000000-0005-0000-0000-000059740000}"/>
    <cellStyle name="Normal 72 7" xfId="29028" xr:uid="{00000000-0005-0000-0000-00005A740000}"/>
    <cellStyle name="Normal 72 8" xfId="17204" xr:uid="{00000000-0005-0000-0000-00005B740000}"/>
    <cellStyle name="Normal 72 9" xfId="29039" xr:uid="{00000000-0005-0000-0000-00005C740000}"/>
    <cellStyle name="Normal 72_Additional Disclosures" xfId="16826" xr:uid="{00000000-0005-0000-0000-00005D740000}"/>
    <cellStyle name="Normal 721" xfId="32493" xr:uid="{00000000-0005-0000-0000-00005E740000}"/>
    <cellStyle name="Normal 729" xfId="32494" xr:uid="{00000000-0005-0000-0000-00005F740000}"/>
    <cellStyle name="Normal 73" xfId="613" xr:uid="{00000000-0005-0000-0000-000060740000}"/>
    <cellStyle name="Normal 73 10" xfId="9650" xr:uid="{00000000-0005-0000-0000-000061740000}"/>
    <cellStyle name="Normal 73 10 2" xfId="26855" xr:uid="{00000000-0005-0000-0000-000062740000}"/>
    <cellStyle name="Normal 73 11" xfId="9651" xr:uid="{00000000-0005-0000-0000-000063740000}"/>
    <cellStyle name="Normal 73 11 2" xfId="26856" xr:uid="{00000000-0005-0000-0000-000064740000}"/>
    <cellStyle name="Normal 73 12" xfId="9652" xr:uid="{00000000-0005-0000-0000-000065740000}"/>
    <cellStyle name="Normal 73 12 2" xfId="26857" xr:uid="{00000000-0005-0000-0000-000066740000}"/>
    <cellStyle name="Normal 73 13" xfId="9653" xr:uid="{00000000-0005-0000-0000-000067740000}"/>
    <cellStyle name="Normal 73 13 2" xfId="11271" xr:uid="{00000000-0005-0000-0000-000068740000}"/>
    <cellStyle name="Normal 73 13 2 2" xfId="12692" xr:uid="{00000000-0005-0000-0000-000069740000}"/>
    <cellStyle name="Normal 73 13 2 2 2" xfId="26860" xr:uid="{00000000-0005-0000-0000-00006A740000}"/>
    <cellStyle name="Normal 73 13 2 3" xfId="26859" xr:uid="{00000000-0005-0000-0000-00006B740000}"/>
    <cellStyle name="Normal 73 13 3" xfId="12042" xr:uid="{00000000-0005-0000-0000-00006C740000}"/>
    <cellStyle name="Normal 73 13 3 2" xfId="26861" xr:uid="{00000000-0005-0000-0000-00006D740000}"/>
    <cellStyle name="Normal 73 13 4" xfId="26858" xr:uid="{00000000-0005-0000-0000-00006E740000}"/>
    <cellStyle name="Normal 73 14" xfId="9654" xr:uid="{00000000-0005-0000-0000-00006F740000}"/>
    <cellStyle name="Normal 73 14 2" xfId="11272" xr:uid="{00000000-0005-0000-0000-000070740000}"/>
    <cellStyle name="Normal 73 14 2 2" xfId="12693" xr:uid="{00000000-0005-0000-0000-000071740000}"/>
    <cellStyle name="Normal 73 14 2 2 2" xfId="26864" xr:uid="{00000000-0005-0000-0000-000072740000}"/>
    <cellStyle name="Normal 73 14 2 3" xfId="26863" xr:uid="{00000000-0005-0000-0000-000073740000}"/>
    <cellStyle name="Normal 73 14 3" xfId="12043" xr:uid="{00000000-0005-0000-0000-000074740000}"/>
    <cellStyle name="Normal 73 14 3 2" xfId="26865" xr:uid="{00000000-0005-0000-0000-000075740000}"/>
    <cellStyle name="Normal 73 14 4" xfId="26862" xr:uid="{00000000-0005-0000-0000-000076740000}"/>
    <cellStyle name="Normal 73 15" xfId="13472" xr:uid="{00000000-0005-0000-0000-000077740000}"/>
    <cellStyle name="Normal 73 15 2" xfId="26866" xr:uid="{00000000-0005-0000-0000-000078740000}"/>
    <cellStyle name="Normal 73 16" xfId="14617" xr:uid="{00000000-0005-0000-0000-000079740000}"/>
    <cellStyle name="Normal 73 16 2" xfId="26867" xr:uid="{00000000-0005-0000-0000-00007A740000}"/>
    <cellStyle name="Normal 73 17" xfId="26854" xr:uid="{00000000-0005-0000-0000-00007B740000}"/>
    <cellStyle name="Normal 73 18" xfId="32495" xr:uid="{00000000-0005-0000-0000-00007C740000}"/>
    <cellStyle name="Normal 73 2" xfId="9655" xr:uid="{00000000-0005-0000-0000-00007D740000}"/>
    <cellStyle name="Normal 73 2 10" xfId="17232" xr:uid="{00000000-0005-0000-0000-00007E740000}"/>
    <cellStyle name="Normal 73 2 11" xfId="32496" xr:uid="{00000000-0005-0000-0000-00007F740000}"/>
    <cellStyle name="Normal 73 2 12" xfId="32497" xr:uid="{00000000-0005-0000-0000-000080740000}"/>
    <cellStyle name="Normal 73 2 2" xfId="12111" xr:uid="{00000000-0005-0000-0000-000081740000}"/>
    <cellStyle name="Normal 73 2 2 2" xfId="14237" xr:uid="{00000000-0005-0000-0000-000082740000}"/>
    <cellStyle name="Normal 73 2 2 2 2" xfId="26870" xr:uid="{00000000-0005-0000-0000-000083740000}"/>
    <cellStyle name="Normal 73 2 2 3" xfId="15381" xr:uid="{00000000-0005-0000-0000-000084740000}"/>
    <cellStyle name="Normal 73 2 2 3 2" xfId="26871" xr:uid="{00000000-0005-0000-0000-000085740000}"/>
    <cellStyle name="Normal 73 2 2 4" xfId="26869" xr:uid="{00000000-0005-0000-0000-000086740000}"/>
    <cellStyle name="Normal 73 2 2_Additional Disclosures" xfId="16832" xr:uid="{00000000-0005-0000-0000-000087740000}"/>
    <cellStyle name="Normal 73 2 3" xfId="12112" xr:uid="{00000000-0005-0000-0000-000088740000}"/>
    <cellStyle name="Normal 73 2 3 2" xfId="26872" xr:uid="{00000000-0005-0000-0000-000089740000}"/>
    <cellStyle name="Normal 73 2 4" xfId="13727" xr:uid="{00000000-0005-0000-0000-00008A740000}"/>
    <cellStyle name="Normal 73 2 4 2" xfId="26873" xr:uid="{00000000-0005-0000-0000-00008B740000}"/>
    <cellStyle name="Normal 73 2 5" xfId="14871" xr:uid="{00000000-0005-0000-0000-00008C740000}"/>
    <cellStyle name="Normal 73 2 5 2" xfId="26874" xr:uid="{00000000-0005-0000-0000-00008D740000}"/>
    <cellStyle name="Normal 73 2 6" xfId="26868" xr:uid="{00000000-0005-0000-0000-00008E740000}"/>
    <cellStyle name="Normal 73 2 7" xfId="29030" xr:uid="{00000000-0005-0000-0000-00008F740000}"/>
    <cellStyle name="Normal 73 2 8" xfId="17220" xr:uid="{00000000-0005-0000-0000-000090740000}"/>
    <cellStyle name="Normal 73 2 9" xfId="29041" xr:uid="{00000000-0005-0000-0000-000091740000}"/>
    <cellStyle name="Normal 73 2_Additional Disclosures" xfId="16831" xr:uid="{00000000-0005-0000-0000-000092740000}"/>
    <cellStyle name="Normal 73 3" xfId="9656" xr:uid="{00000000-0005-0000-0000-000093740000}"/>
    <cellStyle name="Normal 73 3 2" xfId="12110" xr:uid="{00000000-0005-0000-0000-000094740000}"/>
    <cellStyle name="Normal 73 3 2 2" xfId="26876" xr:uid="{00000000-0005-0000-0000-000095740000}"/>
    <cellStyle name="Normal 73 3 3" xfId="13983" xr:uid="{00000000-0005-0000-0000-000096740000}"/>
    <cellStyle name="Normal 73 3 3 2" xfId="26877" xr:uid="{00000000-0005-0000-0000-000097740000}"/>
    <cellStyle name="Normal 73 3 4" xfId="15127" xr:uid="{00000000-0005-0000-0000-000098740000}"/>
    <cellStyle name="Normal 73 3 4 2" xfId="26878" xr:uid="{00000000-0005-0000-0000-000099740000}"/>
    <cellStyle name="Normal 73 3 5" xfId="26875" xr:uid="{00000000-0005-0000-0000-00009A740000}"/>
    <cellStyle name="Normal 73 3 6" xfId="32498" xr:uid="{00000000-0005-0000-0000-00009B740000}"/>
    <cellStyle name="Normal 73 3_Additional Disclosures" xfId="16833" xr:uid="{00000000-0005-0000-0000-00009C740000}"/>
    <cellStyle name="Normal 73 4" xfId="9657" xr:uid="{00000000-0005-0000-0000-00009D740000}"/>
    <cellStyle name="Normal 73 4 2" xfId="26879" xr:uid="{00000000-0005-0000-0000-00009E740000}"/>
    <cellStyle name="Normal 73 4 3" xfId="32499" xr:uid="{00000000-0005-0000-0000-00009F740000}"/>
    <cellStyle name="Normal 73 5" xfId="9658" xr:uid="{00000000-0005-0000-0000-0000A0740000}"/>
    <cellStyle name="Normal 73 5 2" xfId="26880" xr:uid="{00000000-0005-0000-0000-0000A1740000}"/>
    <cellStyle name="Normal 73 5 3" xfId="32500" xr:uid="{00000000-0005-0000-0000-0000A2740000}"/>
    <cellStyle name="Normal 73 6" xfId="9659" xr:uid="{00000000-0005-0000-0000-0000A3740000}"/>
    <cellStyle name="Normal 73 6 2" xfId="26881" xr:uid="{00000000-0005-0000-0000-0000A4740000}"/>
    <cellStyle name="Normal 73 6 3" xfId="32501" xr:uid="{00000000-0005-0000-0000-0000A5740000}"/>
    <cellStyle name="Normal 73 7" xfId="9660" xr:uid="{00000000-0005-0000-0000-0000A6740000}"/>
    <cellStyle name="Normal 73 7 2" xfId="26882" xr:uid="{00000000-0005-0000-0000-0000A7740000}"/>
    <cellStyle name="Normal 73 7 3" xfId="32502" xr:uid="{00000000-0005-0000-0000-0000A8740000}"/>
    <cellStyle name="Normal 73 8" xfId="9661" xr:uid="{00000000-0005-0000-0000-0000A9740000}"/>
    <cellStyle name="Normal 73 8 2" xfId="26883" xr:uid="{00000000-0005-0000-0000-0000AA740000}"/>
    <cellStyle name="Normal 73 8 3" xfId="32503" xr:uid="{00000000-0005-0000-0000-0000AB740000}"/>
    <cellStyle name="Normal 73 9" xfId="9662" xr:uid="{00000000-0005-0000-0000-0000AC740000}"/>
    <cellStyle name="Normal 73 9 2" xfId="26884" xr:uid="{00000000-0005-0000-0000-0000AD740000}"/>
    <cellStyle name="Normal 73_Additional Disclosures" xfId="16830" xr:uid="{00000000-0005-0000-0000-0000AE740000}"/>
    <cellStyle name="Normal 736" xfId="32504" xr:uid="{00000000-0005-0000-0000-0000AF740000}"/>
    <cellStyle name="Normal 74" xfId="614" xr:uid="{00000000-0005-0000-0000-0000B0740000}"/>
    <cellStyle name="Normal 74 10" xfId="9663" xr:uid="{00000000-0005-0000-0000-0000B1740000}"/>
    <cellStyle name="Normal 74 10 2" xfId="26886" xr:uid="{00000000-0005-0000-0000-0000B2740000}"/>
    <cellStyle name="Normal 74 11" xfId="9664" xr:uid="{00000000-0005-0000-0000-0000B3740000}"/>
    <cellStyle name="Normal 74 11 2" xfId="26887" xr:uid="{00000000-0005-0000-0000-0000B4740000}"/>
    <cellStyle name="Normal 74 12" xfId="9665" xr:uid="{00000000-0005-0000-0000-0000B5740000}"/>
    <cellStyle name="Normal 74 12 2" xfId="26888" xr:uid="{00000000-0005-0000-0000-0000B6740000}"/>
    <cellStyle name="Normal 74 13" xfId="9666" xr:uid="{00000000-0005-0000-0000-0000B7740000}"/>
    <cellStyle name="Normal 74 13 2" xfId="11273" xr:uid="{00000000-0005-0000-0000-0000B8740000}"/>
    <cellStyle name="Normal 74 13 2 2" xfId="12694" xr:uid="{00000000-0005-0000-0000-0000B9740000}"/>
    <cellStyle name="Normal 74 13 2 2 2" xfId="26891" xr:uid="{00000000-0005-0000-0000-0000BA740000}"/>
    <cellStyle name="Normal 74 13 2 3" xfId="26890" xr:uid="{00000000-0005-0000-0000-0000BB740000}"/>
    <cellStyle name="Normal 74 13 3" xfId="12044" xr:uid="{00000000-0005-0000-0000-0000BC740000}"/>
    <cellStyle name="Normal 74 13 3 2" xfId="26892" xr:uid="{00000000-0005-0000-0000-0000BD740000}"/>
    <cellStyle name="Normal 74 13 4" xfId="26889" xr:uid="{00000000-0005-0000-0000-0000BE740000}"/>
    <cellStyle name="Normal 74 14" xfId="9667" xr:uid="{00000000-0005-0000-0000-0000BF740000}"/>
    <cellStyle name="Normal 74 14 2" xfId="11274" xr:uid="{00000000-0005-0000-0000-0000C0740000}"/>
    <cellStyle name="Normal 74 14 2 2" xfId="12695" xr:uid="{00000000-0005-0000-0000-0000C1740000}"/>
    <cellStyle name="Normal 74 14 2 2 2" xfId="26895" xr:uid="{00000000-0005-0000-0000-0000C2740000}"/>
    <cellStyle name="Normal 74 14 2 3" xfId="26894" xr:uid="{00000000-0005-0000-0000-0000C3740000}"/>
    <cellStyle name="Normal 74 14 3" xfId="12045" xr:uid="{00000000-0005-0000-0000-0000C4740000}"/>
    <cellStyle name="Normal 74 14 3 2" xfId="26896" xr:uid="{00000000-0005-0000-0000-0000C5740000}"/>
    <cellStyle name="Normal 74 14 4" xfId="26893" xr:uid="{00000000-0005-0000-0000-0000C6740000}"/>
    <cellStyle name="Normal 74 15" xfId="13339" xr:uid="{00000000-0005-0000-0000-0000C7740000}"/>
    <cellStyle name="Normal 74 15 2" xfId="26897" xr:uid="{00000000-0005-0000-0000-0000C8740000}"/>
    <cellStyle name="Normal 74 16" xfId="14482" xr:uid="{00000000-0005-0000-0000-0000C9740000}"/>
    <cellStyle name="Normal 74 16 2" xfId="26898" xr:uid="{00000000-0005-0000-0000-0000CA740000}"/>
    <cellStyle name="Normal 74 17" xfId="26885" xr:uid="{00000000-0005-0000-0000-0000CB740000}"/>
    <cellStyle name="Normal 74 18" xfId="32505" xr:uid="{00000000-0005-0000-0000-0000CC740000}"/>
    <cellStyle name="Normal 74 19" xfId="32506" xr:uid="{00000000-0005-0000-0000-0000CD740000}"/>
    <cellStyle name="Normal 74 2" xfId="9668" xr:uid="{00000000-0005-0000-0000-0000CE740000}"/>
    <cellStyle name="Normal 74 2 10" xfId="17235" xr:uid="{00000000-0005-0000-0000-0000CF740000}"/>
    <cellStyle name="Normal 74 2 11" xfId="32507" xr:uid="{00000000-0005-0000-0000-0000D0740000}"/>
    <cellStyle name="Normal 74 2 12" xfId="32508" xr:uid="{00000000-0005-0000-0000-0000D1740000}"/>
    <cellStyle name="Normal 74 2 13" xfId="32509" xr:uid="{00000000-0005-0000-0000-0000D2740000}"/>
    <cellStyle name="Normal 74 2 14" xfId="32510" xr:uid="{00000000-0005-0000-0000-0000D3740000}"/>
    <cellStyle name="Normal 74 2 15" xfId="33357" xr:uid="{00000000-0005-0000-0000-0000D4740000}"/>
    <cellStyle name="Normal 74 2 2" xfId="12108" xr:uid="{00000000-0005-0000-0000-0000D5740000}"/>
    <cellStyle name="Normal 74 2 2 2" xfId="14145" xr:uid="{00000000-0005-0000-0000-0000D6740000}"/>
    <cellStyle name="Normal 74 2 2 2 2" xfId="15289" xr:uid="{00000000-0005-0000-0000-0000D7740000}"/>
    <cellStyle name="Normal 74 2 2 2 2 2" xfId="26902" xr:uid="{00000000-0005-0000-0000-0000D8740000}"/>
    <cellStyle name="Normal 74 2 2 2 3" xfId="26901" xr:uid="{00000000-0005-0000-0000-0000D9740000}"/>
    <cellStyle name="Normal 74 2 2 2_Additional Disclosures" xfId="16837" xr:uid="{00000000-0005-0000-0000-0000DA740000}"/>
    <cellStyle name="Normal 74 2 2 3" xfId="13634" xr:uid="{00000000-0005-0000-0000-0000DB740000}"/>
    <cellStyle name="Normal 74 2 2 3 2" xfId="26903" xr:uid="{00000000-0005-0000-0000-0000DC740000}"/>
    <cellStyle name="Normal 74 2 2 4" xfId="14779" xr:uid="{00000000-0005-0000-0000-0000DD740000}"/>
    <cellStyle name="Normal 74 2 2 4 2" xfId="26904" xr:uid="{00000000-0005-0000-0000-0000DE740000}"/>
    <cellStyle name="Normal 74 2 2 5" xfId="26900" xr:uid="{00000000-0005-0000-0000-0000DF740000}"/>
    <cellStyle name="Normal 74 2 2 6" xfId="32511" xr:uid="{00000000-0005-0000-0000-0000E0740000}"/>
    <cellStyle name="Normal 74 2 2 7" xfId="33741" xr:uid="{00000000-0005-0000-0000-0000E1740000}"/>
    <cellStyle name="Normal 74 2 2 8" xfId="34286" xr:uid="{00000000-0005-0000-0000-0000E2740000}"/>
    <cellStyle name="Normal 74 2 2_Additional Disclosures" xfId="16836" xr:uid="{00000000-0005-0000-0000-0000E3740000}"/>
    <cellStyle name="Normal 74 2 3" xfId="12109" xr:uid="{00000000-0005-0000-0000-0000E4740000}"/>
    <cellStyle name="Normal 74 2 3 2" xfId="13890" xr:uid="{00000000-0005-0000-0000-0000E5740000}"/>
    <cellStyle name="Normal 74 2 3 2 2" xfId="26906" xr:uid="{00000000-0005-0000-0000-0000E6740000}"/>
    <cellStyle name="Normal 74 2 3 3" xfId="15035" xr:uid="{00000000-0005-0000-0000-0000E7740000}"/>
    <cellStyle name="Normal 74 2 3 3 2" xfId="26907" xr:uid="{00000000-0005-0000-0000-0000E8740000}"/>
    <cellStyle name="Normal 74 2 3 4" xfId="26905" xr:uid="{00000000-0005-0000-0000-0000E9740000}"/>
    <cellStyle name="Normal 74 2 3 5" xfId="33970" xr:uid="{00000000-0005-0000-0000-0000EA740000}"/>
    <cellStyle name="Normal 74 2 3_Additional Disclosures" xfId="16838" xr:uid="{00000000-0005-0000-0000-0000EB740000}"/>
    <cellStyle name="Normal 74 2 4" xfId="13379" xr:uid="{00000000-0005-0000-0000-0000EC740000}"/>
    <cellStyle name="Normal 74 2 4 2" xfId="26908" xr:uid="{00000000-0005-0000-0000-0000ED740000}"/>
    <cellStyle name="Normal 74 2 4 3" xfId="34184" xr:uid="{00000000-0005-0000-0000-0000EE740000}"/>
    <cellStyle name="Normal 74 2 5" xfId="14523" xr:uid="{00000000-0005-0000-0000-0000EF740000}"/>
    <cellStyle name="Normal 74 2 5 2" xfId="26909" xr:uid="{00000000-0005-0000-0000-0000F0740000}"/>
    <cellStyle name="Normal 74 2 6" xfId="26899" xr:uid="{00000000-0005-0000-0000-0000F1740000}"/>
    <cellStyle name="Normal 74 2 7" xfId="29032" xr:uid="{00000000-0005-0000-0000-0000F2740000}"/>
    <cellStyle name="Normal 74 2 8" xfId="17224" xr:uid="{00000000-0005-0000-0000-0000F3740000}"/>
    <cellStyle name="Normal 74 2 9" xfId="29043" xr:uid="{00000000-0005-0000-0000-0000F4740000}"/>
    <cellStyle name="Normal 74 2_Additional Disclosures" xfId="16835" xr:uid="{00000000-0005-0000-0000-0000F5740000}"/>
    <cellStyle name="Normal 74 20" xfId="32512" xr:uid="{00000000-0005-0000-0000-0000F6740000}"/>
    <cellStyle name="Normal 74 21" xfId="33259" xr:uid="{00000000-0005-0000-0000-0000F7740000}"/>
    <cellStyle name="Normal 74 3" xfId="9669" xr:uid="{00000000-0005-0000-0000-0000F8740000}"/>
    <cellStyle name="Normal 74 3 10" xfId="32513" xr:uid="{00000000-0005-0000-0000-0000F9740000}"/>
    <cellStyle name="Normal 74 3 11" xfId="32514" xr:uid="{00000000-0005-0000-0000-0000FA740000}"/>
    <cellStyle name="Normal 74 3 12" xfId="32515" xr:uid="{00000000-0005-0000-0000-0000FB740000}"/>
    <cellStyle name="Normal 74 3 13" xfId="33644" xr:uid="{00000000-0005-0000-0000-0000FC740000}"/>
    <cellStyle name="Normal 74 3 2" xfId="12107" xr:uid="{00000000-0005-0000-0000-0000FD740000}"/>
    <cellStyle name="Normal 74 3 2 2" xfId="14105" xr:uid="{00000000-0005-0000-0000-0000FE740000}"/>
    <cellStyle name="Normal 74 3 2 2 2" xfId="26912" xr:uid="{00000000-0005-0000-0000-0000FF740000}"/>
    <cellStyle name="Normal 74 3 2 3" xfId="15249" xr:uid="{00000000-0005-0000-0000-000000750000}"/>
    <cellStyle name="Normal 74 3 2 3 2" xfId="26913" xr:uid="{00000000-0005-0000-0000-000001750000}"/>
    <cellStyle name="Normal 74 3 2 4" xfId="26911" xr:uid="{00000000-0005-0000-0000-000002750000}"/>
    <cellStyle name="Normal 74 3 2_Additional Disclosures" xfId="16840" xr:uid="{00000000-0005-0000-0000-000003750000}"/>
    <cellStyle name="Normal 74 3 3" xfId="13594" xr:uid="{00000000-0005-0000-0000-000004750000}"/>
    <cellStyle name="Normal 74 3 3 2" xfId="26914" xr:uid="{00000000-0005-0000-0000-000005750000}"/>
    <cellStyle name="Normal 74 3 4" xfId="14739" xr:uid="{00000000-0005-0000-0000-000006750000}"/>
    <cellStyle name="Normal 74 3 4 2" xfId="26915" xr:uid="{00000000-0005-0000-0000-000007750000}"/>
    <cellStyle name="Normal 74 3 5" xfId="26910" xr:uid="{00000000-0005-0000-0000-000008750000}"/>
    <cellStyle name="Normal 74 3 6" xfId="29034" xr:uid="{00000000-0005-0000-0000-000009750000}"/>
    <cellStyle name="Normal 74 3 7" xfId="17225" xr:uid="{00000000-0005-0000-0000-00000A750000}"/>
    <cellStyle name="Normal 74 3 8" xfId="29044" xr:uid="{00000000-0005-0000-0000-00000B750000}"/>
    <cellStyle name="Normal 74 3 9" xfId="17236" xr:uid="{00000000-0005-0000-0000-00000C750000}"/>
    <cellStyle name="Normal 74 3_Additional Disclosures" xfId="16839" xr:uid="{00000000-0005-0000-0000-00000D750000}"/>
    <cellStyle name="Normal 74 4" xfId="9670" xr:uid="{00000000-0005-0000-0000-00000E750000}"/>
    <cellStyle name="Normal 74 4 2" xfId="13850" xr:uid="{00000000-0005-0000-0000-00000F750000}"/>
    <cellStyle name="Normal 74 4 2 2" xfId="26917" xr:uid="{00000000-0005-0000-0000-000010750000}"/>
    <cellStyle name="Normal 74 4 3" xfId="14995" xr:uid="{00000000-0005-0000-0000-000011750000}"/>
    <cellStyle name="Normal 74 4 3 2" xfId="26918" xr:uid="{00000000-0005-0000-0000-000012750000}"/>
    <cellStyle name="Normal 74 4 4" xfId="26916" xr:uid="{00000000-0005-0000-0000-000013750000}"/>
    <cellStyle name="Normal 74 4 5" xfId="32516" xr:uid="{00000000-0005-0000-0000-000014750000}"/>
    <cellStyle name="Normal 74 4 6" xfId="33872" xr:uid="{00000000-0005-0000-0000-000015750000}"/>
    <cellStyle name="Normal 74 4_Additional Disclosures" xfId="16841" xr:uid="{00000000-0005-0000-0000-000016750000}"/>
    <cellStyle name="Normal 74 5" xfId="9671" xr:uid="{00000000-0005-0000-0000-000017750000}"/>
    <cellStyle name="Normal 74 5 2" xfId="26919" xr:uid="{00000000-0005-0000-0000-000018750000}"/>
    <cellStyle name="Normal 74 5 3" xfId="32517" xr:uid="{00000000-0005-0000-0000-000019750000}"/>
    <cellStyle name="Normal 74 5 4" xfId="34087" xr:uid="{00000000-0005-0000-0000-00001A750000}"/>
    <cellStyle name="Normal 74 6" xfId="9672" xr:uid="{00000000-0005-0000-0000-00001B750000}"/>
    <cellStyle name="Normal 74 6 2" xfId="26920" xr:uid="{00000000-0005-0000-0000-00001C750000}"/>
    <cellStyle name="Normal 74 6 3" xfId="32518" xr:uid="{00000000-0005-0000-0000-00001D750000}"/>
    <cellStyle name="Normal 74 7" xfId="9673" xr:uid="{00000000-0005-0000-0000-00001E750000}"/>
    <cellStyle name="Normal 74 7 2" xfId="26921" xr:uid="{00000000-0005-0000-0000-00001F750000}"/>
    <cellStyle name="Normal 74 7 3" xfId="32519" xr:uid="{00000000-0005-0000-0000-000020750000}"/>
    <cellStyle name="Normal 74 8" xfId="9674" xr:uid="{00000000-0005-0000-0000-000021750000}"/>
    <cellStyle name="Normal 74 8 2" xfId="26922" xr:uid="{00000000-0005-0000-0000-000022750000}"/>
    <cellStyle name="Normal 74 8 3" xfId="32520" xr:uid="{00000000-0005-0000-0000-000023750000}"/>
    <cellStyle name="Normal 74 9" xfId="9675" xr:uid="{00000000-0005-0000-0000-000024750000}"/>
    <cellStyle name="Normal 74 9 2" xfId="26923" xr:uid="{00000000-0005-0000-0000-000025750000}"/>
    <cellStyle name="Normal 74 9 3" xfId="32521" xr:uid="{00000000-0005-0000-0000-000026750000}"/>
    <cellStyle name="Normal 74_Additional Disclosures" xfId="16834" xr:uid="{00000000-0005-0000-0000-000027750000}"/>
    <cellStyle name="Normal 743" xfId="32522" xr:uid="{00000000-0005-0000-0000-000028750000}"/>
    <cellStyle name="Normal 75" xfId="615" xr:uid="{00000000-0005-0000-0000-000029750000}"/>
    <cellStyle name="Normal 75 10" xfId="17244" xr:uid="{00000000-0005-0000-0000-00002A750000}"/>
    <cellStyle name="Normal 75 11" xfId="32523" xr:uid="{00000000-0005-0000-0000-00002B750000}"/>
    <cellStyle name="Normal 75 2" xfId="9676" xr:uid="{00000000-0005-0000-0000-00002C750000}"/>
    <cellStyle name="Normal 75 2 2" xfId="11275" xr:uid="{00000000-0005-0000-0000-00002D750000}"/>
    <cellStyle name="Normal 75 2 2 2" xfId="12696" xr:uid="{00000000-0005-0000-0000-00002E750000}"/>
    <cellStyle name="Normal 75 2 2 2 2" xfId="26927" xr:uid="{00000000-0005-0000-0000-00002F750000}"/>
    <cellStyle name="Normal 75 2 2 3" xfId="14238" xr:uid="{00000000-0005-0000-0000-000030750000}"/>
    <cellStyle name="Normal 75 2 2 3 2" xfId="26928" xr:uid="{00000000-0005-0000-0000-000031750000}"/>
    <cellStyle name="Normal 75 2 2 4" xfId="15382" xr:uid="{00000000-0005-0000-0000-000032750000}"/>
    <cellStyle name="Normal 75 2 2 4 2" xfId="26929" xr:uid="{00000000-0005-0000-0000-000033750000}"/>
    <cellStyle name="Normal 75 2 2 5" xfId="26926" xr:uid="{00000000-0005-0000-0000-000034750000}"/>
    <cellStyle name="Normal 75 2 2_Additional Disclosures" xfId="16844" xr:uid="{00000000-0005-0000-0000-000035750000}"/>
    <cellStyle name="Normal 75 2 3" xfId="12046" xr:uid="{00000000-0005-0000-0000-000036750000}"/>
    <cellStyle name="Normal 75 2 3 2" xfId="26930" xr:uid="{00000000-0005-0000-0000-000037750000}"/>
    <cellStyle name="Normal 75 2 4" xfId="13728" xr:uid="{00000000-0005-0000-0000-000038750000}"/>
    <cellStyle name="Normal 75 2 4 2" xfId="26931" xr:uid="{00000000-0005-0000-0000-000039750000}"/>
    <cellStyle name="Normal 75 2 5" xfId="14872" xr:uid="{00000000-0005-0000-0000-00003A750000}"/>
    <cellStyle name="Normal 75 2 5 2" xfId="26932" xr:uid="{00000000-0005-0000-0000-00003B750000}"/>
    <cellStyle name="Normal 75 2 6" xfId="26925" xr:uid="{00000000-0005-0000-0000-00003C750000}"/>
    <cellStyle name="Normal 75 2 7" xfId="32524" xr:uid="{00000000-0005-0000-0000-00003D750000}"/>
    <cellStyle name="Normal 75 2_Additional Disclosures" xfId="16843" xr:uid="{00000000-0005-0000-0000-00003E750000}"/>
    <cellStyle name="Normal 75 3" xfId="9677" xr:uid="{00000000-0005-0000-0000-00003F750000}"/>
    <cellStyle name="Normal 75 3 2" xfId="11276" xr:uid="{00000000-0005-0000-0000-000040750000}"/>
    <cellStyle name="Normal 75 3 2 2" xfId="12697" xr:uid="{00000000-0005-0000-0000-000041750000}"/>
    <cellStyle name="Normal 75 3 2 2 2" xfId="26935" xr:uid="{00000000-0005-0000-0000-000042750000}"/>
    <cellStyle name="Normal 75 3 2 3" xfId="26934" xr:uid="{00000000-0005-0000-0000-000043750000}"/>
    <cellStyle name="Normal 75 3 3" xfId="12047" xr:uid="{00000000-0005-0000-0000-000044750000}"/>
    <cellStyle name="Normal 75 3 3 2" xfId="26936" xr:uid="{00000000-0005-0000-0000-000045750000}"/>
    <cellStyle name="Normal 75 3 4" xfId="13984" xr:uid="{00000000-0005-0000-0000-000046750000}"/>
    <cellStyle name="Normal 75 3 4 2" xfId="26937" xr:uid="{00000000-0005-0000-0000-000047750000}"/>
    <cellStyle name="Normal 75 3 5" xfId="15128" xr:uid="{00000000-0005-0000-0000-000048750000}"/>
    <cellStyle name="Normal 75 3 5 2" xfId="26938" xr:uid="{00000000-0005-0000-0000-000049750000}"/>
    <cellStyle name="Normal 75 3 6" xfId="26933" xr:uid="{00000000-0005-0000-0000-00004A750000}"/>
    <cellStyle name="Normal 75 3_Additional Disclosures" xfId="16845" xr:uid="{00000000-0005-0000-0000-00004B750000}"/>
    <cellStyle name="Normal 75 4" xfId="13473" xr:uid="{00000000-0005-0000-0000-00004C750000}"/>
    <cellStyle name="Normal 75 4 2" xfId="26939" xr:uid="{00000000-0005-0000-0000-00004D750000}"/>
    <cellStyle name="Normal 75 5" xfId="14618" xr:uid="{00000000-0005-0000-0000-00004E750000}"/>
    <cellStyle name="Normal 75 5 2" xfId="26940" xr:uid="{00000000-0005-0000-0000-00004F750000}"/>
    <cellStyle name="Normal 75 6" xfId="26924" xr:uid="{00000000-0005-0000-0000-000050750000}"/>
    <cellStyle name="Normal 75 7" xfId="29036" xr:uid="{00000000-0005-0000-0000-000051750000}"/>
    <cellStyle name="Normal 75 8" xfId="17227" xr:uid="{00000000-0005-0000-0000-000052750000}"/>
    <cellStyle name="Normal 75 9" xfId="29046" xr:uid="{00000000-0005-0000-0000-000053750000}"/>
    <cellStyle name="Normal 75_Additional Disclosures" xfId="16842" xr:uid="{00000000-0005-0000-0000-000054750000}"/>
    <cellStyle name="Normal 76" xfId="616" xr:uid="{00000000-0005-0000-0000-000055750000}"/>
    <cellStyle name="Normal 76 10" xfId="17252" xr:uid="{00000000-0005-0000-0000-000056750000}"/>
    <cellStyle name="Normal 76 11" xfId="32525" xr:uid="{00000000-0005-0000-0000-000057750000}"/>
    <cellStyle name="Normal 76 12" xfId="32526" xr:uid="{00000000-0005-0000-0000-000058750000}"/>
    <cellStyle name="Normal 76 13" xfId="32527" xr:uid="{00000000-0005-0000-0000-000059750000}"/>
    <cellStyle name="Normal 76 14" xfId="32528" xr:uid="{00000000-0005-0000-0000-00005A750000}"/>
    <cellStyle name="Normal 76 2" xfId="9678" xr:uid="{00000000-0005-0000-0000-00005B750000}"/>
    <cellStyle name="Normal 76 2 10" xfId="32529" xr:uid="{00000000-0005-0000-0000-00005C750000}"/>
    <cellStyle name="Normal 76 2 11" xfId="32530" xr:uid="{00000000-0005-0000-0000-00005D750000}"/>
    <cellStyle name="Normal 76 2 2" xfId="11277" xr:uid="{00000000-0005-0000-0000-00005E750000}"/>
    <cellStyle name="Normal 76 2 2 2" xfId="12698" xr:uid="{00000000-0005-0000-0000-00005F750000}"/>
    <cellStyle name="Normal 76 2 2 2 2" xfId="26944" xr:uid="{00000000-0005-0000-0000-000060750000}"/>
    <cellStyle name="Normal 76 2 2 3" xfId="14239" xr:uid="{00000000-0005-0000-0000-000061750000}"/>
    <cellStyle name="Normal 76 2 2 3 2" xfId="26945" xr:uid="{00000000-0005-0000-0000-000062750000}"/>
    <cellStyle name="Normal 76 2 2 4" xfId="15383" xr:uid="{00000000-0005-0000-0000-000063750000}"/>
    <cellStyle name="Normal 76 2 2 4 2" xfId="26946" xr:uid="{00000000-0005-0000-0000-000064750000}"/>
    <cellStyle name="Normal 76 2 2 5" xfId="26943" xr:uid="{00000000-0005-0000-0000-000065750000}"/>
    <cellStyle name="Normal 76 2 2_Additional Disclosures" xfId="16848" xr:uid="{00000000-0005-0000-0000-000066750000}"/>
    <cellStyle name="Normal 76 2 3" xfId="12048" xr:uid="{00000000-0005-0000-0000-000067750000}"/>
    <cellStyle name="Normal 76 2 3 2" xfId="26947" xr:uid="{00000000-0005-0000-0000-000068750000}"/>
    <cellStyle name="Normal 76 2 4" xfId="13729" xr:uid="{00000000-0005-0000-0000-000069750000}"/>
    <cellStyle name="Normal 76 2 4 2" xfId="26948" xr:uid="{00000000-0005-0000-0000-00006A750000}"/>
    <cellStyle name="Normal 76 2 5" xfId="14873" xr:uid="{00000000-0005-0000-0000-00006B750000}"/>
    <cellStyle name="Normal 76 2 5 2" xfId="26949" xr:uid="{00000000-0005-0000-0000-00006C750000}"/>
    <cellStyle name="Normal 76 2 6" xfId="26942" xr:uid="{00000000-0005-0000-0000-00006D750000}"/>
    <cellStyle name="Normal 76 2 7" xfId="32531" xr:uid="{00000000-0005-0000-0000-00006E750000}"/>
    <cellStyle name="Normal 76 2 8" xfId="32532" xr:uid="{00000000-0005-0000-0000-00006F750000}"/>
    <cellStyle name="Normal 76 2 9" xfId="32533" xr:uid="{00000000-0005-0000-0000-000070750000}"/>
    <cellStyle name="Normal 76 2_Additional Disclosures" xfId="16847" xr:uid="{00000000-0005-0000-0000-000071750000}"/>
    <cellStyle name="Normal 76 3" xfId="9679" xr:uid="{00000000-0005-0000-0000-000072750000}"/>
    <cellStyle name="Normal 76 3 2" xfId="11278" xr:uid="{00000000-0005-0000-0000-000073750000}"/>
    <cellStyle name="Normal 76 3 2 2" xfId="12699" xr:uid="{00000000-0005-0000-0000-000074750000}"/>
    <cellStyle name="Normal 76 3 2 2 2" xfId="26952" xr:uid="{00000000-0005-0000-0000-000075750000}"/>
    <cellStyle name="Normal 76 3 2 3" xfId="26951" xr:uid="{00000000-0005-0000-0000-000076750000}"/>
    <cellStyle name="Normal 76 3 3" xfId="12049" xr:uid="{00000000-0005-0000-0000-000077750000}"/>
    <cellStyle name="Normal 76 3 3 2" xfId="26953" xr:uid="{00000000-0005-0000-0000-000078750000}"/>
    <cellStyle name="Normal 76 3 4" xfId="13985" xr:uid="{00000000-0005-0000-0000-000079750000}"/>
    <cellStyle name="Normal 76 3 4 2" xfId="26954" xr:uid="{00000000-0005-0000-0000-00007A750000}"/>
    <cellStyle name="Normal 76 3 5" xfId="15129" xr:uid="{00000000-0005-0000-0000-00007B750000}"/>
    <cellStyle name="Normal 76 3 5 2" xfId="26955" xr:uid="{00000000-0005-0000-0000-00007C750000}"/>
    <cellStyle name="Normal 76 3 6" xfId="26950" xr:uid="{00000000-0005-0000-0000-00007D750000}"/>
    <cellStyle name="Normal 76 3 7" xfId="32534" xr:uid="{00000000-0005-0000-0000-00007E750000}"/>
    <cellStyle name="Normal 76 3 8" xfId="32535" xr:uid="{00000000-0005-0000-0000-00007F750000}"/>
    <cellStyle name="Normal 76 3 9" xfId="32536" xr:uid="{00000000-0005-0000-0000-000080750000}"/>
    <cellStyle name="Normal 76 3_Additional Disclosures" xfId="16849" xr:uid="{00000000-0005-0000-0000-000081750000}"/>
    <cellStyle name="Normal 76 4" xfId="13474" xr:uid="{00000000-0005-0000-0000-000082750000}"/>
    <cellStyle name="Normal 76 4 2" xfId="26956" xr:uid="{00000000-0005-0000-0000-000083750000}"/>
    <cellStyle name="Normal 76 5" xfId="14619" xr:uid="{00000000-0005-0000-0000-000084750000}"/>
    <cellStyle name="Normal 76 5 2" xfId="26957" xr:uid="{00000000-0005-0000-0000-000085750000}"/>
    <cellStyle name="Normal 76 6" xfId="26941" xr:uid="{00000000-0005-0000-0000-000086750000}"/>
    <cellStyle name="Normal 76 7" xfId="29038" xr:uid="{00000000-0005-0000-0000-000087750000}"/>
    <cellStyle name="Normal 76 8" xfId="17229" xr:uid="{00000000-0005-0000-0000-000088750000}"/>
    <cellStyle name="Normal 76 9" xfId="29047" xr:uid="{00000000-0005-0000-0000-000089750000}"/>
    <cellStyle name="Normal 76_Additional Disclosures" xfId="16846" xr:uid="{00000000-0005-0000-0000-00008A750000}"/>
    <cellStyle name="Normal 77" xfId="617" xr:uid="{00000000-0005-0000-0000-00008B750000}"/>
    <cellStyle name="Normal 77 10" xfId="29049" xr:uid="{00000000-0005-0000-0000-00008C750000}"/>
    <cellStyle name="Normal 77 11" xfId="32537" xr:uid="{00000000-0005-0000-0000-00008D750000}"/>
    <cellStyle name="Normal 77 12" xfId="32538" xr:uid="{00000000-0005-0000-0000-00008E750000}"/>
    <cellStyle name="Normal 77 13" xfId="32539" xr:uid="{00000000-0005-0000-0000-00008F750000}"/>
    <cellStyle name="Normal 77 14" xfId="32540" xr:uid="{00000000-0005-0000-0000-000090750000}"/>
    <cellStyle name="Normal 77 2" xfId="9680" xr:uid="{00000000-0005-0000-0000-000091750000}"/>
    <cellStyle name="Normal 77 2 10" xfId="32541" xr:uid="{00000000-0005-0000-0000-000092750000}"/>
    <cellStyle name="Normal 77 2 11" xfId="32542" xr:uid="{00000000-0005-0000-0000-000093750000}"/>
    <cellStyle name="Normal 77 2 12" xfId="32543" xr:uid="{00000000-0005-0000-0000-000094750000}"/>
    <cellStyle name="Normal 77 2 2" xfId="11279" xr:uid="{00000000-0005-0000-0000-000095750000}"/>
    <cellStyle name="Normal 77 2 2 2" xfId="12700" xr:uid="{00000000-0005-0000-0000-000096750000}"/>
    <cellStyle name="Normal 77 2 2 2 2" xfId="14159" xr:uid="{00000000-0005-0000-0000-000097750000}"/>
    <cellStyle name="Normal 77 2 2 2 2 2" xfId="26962" xr:uid="{00000000-0005-0000-0000-000098750000}"/>
    <cellStyle name="Normal 77 2 2 2 3" xfId="15303" xr:uid="{00000000-0005-0000-0000-000099750000}"/>
    <cellStyle name="Normal 77 2 2 2 3 2" xfId="26963" xr:uid="{00000000-0005-0000-0000-00009A750000}"/>
    <cellStyle name="Normal 77 2 2 2 4" xfId="26961" xr:uid="{00000000-0005-0000-0000-00009B750000}"/>
    <cellStyle name="Normal 77 2 2 2_Additional Disclosures" xfId="16853" xr:uid="{00000000-0005-0000-0000-00009C750000}"/>
    <cellStyle name="Normal 77 2 2 3" xfId="13648" xr:uid="{00000000-0005-0000-0000-00009D750000}"/>
    <cellStyle name="Normal 77 2 2 3 2" xfId="26964" xr:uid="{00000000-0005-0000-0000-00009E750000}"/>
    <cellStyle name="Normal 77 2 2 4" xfId="14793" xr:uid="{00000000-0005-0000-0000-00009F750000}"/>
    <cellStyle name="Normal 77 2 2 4 2" xfId="26965" xr:uid="{00000000-0005-0000-0000-0000A0750000}"/>
    <cellStyle name="Normal 77 2 2 5" xfId="26960" xr:uid="{00000000-0005-0000-0000-0000A1750000}"/>
    <cellStyle name="Normal 77 2 2_Additional Disclosures" xfId="16852" xr:uid="{00000000-0005-0000-0000-0000A2750000}"/>
    <cellStyle name="Normal 77 2 3" xfId="12050" xr:uid="{00000000-0005-0000-0000-0000A3750000}"/>
    <cellStyle name="Normal 77 2 3 2" xfId="13904" xr:uid="{00000000-0005-0000-0000-0000A4750000}"/>
    <cellStyle name="Normal 77 2 3 2 2" xfId="26967" xr:uid="{00000000-0005-0000-0000-0000A5750000}"/>
    <cellStyle name="Normal 77 2 3 3" xfId="15049" xr:uid="{00000000-0005-0000-0000-0000A6750000}"/>
    <cellStyle name="Normal 77 2 3 3 2" xfId="26968" xr:uid="{00000000-0005-0000-0000-0000A7750000}"/>
    <cellStyle name="Normal 77 2 3 4" xfId="26966" xr:uid="{00000000-0005-0000-0000-0000A8750000}"/>
    <cellStyle name="Normal 77 2 3_Additional Disclosures" xfId="16854" xr:uid="{00000000-0005-0000-0000-0000A9750000}"/>
    <cellStyle name="Normal 77 2 4" xfId="13393" xr:uid="{00000000-0005-0000-0000-0000AA750000}"/>
    <cellStyle name="Normal 77 2 4 2" xfId="26969" xr:uid="{00000000-0005-0000-0000-0000AB750000}"/>
    <cellStyle name="Normal 77 2 5" xfId="14537" xr:uid="{00000000-0005-0000-0000-0000AC750000}"/>
    <cellStyle name="Normal 77 2 5 2" xfId="26970" xr:uid="{00000000-0005-0000-0000-0000AD750000}"/>
    <cellStyle name="Normal 77 2 6" xfId="26959" xr:uid="{00000000-0005-0000-0000-0000AE750000}"/>
    <cellStyle name="Normal 77 2 7" xfId="32544" xr:uid="{00000000-0005-0000-0000-0000AF750000}"/>
    <cellStyle name="Normal 77 2 8" xfId="32545" xr:uid="{00000000-0005-0000-0000-0000B0750000}"/>
    <cellStyle name="Normal 77 2 9" xfId="32546" xr:uid="{00000000-0005-0000-0000-0000B1750000}"/>
    <cellStyle name="Normal 77 2_Additional Disclosures" xfId="16851" xr:uid="{00000000-0005-0000-0000-0000B2750000}"/>
    <cellStyle name="Normal 77 3" xfId="9681" xr:uid="{00000000-0005-0000-0000-0000B3750000}"/>
    <cellStyle name="Normal 77 3 2" xfId="11280" xr:uid="{00000000-0005-0000-0000-0000B4750000}"/>
    <cellStyle name="Normal 77 3 2 2" xfId="12701" xr:uid="{00000000-0005-0000-0000-0000B5750000}"/>
    <cellStyle name="Normal 77 3 2 2 2" xfId="26973" xr:uid="{00000000-0005-0000-0000-0000B6750000}"/>
    <cellStyle name="Normal 77 3 2 3" xfId="14119" xr:uid="{00000000-0005-0000-0000-0000B7750000}"/>
    <cellStyle name="Normal 77 3 2 3 2" xfId="26974" xr:uid="{00000000-0005-0000-0000-0000B8750000}"/>
    <cellStyle name="Normal 77 3 2 4" xfId="15263" xr:uid="{00000000-0005-0000-0000-0000B9750000}"/>
    <cellStyle name="Normal 77 3 2 4 2" xfId="26975" xr:uid="{00000000-0005-0000-0000-0000BA750000}"/>
    <cellStyle name="Normal 77 3 2 5" xfId="26972" xr:uid="{00000000-0005-0000-0000-0000BB750000}"/>
    <cellStyle name="Normal 77 3 2_Additional Disclosures" xfId="16856" xr:uid="{00000000-0005-0000-0000-0000BC750000}"/>
    <cellStyle name="Normal 77 3 3" xfId="12051" xr:uid="{00000000-0005-0000-0000-0000BD750000}"/>
    <cellStyle name="Normal 77 3 3 2" xfId="26976" xr:uid="{00000000-0005-0000-0000-0000BE750000}"/>
    <cellStyle name="Normal 77 3 4" xfId="13608" xr:uid="{00000000-0005-0000-0000-0000BF750000}"/>
    <cellStyle name="Normal 77 3 4 2" xfId="26977" xr:uid="{00000000-0005-0000-0000-0000C0750000}"/>
    <cellStyle name="Normal 77 3 5" xfId="14753" xr:uid="{00000000-0005-0000-0000-0000C1750000}"/>
    <cellStyle name="Normal 77 3 5 2" xfId="26978" xr:uid="{00000000-0005-0000-0000-0000C2750000}"/>
    <cellStyle name="Normal 77 3 6" xfId="26971" xr:uid="{00000000-0005-0000-0000-0000C3750000}"/>
    <cellStyle name="Normal 77 3 7" xfId="32547" xr:uid="{00000000-0005-0000-0000-0000C4750000}"/>
    <cellStyle name="Normal 77 3 8" xfId="32548" xr:uid="{00000000-0005-0000-0000-0000C5750000}"/>
    <cellStyle name="Normal 77 3 9" xfId="32549" xr:uid="{00000000-0005-0000-0000-0000C6750000}"/>
    <cellStyle name="Normal 77 3_Additional Disclosures" xfId="16855" xr:uid="{00000000-0005-0000-0000-0000C7750000}"/>
    <cellStyle name="Normal 77 4" xfId="13864" xr:uid="{00000000-0005-0000-0000-0000C8750000}"/>
    <cellStyle name="Normal 77 4 2" xfId="15009" xr:uid="{00000000-0005-0000-0000-0000C9750000}"/>
    <cellStyle name="Normal 77 4 2 2" xfId="26980" xr:uid="{00000000-0005-0000-0000-0000CA750000}"/>
    <cellStyle name="Normal 77 4 3" xfId="26979" xr:uid="{00000000-0005-0000-0000-0000CB750000}"/>
    <cellStyle name="Normal 77 4_Additional Disclosures" xfId="16857" xr:uid="{00000000-0005-0000-0000-0000CC750000}"/>
    <cellStyle name="Normal 77 5" xfId="13353" xr:uid="{00000000-0005-0000-0000-0000CD750000}"/>
    <cellStyle name="Normal 77 5 2" xfId="26981" xr:uid="{00000000-0005-0000-0000-0000CE750000}"/>
    <cellStyle name="Normal 77 6" xfId="14496" xr:uid="{00000000-0005-0000-0000-0000CF750000}"/>
    <cellStyle name="Normal 77 6 2" xfId="26982" xr:uid="{00000000-0005-0000-0000-0000D0750000}"/>
    <cellStyle name="Normal 77 7" xfId="26958" xr:uid="{00000000-0005-0000-0000-0000D1750000}"/>
    <cellStyle name="Normal 77 8" xfId="29040" xr:uid="{00000000-0005-0000-0000-0000D2750000}"/>
    <cellStyle name="Normal 77 9" xfId="17231" xr:uid="{00000000-0005-0000-0000-0000D3750000}"/>
    <cellStyle name="Normal 77_Additional Disclosures" xfId="16850" xr:uid="{00000000-0005-0000-0000-0000D4750000}"/>
    <cellStyle name="Normal 777" xfId="29106" xr:uid="{00000000-0005-0000-0000-0000D5750000}"/>
    <cellStyle name="Normal 778" xfId="29107" xr:uid="{00000000-0005-0000-0000-0000D6750000}"/>
    <cellStyle name="Normal 78" xfId="618" xr:uid="{00000000-0005-0000-0000-0000D7750000}"/>
    <cellStyle name="Normal 78 10" xfId="29052" xr:uid="{00000000-0005-0000-0000-0000D8750000}"/>
    <cellStyle name="Normal 78 11" xfId="32550" xr:uid="{00000000-0005-0000-0000-0000D9750000}"/>
    <cellStyle name="Normal 78 12" xfId="32551" xr:uid="{00000000-0005-0000-0000-0000DA750000}"/>
    <cellStyle name="Normal 78 13" xfId="32552" xr:uid="{00000000-0005-0000-0000-0000DB750000}"/>
    <cellStyle name="Normal 78 14" xfId="32553" xr:uid="{00000000-0005-0000-0000-0000DC750000}"/>
    <cellStyle name="Normal 78 15" xfId="33365" xr:uid="{00000000-0005-0000-0000-0000DD750000}"/>
    <cellStyle name="Normal 78 2" xfId="9682" xr:uid="{00000000-0005-0000-0000-0000DE750000}"/>
    <cellStyle name="Normal 78 2 10" xfId="34290" xr:uid="{00000000-0005-0000-0000-0000DF750000}"/>
    <cellStyle name="Normal 78 2 2" xfId="11281" xr:uid="{00000000-0005-0000-0000-0000E0750000}"/>
    <cellStyle name="Normal 78 2 2 2" xfId="12702" xr:uid="{00000000-0005-0000-0000-0000E1750000}"/>
    <cellStyle name="Normal 78 2 2 2 2" xfId="14172" xr:uid="{00000000-0005-0000-0000-0000E2750000}"/>
    <cellStyle name="Normal 78 2 2 2 2 2" xfId="26987" xr:uid="{00000000-0005-0000-0000-0000E3750000}"/>
    <cellStyle name="Normal 78 2 2 2 3" xfId="15316" xr:uid="{00000000-0005-0000-0000-0000E4750000}"/>
    <cellStyle name="Normal 78 2 2 2 3 2" xfId="26988" xr:uid="{00000000-0005-0000-0000-0000E5750000}"/>
    <cellStyle name="Normal 78 2 2 2 4" xfId="26986" xr:uid="{00000000-0005-0000-0000-0000E6750000}"/>
    <cellStyle name="Normal 78 2 2 2_Additional Disclosures" xfId="16861" xr:uid="{00000000-0005-0000-0000-0000E7750000}"/>
    <cellStyle name="Normal 78 2 2 3" xfId="13661" xr:uid="{00000000-0005-0000-0000-0000E8750000}"/>
    <cellStyle name="Normal 78 2 2 3 2" xfId="26989" xr:uid="{00000000-0005-0000-0000-0000E9750000}"/>
    <cellStyle name="Normal 78 2 2 4" xfId="14806" xr:uid="{00000000-0005-0000-0000-0000EA750000}"/>
    <cellStyle name="Normal 78 2 2 4 2" xfId="26990" xr:uid="{00000000-0005-0000-0000-0000EB750000}"/>
    <cellStyle name="Normal 78 2 2 5" xfId="26985" xr:uid="{00000000-0005-0000-0000-0000EC750000}"/>
    <cellStyle name="Normal 78 2 2_Additional Disclosures" xfId="16860" xr:uid="{00000000-0005-0000-0000-0000ED750000}"/>
    <cellStyle name="Normal 78 2 3" xfId="12052" xr:uid="{00000000-0005-0000-0000-0000EE750000}"/>
    <cellStyle name="Normal 78 2 3 2" xfId="13917" xr:uid="{00000000-0005-0000-0000-0000EF750000}"/>
    <cellStyle name="Normal 78 2 3 2 2" xfId="26992" xr:uid="{00000000-0005-0000-0000-0000F0750000}"/>
    <cellStyle name="Normal 78 2 3 3" xfId="15062" xr:uid="{00000000-0005-0000-0000-0000F1750000}"/>
    <cellStyle name="Normal 78 2 3 3 2" xfId="26993" xr:uid="{00000000-0005-0000-0000-0000F2750000}"/>
    <cellStyle name="Normal 78 2 3 4" xfId="26991" xr:uid="{00000000-0005-0000-0000-0000F3750000}"/>
    <cellStyle name="Normal 78 2 3_Additional Disclosures" xfId="16862" xr:uid="{00000000-0005-0000-0000-0000F4750000}"/>
    <cellStyle name="Normal 78 2 4" xfId="13406" xr:uid="{00000000-0005-0000-0000-0000F5750000}"/>
    <cellStyle name="Normal 78 2 4 2" xfId="26994" xr:uid="{00000000-0005-0000-0000-0000F6750000}"/>
    <cellStyle name="Normal 78 2 5" xfId="14550" xr:uid="{00000000-0005-0000-0000-0000F7750000}"/>
    <cellStyle name="Normal 78 2 5 2" xfId="26995" xr:uid="{00000000-0005-0000-0000-0000F8750000}"/>
    <cellStyle name="Normal 78 2 6" xfId="26984" xr:uid="{00000000-0005-0000-0000-0000F9750000}"/>
    <cellStyle name="Normal 78 2 7" xfId="32554" xr:uid="{00000000-0005-0000-0000-0000FA750000}"/>
    <cellStyle name="Normal 78 2 8" xfId="32555" xr:uid="{00000000-0005-0000-0000-0000FB750000}"/>
    <cellStyle name="Normal 78 2 9" xfId="33749" xr:uid="{00000000-0005-0000-0000-0000FC750000}"/>
    <cellStyle name="Normal 78 2_Additional Disclosures" xfId="16859" xr:uid="{00000000-0005-0000-0000-0000FD750000}"/>
    <cellStyle name="Normal 78 3" xfId="9683" xr:uid="{00000000-0005-0000-0000-0000FE750000}"/>
    <cellStyle name="Normal 78 3 2" xfId="11282" xr:uid="{00000000-0005-0000-0000-0000FF750000}"/>
    <cellStyle name="Normal 78 3 2 2" xfId="12703" xr:uid="{00000000-0005-0000-0000-000000760000}"/>
    <cellStyle name="Normal 78 3 2 2 2" xfId="26998" xr:uid="{00000000-0005-0000-0000-000001760000}"/>
    <cellStyle name="Normal 78 3 2 3" xfId="14132" xr:uid="{00000000-0005-0000-0000-000002760000}"/>
    <cellStyle name="Normal 78 3 2 3 2" xfId="26999" xr:uid="{00000000-0005-0000-0000-000003760000}"/>
    <cellStyle name="Normal 78 3 2 4" xfId="15276" xr:uid="{00000000-0005-0000-0000-000004760000}"/>
    <cellStyle name="Normal 78 3 2 4 2" xfId="27000" xr:uid="{00000000-0005-0000-0000-000005760000}"/>
    <cellStyle name="Normal 78 3 2 5" xfId="26997" xr:uid="{00000000-0005-0000-0000-000006760000}"/>
    <cellStyle name="Normal 78 3 2_Additional Disclosures" xfId="16864" xr:uid="{00000000-0005-0000-0000-000007760000}"/>
    <cellStyle name="Normal 78 3 3" xfId="12053" xr:uid="{00000000-0005-0000-0000-000008760000}"/>
    <cellStyle name="Normal 78 3 3 2" xfId="27001" xr:uid="{00000000-0005-0000-0000-000009760000}"/>
    <cellStyle name="Normal 78 3 4" xfId="13621" xr:uid="{00000000-0005-0000-0000-00000A760000}"/>
    <cellStyle name="Normal 78 3 4 2" xfId="27002" xr:uid="{00000000-0005-0000-0000-00000B760000}"/>
    <cellStyle name="Normal 78 3 5" xfId="14766" xr:uid="{00000000-0005-0000-0000-00000C760000}"/>
    <cellStyle name="Normal 78 3 5 2" xfId="27003" xr:uid="{00000000-0005-0000-0000-00000D760000}"/>
    <cellStyle name="Normal 78 3 6" xfId="26996" xr:uid="{00000000-0005-0000-0000-00000E760000}"/>
    <cellStyle name="Normal 78 3 7" xfId="33977" xr:uid="{00000000-0005-0000-0000-00000F760000}"/>
    <cellStyle name="Normal 78 3 8" xfId="34308" xr:uid="{00000000-0005-0000-0000-000010760000}"/>
    <cellStyle name="Normal 78 3_Additional Disclosures" xfId="16863" xr:uid="{00000000-0005-0000-0000-000011760000}"/>
    <cellStyle name="Normal 78 4" xfId="13877" xr:uid="{00000000-0005-0000-0000-000012760000}"/>
    <cellStyle name="Normal 78 4 2" xfId="15022" xr:uid="{00000000-0005-0000-0000-000013760000}"/>
    <cellStyle name="Normal 78 4 2 2" xfId="27005" xr:uid="{00000000-0005-0000-0000-000014760000}"/>
    <cellStyle name="Normal 78 4 3" xfId="27004" xr:uid="{00000000-0005-0000-0000-000015760000}"/>
    <cellStyle name="Normal 78 4 4" xfId="34191" xr:uid="{00000000-0005-0000-0000-000016760000}"/>
    <cellStyle name="Normal 78 4_Additional Disclosures" xfId="16865" xr:uid="{00000000-0005-0000-0000-000017760000}"/>
    <cellStyle name="Normal 78 5" xfId="13366" xr:uid="{00000000-0005-0000-0000-000018760000}"/>
    <cellStyle name="Normal 78 5 2" xfId="27006" xr:uid="{00000000-0005-0000-0000-000019760000}"/>
    <cellStyle name="Normal 78 6" xfId="14509" xr:uid="{00000000-0005-0000-0000-00001A760000}"/>
    <cellStyle name="Normal 78 6 2" xfId="27007" xr:uid="{00000000-0005-0000-0000-00001B760000}"/>
    <cellStyle name="Normal 78 7" xfId="26983" xr:uid="{00000000-0005-0000-0000-00001C760000}"/>
    <cellStyle name="Normal 78 8" xfId="29042" xr:uid="{00000000-0005-0000-0000-00001D760000}"/>
    <cellStyle name="Normal 78 9" xfId="17233" xr:uid="{00000000-0005-0000-0000-00001E760000}"/>
    <cellStyle name="Normal 78_Additional Disclosures" xfId="16858" xr:uid="{00000000-0005-0000-0000-00001F760000}"/>
    <cellStyle name="Normal 783" xfId="29104" xr:uid="{00000000-0005-0000-0000-000020760000}"/>
    <cellStyle name="Normal 783 2" xfId="33767" xr:uid="{00000000-0005-0000-0000-000021760000}"/>
    <cellStyle name="Normal 783 3" xfId="33995" xr:uid="{00000000-0005-0000-0000-000022760000}"/>
    <cellStyle name="Normal 783 4" xfId="34209" xr:uid="{00000000-0005-0000-0000-000023760000}"/>
    <cellStyle name="Normal 783 5" xfId="33386" xr:uid="{00000000-0005-0000-0000-000024760000}"/>
    <cellStyle name="Normal 79" xfId="648" xr:uid="{00000000-0005-0000-0000-000025760000}"/>
    <cellStyle name="Normal 79 10" xfId="32556" xr:uid="{00000000-0005-0000-0000-000026760000}"/>
    <cellStyle name="Normal 79 11" xfId="32557" xr:uid="{00000000-0005-0000-0000-000027760000}"/>
    <cellStyle name="Normal 79 2" xfId="9684" xr:uid="{00000000-0005-0000-0000-000028760000}"/>
    <cellStyle name="Normal 79 2 2" xfId="11283" xr:uid="{00000000-0005-0000-0000-000029760000}"/>
    <cellStyle name="Normal 79 2 2 2" xfId="12704" xr:uid="{00000000-0005-0000-0000-00002A760000}"/>
    <cellStyle name="Normal 79 2 2 2 2" xfId="27011" xr:uid="{00000000-0005-0000-0000-00002B760000}"/>
    <cellStyle name="Normal 79 2 2 3" xfId="14240" xr:uid="{00000000-0005-0000-0000-00002C760000}"/>
    <cellStyle name="Normal 79 2 2 3 2" xfId="27012" xr:uid="{00000000-0005-0000-0000-00002D760000}"/>
    <cellStyle name="Normal 79 2 2 4" xfId="15384" xr:uid="{00000000-0005-0000-0000-00002E760000}"/>
    <cellStyle name="Normal 79 2 2 4 2" xfId="27013" xr:uid="{00000000-0005-0000-0000-00002F760000}"/>
    <cellStyle name="Normal 79 2 2 5" xfId="27010" xr:uid="{00000000-0005-0000-0000-000030760000}"/>
    <cellStyle name="Normal 79 2 2_Additional Disclosures" xfId="16868" xr:uid="{00000000-0005-0000-0000-000031760000}"/>
    <cellStyle name="Normal 79 2 3" xfId="12054" xr:uid="{00000000-0005-0000-0000-000032760000}"/>
    <cellStyle name="Normal 79 2 3 2" xfId="27014" xr:uid="{00000000-0005-0000-0000-000033760000}"/>
    <cellStyle name="Normal 79 2 4" xfId="13730" xr:uid="{00000000-0005-0000-0000-000034760000}"/>
    <cellStyle name="Normal 79 2 4 2" xfId="27015" xr:uid="{00000000-0005-0000-0000-000035760000}"/>
    <cellStyle name="Normal 79 2 5" xfId="14874" xr:uid="{00000000-0005-0000-0000-000036760000}"/>
    <cellStyle name="Normal 79 2 5 2" xfId="27016" xr:uid="{00000000-0005-0000-0000-000037760000}"/>
    <cellStyle name="Normal 79 2 6" xfId="27009" xr:uid="{00000000-0005-0000-0000-000038760000}"/>
    <cellStyle name="Normal 79 2 7" xfId="32558" xr:uid="{00000000-0005-0000-0000-000039760000}"/>
    <cellStyle name="Normal 79 2 8" xfId="32559" xr:uid="{00000000-0005-0000-0000-00003A760000}"/>
    <cellStyle name="Normal 79 2_Additional Disclosures" xfId="16867" xr:uid="{00000000-0005-0000-0000-00003B760000}"/>
    <cellStyle name="Normal 79 3" xfId="9685" xr:uid="{00000000-0005-0000-0000-00003C760000}"/>
    <cellStyle name="Normal 79 3 2" xfId="11284" xr:uid="{00000000-0005-0000-0000-00003D760000}"/>
    <cellStyle name="Normal 79 3 2 2" xfId="12705" xr:uid="{00000000-0005-0000-0000-00003E760000}"/>
    <cellStyle name="Normal 79 3 2 2 2" xfId="27019" xr:uid="{00000000-0005-0000-0000-00003F760000}"/>
    <cellStyle name="Normal 79 3 2 3" xfId="27018" xr:uid="{00000000-0005-0000-0000-000040760000}"/>
    <cellStyle name="Normal 79 3 3" xfId="12055" xr:uid="{00000000-0005-0000-0000-000041760000}"/>
    <cellStyle name="Normal 79 3 3 2" xfId="27020" xr:uid="{00000000-0005-0000-0000-000042760000}"/>
    <cellStyle name="Normal 79 3 4" xfId="13986" xr:uid="{00000000-0005-0000-0000-000043760000}"/>
    <cellStyle name="Normal 79 3 4 2" xfId="27021" xr:uid="{00000000-0005-0000-0000-000044760000}"/>
    <cellStyle name="Normal 79 3 5" xfId="15130" xr:uid="{00000000-0005-0000-0000-000045760000}"/>
    <cellStyle name="Normal 79 3 5 2" xfId="27022" xr:uid="{00000000-0005-0000-0000-000046760000}"/>
    <cellStyle name="Normal 79 3 6" xfId="27017" xr:uid="{00000000-0005-0000-0000-000047760000}"/>
    <cellStyle name="Normal 79 3_Additional Disclosures" xfId="16869" xr:uid="{00000000-0005-0000-0000-000048760000}"/>
    <cellStyle name="Normal 79 4" xfId="10850" xr:uid="{00000000-0005-0000-0000-000049760000}"/>
    <cellStyle name="Normal 79 4 2" xfId="12269" xr:uid="{00000000-0005-0000-0000-00004A760000}"/>
    <cellStyle name="Normal 79 4 2 2" xfId="27024" xr:uid="{00000000-0005-0000-0000-00004B760000}"/>
    <cellStyle name="Normal 79 4 3" xfId="27023" xr:uid="{00000000-0005-0000-0000-00004C760000}"/>
    <cellStyle name="Normal 79 5" xfId="11616" xr:uid="{00000000-0005-0000-0000-00004D760000}"/>
    <cellStyle name="Normal 79 5 2" xfId="27025" xr:uid="{00000000-0005-0000-0000-00004E760000}"/>
    <cellStyle name="Normal 79 6" xfId="13475" xr:uid="{00000000-0005-0000-0000-00004F760000}"/>
    <cellStyle name="Normal 79 6 2" xfId="27026" xr:uid="{00000000-0005-0000-0000-000050760000}"/>
    <cellStyle name="Normal 79 7" xfId="14620" xr:uid="{00000000-0005-0000-0000-000051760000}"/>
    <cellStyle name="Normal 79 7 2" xfId="27027" xr:uid="{00000000-0005-0000-0000-000052760000}"/>
    <cellStyle name="Normal 79 8" xfId="27008" xr:uid="{00000000-0005-0000-0000-000053760000}"/>
    <cellStyle name="Normal 79 9" xfId="32560" xr:uid="{00000000-0005-0000-0000-000054760000}"/>
    <cellStyle name="Normal 79_Additional Disclosures" xfId="16866" xr:uid="{00000000-0005-0000-0000-000055760000}"/>
    <cellStyle name="Normal 8" xfId="438" xr:uid="{00000000-0005-0000-0000-000056760000}"/>
    <cellStyle name="Normal 8 10" xfId="29045" xr:uid="{00000000-0005-0000-0000-000057760000}"/>
    <cellStyle name="Normal 8 11" xfId="32561" xr:uid="{00000000-0005-0000-0000-000058760000}"/>
    <cellStyle name="Normal 8 12" xfId="32562" xr:uid="{00000000-0005-0000-0000-000059760000}"/>
    <cellStyle name="Normal 8 13" xfId="619" xr:uid="{00000000-0005-0000-0000-00005A760000}"/>
    <cellStyle name="Normal 8 2" xfId="9686" xr:uid="{00000000-0005-0000-0000-00005B760000}"/>
    <cellStyle name="Normal 8 2 2" xfId="11285" xr:uid="{00000000-0005-0000-0000-00005C760000}"/>
    <cellStyle name="Normal 8 2 2 10" xfId="33245" xr:uid="{00000000-0005-0000-0000-00005D760000}"/>
    <cellStyle name="Normal 8 2 2 2" xfId="12706" xr:uid="{00000000-0005-0000-0000-00005E760000}"/>
    <cellStyle name="Normal 8 2 2 2 2" xfId="14151" xr:uid="{00000000-0005-0000-0000-00005F760000}"/>
    <cellStyle name="Normal 8 2 2 2 2 2" xfId="27032" xr:uid="{00000000-0005-0000-0000-000060760000}"/>
    <cellStyle name="Normal 8 2 2 2 3" xfId="15295" xr:uid="{00000000-0005-0000-0000-000061760000}"/>
    <cellStyle name="Normal 8 2 2 2 3 2" xfId="27033" xr:uid="{00000000-0005-0000-0000-000062760000}"/>
    <cellStyle name="Normal 8 2 2 2 4" xfId="27031" xr:uid="{00000000-0005-0000-0000-000063760000}"/>
    <cellStyle name="Normal 8 2 2 2 5" xfId="32563" xr:uid="{00000000-0005-0000-0000-000064760000}"/>
    <cellStyle name="Normal 8 2 2 2_Additional Disclosures" xfId="16873" xr:uid="{00000000-0005-0000-0000-000065760000}"/>
    <cellStyle name="Normal 8 2 2 3" xfId="13640" xr:uid="{00000000-0005-0000-0000-000066760000}"/>
    <cellStyle name="Normal 8 2 2 3 2" xfId="27034" xr:uid="{00000000-0005-0000-0000-000067760000}"/>
    <cellStyle name="Normal 8 2 2 4" xfId="14785" xr:uid="{00000000-0005-0000-0000-000068760000}"/>
    <cellStyle name="Normal 8 2 2 4 2" xfId="27035" xr:uid="{00000000-0005-0000-0000-000069760000}"/>
    <cellStyle name="Normal 8 2 2 5" xfId="27030" xr:uid="{00000000-0005-0000-0000-00006A760000}"/>
    <cellStyle name="Normal 8 2 2 6" xfId="32564" xr:uid="{00000000-0005-0000-0000-00006B760000}"/>
    <cellStyle name="Normal 8 2 2 7" xfId="32565" xr:uid="{00000000-0005-0000-0000-00006C760000}"/>
    <cellStyle name="Normal 8 2 2 8" xfId="32566" xr:uid="{00000000-0005-0000-0000-00006D760000}"/>
    <cellStyle name="Normal 8 2 2 9" xfId="32567" xr:uid="{00000000-0005-0000-0000-00006E760000}"/>
    <cellStyle name="Normal 8 2 2_Additional Disclosures" xfId="16872" xr:uid="{00000000-0005-0000-0000-00006F760000}"/>
    <cellStyle name="Normal 8 2 3" xfId="12056" xr:uid="{00000000-0005-0000-0000-000070760000}"/>
    <cellStyle name="Normal 8 2 3 2" xfId="13896" xr:uid="{00000000-0005-0000-0000-000071760000}"/>
    <cellStyle name="Normal 8 2 3 2 2" xfId="27037" xr:uid="{00000000-0005-0000-0000-000072760000}"/>
    <cellStyle name="Normal 8 2 3 3" xfId="15041" xr:uid="{00000000-0005-0000-0000-000073760000}"/>
    <cellStyle name="Normal 8 2 3 3 2" xfId="27038" xr:uid="{00000000-0005-0000-0000-000074760000}"/>
    <cellStyle name="Normal 8 2 3 4" xfId="27036" xr:uid="{00000000-0005-0000-0000-000075760000}"/>
    <cellStyle name="Normal 8 2 3 5" xfId="32568" xr:uid="{00000000-0005-0000-0000-000076760000}"/>
    <cellStyle name="Normal 8 2 3 6" xfId="32569" xr:uid="{00000000-0005-0000-0000-000077760000}"/>
    <cellStyle name="Normal 8 2 3 7" xfId="32570" xr:uid="{00000000-0005-0000-0000-000078760000}"/>
    <cellStyle name="Normal 8 2 3_Additional Disclosures" xfId="16874" xr:uid="{00000000-0005-0000-0000-000079760000}"/>
    <cellStyle name="Normal 8 2 4" xfId="13385" xr:uid="{00000000-0005-0000-0000-00007A760000}"/>
    <cellStyle name="Normal 8 2 4 2" xfId="27039" xr:uid="{00000000-0005-0000-0000-00007B760000}"/>
    <cellStyle name="Normal 8 2 4 3" xfId="33487" xr:uid="{00000000-0005-0000-0000-00007C760000}"/>
    <cellStyle name="Normal 8 2 5" xfId="14529" xr:uid="{00000000-0005-0000-0000-00007D760000}"/>
    <cellStyle name="Normal 8 2 5 2" xfId="27040" xr:uid="{00000000-0005-0000-0000-00007E760000}"/>
    <cellStyle name="Normal 8 2 5 3" xfId="33544" xr:uid="{00000000-0005-0000-0000-00007F760000}"/>
    <cellStyle name="Normal 8 2 6" xfId="27029" xr:uid="{00000000-0005-0000-0000-000080760000}"/>
    <cellStyle name="Normal 8 2 7" xfId="32571" xr:uid="{00000000-0005-0000-0000-000081760000}"/>
    <cellStyle name="Normal 8 2 8" xfId="32572" xr:uid="{00000000-0005-0000-0000-000082760000}"/>
    <cellStyle name="Normal 8 2 9" xfId="33186" xr:uid="{00000000-0005-0000-0000-000083760000}"/>
    <cellStyle name="Normal 8 2_Additional Disclosures" xfId="16871" xr:uid="{00000000-0005-0000-0000-000084760000}"/>
    <cellStyle name="Normal 8 3" xfId="9687" xr:uid="{00000000-0005-0000-0000-000085760000}"/>
    <cellStyle name="Normal 8 3 10" xfId="32573" xr:uid="{00000000-0005-0000-0000-000086760000}"/>
    <cellStyle name="Normal 8 3 2" xfId="11286" xr:uid="{00000000-0005-0000-0000-000087760000}"/>
    <cellStyle name="Normal 8 3 2 2" xfId="12707" xr:uid="{00000000-0005-0000-0000-000088760000}"/>
    <cellStyle name="Normal 8 3 2 2 2" xfId="27043" xr:uid="{00000000-0005-0000-0000-000089760000}"/>
    <cellStyle name="Normal 8 3 2 3" xfId="14111" xr:uid="{00000000-0005-0000-0000-00008A760000}"/>
    <cellStyle name="Normal 8 3 2 3 2" xfId="27044" xr:uid="{00000000-0005-0000-0000-00008B760000}"/>
    <cellStyle name="Normal 8 3 2 4" xfId="15255" xr:uid="{00000000-0005-0000-0000-00008C760000}"/>
    <cellStyle name="Normal 8 3 2 4 2" xfId="27045" xr:uid="{00000000-0005-0000-0000-00008D760000}"/>
    <cellStyle name="Normal 8 3 2 5" xfId="27042" xr:uid="{00000000-0005-0000-0000-00008E760000}"/>
    <cellStyle name="Normal 8 3 2 6" xfId="32574" xr:uid="{00000000-0005-0000-0000-00008F760000}"/>
    <cellStyle name="Normal 8 3 2_Additional Disclosures" xfId="16876" xr:uid="{00000000-0005-0000-0000-000090760000}"/>
    <cellStyle name="Normal 8 3 3" xfId="12057" xr:uid="{00000000-0005-0000-0000-000091760000}"/>
    <cellStyle name="Normal 8 3 3 2" xfId="27046" xr:uid="{00000000-0005-0000-0000-000092760000}"/>
    <cellStyle name="Normal 8 3 4" xfId="13600" xr:uid="{00000000-0005-0000-0000-000093760000}"/>
    <cellStyle name="Normal 8 3 4 2" xfId="27047" xr:uid="{00000000-0005-0000-0000-000094760000}"/>
    <cellStyle name="Normal 8 3 5" xfId="14745" xr:uid="{00000000-0005-0000-0000-000095760000}"/>
    <cellStyle name="Normal 8 3 5 2" xfId="27048" xr:uid="{00000000-0005-0000-0000-000096760000}"/>
    <cellStyle name="Normal 8 3 6" xfId="27041" xr:uid="{00000000-0005-0000-0000-000097760000}"/>
    <cellStyle name="Normal 8 3 7" xfId="32575" xr:uid="{00000000-0005-0000-0000-000098760000}"/>
    <cellStyle name="Normal 8 3 8" xfId="32576" xr:uid="{00000000-0005-0000-0000-000099760000}"/>
    <cellStyle name="Normal 8 3 9" xfId="32577" xr:uid="{00000000-0005-0000-0000-00009A760000}"/>
    <cellStyle name="Normal 8 3_Additional Disclosures" xfId="16875" xr:uid="{00000000-0005-0000-0000-00009B760000}"/>
    <cellStyle name="Normal 8 4" xfId="11474" xr:uid="{00000000-0005-0000-0000-00009C760000}"/>
    <cellStyle name="Normal 8 4 2" xfId="13856" xr:uid="{00000000-0005-0000-0000-00009D760000}"/>
    <cellStyle name="Normal 8 4 2 2" xfId="27050" xr:uid="{00000000-0005-0000-0000-00009E760000}"/>
    <cellStyle name="Normal 8 4 2 3" xfId="32578" xr:uid="{00000000-0005-0000-0000-00009F760000}"/>
    <cellStyle name="Normal 8 4 3" xfId="15001" xr:uid="{00000000-0005-0000-0000-0000A0760000}"/>
    <cellStyle name="Normal 8 4 3 2" xfId="27051" xr:uid="{00000000-0005-0000-0000-0000A1760000}"/>
    <cellStyle name="Normal 8 4 4" xfId="27049" xr:uid="{00000000-0005-0000-0000-0000A2760000}"/>
    <cellStyle name="Normal 8 4_Additional Disclosures" xfId="16877" xr:uid="{00000000-0005-0000-0000-0000A3760000}"/>
    <cellStyle name="Normal 8 5" xfId="12864" xr:uid="{00000000-0005-0000-0000-0000A4760000}"/>
    <cellStyle name="Normal 8 5 2" xfId="27052" xr:uid="{00000000-0005-0000-0000-0000A5760000}"/>
    <cellStyle name="Normal 8 5 2 2" xfId="33759" xr:uid="{00000000-0005-0000-0000-0000A6760000}"/>
    <cellStyle name="Normal 8 5 3" xfId="32579" xr:uid="{00000000-0005-0000-0000-0000A7760000}"/>
    <cellStyle name="Normal 8 5 3 2" xfId="33987" xr:uid="{00000000-0005-0000-0000-0000A8760000}"/>
    <cellStyle name="Normal 8 5 4" xfId="34201" xr:uid="{00000000-0005-0000-0000-0000A9760000}"/>
    <cellStyle name="Normal 8 5 5" xfId="33376" xr:uid="{00000000-0005-0000-0000-0000AA760000}"/>
    <cellStyle name="Normal 8 6" xfId="12865" xr:uid="{00000000-0005-0000-0000-0000AB760000}"/>
    <cellStyle name="Normal 8 6 2" xfId="27053" xr:uid="{00000000-0005-0000-0000-0000AC760000}"/>
    <cellStyle name="Normal 8 6 3" xfId="32580" xr:uid="{00000000-0005-0000-0000-0000AD760000}"/>
    <cellStyle name="Normal 8 7" xfId="13345" xr:uid="{00000000-0005-0000-0000-0000AE760000}"/>
    <cellStyle name="Normal 8 7 2" xfId="27054" xr:uid="{00000000-0005-0000-0000-0000AF760000}"/>
    <cellStyle name="Normal 8 8" xfId="14488" xr:uid="{00000000-0005-0000-0000-0000B0760000}"/>
    <cellStyle name="Normal 8 8 2" xfId="27055" xr:uid="{00000000-0005-0000-0000-0000B1760000}"/>
    <cellStyle name="Normal 8 9" xfId="27028" xr:uid="{00000000-0005-0000-0000-0000B2760000}"/>
    <cellStyle name="Normal 8_Additional Disclosures" xfId="16870" xr:uid="{00000000-0005-0000-0000-0000B3760000}"/>
    <cellStyle name="Normal 80" xfId="9688" xr:uid="{00000000-0005-0000-0000-0000B4760000}"/>
    <cellStyle name="Normal 80 10" xfId="17263" xr:uid="{00000000-0005-0000-0000-0000B5760000}"/>
    <cellStyle name="Normal 80 11" xfId="32581" xr:uid="{00000000-0005-0000-0000-0000B6760000}"/>
    <cellStyle name="Normal 80 12" xfId="32582" xr:uid="{00000000-0005-0000-0000-0000B7760000}"/>
    <cellStyle name="Normal 80 13" xfId="32583" xr:uid="{00000000-0005-0000-0000-0000B8760000}"/>
    <cellStyle name="Normal 80 2" xfId="9689" xr:uid="{00000000-0005-0000-0000-0000B9760000}"/>
    <cellStyle name="Normal 80 2 10" xfId="32584" xr:uid="{00000000-0005-0000-0000-0000BA760000}"/>
    <cellStyle name="Normal 80 2 11" xfId="32585" xr:uid="{00000000-0005-0000-0000-0000BB760000}"/>
    <cellStyle name="Normal 80 2 2" xfId="11287" xr:uid="{00000000-0005-0000-0000-0000BC760000}"/>
    <cellStyle name="Normal 80 2 2 2" xfId="12708" xr:uid="{00000000-0005-0000-0000-0000BD760000}"/>
    <cellStyle name="Normal 80 2 2 2 2" xfId="27059" xr:uid="{00000000-0005-0000-0000-0000BE760000}"/>
    <cellStyle name="Normal 80 2 2 3" xfId="14241" xr:uid="{00000000-0005-0000-0000-0000BF760000}"/>
    <cellStyle name="Normal 80 2 2 3 2" xfId="27060" xr:uid="{00000000-0005-0000-0000-0000C0760000}"/>
    <cellStyle name="Normal 80 2 2 4" xfId="15385" xr:uid="{00000000-0005-0000-0000-0000C1760000}"/>
    <cellStyle name="Normal 80 2 2 4 2" xfId="27061" xr:uid="{00000000-0005-0000-0000-0000C2760000}"/>
    <cellStyle name="Normal 80 2 2 5" xfId="27058" xr:uid="{00000000-0005-0000-0000-0000C3760000}"/>
    <cellStyle name="Normal 80 2 2_Additional Disclosures" xfId="16880" xr:uid="{00000000-0005-0000-0000-0000C4760000}"/>
    <cellStyle name="Normal 80 2 3" xfId="12058" xr:uid="{00000000-0005-0000-0000-0000C5760000}"/>
    <cellStyle name="Normal 80 2 3 2" xfId="27062" xr:uid="{00000000-0005-0000-0000-0000C6760000}"/>
    <cellStyle name="Normal 80 2 4" xfId="13731" xr:uid="{00000000-0005-0000-0000-0000C7760000}"/>
    <cellStyle name="Normal 80 2 4 2" xfId="27063" xr:uid="{00000000-0005-0000-0000-0000C8760000}"/>
    <cellStyle name="Normal 80 2 5" xfId="14875" xr:uid="{00000000-0005-0000-0000-0000C9760000}"/>
    <cellStyle name="Normal 80 2 5 2" xfId="27064" xr:uid="{00000000-0005-0000-0000-0000CA760000}"/>
    <cellStyle name="Normal 80 2 6" xfId="27057" xr:uid="{00000000-0005-0000-0000-0000CB760000}"/>
    <cellStyle name="Normal 80 2 7" xfId="32586" xr:uid="{00000000-0005-0000-0000-0000CC760000}"/>
    <cellStyle name="Normal 80 2 8" xfId="32587" xr:uid="{00000000-0005-0000-0000-0000CD760000}"/>
    <cellStyle name="Normal 80 2 9" xfId="32588" xr:uid="{00000000-0005-0000-0000-0000CE760000}"/>
    <cellStyle name="Normal 80 2_Additional Disclosures" xfId="16879" xr:uid="{00000000-0005-0000-0000-0000CF760000}"/>
    <cellStyle name="Normal 80 3" xfId="9690" xr:uid="{00000000-0005-0000-0000-0000D0760000}"/>
    <cellStyle name="Normal 80 3 2" xfId="11288" xr:uid="{00000000-0005-0000-0000-0000D1760000}"/>
    <cellStyle name="Normal 80 3 2 2" xfId="12709" xr:uid="{00000000-0005-0000-0000-0000D2760000}"/>
    <cellStyle name="Normal 80 3 2 2 2" xfId="27067" xr:uid="{00000000-0005-0000-0000-0000D3760000}"/>
    <cellStyle name="Normal 80 3 2 3" xfId="27066" xr:uid="{00000000-0005-0000-0000-0000D4760000}"/>
    <cellStyle name="Normal 80 3 3" xfId="12059" xr:uid="{00000000-0005-0000-0000-0000D5760000}"/>
    <cellStyle name="Normal 80 3 3 2" xfId="27068" xr:uid="{00000000-0005-0000-0000-0000D6760000}"/>
    <cellStyle name="Normal 80 3 4" xfId="13987" xr:uid="{00000000-0005-0000-0000-0000D7760000}"/>
    <cellStyle name="Normal 80 3 4 2" xfId="27069" xr:uid="{00000000-0005-0000-0000-0000D8760000}"/>
    <cellStyle name="Normal 80 3 5" xfId="15131" xr:uid="{00000000-0005-0000-0000-0000D9760000}"/>
    <cellStyle name="Normal 80 3 5 2" xfId="27070" xr:uid="{00000000-0005-0000-0000-0000DA760000}"/>
    <cellStyle name="Normal 80 3 6" xfId="27065" xr:uid="{00000000-0005-0000-0000-0000DB760000}"/>
    <cellStyle name="Normal 80 3_Additional Disclosures" xfId="16881" xr:uid="{00000000-0005-0000-0000-0000DC760000}"/>
    <cellStyle name="Normal 80 4" xfId="13476" xr:uid="{00000000-0005-0000-0000-0000DD760000}"/>
    <cellStyle name="Normal 80 4 2" xfId="27071" xr:uid="{00000000-0005-0000-0000-0000DE760000}"/>
    <cellStyle name="Normal 80 5" xfId="14621" xr:uid="{00000000-0005-0000-0000-0000DF760000}"/>
    <cellStyle name="Normal 80 5 2" xfId="27072" xr:uid="{00000000-0005-0000-0000-0000E0760000}"/>
    <cellStyle name="Normal 80 6" xfId="27056" xr:uid="{00000000-0005-0000-0000-0000E1760000}"/>
    <cellStyle name="Normal 80 7" xfId="29048" xr:uid="{00000000-0005-0000-0000-0000E2760000}"/>
    <cellStyle name="Normal 80 8" xfId="17253" xr:uid="{00000000-0005-0000-0000-0000E3760000}"/>
    <cellStyle name="Normal 80 9" xfId="29058" xr:uid="{00000000-0005-0000-0000-0000E4760000}"/>
    <cellStyle name="Normal 80_Additional Disclosures" xfId="16878" xr:uid="{00000000-0005-0000-0000-0000E5760000}"/>
    <cellStyle name="Normal 81" xfId="9691" xr:uid="{00000000-0005-0000-0000-0000E6760000}"/>
    <cellStyle name="Normal 81 10" xfId="17266" xr:uid="{00000000-0005-0000-0000-0000E7760000}"/>
    <cellStyle name="Normal 81 11" xfId="32589" xr:uid="{00000000-0005-0000-0000-0000E8760000}"/>
    <cellStyle name="Normal 81 12" xfId="32590" xr:uid="{00000000-0005-0000-0000-0000E9760000}"/>
    <cellStyle name="Normal 81 13" xfId="32591" xr:uid="{00000000-0005-0000-0000-0000EA760000}"/>
    <cellStyle name="Normal 81 14" xfId="32592" xr:uid="{00000000-0005-0000-0000-0000EB760000}"/>
    <cellStyle name="Normal 81 2" xfId="9692" xr:uid="{00000000-0005-0000-0000-0000EC760000}"/>
    <cellStyle name="Normal 81 2 2" xfId="11289" xr:uid="{00000000-0005-0000-0000-0000ED760000}"/>
    <cellStyle name="Normal 81 2 2 2" xfId="12710" xr:uid="{00000000-0005-0000-0000-0000EE760000}"/>
    <cellStyle name="Normal 81 2 2 2 2" xfId="27076" xr:uid="{00000000-0005-0000-0000-0000EF760000}"/>
    <cellStyle name="Normal 81 2 2 3" xfId="14242" xr:uid="{00000000-0005-0000-0000-0000F0760000}"/>
    <cellStyle name="Normal 81 2 2 3 2" xfId="27077" xr:uid="{00000000-0005-0000-0000-0000F1760000}"/>
    <cellStyle name="Normal 81 2 2 4" xfId="15386" xr:uid="{00000000-0005-0000-0000-0000F2760000}"/>
    <cellStyle name="Normal 81 2 2 4 2" xfId="27078" xr:uid="{00000000-0005-0000-0000-0000F3760000}"/>
    <cellStyle name="Normal 81 2 2 5" xfId="27075" xr:uid="{00000000-0005-0000-0000-0000F4760000}"/>
    <cellStyle name="Normal 81 2 2_Additional Disclosures" xfId="16884" xr:uid="{00000000-0005-0000-0000-0000F5760000}"/>
    <cellStyle name="Normal 81 2 3" xfId="12060" xr:uid="{00000000-0005-0000-0000-0000F6760000}"/>
    <cellStyle name="Normal 81 2 3 2" xfId="27079" xr:uid="{00000000-0005-0000-0000-0000F7760000}"/>
    <cellStyle name="Normal 81 2 4" xfId="13732" xr:uid="{00000000-0005-0000-0000-0000F8760000}"/>
    <cellStyle name="Normal 81 2 4 2" xfId="27080" xr:uid="{00000000-0005-0000-0000-0000F9760000}"/>
    <cellStyle name="Normal 81 2 5" xfId="14876" xr:uid="{00000000-0005-0000-0000-0000FA760000}"/>
    <cellStyle name="Normal 81 2 5 2" xfId="27081" xr:uid="{00000000-0005-0000-0000-0000FB760000}"/>
    <cellStyle name="Normal 81 2 6" xfId="27074" xr:uid="{00000000-0005-0000-0000-0000FC760000}"/>
    <cellStyle name="Normal 81 2 7" xfId="32593" xr:uid="{00000000-0005-0000-0000-0000FD760000}"/>
    <cellStyle name="Normal 81 2_Additional Disclosures" xfId="16883" xr:uid="{00000000-0005-0000-0000-0000FE760000}"/>
    <cellStyle name="Normal 81 3" xfId="9693" xr:uid="{00000000-0005-0000-0000-0000FF760000}"/>
    <cellStyle name="Normal 81 3 2" xfId="11290" xr:uid="{00000000-0005-0000-0000-000000770000}"/>
    <cellStyle name="Normal 81 3 2 2" xfId="12711" xr:uid="{00000000-0005-0000-0000-000001770000}"/>
    <cellStyle name="Normal 81 3 2 2 2" xfId="27084" xr:uid="{00000000-0005-0000-0000-000002770000}"/>
    <cellStyle name="Normal 81 3 2 3" xfId="27083" xr:uid="{00000000-0005-0000-0000-000003770000}"/>
    <cellStyle name="Normal 81 3 3" xfId="12061" xr:uid="{00000000-0005-0000-0000-000004770000}"/>
    <cellStyle name="Normal 81 3 3 2" xfId="27085" xr:uid="{00000000-0005-0000-0000-000005770000}"/>
    <cellStyle name="Normal 81 3 4" xfId="13988" xr:uid="{00000000-0005-0000-0000-000006770000}"/>
    <cellStyle name="Normal 81 3 4 2" xfId="27086" xr:uid="{00000000-0005-0000-0000-000007770000}"/>
    <cellStyle name="Normal 81 3 5" xfId="15132" xr:uid="{00000000-0005-0000-0000-000008770000}"/>
    <cellStyle name="Normal 81 3 5 2" xfId="27087" xr:uid="{00000000-0005-0000-0000-000009770000}"/>
    <cellStyle name="Normal 81 3 6" xfId="27082" xr:uid="{00000000-0005-0000-0000-00000A770000}"/>
    <cellStyle name="Normal 81 3_Additional Disclosures" xfId="16885" xr:uid="{00000000-0005-0000-0000-00000B770000}"/>
    <cellStyle name="Normal 81 4" xfId="13477" xr:uid="{00000000-0005-0000-0000-00000C770000}"/>
    <cellStyle name="Normal 81 4 2" xfId="27088" xr:uid="{00000000-0005-0000-0000-00000D770000}"/>
    <cellStyle name="Normal 81 5" xfId="14622" xr:uid="{00000000-0005-0000-0000-00000E770000}"/>
    <cellStyle name="Normal 81 5 2" xfId="27089" xr:uid="{00000000-0005-0000-0000-00000F770000}"/>
    <cellStyle name="Normal 81 6" xfId="27073" xr:uid="{00000000-0005-0000-0000-000010770000}"/>
    <cellStyle name="Normal 81 7" xfId="29050" xr:uid="{00000000-0005-0000-0000-000011770000}"/>
    <cellStyle name="Normal 81 8" xfId="17256" xr:uid="{00000000-0005-0000-0000-000012770000}"/>
    <cellStyle name="Normal 81 9" xfId="29060" xr:uid="{00000000-0005-0000-0000-000013770000}"/>
    <cellStyle name="Normal 81_Additional Disclosures" xfId="16882" xr:uid="{00000000-0005-0000-0000-000014770000}"/>
    <cellStyle name="Normal 82" xfId="9694" xr:uid="{00000000-0005-0000-0000-000015770000}"/>
    <cellStyle name="Normal 82 10" xfId="17274" xr:uid="{00000000-0005-0000-0000-000016770000}"/>
    <cellStyle name="Normal 82 11" xfId="32594" xr:uid="{00000000-0005-0000-0000-000017770000}"/>
    <cellStyle name="Normal 82 12" xfId="32595" xr:uid="{00000000-0005-0000-0000-000018770000}"/>
    <cellStyle name="Normal 82 13" xfId="32596" xr:uid="{00000000-0005-0000-0000-000019770000}"/>
    <cellStyle name="Normal 82 14" xfId="32597" xr:uid="{00000000-0005-0000-0000-00001A770000}"/>
    <cellStyle name="Normal 82 2" xfId="9695" xr:uid="{00000000-0005-0000-0000-00001B770000}"/>
    <cellStyle name="Normal 82 2 2" xfId="11291" xr:uid="{00000000-0005-0000-0000-00001C770000}"/>
    <cellStyle name="Normal 82 2 2 2" xfId="12712" xr:uid="{00000000-0005-0000-0000-00001D770000}"/>
    <cellStyle name="Normal 82 2 2 2 2" xfId="27093" xr:uid="{00000000-0005-0000-0000-00001E770000}"/>
    <cellStyle name="Normal 82 2 2 3" xfId="14243" xr:uid="{00000000-0005-0000-0000-00001F770000}"/>
    <cellStyle name="Normal 82 2 2 3 2" xfId="27094" xr:uid="{00000000-0005-0000-0000-000020770000}"/>
    <cellStyle name="Normal 82 2 2 4" xfId="15387" xr:uid="{00000000-0005-0000-0000-000021770000}"/>
    <cellStyle name="Normal 82 2 2 4 2" xfId="27095" xr:uid="{00000000-0005-0000-0000-000022770000}"/>
    <cellStyle name="Normal 82 2 2 5" xfId="27092" xr:uid="{00000000-0005-0000-0000-000023770000}"/>
    <cellStyle name="Normal 82 2 2_Additional Disclosures" xfId="16888" xr:uid="{00000000-0005-0000-0000-000024770000}"/>
    <cellStyle name="Normal 82 2 3" xfId="12062" xr:uid="{00000000-0005-0000-0000-000025770000}"/>
    <cellStyle name="Normal 82 2 3 2" xfId="27096" xr:uid="{00000000-0005-0000-0000-000026770000}"/>
    <cellStyle name="Normal 82 2 4" xfId="13733" xr:uid="{00000000-0005-0000-0000-000027770000}"/>
    <cellStyle name="Normal 82 2 4 2" xfId="27097" xr:uid="{00000000-0005-0000-0000-000028770000}"/>
    <cellStyle name="Normal 82 2 5" xfId="14877" xr:uid="{00000000-0005-0000-0000-000029770000}"/>
    <cellStyle name="Normal 82 2 5 2" xfId="27098" xr:uid="{00000000-0005-0000-0000-00002A770000}"/>
    <cellStyle name="Normal 82 2 6" xfId="27091" xr:uid="{00000000-0005-0000-0000-00002B770000}"/>
    <cellStyle name="Normal 82 2 7" xfId="32598" xr:uid="{00000000-0005-0000-0000-00002C770000}"/>
    <cellStyle name="Normal 82 2_Additional Disclosures" xfId="16887" xr:uid="{00000000-0005-0000-0000-00002D770000}"/>
    <cellStyle name="Normal 82 3" xfId="9696" xr:uid="{00000000-0005-0000-0000-00002E770000}"/>
    <cellStyle name="Normal 82 3 2" xfId="11292" xr:uid="{00000000-0005-0000-0000-00002F770000}"/>
    <cellStyle name="Normal 82 3 2 2" xfId="12713" xr:uid="{00000000-0005-0000-0000-000030770000}"/>
    <cellStyle name="Normal 82 3 2 2 2" xfId="27101" xr:uid="{00000000-0005-0000-0000-000031770000}"/>
    <cellStyle name="Normal 82 3 2 3" xfId="27100" xr:uid="{00000000-0005-0000-0000-000032770000}"/>
    <cellStyle name="Normal 82 3 3" xfId="12063" xr:uid="{00000000-0005-0000-0000-000033770000}"/>
    <cellStyle name="Normal 82 3 3 2" xfId="27102" xr:uid="{00000000-0005-0000-0000-000034770000}"/>
    <cellStyle name="Normal 82 3 4" xfId="13989" xr:uid="{00000000-0005-0000-0000-000035770000}"/>
    <cellStyle name="Normal 82 3 4 2" xfId="27103" xr:uid="{00000000-0005-0000-0000-000036770000}"/>
    <cellStyle name="Normal 82 3 5" xfId="15133" xr:uid="{00000000-0005-0000-0000-000037770000}"/>
    <cellStyle name="Normal 82 3 5 2" xfId="27104" xr:uid="{00000000-0005-0000-0000-000038770000}"/>
    <cellStyle name="Normal 82 3 6" xfId="27099" xr:uid="{00000000-0005-0000-0000-000039770000}"/>
    <cellStyle name="Normal 82 3_Additional Disclosures" xfId="16889" xr:uid="{00000000-0005-0000-0000-00003A770000}"/>
    <cellStyle name="Normal 82 4" xfId="13478" xr:uid="{00000000-0005-0000-0000-00003B770000}"/>
    <cellStyle name="Normal 82 4 2" xfId="27105" xr:uid="{00000000-0005-0000-0000-00003C770000}"/>
    <cellStyle name="Normal 82 5" xfId="14623" xr:uid="{00000000-0005-0000-0000-00003D770000}"/>
    <cellStyle name="Normal 82 5 2" xfId="27106" xr:uid="{00000000-0005-0000-0000-00003E770000}"/>
    <cellStyle name="Normal 82 6" xfId="27090" xr:uid="{00000000-0005-0000-0000-00003F770000}"/>
    <cellStyle name="Normal 82 7" xfId="29051" xr:uid="{00000000-0005-0000-0000-000040770000}"/>
    <cellStyle name="Normal 82 8" xfId="17257" xr:uid="{00000000-0005-0000-0000-000041770000}"/>
    <cellStyle name="Normal 82 9" xfId="29063" xr:uid="{00000000-0005-0000-0000-000042770000}"/>
    <cellStyle name="Normal 82_Additional Disclosures" xfId="16886" xr:uid="{00000000-0005-0000-0000-000043770000}"/>
    <cellStyle name="Normal 83" xfId="9697" xr:uid="{00000000-0005-0000-0000-000044770000}"/>
    <cellStyle name="Normal 83 10" xfId="29065" xr:uid="{00000000-0005-0000-0000-000045770000}"/>
    <cellStyle name="Normal 83 11" xfId="32599" xr:uid="{00000000-0005-0000-0000-000046770000}"/>
    <cellStyle name="Normal 83 12" xfId="32600" xr:uid="{00000000-0005-0000-0000-000047770000}"/>
    <cellStyle name="Normal 83 13" xfId="32601" xr:uid="{00000000-0005-0000-0000-000048770000}"/>
    <cellStyle name="Normal 83 14" xfId="32602" xr:uid="{00000000-0005-0000-0000-000049770000}"/>
    <cellStyle name="Normal 83 2" xfId="9698" xr:uid="{00000000-0005-0000-0000-00004A770000}"/>
    <cellStyle name="Normal 83 2 10" xfId="17285" xr:uid="{00000000-0005-0000-0000-00004B770000}"/>
    <cellStyle name="Normal 83 2 11" xfId="32603" xr:uid="{00000000-0005-0000-0000-00004C770000}"/>
    <cellStyle name="Normal 83 2 12" xfId="32604" xr:uid="{00000000-0005-0000-0000-00004D770000}"/>
    <cellStyle name="Normal 83 2 13" xfId="32605" xr:uid="{00000000-0005-0000-0000-00004E770000}"/>
    <cellStyle name="Normal 83 2 2" xfId="12104" xr:uid="{00000000-0005-0000-0000-00004F770000}"/>
    <cellStyle name="Normal 83 2 2 2" xfId="14244" xr:uid="{00000000-0005-0000-0000-000050770000}"/>
    <cellStyle name="Normal 83 2 2 2 2" xfId="27110" xr:uid="{00000000-0005-0000-0000-000051770000}"/>
    <cellStyle name="Normal 83 2 2 3" xfId="15388" xr:uid="{00000000-0005-0000-0000-000052770000}"/>
    <cellStyle name="Normal 83 2 2 3 2" xfId="27111" xr:uid="{00000000-0005-0000-0000-000053770000}"/>
    <cellStyle name="Normal 83 2 2 4" xfId="27109" xr:uid="{00000000-0005-0000-0000-000054770000}"/>
    <cellStyle name="Normal 83 2 2_Additional Disclosures" xfId="16892" xr:uid="{00000000-0005-0000-0000-000055770000}"/>
    <cellStyle name="Normal 83 2 3" xfId="12105" xr:uid="{00000000-0005-0000-0000-000056770000}"/>
    <cellStyle name="Normal 83 2 3 2" xfId="27112" xr:uid="{00000000-0005-0000-0000-000057770000}"/>
    <cellStyle name="Normal 83 2 4" xfId="13734" xr:uid="{00000000-0005-0000-0000-000058770000}"/>
    <cellStyle name="Normal 83 2 4 2" xfId="27113" xr:uid="{00000000-0005-0000-0000-000059770000}"/>
    <cellStyle name="Normal 83 2 5" xfId="14878" xr:uid="{00000000-0005-0000-0000-00005A770000}"/>
    <cellStyle name="Normal 83 2 5 2" xfId="27114" xr:uid="{00000000-0005-0000-0000-00005B770000}"/>
    <cellStyle name="Normal 83 2 6" xfId="27108" xr:uid="{00000000-0005-0000-0000-00005C770000}"/>
    <cellStyle name="Normal 83 2 7" xfId="29054" xr:uid="{00000000-0005-0000-0000-00005D770000}"/>
    <cellStyle name="Normal 83 2 8" xfId="17259" xr:uid="{00000000-0005-0000-0000-00005E770000}"/>
    <cellStyle name="Normal 83 2 9" xfId="29066" xr:uid="{00000000-0005-0000-0000-00005F770000}"/>
    <cellStyle name="Normal 83 2_Additional Disclosures" xfId="16891" xr:uid="{00000000-0005-0000-0000-000060770000}"/>
    <cellStyle name="Normal 83 3" xfId="12103" xr:uid="{00000000-0005-0000-0000-000061770000}"/>
    <cellStyle name="Normal 83 3 2" xfId="13990" xr:uid="{00000000-0005-0000-0000-000062770000}"/>
    <cellStyle name="Normal 83 3 2 2" xfId="27116" xr:uid="{00000000-0005-0000-0000-000063770000}"/>
    <cellStyle name="Normal 83 3 3" xfId="15134" xr:uid="{00000000-0005-0000-0000-000064770000}"/>
    <cellStyle name="Normal 83 3 3 2" xfId="27117" xr:uid="{00000000-0005-0000-0000-000065770000}"/>
    <cellStyle name="Normal 83 3 4" xfId="27115" xr:uid="{00000000-0005-0000-0000-000066770000}"/>
    <cellStyle name="Normal 83 3_Additional Disclosures" xfId="16893" xr:uid="{00000000-0005-0000-0000-000067770000}"/>
    <cellStyle name="Normal 83 4" xfId="12106" xr:uid="{00000000-0005-0000-0000-000068770000}"/>
    <cellStyle name="Normal 83 4 2" xfId="27118" xr:uid="{00000000-0005-0000-0000-000069770000}"/>
    <cellStyle name="Normal 83 5" xfId="13479" xr:uid="{00000000-0005-0000-0000-00006A770000}"/>
    <cellStyle name="Normal 83 5 2" xfId="27119" xr:uid="{00000000-0005-0000-0000-00006B770000}"/>
    <cellStyle name="Normal 83 6" xfId="14624" xr:uid="{00000000-0005-0000-0000-00006C770000}"/>
    <cellStyle name="Normal 83 6 2" xfId="27120" xr:uid="{00000000-0005-0000-0000-00006D770000}"/>
    <cellStyle name="Normal 83 7" xfId="27107" xr:uid="{00000000-0005-0000-0000-00006E770000}"/>
    <cellStyle name="Normal 83 8" xfId="29053" xr:uid="{00000000-0005-0000-0000-00006F770000}"/>
    <cellStyle name="Normal 83 9" xfId="17258" xr:uid="{00000000-0005-0000-0000-000070770000}"/>
    <cellStyle name="Normal 83_Additional Disclosures" xfId="16890" xr:uid="{00000000-0005-0000-0000-000071770000}"/>
    <cellStyle name="Normal 836" xfId="32606" xr:uid="{00000000-0005-0000-0000-000072770000}"/>
    <cellStyle name="Normal 84" xfId="9699" xr:uid="{00000000-0005-0000-0000-000073770000}"/>
    <cellStyle name="Normal 84 10" xfId="17288" xr:uid="{00000000-0005-0000-0000-000074770000}"/>
    <cellStyle name="Normal 84 11" xfId="32607" xr:uid="{00000000-0005-0000-0000-000075770000}"/>
    <cellStyle name="Normal 84 12" xfId="32608" xr:uid="{00000000-0005-0000-0000-000076770000}"/>
    <cellStyle name="Normal 84 13" xfId="32609" xr:uid="{00000000-0005-0000-0000-000077770000}"/>
    <cellStyle name="Normal 84 14" xfId="32610" xr:uid="{00000000-0005-0000-0000-000078770000}"/>
    <cellStyle name="Normal 84 2" xfId="9700" xr:uid="{00000000-0005-0000-0000-000079770000}"/>
    <cellStyle name="Normal 84 2 2" xfId="11293" xr:uid="{00000000-0005-0000-0000-00007A770000}"/>
    <cellStyle name="Normal 84 2 2 2" xfId="12714" xr:uid="{00000000-0005-0000-0000-00007B770000}"/>
    <cellStyle name="Normal 84 2 2 2 2" xfId="27124" xr:uid="{00000000-0005-0000-0000-00007C770000}"/>
    <cellStyle name="Normal 84 2 2 3" xfId="14245" xr:uid="{00000000-0005-0000-0000-00007D770000}"/>
    <cellStyle name="Normal 84 2 2 3 2" xfId="27125" xr:uid="{00000000-0005-0000-0000-00007E770000}"/>
    <cellStyle name="Normal 84 2 2 4" xfId="15389" xr:uid="{00000000-0005-0000-0000-00007F770000}"/>
    <cellStyle name="Normal 84 2 2 4 2" xfId="27126" xr:uid="{00000000-0005-0000-0000-000080770000}"/>
    <cellStyle name="Normal 84 2 2 5" xfId="27123" xr:uid="{00000000-0005-0000-0000-000081770000}"/>
    <cellStyle name="Normal 84 2 2_Additional Disclosures" xfId="16896" xr:uid="{00000000-0005-0000-0000-000082770000}"/>
    <cellStyle name="Normal 84 2 3" xfId="12064" xr:uid="{00000000-0005-0000-0000-000083770000}"/>
    <cellStyle name="Normal 84 2 3 2" xfId="27127" xr:uid="{00000000-0005-0000-0000-000084770000}"/>
    <cellStyle name="Normal 84 2 4" xfId="13735" xr:uid="{00000000-0005-0000-0000-000085770000}"/>
    <cellStyle name="Normal 84 2 4 2" xfId="27128" xr:uid="{00000000-0005-0000-0000-000086770000}"/>
    <cellStyle name="Normal 84 2 5" xfId="14879" xr:uid="{00000000-0005-0000-0000-000087770000}"/>
    <cellStyle name="Normal 84 2 5 2" xfId="27129" xr:uid="{00000000-0005-0000-0000-000088770000}"/>
    <cellStyle name="Normal 84 2 6" xfId="27122" xr:uid="{00000000-0005-0000-0000-000089770000}"/>
    <cellStyle name="Normal 84 2 7" xfId="32611" xr:uid="{00000000-0005-0000-0000-00008A770000}"/>
    <cellStyle name="Normal 84 2_Additional Disclosures" xfId="16895" xr:uid="{00000000-0005-0000-0000-00008B770000}"/>
    <cellStyle name="Normal 84 3" xfId="9701" xr:uid="{00000000-0005-0000-0000-00008C770000}"/>
    <cellStyle name="Normal 84 3 2" xfId="11294" xr:uid="{00000000-0005-0000-0000-00008D770000}"/>
    <cellStyle name="Normal 84 3 2 2" xfId="12715" xr:uid="{00000000-0005-0000-0000-00008E770000}"/>
    <cellStyle name="Normal 84 3 2 2 2" xfId="27132" xr:uid="{00000000-0005-0000-0000-00008F770000}"/>
    <cellStyle name="Normal 84 3 2 3" xfId="27131" xr:uid="{00000000-0005-0000-0000-000090770000}"/>
    <cellStyle name="Normal 84 3 3" xfId="12065" xr:uid="{00000000-0005-0000-0000-000091770000}"/>
    <cellStyle name="Normal 84 3 3 2" xfId="27133" xr:uid="{00000000-0005-0000-0000-000092770000}"/>
    <cellStyle name="Normal 84 3 4" xfId="13991" xr:uid="{00000000-0005-0000-0000-000093770000}"/>
    <cellStyle name="Normal 84 3 4 2" xfId="27134" xr:uid="{00000000-0005-0000-0000-000094770000}"/>
    <cellStyle name="Normal 84 3 5" xfId="15135" xr:uid="{00000000-0005-0000-0000-000095770000}"/>
    <cellStyle name="Normal 84 3 5 2" xfId="27135" xr:uid="{00000000-0005-0000-0000-000096770000}"/>
    <cellStyle name="Normal 84 3 6" xfId="27130" xr:uid="{00000000-0005-0000-0000-000097770000}"/>
    <cellStyle name="Normal 84 3_Additional Disclosures" xfId="16897" xr:uid="{00000000-0005-0000-0000-000098770000}"/>
    <cellStyle name="Normal 84 4" xfId="13480" xr:uid="{00000000-0005-0000-0000-000099770000}"/>
    <cellStyle name="Normal 84 4 2" xfId="27136" xr:uid="{00000000-0005-0000-0000-00009A770000}"/>
    <cellStyle name="Normal 84 5" xfId="14625" xr:uid="{00000000-0005-0000-0000-00009B770000}"/>
    <cellStyle name="Normal 84 5 2" xfId="27137" xr:uid="{00000000-0005-0000-0000-00009C770000}"/>
    <cellStyle name="Normal 84 6" xfId="27121" xr:uid="{00000000-0005-0000-0000-00009D770000}"/>
    <cellStyle name="Normal 84 7" xfId="29055" xr:uid="{00000000-0005-0000-0000-00009E770000}"/>
    <cellStyle name="Normal 84 8" xfId="17260" xr:uid="{00000000-0005-0000-0000-00009F770000}"/>
    <cellStyle name="Normal 84 9" xfId="29068" xr:uid="{00000000-0005-0000-0000-0000A0770000}"/>
    <cellStyle name="Normal 84_Additional Disclosures" xfId="16894" xr:uid="{00000000-0005-0000-0000-0000A1770000}"/>
    <cellStyle name="Normal 845" xfId="32612" xr:uid="{00000000-0005-0000-0000-0000A2770000}"/>
    <cellStyle name="Normal 85" xfId="9702" xr:uid="{00000000-0005-0000-0000-0000A3770000}"/>
    <cellStyle name="Normal 85 10" xfId="29070" xr:uid="{00000000-0005-0000-0000-0000A4770000}"/>
    <cellStyle name="Normal 85 11" xfId="32613" xr:uid="{00000000-0005-0000-0000-0000A5770000}"/>
    <cellStyle name="Normal 85 12" xfId="32614" xr:uid="{00000000-0005-0000-0000-0000A6770000}"/>
    <cellStyle name="Normal 85 13" xfId="33382" xr:uid="{00000000-0005-0000-0000-0000A7770000}"/>
    <cellStyle name="Normal 85 2" xfId="9703" xr:uid="{00000000-0005-0000-0000-0000A8770000}"/>
    <cellStyle name="Normal 85 2 10" xfId="34297" xr:uid="{00000000-0005-0000-0000-0000A9770000}"/>
    <cellStyle name="Normal 85 2 2" xfId="11295" xr:uid="{00000000-0005-0000-0000-0000AA770000}"/>
    <cellStyle name="Normal 85 2 2 2" xfId="12716" xr:uid="{00000000-0005-0000-0000-0000AB770000}"/>
    <cellStyle name="Normal 85 2 2 2 2" xfId="14147" xr:uid="{00000000-0005-0000-0000-0000AC770000}"/>
    <cellStyle name="Normal 85 2 2 2 2 2" xfId="27142" xr:uid="{00000000-0005-0000-0000-0000AD770000}"/>
    <cellStyle name="Normal 85 2 2 2 3" xfId="15291" xr:uid="{00000000-0005-0000-0000-0000AE770000}"/>
    <cellStyle name="Normal 85 2 2 2 3 2" xfId="27143" xr:uid="{00000000-0005-0000-0000-0000AF770000}"/>
    <cellStyle name="Normal 85 2 2 2 4" xfId="27141" xr:uid="{00000000-0005-0000-0000-0000B0770000}"/>
    <cellStyle name="Normal 85 2 2 2_Additional Disclosures" xfId="16901" xr:uid="{00000000-0005-0000-0000-0000B1770000}"/>
    <cellStyle name="Normal 85 2 2 3" xfId="13636" xr:uid="{00000000-0005-0000-0000-0000B2770000}"/>
    <cellStyle name="Normal 85 2 2 3 2" xfId="27144" xr:uid="{00000000-0005-0000-0000-0000B3770000}"/>
    <cellStyle name="Normal 85 2 2 4" xfId="14781" xr:uid="{00000000-0005-0000-0000-0000B4770000}"/>
    <cellStyle name="Normal 85 2 2 4 2" xfId="27145" xr:uid="{00000000-0005-0000-0000-0000B5770000}"/>
    <cellStyle name="Normal 85 2 2 5" xfId="27140" xr:uid="{00000000-0005-0000-0000-0000B6770000}"/>
    <cellStyle name="Normal 85 2 2_Additional Disclosures" xfId="16900" xr:uid="{00000000-0005-0000-0000-0000B7770000}"/>
    <cellStyle name="Normal 85 2 3" xfId="12066" xr:uid="{00000000-0005-0000-0000-0000B8770000}"/>
    <cellStyle name="Normal 85 2 3 2" xfId="13892" xr:uid="{00000000-0005-0000-0000-0000B9770000}"/>
    <cellStyle name="Normal 85 2 3 2 2" xfId="27147" xr:uid="{00000000-0005-0000-0000-0000BA770000}"/>
    <cellStyle name="Normal 85 2 3 3" xfId="15037" xr:uid="{00000000-0005-0000-0000-0000BB770000}"/>
    <cellStyle name="Normal 85 2 3 3 2" xfId="27148" xr:uid="{00000000-0005-0000-0000-0000BC770000}"/>
    <cellStyle name="Normal 85 2 3 4" xfId="27146" xr:uid="{00000000-0005-0000-0000-0000BD770000}"/>
    <cellStyle name="Normal 85 2 3_Additional Disclosures" xfId="16902" xr:uid="{00000000-0005-0000-0000-0000BE770000}"/>
    <cellStyle name="Normal 85 2 4" xfId="13381" xr:uid="{00000000-0005-0000-0000-0000BF770000}"/>
    <cellStyle name="Normal 85 2 4 2" xfId="27149" xr:uid="{00000000-0005-0000-0000-0000C0770000}"/>
    <cellStyle name="Normal 85 2 5" xfId="14525" xr:uid="{00000000-0005-0000-0000-0000C1770000}"/>
    <cellStyle name="Normal 85 2 5 2" xfId="27150" xr:uid="{00000000-0005-0000-0000-0000C2770000}"/>
    <cellStyle name="Normal 85 2 6" xfId="27139" xr:uid="{00000000-0005-0000-0000-0000C3770000}"/>
    <cellStyle name="Normal 85 2 7" xfId="32615" xr:uid="{00000000-0005-0000-0000-0000C4770000}"/>
    <cellStyle name="Normal 85 2 8" xfId="32616" xr:uid="{00000000-0005-0000-0000-0000C5770000}"/>
    <cellStyle name="Normal 85 2 9" xfId="33763" xr:uid="{00000000-0005-0000-0000-0000C6770000}"/>
    <cellStyle name="Normal 85 2_Additional Disclosures" xfId="16899" xr:uid="{00000000-0005-0000-0000-0000C7770000}"/>
    <cellStyle name="Normal 85 3" xfId="9704" xr:uid="{00000000-0005-0000-0000-0000C8770000}"/>
    <cellStyle name="Normal 85 3 2" xfId="11296" xr:uid="{00000000-0005-0000-0000-0000C9770000}"/>
    <cellStyle name="Normal 85 3 2 2" xfId="12717" xr:uid="{00000000-0005-0000-0000-0000CA770000}"/>
    <cellStyle name="Normal 85 3 2 2 2" xfId="27153" xr:uid="{00000000-0005-0000-0000-0000CB770000}"/>
    <cellStyle name="Normal 85 3 2 3" xfId="14107" xr:uid="{00000000-0005-0000-0000-0000CC770000}"/>
    <cellStyle name="Normal 85 3 2 3 2" xfId="27154" xr:uid="{00000000-0005-0000-0000-0000CD770000}"/>
    <cellStyle name="Normal 85 3 2 4" xfId="15251" xr:uid="{00000000-0005-0000-0000-0000CE770000}"/>
    <cellStyle name="Normal 85 3 2 4 2" xfId="27155" xr:uid="{00000000-0005-0000-0000-0000CF770000}"/>
    <cellStyle name="Normal 85 3 2 5" xfId="27152" xr:uid="{00000000-0005-0000-0000-0000D0770000}"/>
    <cellStyle name="Normal 85 3 2_Additional Disclosures" xfId="16904" xr:uid="{00000000-0005-0000-0000-0000D1770000}"/>
    <cellStyle name="Normal 85 3 3" xfId="12067" xr:uid="{00000000-0005-0000-0000-0000D2770000}"/>
    <cellStyle name="Normal 85 3 3 2" xfId="27156" xr:uid="{00000000-0005-0000-0000-0000D3770000}"/>
    <cellStyle name="Normal 85 3 4" xfId="13596" xr:uid="{00000000-0005-0000-0000-0000D4770000}"/>
    <cellStyle name="Normal 85 3 4 2" xfId="27157" xr:uid="{00000000-0005-0000-0000-0000D5770000}"/>
    <cellStyle name="Normal 85 3 5" xfId="14741" xr:uid="{00000000-0005-0000-0000-0000D6770000}"/>
    <cellStyle name="Normal 85 3 5 2" xfId="27158" xr:uid="{00000000-0005-0000-0000-0000D7770000}"/>
    <cellStyle name="Normal 85 3 6" xfId="27151" xr:uid="{00000000-0005-0000-0000-0000D8770000}"/>
    <cellStyle name="Normal 85 3 7" xfId="33991" xr:uid="{00000000-0005-0000-0000-0000D9770000}"/>
    <cellStyle name="Normal 85 3 8" xfId="34317" xr:uid="{00000000-0005-0000-0000-0000DA770000}"/>
    <cellStyle name="Normal 85 3_Additional Disclosures" xfId="16903" xr:uid="{00000000-0005-0000-0000-0000DB770000}"/>
    <cellStyle name="Normal 85 4" xfId="13852" xr:uid="{00000000-0005-0000-0000-0000DC770000}"/>
    <cellStyle name="Normal 85 4 2" xfId="14997" xr:uid="{00000000-0005-0000-0000-0000DD770000}"/>
    <cellStyle name="Normal 85 4 2 2" xfId="27160" xr:uid="{00000000-0005-0000-0000-0000DE770000}"/>
    <cellStyle name="Normal 85 4 3" xfId="27159" xr:uid="{00000000-0005-0000-0000-0000DF770000}"/>
    <cellStyle name="Normal 85 4 4" xfId="34205" xr:uid="{00000000-0005-0000-0000-0000E0770000}"/>
    <cellStyle name="Normal 85 4_Additional Disclosures" xfId="16905" xr:uid="{00000000-0005-0000-0000-0000E1770000}"/>
    <cellStyle name="Normal 85 5" xfId="13341" xr:uid="{00000000-0005-0000-0000-0000E2770000}"/>
    <cellStyle name="Normal 85 5 2" xfId="27161" xr:uid="{00000000-0005-0000-0000-0000E3770000}"/>
    <cellStyle name="Normal 85 6" xfId="14484" xr:uid="{00000000-0005-0000-0000-0000E4770000}"/>
    <cellStyle name="Normal 85 6 2" xfId="27162" xr:uid="{00000000-0005-0000-0000-0000E5770000}"/>
    <cellStyle name="Normal 85 7" xfId="27138" xr:uid="{00000000-0005-0000-0000-0000E6770000}"/>
    <cellStyle name="Normal 85 8" xfId="29056" xr:uid="{00000000-0005-0000-0000-0000E7770000}"/>
    <cellStyle name="Normal 85 9" xfId="17261" xr:uid="{00000000-0005-0000-0000-0000E8770000}"/>
    <cellStyle name="Normal 85_Additional Disclosures" xfId="16898" xr:uid="{00000000-0005-0000-0000-0000E9770000}"/>
    <cellStyle name="Normal 852" xfId="16978" xr:uid="{00000000-0005-0000-0000-0000EA770000}"/>
    <cellStyle name="Normal 852 2" xfId="27163" xr:uid="{00000000-0005-0000-0000-0000EB770000}"/>
    <cellStyle name="Normal 858" xfId="16977" xr:uid="{00000000-0005-0000-0000-0000EC770000}"/>
    <cellStyle name="Normal 858 2" xfId="27164" xr:uid="{00000000-0005-0000-0000-0000ED770000}"/>
    <cellStyle name="Normal 86" xfId="9705" xr:uid="{00000000-0005-0000-0000-0000EE770000}"/>
    <cellStyle name="Normal 86 10" xfId="17292" xr:uid="{00000000-0005-0000-0000-0000EF770000}"/>
    <cellStyle name="Normal 86 11" xfId="32617" xr:uid="{00000000-0005-0000-0000-0000F0770000}"/>
    <cellStyle name="Normal 86 12" xfId="32618" xr:uid="{00000000-0005-0000-0000-0000F1770000}"/>
    <cellStyle name="Normal 86 2" xfId="9706" xr:uid="{00000000-0005-0000-0000-0000F2770000}"/>
    <cellStyle name="Normal 86 2 2" xfId="11297" xr:uid="{00000000-0005-0000-0000-0000F3770000}"/>
    <cellStyle name="Normal 86 2 2 2" xfId="12718" xr:uid="{00000000-0005-0000-0000-0000F4770000}"/>
    <cellStyle name="Normal 86 2 2 2 2" xfId="27168" xr:uid="{00000000-0005-0000-0000-0000F5770000}"/>
    <cellStyle name="Normal 86 2 2 3" xfId="14246" xr:uid="{00000000-0005-0000-0000-0000F6770000}"/>
    <cellStyle name="Normal 86 2 2 3 2" xfId="27169" xr:uid="{00000000-0005-0000-0000-0000F7770000}"/>
    <cellStyle name="Normal 86 2 2 4" xfId="15390" xr:uid="{00000000-0005-0000-0000-0000F8770000}"/>
    <cellStyle name="Normal 86 2 2 4 2" xfId="27170" xr:uid="{00000000-0005-0000-0000-0000F9770000}"/>
    <cellStyle name="Normal 86 2 2 5" xfId="27167" xr:uid="{00000000-0005-0000-0000-0000FA770000}"/>
    <cellStyle name="Normal 86 2 2_Additional Disclosures" xfId="16908" xr:uid="{00000000-0005-0000-0000-0000FB770000}"/>
    <cellStyle name="Normal 86 2 3" xfId="12068" xr:uid="{00000000-0005-0000-0000-0000FC770000}"/>
    <cellStyle name="Normal 86 2 3 2" xfId="27171" xr:uid="{00000000-0005-0000-0000-0000FD770000}"/>
    <cellStyle name="Normal 86 2 4" xfId="13736" xr:uid="{00000000-0005-0000-0000-0000FE770000}"/>
    <cellStyle name="Normal 86 2 4 2" xfId="27172" xr:uid="{00000000-0005-0000-0000-0000FF770000}"/>
    <cellStyle name="Normal 86 2 5" xfId="14880" xr:uid="{00000000-0005-0000-0000-000000780000}"/>
    <cellStyle name="Normal 86 2 5 2" xfId="27173" xr:uid="{00000000-0005-0000-0000-000001780000}"/>
    <cellStyle name="Normal 86 2 6" xfId="27166" xr:uid="{00000000-0005-0000-0000-000002780000}"/>
    <cellStyle name="Normal 86 2 7" xfId="32619" xr:uid="{00000000-0005-0000-0000-000003780000}"/>
    <cellStyle name="Normal 86 2_Additional Disclosures" xfId="16907" xr:uid="{00000000-0005-0000-0000-000004780000}"/>
    <cellStyle name="Normal 86 3" xfId="9707" xr:uid="{00000000-0005-0000-0000-000005780000}"/>
    <cellStyle name="Normal 86 3 2" xfId="11298" xr:uid="{00000000-0005-0000-0000-000006780000}"/>
    <cellStyle name="Normal 86 3 2 2" xfId="12719" xr:uid="{00000000-0005-0000-0000-000007780000}"/>
    <cellStyle name="Normal 86 3 2 2 2" xfId="27176" xr:uid="{00000000-0005-0000-0000-000008780000}"/>
    <cellStyle name="Normal 86 3 2 3" xfId="27175" xr:uid="{00000000-0005-0000-0000-000009780000}"/>
    <cellStyle name="Normal 86 3 3" xfId="12069" xr:uid="{00000000-0005-0000-0000-00000A780000}"/>
    <cellStyle name="Normal 86 3 3 2" xfId="27177" xr:uid="{00000000-0005-0000-0000-00000B780000}"/>
    <cellStyle name="Normal 86 3 4" xfId="13992" xr:uid="{00000000-0005-0000-0000-00000C780000}"/>
    <cellStyle name="Normal 86 3 4 2" xfId="27178" xr:uid="{00000000-0005-0000-0000-00000D780000}"/>
    <cellStyle name="Normal 86 3 5" xfId="15136" xr:uid="{00000000-0005-0000-0000-00000E780000}"/>
    <cellStyle name="Normal 86 3 5 2" xfId="27179" xr:uid="{00000000-0005-0000-0000-00000F780000}"/>
    <cellStyle name="Normal 86 3 6" xfId="27174" xr:uid="{00000000-0005-0000-0000-000010780000}"/>
    <cellStyle name="Normal 86 3_Additional Disclosures" xfId="16909" xr:uid="{00000000-0005-0000-0000-000011780000}"/>
    <cellStyle name="Normal 86 4" xfId="13481" xr:uid="{00000000-0005-0000-0000-000012780000}"/>
    <cellStyle name="Normal 86 4 2" xfId="27180" xr:uid="{00000000-0005-0000-0000-000013780000}"/>
    <cellStyle name="Normal 86 5" xfId="14626" xr:uid="{00000000-0005-0000-0000-000014780000}"/>
    <cellStyle name="Normal 86 5 2" xfId="27181" xr:uid="{00000000-0005-0000-0000-000015780000}"/>
    <cellStyle name="Normal 86 6" xfId="27165" xr:uid="{00000000-0005-0000-0000-000016780000}"/>
    <cellStyle name="Normal 86 7" xfId="29057" xr:uid="{00000000-0005-0000-0000-000017780000}"/>
    <cellStyle name="Normal 86 8" xfId="17262" xr:uid="{00000000-0005-0000-0000-000018780000}"/>
    <cellStyle name="Normal 86 9" xfId="29072" xr:uid="{00000000-0005-0000-0000-000019780000}"/>
    <cellStyle name="Normal 86_Additional Disclosures" xfId="16906" xr:uid="{00000000-0005-0000-0000-00001A780000}"/>
    <cellStyle name="Normal 866" xfId="32620" xr:uid="{00000000-0005-0000-0000-00001B780000}"/>
    <cellStyle name="Normal 87" xfId="9708" xr:uid="{00000000-0005-0000-0000-00001C780000}"/>
    <cellStyle name="Normal 87 10" xfId="29073" xr:uid="{00000000-0005-0000-0000-00001D780000}"/>
    <cellStyle name="Normal 87 11" xfId="32621" xr:uid="{00000000-0005-0000-0000-00001E780000}"/>
    <cellStyle name="Normal 87 12" xfId="32622" xr:uid="{00000000-0005-0000-0000-00001F780000}"/>
    <cellStyle name="Normal 87 13" xfId="33379" xr:uid="{00000000-0005-0000-0000-000020780000}"/>
    <cellStyle name="Normal 87 2" xfId="9709" xr:uid="{00000000-0005-0000-0000-000021780000}"/>
    <cellStyle name="Normal 87 2 10" xfId="34296" xr:uid="{00000000-0005-0000-0000-000022780000}"/>
    <cellStyle name="Normal 87 2 2" xfId="11299" xr:uid="{00000000-0005-0000-0000-000023780000}"/>
    <cellStyle name="Normal 87 2 2 2" xfId="12720" xr:uid="{00000000-0005-0000-0000-000024780000}"/>
    <cellStyle name="Normal 87 2 2 2 2" xfId="14149" xr:uid="{00000000-0005-0000-0000-000025780000}"/>
    <cellStyle name="Normal 87 2 2 2 2 2" xfId="27186" xr:uid="{00000000-0005-0000-0000-000026780000}"/>
    <cellStyle name="Normal 87 2 2 2 3" xfId="15293" xr:uid="{00000000-0005-0000-0000-000027780000}"/>
    <cellStyle name="Normal 87 2 2 2 3 2" xfId="27187" xr:uid="{00000000-0005-0000-0000-000028780000}"/>
    <cellStyle name="Normal 87 2 2 2 4" xfId="27185" xr:uid="{00000000-0005-0000-0000-000029780000}"/>
    <cellStyle name="Normal 87 2 2 2_Additional Disclosures" xfId="16913" xr:uid="{00000000-0005-0000-0000-00002A780000}"/>
    <cellStyle name="Normal 87 2 2 3" xfId="13638" xr:uid="{00000000-0005-0000-0000-00002B780000}"/>
    <cellStyle name="Normal 87 2 2 3 2" xfId="27188" xr:uid="{00000000-0005-0000-0000-00002C780000}"/>
    <cellStyle name="Normal 87 2 2 4" xfId="14783" xr:uid="{00000000-0005-0000-0000-00002D780000}"/>
    <cellStyle name="Normal 87 2 2 4 2" xfId="27189" xr:uid="{00000000-0005-0000-0000-00002E780000}"/>
    <cellStyle name="Normal 87 2 2 5" xfId="27184" xr:uid="{00000000-0005-0000-0000-00002F780000}"/>
    <cellStyle name="Normal 87 2 2_Additional Disclosures" xfId="16912" xr:uid="{00000000-0005-0000-0000-000030780000}"/>
    <cellStyle name="Normal 87 2 3" xfId="12070" xr:uid="{00000000-0005-0000-0000-000031780000}"/>
    <cellStyle name="Normal 87 2 3 2" xfId="13894" xr:uid="{00000000-0005-0000-0000-000032780000}"/>
    <cellStyle name="Normal 87 2 3 2 2" xfId="27191" xr:uid="{00000000-0005-0000-0000-000033780000}"/>
    <cellStyle name="Normal 87 2 3 3" xfId="15039" xr:uid="{00000000-0005-0000-0000-000034780000}"/>
    <cellStyle name="Normal 87 2 3 3 2" xfId="27192" xr:uid="{00000000-0005-0000-0000-000035780000}"/>
    <cellStyle name="Normal 87 2 3 4" xfId="27190" xr:uid="{00000000-0005-0000-0000-000036780000}"/>
    <cellStyle name="Normal 87 2 3_Additional Disclosures" xfId="16914" xr:uid="{00000000-0005-0000-0000-000037780000}"/>
    <cellStyle name="Normal 87 2 4" xfId="13383" xr:uid="{00000000-0005-0000-0000-000038780000}"/>
    <cellStyle name="Normal 87 2 4 2" xfId="27193" xr:uid="{00000000-0005-0000-0000-000039780000}"/>
    <cellStyle name="Normal 87 2 5" xfId="14527" xr:uid="{00000000-0005-0000-0000-00003A780000}"/>
    <cellStyle name="Normal 87 2 5 2" xfId="27194" xr:uid="{00000000-0005-0000-0000-00003B780000}"/>
    <cellStyle name="Normal 87 2 6" xfId="27183" xr:uid="{00000000-0005-0000-0000-00003C780000}"/>
    <cellStyle name="Normal 87 2 7" xfId="32623" xr:uid="{00000000-0005-0000-0000-00003D780000}"/>
    <cellStyle name="Normal 87 2 8" xfId="32624" xr:uid="{00000000-0005-0000-0000-00003E780000}"/>
    <cellStyle name="Normal 87 2 9" xfId="33761" xr:uid="{00000000-0005-0000-0000-00003F780000}"/>
    <cellStyle name="Normal 87 2_Additional Disclosures" xfId="16911" xr:uid="{00000000-0005-0000-0000-000040780000}"/>
    <cellStyle name="Normal 87 3" xfId="9710" xr:uid="{00000000-0005-0000-0000-000041780000}"/>
    <cellStyle name="Normal 87 3 2" xfId="11300" xr:uid="{00000000-0005-0000-0000-000042780000}"/>
    <cellStyle name="Normal 87 3 2 2" xfId="12721" xr:uid="{00000000-0005-0000-0000-000043780000}"/>
    <cellStyle name="Normal 87 3 2 2 2" xfId="27197" xr:uid="{00000000-0005-0000-0000-000044780000}"/>
    <cellStyle name="Normal 87 3 2 3" xfId="14109" xr:uid="{00000000-0005-0000-0000-000045780000}"/>
    <cellStyle name="Normal 87 3 2 3 2" xfId="27198" xr:uid="{00000000-0005-0000-0000-000046780000}"/>
    <cellStyle name="Normal 87 3 2 4" xfId="15253" xr:uid="{00000000-0005-0000-0000-000047780000}"/>
    <cellStyle name="Normal 87 3 2 4 2" xfId="27199" xr:uid="{00000000-0005-0000-0000-000048780000}"/>
    <cellStyle name="Normal 87 3 2 5" xfId="27196" xr:uid="{00000000-0005-0000-0000-000049780000}"/>
    <cellStyle name="Normal 87 3 2_Additional Disclosures" xfId="16916" xr:uid="{00000000-0005-0000-0000-00004A780000}"/>
    <cellStyle name="Normal 87 3 3" xfId="12071" xr:uid="{00000000-0005-0000-0000-00004B780000}"/>
    <cellStyle name="Normal 87 3 3 2" xfId="27200" xr:uid="{00000000-0005-0000-0000-00004C780000}"/>
    <cellStyle name="Normal 87 3 4" xfId="13598" xr:uid="{00000000-0005-0000-0000-00004D780000}"/>
    <cellStyle name="Normal 87 3 4 2" xfId="27201" xr:uid="{00000000-0005-0000-0000-00004E780000}"/>
    <cellStyle name="Normal 87 3 5" xfId="14743" xr:uid="{00000000-0005-0000-0000-00004F780000}"/>
    <cellStyle name="Normal 87 3 5 2" xfId="27202" xr:uid="{00000000-0005-0000-0000-000050780000}"/>
    <cellStyle name="Normal 87 3 6" xfId="27195" xr:uid="{00000000-0005-0000-0000-000051780000}"/>
    <cellStyle name="Normal 87 3 7" xfId="33989" xr:uid="{00000000-0005-0000-0000-000052780000}"/>
    <cellStyle name="Normal 87 3 8" xfId="34316" xr:uid="{00000000-0005-0000-0000-000053780000}"/>
    <cellStyle name="Normal 87 3_Additional Disclosures" xfId="16915" xr:uid="{00000000-0005-0000-0000-000054780000}"/>
    <cellStyle name="Normal 87 4" xfId="13854" xr:uid="{00000000-0005-0000-0000-000055780000}"/>
    <cellStyle name="Normal 87 4 2" xfId="14999" xr:uid="{00000000-0005-0000-0000-000056780000}"/>
    <cellStyle name="Normal 87 4 2 2" xfId="27204" xr:uid="{00000000-0005-0000-0000-000057780000}"/>
    <cellStyle name="Normal 87 4 3" xfId="27203" xr:uid="{00000000-0005-0000-0000-000058780000}"/>
    <cellStyle name="Normal 87 4 4" xfId="34203" xr:uid="{00000000-0005-0000-0000-000059780000}"/>
    <cellStyle name="Normal 87 4_Additional Disclosures" xfId="16917" xr:uid="{00000000-0005-0000-0000-00005A780000}"/>
    <cellStyle name="Normal 87 5" xfId="13343" xr:uid="{00000000-0005-0000-0000-00005B780000}"/>
    <cellStyle name="Normal 87 5 2" xfId="27205" xr:uid="{00000000-0005-0000-0000-00005C780000}"/>
    <cellStyle name="Normal 87 6" xfId="14486" xr:uid="{00000000-0005-0000-0000-00005D780000}"/>
    <cellStyle name="Normal 87 6 2" xfId="27206" xr:uid="{00000000-0005-0000-0000-00005E780000}"/>
    <cellStyle name="Normal 87 7" xfId="27182" xr:uid="{00000000-0005-0000-0000-00005F780000}"/>
    <cellStyle name="Normal 87 8" xfId="29059" xr:uid="{00000000-0005-0000-0000-000060780000}"/>
    <cellStyle name="Normal 87 9" xfId="17265" xr:uid="{00000000-0005-0000-0000-000061780000}"/>
    <cellStyle name="Normal 87_Additional Disclosures" xfId="16910" xr:uid="{00000000-0005-0000-0000-000062780000}"/>
    <cellStyle name="Normal 873" xfId="32625" xr:uid="{00000000-0005-0000-0000-000063780000}"/>
    <cellStyle name="Normal 88" xfId="9711" xr:uid="{00000000-0005-0000-0000-000064780000}"/>
    <cellStyle name="Normal 88 10" xfId="29076" xr:uid="{00000000-0005-0000-0000-000065780000}"/>
    <cellStyle name="Normal 88 11" xfId="32626" xr:uid="{00000000-0005-0000-0000-000066780000}"/>
    <cellStyle name="Normal 88 12" xfId="32627" xr:uid="{00000000-0005-0000-0000-000067780000}"/>
    <cellStyle name="Normal 88 2" xfId="9712" xr:uid="{00000000-0005-0000-0000-000068780000}"/>
    <cellStyle name="Normal 88 2 10" xfId="17295" xr:uid="{00000000-0005-0000-0000-000069780000}"/>
    <cellStyle name="Normal 88 2 11" xfId="32628" xr:uid="{00000000-0005-0000-0000-00006A780000}"/>
    <cellStyle name="Normal 88 2 12" xfId="32629" xr:uid="{00000000-0005-0000-0000-00006B780000}"/>
    <cellStyle name="Normal 88 2 2" xfId="12100" xr:uid="{00000000-0005-0000-0000-00006C780000}"/>
    <cellStyle name="Normal 88 2 2 2" xfId="14247" xr:uid="{00000000-0005-0000-0000-00006D780000}"/>
    <cellStyle name="Normal 88 2 2 2 2" xfId="27210" xr:uid="{00000000-0005-0000-0000-00006E780000}"/>
    <cellStyle name="Normal 88 2 2 3" xfId="15391" xr:uid="{00000000-0005-0000-0000-00006F780000}"/>
    <cellStyle name="Normal 88 2 2 3 2" xfId="27211" xr:uid="{00000000-0005-0000-0000-000070780000}"/>
    <cellStyle name="Normal 88 2 2 4" xfId="27209" xr:uid="{00000000-0005-0000-0000-000071780000}"/>
    <cellStyle name="Normal 88 2 2_Additional Disclosures" xfId="16920" xr:uid="{00000000-0005-0000-0000-000072780000}"/>
    <cellStyle name="Normal 88 2 3" xfId="12101" xr:uid="{00000000-0005-0000-0000-000073780000}"/>
    <cellStyle name="Normal 88 2 3 2" xfId="27212" xr:uid="{00000000-0005-0000-0000-000074780000}"/>
    <cellStyle name="Normal 88 2 4" xfId="13737" xr:uid="{00000000-0005-0000-0000-000075780000}"/>
    <cellStyle name="Normal 88 2 4 2" xfId="27213" xr:uid="{00000000-0005-0000-0000-000076780000}"/>
    <cellStyle name="Normal 88 2 5" xfId="14881" xr:uid="{00000000-0005-0000-0000-000077780000}"/>
    <cellStyle name="Normal 88 2 5 2" xfId="27214" xr:uid="{00000000-0005-0000-0000-000078780000}"/>
    <cellStyle name="Normal 88 2 6" xfId="27208" xr:uid="{00000000-0005-0000-0000-000079780000}"/>
    <cellStyle name="Normal 88 2 7" xfId="29062" xr:uid="{00000000-0005-0000-0000-00007A780000}"/>
    <cellStyle name="Normal 88 2 8" xfId="17283" xr:uid="{00000000-0005-0000-0000-00007B780000}"/>
    <cellStyle name="Normal 88 2 9" xfId="29077" xr:uid="{00000000-0005-0000-0000-00007C780000}"/>
    <cellStyle name="Normal 88 2_Additional Disclosures" xfId="16919" xr:uid="{00000000-0005-0000-0000-00007D780000}"/>
    <cellStyle name="Normal 88 3" xfId="12099" xr:uid="{00000000-0005-0000-0000-00007E780000}"/>
    <cellStyle name="Normal 88 3 2" xfId="13993" xr:uid="{00000000-0005-0000-0000-00007F780000}"/>
    <cellStyle name="Normal 88 3 2 2" xfId="27216" xr:uid="{00000000-0005-0000-0000-000080780000}"/>
    <cellStyle name="Normal 88 3 3" xfId="15137" xr:uid="{00000000-0005-0000-0000-000081780000}"/>
    <cellStyle name="Normal 88 3 3 2" xfId="27217" xr:uid="{00000000-0005-0000-0000-000082780000}"/>
    <cellStyle name="Normal 88 3 4" xfId="27215" xr:uid="{00000000-0005-0000-0000-000083780000}"/>
    <cellStyle name="Normal 88 3_Additional Disclosures" xfId="16921" xr:uid="{00000000-0005-0000-0000-000084780000}"/>
    <cellStyle name="Normal 88 4" xfId="12102" xr:uid="{00000000-0005-0000-0000-000085780000}"/>
    <cellStyle name="Normal 88 4 2" xfId="27218" xr:uid="{00000000-0005-0000-0000-000086780000}"/>
    <cellStyle name="Normal 88 5" xfId="13482" xr:uid="{00000000-0005-0000-0000-000087780000}"/>
    <cellStyle name="Normal 88 5 2" xfId="27219" xr:uid="{00000000-0005-0000-0000-000088780000}"/>
    <cellStyle name="Normal 88 6" xfId="14627" xr:uid="{00000000-0005-0000-0000-000089780000}"/>
    <cellStyle name="Normal 88 6 2" xfId="27220" xr:uid="{00000000-0005-0000-0000-00008A780000}"/>
    <cellStyle name="Normal 88 7" xfId="27207" xr:uid="{00000000-0005-0000-0000-00008B780000}"/>
    <cellStyle name="Normal 88 8" xfId="29061" xr:uid="{00000000-0005-0000-0000-00008C780000}"/>
    <cellStyle name="Normal 88 9" xfId="17282" xr:uid="{00000000-0005-0000-0000-00008D780000}"/>
    <cellStyle name="Normal 88_Additional Disclosures" xfId="16918" xr:uid="{00000000-0005-0000-0000-00008E780000}"/>
    <cellStyle name="Normal 881" xfId="32630" xr:uid="{00000000-0005-0000-0000-00008F780000}"/>
    <cellStyle name="Normal 888" xfId="32631" xr:uid="{00000000-0005-0000-0000-000090780000}"/>
    <cellStyle name="Normal 89" xfId="9713" xr:uid="{00000000-0005-0000-0000-000091780000}"/>
    <cellStyle name="Normal 89 10" xfId="17297" xr:uid="{00000000-0005-0000-0000-000092780000}"/>
    <cellStyle name="Normal 89 11" xfId="32632" xr:uid="{00000000-0005-0000-0000-000093780000}"/>
    <cellStyle name="Normal 89 12" xfId="32633" xr:uid="{00000000-0005-0000-0000-000094780000}"/>
    <cellStyle name="Normal 89 2" xfId="9714" xr:uid="{00000000-0005-0000-0000-000095780000}"/>
    <cellStyle name="Normal 89 2 2" xfId="11301" xr:uid="{00000000-0005-0000-0000-000096780000}"/>
    <cellStyle name="Normal 89 2 2 2" xfId="12722" xr:uid="{00000000-0005-0000-0000-000097780000}"/>
    <cellStyle name="Normal 89 2 2 2 2" xfId="27224" xr:uid="{00000000-0005-0000-0000-000098780000}"/>
    <cellStyle name="Normal 89 2 2 3" xfId="14248" xr:uid="{00000000-0005-0000-0000-000099780000}"/>
    <cellStyle name="Normal 89 2 2 3 2" xfId="27225" xr:uid="{00000000-0005-0000-0000-00009A780000}"/>
    <cellStyle name="Normal 89 2 2 4" xfId="15392" xr:uid="{00000000-0005-0000-0000-00009B780000}"/>
    <cellStyle name="Normal 89 2 2 4 2" xfId="27226" xr:uid="{00000000-0005-0000-0000-00009C780000}"/>
    <cellStyle name="Normal 89 2 2 5" xfId="27223" xr:uid="{00000000-0005-0000-0000-00009D780000}"/>
    <cellStyle name="Normal 89 2 2_Additional Disclosures" xfId="16924" xr:uid="{00000000-0005-0000-0000-00009E780000}"/>
    <cellStyle name="Normal 89 2 3" xfId="12072" xr:uid="{00000000-0005-0000-0000-00009F780000}"/>
    <cellStyle name="Normal 89 2 3 2" xfId="27227" xr:uid="{00000000-0005-0000-0000-0000A0780000}"/>
    <cellStyle name="Normal 89 2 4" xfId="13738" xr:uid="{00000000-0005-0000-0000-0000A1780000}"/>
    <cellStyle name="Normal 89 2 4 2" xfId="27228" xr:uid="{00000000-0005-0000-0000-0000A2780000}"/>
    <cellStyle name="Normal 89 2 5" xfId="14882" xr:uid="{00000000-0005-0000-0000-0000A3780000}"/>
    <cellStyle name="Normal 89 2 5 2" xfId="27229" xr:uid="{00000000-0005-0000-0000-0000A4780000}"/>
    <cellStyle name="Normal 89 2 6" xfId="27222" xr:uid="{00000000-0005-0000-0000-0000A5780000}"/>
    <cellStyle name="Normal 89 2 7" xfId="32634" xr:uid="{00000000-0005-0000-0000-0000A6780000}"/>
    <cellStyle name="Normal 89 2_Additional Disclosures" xfId="16923" xr:uid="{00000000-0005-0000-0000-0000A7780000}"/>
    <cellStyle name="Normal 89 3" xfId="9715" xr:uid="{00000000-0005-0000-0000-0000A8780000}"/>
    <cellStyle name="Normal 89 3 2" xfId="11302" xr:uid="{00000000-0005-0000-0000-0000A9780000}"/>
    <cellStyle name="Normal 89 3 2 2" xfId="12723" xr:uid="{00000000-0005-0000-0000-0000AA780000}"/>
    <cellStyle name="Normal 89 3 2 2 2" xfId="27232" xr:uid="{00000000-0005-0000-0000-0000AB780000}"/>
    <cellStyle name="Normal 89 3 2 3" xfId="27231" xr:uid="{00000000-0005-0000-0000-0000AC780000}"/>
    <cellStyle name="Normal 89 3 3" xfId="12073" xr:uid="{00000000-0005-0000-0000-0000AD780000}"/>
    <cellStyle name="Normal 89 3 3 2" xfId="27233" xr:uid="{00000000-0005-0000-0000-0000AE780000}"/>
    <cellStyle name="Normal 89 3 4" xfId="13994" xr:uid="{00000000-0005-0000-0000-0000AF780000}"/>
    <cellStyle name="Normal 89 3 4 2" xfId="27234" xr:uid="{00000000-0005-0000-0000-0000B0780000}"/>
    <cellStyle name="Normal 89 3 5" xfId="15138" xr:uid="{00000000-0005-0000-0000-0000B1780000}"/>
    <cellStyle name="Normal 89 3 5 2" xfId="27235" xr:uid="{00000000-0005-0000-0000-0000B2780000}"/>
    <cellStyle name="Normal 89 3 6" xfId="27230" xr:uid="{00000000-0005-0000-0000-0000B3780000}"/>
    <cellStyle name="Normal 89 3_Additional Disclosures" xfId="16925" xr:uid="{00000000-0005-0000-0000-0000B4780000}"/>
    <cellStyle name="Normal 89 4" xfId="13483" xr:uid="{00000000-0005-0000-0000-0000B5780000}"/>
    <cellStyle name="Normal 89 4 2" xfId="27236" xr:uid="{00000000-0005-0000-0000-0000B6780000}"/>
    <cellStyle name="Normal 89 5" xfId="14628" xr:uid="{00000000-0005-0000-0000-0000B7780000}"/>
    <cellStyle name="Normal 89 5 2" xfId="27237" xr:uid="{00000000-0005-0000-0000-0000B8780000}"/>
    <cellStyle name="Normal 89 6" xfId="27221" xr:uid="{00000000-0005-0000-0000-0000B9780000}"/>
    <cellStyle name="Normal 89 7" xfId="29064" xr:uid="{00000000-0005-0000-0000-0000BA780000}"/>
    <cellStyle name="Normal 89 8" xfId="17284" xr:uid="{00000000-0005-0000-0000-0000BB780000}"/>
    <cellStyle name="Normal 89 9" xfId="29079" xr:uid="{00000000-0005-0000-0000-0000BC780000}"/>
    <cellStyle name="Normal 89_Additional Disclosures" xfId="16922" xr:uid="{00000000-0005-0000-0000-0000BD780000}"/>
    <cellStyle name="Normal 893" xfId="32635" xr:uid="{00000000-0005-0000-0000-0000BE780000}"/>
    <cellStyle name="Normal 9" xfId="476" xr:uid="{00000000-0005-0000-0000-0000BF780000}"/>
    <cellStyle name="Normal 9 10" xfId="17289" xr:uid="{00000000-0005-0000-0000-0000C0780000}"/>
    <cellStyle name="Normal 9 11" xfId="32636" xr:uid="{00000000-0005-0000-0000-0000C1780000}"/>
    <cellStyle name="Normal 9 12" xfId="32637" xr:uid="{00000000-0005-0000-0000-0000C2780000}"/>
    <cellStyle name="Normal 9 13" xfId="620" xr:uid="{00000000-0005-0000-0000-0000C3780000}"/>
    <cellStyle name="Normal 9 2" xfId="9716" xr:uid="{00000000-0005-0000-0000-0000C4780000}"/>
    <cellStyle name="Normal 9 2 10" xfId="32638" xr:uid="{00000000-0005-0000-0000-0000C5780000}"/>
    <cellStyle name="Normal 9 2 2" xfId="11303" xr:uid="{00000000-0005-0000-0000-0000C6780000}"/>
    <cellStyle name="Normal 9 2 2 2" xfId="12724" xr:uid="{00000000-0005-0000-0000-0000C7780000}"/>
    <cellStyle name="Normal 9 2 2 2 2" xfId="27241" xr:uid="{00000000-0005-0000-0000-0000C8780000}"/>
    <cellStyle name="Normal 9 2 2 2 3" xfId="32639" xr:uid="{00000000-0005-0000-0000-0000C9780000}"/>
    <cellStyle name="Normal 9 2 2 3" xfId="14177" xr:uid="{00000000-0005-0000-0000-0000CA780000}"/>
    <cellStyle name="Normal 9 2 2 3 2" xfId="27242" xr:uid="{00000000-0005-0000-0000-0000CB780000}"/>
    <cellStyle name="Normal 9 2 2 4" xfId="15321" xr:uid="{00000000-0005-0000-0000-0000CC780000}"/>
    <cellStyle name="Normal 9 2 2 4 2" xfId="27243" xr:uid="{00000000-0005-0000-0000-0000CD780000}"/>
    <cellStyle name="Normal 9 2 2 5" xfId="27240" xr:uid="{00000000-0005-0000-0000-0000CE780000}"/>
    <cellStyle name="Normal 9 2 2 6" xfId="32640" xr:uid="{00000000-0005-0000-0000-0000CF780000}"/>
    <cellStyle name="Normal 9 2 2 7" xfId="32641" xr:uid="{00000000-0005-0000-0000-0000D0780000}"/>
    <cellStyle name="Normal 9 2 2_Additional Disclosures" xfId="16928" xr:uid="{00000000-0005-0000-0000-0000D1780000}"/>
    <cellStyle name="Normal 9 2 3" xfId="12074" xr:uid="{00000000-0005-0000-0000-0000D2780000}"/>
    <cellStyle name="Normal 9 2 3 2" xfId="27244" xr:uid="{00000000-0005-0000-0000-0000D3780000}"/>
    <cellStyle name="Normal 9 2 3 3" xfId="32642" xr:uid="{00000000-0005-0000-0000-0000D4780000}"/>
    <cellStyle name="Normal 9 2 3 4" xfId="32643" xr:uid="{00000000-0005-0000-0000-0000D5780000}"/>
    <cellStyle name="Normal 9 2 3 5" xfId="32644" xr:uid="{00000000-0005-0000-0000-0000D6780000}"/>
    <cellStyle name="Normal 9 2 4" xfId="13666" xr:uid="{00000000-0005-0000-0000-0000D7780000}"/>
    <cellStyle name="Normal 9 2 4 2" xfId="27245" xr:uid="{00000000-0005-0000-0000-0000D8780000}"/>
    <cellStyle name="Normal 9 2 4 3" xfId="33485" xr:uid="{00000000-0005-0000-0000-0000D9780000}"/>
    <cellStyle name="Normal 9 2 5" xfId="14811" xr:uid="{00000000-0005-0000-0000-0000DA780000}"/>
    <cellStyle name="Normal 9 2 5 2" xfId="27246" xr:uid="{00000000-0005-0000-0000-0000DB780000}"/>
    <cellStyle name="Normal 9 2 5 3" xfId="33545" xr:uid="{00000000-0005-0000-0000-0000DC780000}"/>
    <cellStyle name="Normal 9 2 6" xfId="27239" xr:uid="{00000000-0005-0000-0000-0000DD780000}"/>
    <cellStyle name="Normal 9 2 7" xfId="32645" xr:uid="{00000000-0005-0000-0000-0000DE780000}"/>
    <cellStyle name="Normal 9 2 8" xfId="32646" xr:uid="{00000000-0005-0000-0000-0000DF780000}"/>
    <cellStyle name="Normal 9 2 9" xfId="32647" xr:uid="{00000000-0005-0000-0000-0000E0780000}"/>
    <cellStyle name="Normal 9 2_Additional Disclosures" xfId="16927" xr:uid="{00000000-0005-0000-0000-0000E1780000}"/>
    <cellStyle name="Normal 9 3" xfId="9717" xr:uid="{00000000-0005-0000-0000-0000E2780000}"/>
    <cellStyle name="Normal 9 3 10" xfId="32648" xr:uid="{00000000-0005-0000-0000-0000E3780000}"/>
    <cellStyle name="Normal 9 3 2" xfId="11304" xr:uid="{00000000-0005-0000-0000-0000E4780000}"/>
    <cellStyle name="Normal 9 3 2 2" xfId="12725" xr:uid="{00000000-0005-0000-0000-0000E5780000}"/>
    <cellStyle name="Normal 9 3 2 2 2" xfId="27249" xr:uid="{00000000-0005-0000-0000-0000E6780000}"/>
    <cellStyle name="Normal 9 3 2 3" xfId="27248" xr:uid="{00000000-0005-0000-0000-0000E7780000}"/>
    <cellStyle name="Normal 9 3 2 4" xfId="32649" xr:uid="{00000000-0005-0000-0000-0000E8780000}"/>
    <cellStyle name="Normal 9 3 2 5" xfId="32650" xr:uid="{00000000-0005-0000-0000-0000E9780000}"/>
    <cellStyle name="Normal 9 3 2 6" xfId="32651" xr:uid="{00000000-0005-0000-0000-0000EA780000}"/>
    <cellStyle name="Normal 9 3 3" xfId="12075" xr:uid="{00000000-0005-0000-0000-0000EB780000}"/>
    <cellStyle name="Normal 9 3 3 2" xfId="27250" xr:uid="{00000000-0005-0000-0000-0000EC780000}"/>
    <cellStyle name="Normal 9 3 4" xfId="13922" xr:uid="{00000000-0005-0000-0000-0000ED780000}"/>
    <cellStyle name="Normal 9 3 4 2" xfId="27251" xr:uid="{00000000-0005-0000-0000-0000EE780000}"/>
    <cellStyle name="Normal 9 3 5" xfId="15067" xr:uid="{00000000-0005-0000-0000-0000EF780000}"/>
    <cellStyle name="Normal 9 3 5 2" xfId="27252" xr:uid="{00000000-0005-0000-0000-0000F0780000}"/>
    <cellStyle name="Normal 9 3 6" xfId="27247" xr:uid="{00000000-0005-0000-0000-0000F1780000}"/>
    <cellStyle name="Normal 9 3 7" xfId="32652" xr:uid="{00000000-0005-0000-0000-0000F2780000}"/>
    <cellStyle name="Normal 9 3 8" xfId="32653" xr:uid="{00000000-0005-0000-0000-0000F3780000}"/>
    <cellStyle name="Normal 9 3 9" xfId="32654" xr:uid="{00000000-0005-0000-0000-0000F4780000}"/>
    <cellStyle name="Normal 9 3_Additional Disclosures" xfId="16929" xr:uid="{00000000-0005-0000-0000-0000F5780000}"/>
    <cellStyle name="Normal 9 4" xfId="11475" xr:uid="{00000000-0005-0000-0000-0000F6780000}"/>
    <cellStyle name="Normal 9 4 2" xfId="27253" xr:uid="{00000000-0005-0000-0000-0000F7780000}"/>
    <cellStyle name="Normal 9 4 2 2" xfId="32655" xr:uid="{00000000-0005-0000-0000-0000F8780000}"/>
    <cellStyle name="Normal 9 5" xfId="12866" xr:uid="{00000000-0005-0000-0000-0000F9780000}"/>
    <cellStyle name="Normal 9 5 2" xfId="27254" xr:uid="{00000000-0005-0000-0000-0000FA780000}"/>
    <cellStyle name="Normal 9 5 2 2" xfId="33783" xr:uid="{00000000-0005-0000-0000-0000FB780000}"/>
    <cellStyle name="Normal 9 5 3" xfId="32656" xr:uid="{00000000-0005-0000-0000-0000FC780000}"/>
    <cellStyle name="Normal 9 5 3 2" xfId="34011" xr:uid="{00000000-0005-0000-0000-0000FD780000}"/>
    <cellStyle name="Normal 9 5 4" xfId="34225" xr:uid="{00000000-0005-0000-0000-0000FE780000}"/>
    <cellStyle name="Normal 9 5 5" xfId="33402" xr:uid="{00000000-0005-0000-0000-0000FF780000}"/>
    <cellStyle name="Normal 9 6" xfId="13411" xr:uid="{00000000-0005-0000-0000-000000790000}"/>
    <cellStyle name="Normal 9 6 2" xfId="27255" xr:uid="{00000000-0005-0000-0000-000001790000}"/>
    <cellStyle name="Normal 9 6 3" xfId="32657" xr:uid="{00000000-0005-0000-0000-000002790000}"/>
    <cellStyle name="Normal 9 7" xfId="14555" xr:uid="{00000000-0005-0000-0000-000003790000}"/>
    <cellStyle name="Normal 9 7 2" xfId="27256" xr:uid="{00000000-0005-0000-0000-000004790000}"/>
    <cellStyle name="Normal 9 8" xfId="27238" xr:uid="{00000000-0005-0000-0000-000005790000}"/>
    <cellStyle name="Normal 9 9" xfId="29067" xr:uid="{00000000-0005-0000-0000-000006790000}"/>
    <cellStyle name="Normal 9_Additional Disclosures" xfId="16926" xr:uid="{00000000-0005-0000-0000-000007790000}"/>
    <cellStyle name="Normal 90" xfId="9718" xr:uid="{00000000-0005-0000-0000-000008790000}"/>
    <cellStyle name="Normal 90 10" xfId="17315" xr:uid="{00000000-0005-0000-0000-000009790000}"/>
    <cellStyle name="Normal 90 11" xfId="32658" xr:uid="{00000000-0005-0000-0000-00000A790000}"/>
    <cellStyle name="Normal 90 12" xfId="32659" xr:uid="{00000000-0005-0000-0000-00000B790000}"/>
    <cellStyle name="Normal 90 2" xfId="9719" xr:uid="{00000000-0005-0000-0000-00000C790000}"/>
    <cellStyle name="Normal 90 2 2" xfId="11305" xr:uid="{00000000-0005-0000-0000-00000D790000}"/>
    <cellStyle name="Normal 90 2 2 2" xfId="12726" xr:uid="{00000000-0005-0000-0000-00000E790000}"/>
    <cellStyle name="Normal 90 2 2 2 2" xfId="27260" xr:uid="{00000000-0005-0000-0000-00000F790000}"/>
    <cellStyle name="Normal 90 2 2 3" xfId="14249" xr:uid="{00000000-0005-0000-0000-000010790000}"/>
    <cellStyle name="Normal 90 2 2 3 2" xfId="27261" xr:uid="{00000000-0005-0000-0000-000011790000}"/>
    <cellStyle name="Normal 90 2 2 4" xfId="15393" xr:uid="{00000000-0005-0000-0000-000012790000}"/>
    <cellStyle name="Normal 90 2 2 4 2" xfId="27262" xr:uid="{00000000-0005-0000-0000-000013790000}"/>
    <cellStyle name="Normal 90 2 2 5" xfId="27259" xr:uid="{00000000-0005-0000-0000-000014790000}"/>
    <cellStyle name="Normal 90 2 2_Additional Disclosures" xfId="16932" xr:uid="{00000000-0005-0000-0000-000015790000}"/>
    <cellStyle name="Normal 90 2 3" xfId="12076" xr:uid="{00000000-0005-0000-0000-000016790000}"/>
    <cellStyle name="Normal 90 2 3 2" xfId="27263" xr:uid="{00000000-0005-0000-0000-000017790000}"/>
    <cellStyle name="Normal 90 2 4" xfId="13739" xr:uid="{00000000-0005-0000-0000-000018790000}"/>
    <cellStyle name="Normal 90 2 4 2" xfId="27264" xr:uid="{00000000-0005-0000-0000-000019790000}"/>
    <cellStyle name="Normal 90 2 5" xfId="14883" xr:uid="{00000000-0005-0000-0000-00001A790000}"/>
    <cellStyle name="Normal 90 2 5 2" xfId="27265" xr:uid="{00000000-0005-0000-0000-00001B790000}"/>
    <cellStyle name="Normal 90 2 6" xfId="27258" xr:uid="{00000000-0005-0000-0000-00001C790000}"/>
    <cellStyle name="Normal 90 2 7" xfId="32660" xr:uid="{00000000-0005-0000-0000-00001D790000}"/>
    <cellStyle name="Normal 90 2_Additional Disclosures" xfId="16931" xr:uid="{00000000-0005-0000-0000-00001E790000}"/>
    <cellStyle name="Normal 90 3" xfId="9720" xr:uid="{00000000-0005-0000-0000-00001F790000}"/>
    <cellStyle name="Normal 90 3 2" xfId="11306" xr:uid="{00000000-0005-0000-0000-000020790000}"/>
    <cellStyle name="Normal 90 3 2 2" xfId="12727" xr:uid="{00000000-0005-0000-0000-000021790000}"/>
    <cellStyle name="Normal 90 3 2 2 2" xfId="27268" xr:uid="{00000000-0005-0000-0000-000022790000}"/>
    <cellStyle name="Normal 90 3 2 3" xfId="27267" xr:uid="{00000000-0005-0000-0000-000023790000}"/>
    <cellStyle name="Normal 90 3 3" xfId="12077" xr:uid="{00000000-0005-0000-0000-000024790000}"/>
    <cellStyle name="Normal 90 3 3 2" xfId="27269" xr:uid="{00000000-0005-0000-0000-000025790000}"/>
    <cellStyle name="Normal 90 3 4" xfId="13995" xr:uid="{00000000-0005-0000-0000-000026790000}"/>
    <cellStyle name="Normal 90 3 4 2" xfId="27270" xr:uid="{00000000-0005-0000-0000-000027790000}"/>
    <cellStyle name="Normal 90 3 5" xfId="15139" xr:uid="{00000000-0005-0000-0000-000028790000}"/>
    <cellStyle name="Normal 90 3 5 2" xfId="27271" xr:uid="{00000000-0005-0000-0000-000029790000}"/>
    <cellStyle name="Normal 90 3 6" xfId="27266" xr:uid="{00000000-0005-0000-0000-00002A790000}"/>
    <cellStyle name="Normal 90 3_Additional Disclosures" xfId="16933" xr:uid="{00000000-0005-0000-0000-00002B790000}"/>
    <cellStyle name="Normal 90 4" xfId="13484" xr:uid="{00000000-0005-0000-0000-00002C790000}"/>
    <cellStyle name="Normal 90 4 2" xfId="27272" xr:uid="{00000000-0005-0000-0000-00002D790000}"/>
    <cellStyle name="Normal 90 5" xfId="14629" xr:uid="{00000000-0005-0000-0000-00002E790000}"/>
    <cellStyle name="Normal 90 5 2" xfId="27273" xr:uid="{00000000-0005-0000-0000-00002F790000}"/>
    <cellStyle name="Normal 90 6" xfId="27257" xr:uid="{00000000-0005-0000-0000-000030790000}"/>
    <cellStyle name="Normal 90 7" xfId="29069" xr:uid="{00000000-0005-0000-0000-000031790000}"/>
    <cellStyle name="Normal 90 8" xfId="17290" xr:uid="{00000000-0005-0000-0000-000032790000}"/>
    <cellStyle name="Normal 90 9" xfId="29082" xr:uid="{00000000-0005-0000-0000-000033790000}"/>
    <cellStyle name="Normal 90_Additional Disclosures" xfId="16930" xr:uid="{00000000-0005-0000-0000-000034790000}"/>
    <cellStyle name="Normal 901" xfId="32661" xr:uid="{00000000-0005-0000-0000-000035790000}"/>
    <cellStyle name="Normal 91" xfId="9721" xr:uid="{00000000-0005-0000-0000-000036790000}"/>
    <cellStyle name="Normal 91 10" xfId="17318" xr:uid="{00000000-0005-0000-0000-000037790000}"/>
    <cellStyle name="Normal 91 11" xfId="32662" xr:uid="{00000000-0005-0000-0000-000038790000}"/>
    <cellStyle name="Normal 91 12" xfId="32663" xr:uid="{00000000-0005-0000-0000-000039790000}"/>
    <cellStyle name="Normal 91 2" xfId="9722" xr:uid="{00000000-0005-0000-0000-00003A790000}"/>
    <cellStyle name="Normal 91 2 2" xfId="11307" xr:uid="{00000000-0005-0000-0000-00003B790000}"/>
    <cellStyle name="Normal 91 2 2 2" xfId="12728" xr:uid="{00000000-0005-0000-0000-00003C790000}"/>
    <cellStyle name="Normal 91 2 2 2 2" xfId="27277" xr:uid="{00000000-0005-0000-0000-00003D790000}"/>
    <cellStyle name="Normal 91 2 2 3" xfId="14250" xr:uid="{00000000-0005-0000-0000-00003E790000}"/>
    <cellStyle name="Normal 91 2 2 3 2" xfId="27278" xr:uid="{00000000-0005-0000-0000-00003F790000}"/>
    <cellStyle name="Normal 91 2 2 4" xfId="15394" xr:uid="{00000000-0005-0000-0000-000040790000}"/>
    <cellStyle name="Normal 91 2 2 4 2" xfId="27279" xr:uid="{00000000-0005-0000-0000-000041790000}"/>
    <cellStyle name="Normal 91 2 2 5" xfId="27276" xr:uid="{00000000-0005-0000-0000-000042790000}"/>
    <cellStyle name="Normal 91 2 2_Additional Disclosures" xfId="16936" xr:uid="{00000000-0005-0000-0000-000043790000}"/>
    <cellStyle name="Normal 91 2 3" xfId="12078" xr:uid="{00000000-0005-0000-0000-000044790000}"/>
    <cellStyle name="Normal 91 2 3 2" xfId="27280" xr:uid="{00000000-0005-0000-0000-000045790000}"/>
    <cellStyle name="Normal 91 2 4" xfId="13740" xr:uid="{00000000-0005-0000-0000-000046790000}"/>
    <cellStyle name="Normal 91 2 4 2" xfId="27281" xr:uid="{00000000-0005-0000-0000-000047790000}"/>
    <cellStyle name="Normal 91 2 5" xfId="14884" xr:uid="{00000000-0005-0000-0000-000048790000}"/>
    <cellStyle name="Normal 91 2 5 2" xfId="27282" xr:uid="{00000000-0005-0000-0000-000049790000}"/>
    <cellStyle name="Normal 91 2 6" xfId="27275" xr:uid="{00000000-0005-0000-0000-00004A790000}"/>
    <cellStyle name="Normal 91 2 7" xfId="32664" xr:uid="{00000000-0005-0000-0000-00004B790000}"/>
    <cellStyle name="Normal 91 2 8" xfId="32665" xr:uid="{00000000-0005-0000-0000-00004C790000}"/>
    <cellStyle name="Normal 91 2_Additional Disclosures" xfId="16935" xr:uid="{00000000-0005-0000-0000-00004D790000}"/>
    <cellStyle name="Normal 91 3" xfId="9723" xr:uid="{00000000-0005-0000-0000-00004E790000}"/>
    <cellStyle name="Normal 91 3 2" xfId="11308" xr:uid="{00000000-0005-0000-0000-00004F790000}"/>
    <cellStyle name="Normal 91 3 2 2" xfId="12729" xr:uid="{00000000-0005-0000-0000-000050790000}"/>
    <cellStyle name="Normal 91 3 2 2 2" xfId="27285" xr:uid="{00000000-0005-0000-0000-000051790000}"/>
    <cellStyle name="Normal 91 3 2 3" xfId="27284" xr:uid="{00000000-0005-0000-0000-000052790000}"/>
    <cellStyle name="Normal 91 3 3" xfId="12079" xr:uid="{00000000-0005-0000-0000-000053790000}"/>
    <cellStyle name="Normal 91 3 3 2" xfId="27286" xr:uid="{00000000-0005-0000-0000-000054790000}"/>
    <cellStyle name="Normal 91 3 4" xfId="13996" xr:uid="{00000000-0005-0000-0000-000055790000}"/>
    <cellStyle name="Normal 91 3 4 2" xfId="27287" xr:uid="{00000000-0005-0000-0000-000056790000}"/>
    <cellStyle name="Normal 91 3 5" xfId="15140" xr:uid="{00000000-0005-0000-0000-000057790000}"/>
    <cellStyle name="Normal 91 3 5 2" xfId="27288" xr:uid="{00000000-0005-0000-0000-000058790000}"/>
    <cellStyle name="Normal 91 3 6" xfId="27283" xr:uid="{00000000-0005-0000-0000-000059790000}"/>
    <cellStyle name="Normal 91 3_Additional Disclosures" xfId="16937" xr:uid="{00000000-0005-0000-0000-00005A790000}"/>
    <cellStyle name="Normal 91 4" xfId="13485" xr:uid="{00000000-0005-0000-0000-00005B790000}"/>
    <cellStyle name="Normal 91 4 2" xfId="27289" xr:uid="{00000000-0005-0000-0000-00005C790000}"/>
    <cellStyle name="Normal 91 5" xfId="14630" xr:uid="{00000000-0005-0000-0000-00005D790000}"/>
    <cellStyle name="Normal 91 5 2" xfId="27290" xr:uid="{00000000-0005-0000-0000-00005E790000}"/>
    <cellStyle name="Normal 91 6" xfId="27274" xr:uid="{00000000-0005-0000-0000-00005F790000}"/>
    <cellStyle name="Normal 91 7" xfId="29071" xr:uid="{00000000-0005-0000-0000-000060790000}"/>
    <cellStyle name="Normal 91 8" xfId="17291" xr:uid="{00000000-0005-0000-0000-000061790000}"/>
    <cellStyle name="Normal 91 9" xfId="29085" xr:uid="{00000000-0005-0000-0000-000062790000}"/>
    <cellStyle name="Normal 91_Additional Disclosures" xfId="16934" xr:uid="{00000000-0005-0000-0000-000063790000}"/>
    <cellStyle name="Normal 915" xfId="29112" xr:uid="{00000000-0005-0000-0000-000064790000}"/>
    <cellStyle name="Normal 92" xfId="621" xr:uid="{00000000-0005-0000-0000-000065790000}"/>
    <cellStyle name="Normal 92 2" xfId="9724" xr:uid="{00000000-0005-0000-0000-000066790000}"/>
    <cellStyle name="Normal 92 2 2" xfId="11309" xr:uid="{00000000-0005-0000-0000-000067790000}"/>
    <cellStyle name="Normal 92 2 2 2" xfId="12730" xr:uid="{00000000-0005-0000-0000-000068790000}"/>
    <cellStyle name="Normal 92 2 2 2 2" xfId="27294" xr:uid="{00000000-0005-0000-0000-000069790000}"/>
    <cellStyle name="Normal 92 2 2 3" xfId="14251" xr:uid="{00000000-0005-0000-0000-00006A790000}"/>
    <cellStyle name="Normal 92 2 2 3 2" xfId="27295" xr:uid="{00000000-0005-0000-0000-00006B790000}"/>
    <cellStyle name="Normal 92 2 2 4" xfId="15395" xr:uid="{00000000-0005-0000-0000-00006C790000}"/>
    <cellStyle name="Normal 92 2 2 4 2" xfId="27296" xr:uid="{00000000-0005-0000-0000-00006D790000}"/>
    <cellStyle name="Normal 92 2 2 5" xfId="27293" xr:uid="{00000000-0005-0000-0000-00006E790000}"/>
    <cellStyle name="Normal 92 2 2_Additional Disclosures" xfId="16940" xr:uid="{00000000-0005-0000-0000-00006F790000}"/>
    <cellStyle name="Normal 92 2 3" xfId="12080" xr:uid="{00000000-0005-0000-0000-000070790000}"/>
    <cellStyle name="Normal 92 2 3 2" xfId="27297" xr:uid="{00000000-0005-0000-0000-000071790000}"/>
    <cellStyle name="Normal 92 2 4" xfId="13741" xr:uid="{00000000-0005-0000-0000-000072790000}"/>
    <cellStyle name="Normal 92 2 4 2" xfId="27298" xr:uid="{00000000-0005-0000-0000-000073790000}"/>
    <cellStyle name="Normal 92 2 5" xfId="14885" xr:uid="{00000000-0005-0000-0000-000074790000}"/>
    <cellStyle name="Normal 92 2 5 2" xfId="27299" xr:uid="{00000000-0005-0000-0000-000075790000}"/>
    <cellStyle name="Normal 92 2 6" xfId="27292" xr:uid="{00000000-0005-0000-0000-000076790000}"/>
    <cellStyle name="Normal 92 2 7" xfId="32666" xr:uid="{00000000-0005-0000-0000-000077790000}"/>
    <cellStyle name="Normal 92 2 8" xfId="32667" xr:uid="{00000000-0005-0000-0000-000078790000}"/>
    <cellStyle name="Normal 92 2_Additional Disclosures" xfId="16939" xr:uid="{00000000-0005-0000-0000-000079790000}"/>
    <cellStyle name="Normal 92 3" xfId="9725" xr:uid="{00000000-0005-0000-0000-00007A790000}"/>
    <cellStyle name="Normal 92 3 2" xfId="11310" xr:uid="{00000000-0005-0000-0000-00007B790000}"/>
    <cellStyle name="Normal 92 3 2 2" xfId="12731" xr:uid="{00000000-0005-0000-0000-00007C790000}"/>
    <cellStyle name="Normal 92 3 2 2 2" xfId="27302" xr:uid="{00000000-0005-0000-0000-00007D790000}"/>
    <cellStyle name="Normal 92 3 2 3" xfId="27301" xr:uid="{00000000-0005-0000-0000-00007E790000}"/>
    <cellStyle name="Normal 92 3 3" xfId="12081" xr:uid="{00000000-0005-0000-0000-00007F790000}"/>
    <cellStyle name="Normal 92 3 3 2" xfId="27303" xr:uid="{00000000-0005-0000-0000-000080790000}"/>
    <cellStyle name="Normal 92 3 4" xfId="13997" xr:uid="{00000000-0005-0000-0000-000081790000}"/>
    <cellStyle name="Normal 92 3 4 2" xfId="27304" xr:uid="{00000000-0005-0000-0000-000082790000}"/>
    <cellStyle name="Normal 92 3 5" xfId="15141" xr:uid="{00000000-0005-0000-0000-000083790000}"/>
    <cellStyle name="Normal 92 3 5 2" xfId="27305" xr:uid="{00000000-0005-0000-0000-000084790000}"/>
    <cellStyle name="Normal 92 3 6" xfId="27300" xr:uid="{00000000-0005-0000-0000-000085790000}"/>
    <cellStyle name="Normal 92 3_Additional Disclosures" xfId="16941" xr:uid="{00000000-0005-0000-0000-000086790000}"/>
    <cellStyle name="Normal 92 4" xfId="10847" xr:uid="{00000000-0005-0000-0000-000087790000}"/>
    <cellStyle name="Normal 92 4 2" xfId="12266" xr:uid="{00000000-0005-0000-0000-000088790000}"/>
    <cellStyle name="Normal 92 4 2 2" xfId="27307" xr:uid="{00000000-0005-0000-0000-000089790000}"/>
    <cellStyle name="Normal 92 4 3" xfId="27306" xr:uid="{00000000-0005-0000-0000-00008A790000}"/>
    <cellStyle name="Normal 92 5" xfId="11604" xr:uid="{00000000-0005-0000-0000-00008B790000}"/>
    <cellStyle name="Normal 92 5 2" xfId="27308" xr:uid="{00000000-0005-0000-0000-00008C790000}"/>
    <cellStyle name="Normal 92 6" xfId="13486" xr:uid="{00000000-0005-0000-0000-00008D790000}"/>
    <cellStyle name="Normal 92 6 2" xfId="27309" xr:uid="{00000000-0005-0000-0000-00008E790000}"/>
    <cellStyle name="Normal 92 7" xfId="14631" xr:uid="{00000000-0005-0000-0000-00008F790000}"/>
    <cellStyle name="Normal 92 7 2" xfId="27310" xr:uid="{00000000-0005-0000-0000-000090790000}"/>
    <cellStyle name="Normal 92 8" xfId="27291" xr:uid="{00000000-0005-0000-0000-000091790000}"/>
    <cellStyle name="Normal 92 9" xfId="32668" xr:uid="{00000000-0005-0000-0000-000092790000}"/>
    <cellStyle name="Normal 92_Additional Disclosures" xfId="16938" xr:uid="{00000000-0005-0000-0000-000093790000}"/>
    <cellStyle name="Normal 927" xfId="29110" xr:uid="{00000000-0005-0000-0000-000094790000}"/>
    <cellStyle name="Normal 927 2" xfId="33353" xr:uid="{00000000-0005-0000-0000-000095790000}"/>
    <cellStyle name="Normal 927 2 2" xfId="33737" xr:uid="{00000000-0005-0000-0000-000096790000}"/>
    <cellStyle name="Normal 927 2 3" xfId="33966" xr:uid="{00000000-0005-0000-0000-000097790000}"/>
    <cellStyle name="Normal 927 2 4" xfId="34180" xr:uid="{00000000-0005-0000-0000-000098790000}"/>
    <cellStyle name="Normal 927 3" xfId="33639" xr:uid="{00000000-0005-0000-0000-000099790000}"/>
    <cellStyle name="Normal 927 4" xfId="33868" xr:uid="{00000000-0005-0000-0000-00009A790000}"/>
    <cellStyle name="Normal 927 5" xfId="34083" xr:uid="{00000000-0005-0000-0000-00009B790000}"/>
    <cellStyle name="Normal 927 6" xfId="33254" xr:uid="{00000000-0005-0000-0000-00009C790000}"/>
    <cellStyle name="Normal 93" xfId="9726" xr:uid="{00000000-0005-0000-0000-00009D790000}"/>
    <cellStyle name="Normal 93 10" xfId="17323" xr:uid="{00000000-0005-0000-0000-00009E790000}"/>
    <cellStyle name="Normal 93 11" xfId="32669" xr:uid="{00000000-0005-0000-0000-00009F790000}"/>
    <cellStyle name="Normal 93 12" xfId="32670" xr:uid="{00000000-0005-0000-0000-0000A0790000}"/>
    <cellStyle name="Normal 93 2" xfId="9727" xr:uid="{00000000-0005-0000-0000-0000A1790000}"/>
    <cellStyle name="Normal 93 2 2" xfId="11311" xr:uid="{00000000-0005-0000-0000-0000A2790000}"/>
    <cellStyle name="Normal 93 2 2 2" xfId="12732" xr:uid="{00000000-0005-0000-0000-0000A3790000}"/>
    <cellStyle name="Normal 93 2 2 2 2" xfId="27314" xr:uid="{00000000-0005-0000-0000-0000A4790000}"/>
    <cellStyle name="Normal 93 2 2 3" xfId="14252" xr:uid="{00000000-0005-0000-0000-0000A5790000}"/>
    <cellStyle name="Normal 93 2 2 3 2" xfId="27315" xr:uid="{00000000-0005-0000-0000-0000A6790000}"/>
    <cellStyle name="Normal 93 2 2 4" xfId="15396" xr:uid="{00000000-0005-0000-0000-0000A7790000}"/>
    <cellStyle name="Normal 93 2 2 4 2" xfId="27316" xr:uid="{00000000-0005-0000-0000-0000A8790000}"/>
    <cellStyle name="Normal 93 2 2 5" xfId="27313" xr:uid="{00000000-0005-0000-0000-0000A9790000}"/>
    <cellStyle name="Normal 93 2 2_Additional Disclosures" xfId="16944" xr:uid="{00000000-0005-0000-0000-0000AA790000}"/>
    <cellStyle name="Normal 93 2 3" xfId="12082" xr:uid="{00000000-0005-0000-0000-0000AB790000}"/>
    <cellStyle name="Normal 93 2 3 2" xfId="27317" xr:uid="{00000000-0005-0000-0000-0000AC790000}"/>
    <cellStyle name="Normal 93 2 4" xfId="13742" xr:uid="{00000000-0005-0000-0000-0000AD790000}"/>
    <cellStyle name="Normal 93 2 4 2" xfId="27318" xr:uid="{00000000-0005-0000-0000-0000AE790000}"/>
    <cellStyle name="Normal 93 2 5" xfId="14886" xr:uid="{00000000-0005-0000-0000-0000AF790000}"/>
    <cellStyle name="Normal 93 2 5 2" xfId="27319" xr:uid="{00000000-0005-0000-0000-0000B0790000}"/>
    <cellStyle name="Normal 93 2 6" xfId="27312" xr:uid="{00000000-0005-0000-0000-0000B1790000}"/>
    <cellStyle name="Normal 93 2 7" xfId="32671" xr:uid="{00000000-0005-0000-0000-0000B2790000}"/>
    <cellStyle name="Normal 93 2 8" xfId="32672" xr:uid="{00000000-0005-0000-0000-0000B3790000}"/>
    <cellStyle name="Normal 93 2_Additional Disclosures" xfId="16943" xr:uid="{00000000-0005-0000-0000-0000B4790000}"/>
    <cellStyle name="Normal 93 3" xfId="9728" xr:uid="{00000000-0005-0000-0000-0000B5790000}"/>
    <cellStyle name="Normal 93 3 2" xfId="11312" xr:uid="{00000000-0005-0000-0000-0000B6790000}"/>
    <cellStyle name="Normal 93 3 2 2" xfId="12733" xr:uid="{00000000-0005-0000-0000-0000B7790000}"/>
    <cellStyle name="Normal 93 3 2 2 2" xfId="27322" xr:uid="{00000000-0005-0000-0000-0000B8790000}"/>
    <cellStyle name="Normal 93 3 2 3" xfId="27321" xr:uid="{00000000-0005-0000-0000-0000B9790000}"/>
    <cellStyle name="Normal 93 3 3" xfId="12083" xr:uid="{00000000-0005-0000-0000-0000BA790000}"/>
    <cellStyle name="Normal 93 3 3 2" xfId="27323" xr:uid="{00000000-0005-0000-0000-0000BB790000}"/>
    <cellStyle name="Normal 93 3 4" xfId="13998" xr:uid="{00000000-0005-0000-0000-0000BC790000}"/>
    <cellStyle name="Normal 93 3 4 2" xfId="27324" xr:uid="{00000000-0005-0000-0000-0000BD790000}"/>
    <cellStyle name="Normal 93 3 5" xfId="15142" xr:uid="{00000000-0005-0000-0000-0000BE790000}"/>
    <cellStyle name="Normal 93 3 5 2" xfId="27325" xr:uid="{00000000-0005-0000-0000-0000BF790000}"/>
    <cellStyle name="Normal 93 3 6" xfId="27320" xr:uid="{00000000-0005-0000-0000-0000C0790000}"/>
    <cellStyle name="Normal 93 3 7" xfId="32673" xr:uid="{00000000-0005-0000-0000-0000C1790000}"/>
    <cellStyle name="Normal 93 3_Additional Disclosures" xfId="16945" xr:uid="{00000000-0005-0000-0000-0000C2790000}"/>
    <cellStyle name="Normal 93 4" xfId="13487" xr:uid="{00000000-0005-0000-0000-0000C3790000}"/>
    <cellStyle name="Normal 93 4 2" xfId="27326" xr:uid="{00000000-0005-0000-0000-0000C4790000}"/>
    <cellStyle name="Normal 93 5" xfId="14632" xr:uid="{00000000-0005-0000-0000-0000C5790000}"/>
    <cellStyle name="Normal 93 5 2" xfId="27327" xr:uid="{00000000-0005-0000-0000-0000C6790000}"/>
    <cellStyle name="Normal 93 6" xfId="27311" xr:uid="{00000000-0005-0000-0000-0000C7790000}"/>
    <cellStyle name="Normal 93 7" xfId="29074" xr:uid="{00000000-0005-0000-0000-0000C8790000}"/>
    <cellStyle name="Normal 93 8" xfId="17293" xr:uid="{00000000-0005-0000-0000-0000C9790000}"/>
    <cellStyle name="Normal 93 9" xfId="29088" xr:uid="{00000000-0005-0000-0000-0000CA790000}"/>
    <cellStyle name="Normal 93_Additional Disclosures" xfId="16942" xr:uid="{00000000-0005-0000-0000-0000CB790000}"/>
    <cellStyle name="Normal 939" xfId="29111" xr:uid="{00000000-0005-0000-0000-0000CC790000}"/>
    <cellStyle name="Normal 94" xfId="9729" xr:uid="{00000000-0005-0000-0000-0000CD790000}"/>
    <cellStyle name="Normal 94 10" xfId="17324" xr:uid="{00000000-0005-0000-0000-0000CE790000}"/>
    <cellStyle name="Normal 94 11" xfId="32674" xr:uid="{00000000-0005-0000-0000-0000CF790000}"/>
    <cellStyle name="Normal 94 12" xfId="32675" xr:uid="{00000000-0005-0000-0000-0000D0790000}"/>
    <cellStyle name="Normal 94 2" xfId="9730" xr:uid="{00000000-0005-0000-0000-0000D1790000}"/>
    <cellStyle name="Normal 94 2 2" xfId="11313" xr:uid="{00000000-0005-0000-0000-0000D2790000}"/>
    <cellStyle name="Normal 94 2 2 2" xfId="12734" xr:uid="{00000000-0005-0000-0000-0000D3790000}"/>
    <cellStyle name="Normal 94 2 2 2 2" xfId="27331" xr:uid="{00000000-0005-0000-0000-0000D4790000}"/>
    <cellStyle name="Normal 94 2 2 3" xfId="14253" xr:uid="{00000000-0005-0000-0000-0000D5790000}"/>
    <cellStyle name="Normal 94 2 2 3 2" xfId="27332" xr:uid="{00000000-0005-0000-0000-0000D6790000}"/>
    <cellStyle name="Normal 94 2 2 4" xfId="15397" xr:uid="{00000000-0005-0000-0000-0000D7790000}"/>
    <cellStyle name="Normal 94 2 2 4 2" xfId="27333" xr:uid="{00000000-0005-0000-0000-0000D8790000}"/>
    <cellStyle name="Normal 94 2 2 5" xfId="27330" xr:uid="{00000000-0005-0000-0000-0000D9790000}"/>
    <cellStyle name="Normal 94 2 2_Additional Disclosures" xfId="16948" xr:uid="{00000000-0005-0000-0000-0000DA790000}"/>
    <cellStyle name="Normal 94 2 3" xfId="12084" xr:uid="{00000000-0005-0000-0000-0000DB790000}"/>
    <cellStyle name="Normal 94 2 3 2" xfId="27334" xr:uid="{00000000-0005-0000-0000-0000DC790000}"/>
    <cellStyle name="Normal 94 2 4" xfId="13743" xr:uid="{00000000-0005-0000-0000-0000DD790000}"/>
    <cellStyle name="Normal 94 2 4 2" xfId="27335" xr:uid="{00000000-0005-0000-0000-0000DE790000}"/>
    <cellStyle name="Normal 94 2 5" xfId="14887" xr:uid="{00000000-0005-0000-0000-0000DF790000}"/>
    <cellStyle name="Normal 94 2 5 2" xfId="27336" xr:uid="{00000000-0005-0000-0000-0000E0790000}"/>
    <cellStyle name="Normal 94 2 6" xfId="27329" xr:uid="{00000000-0005-0000-0000-0000E1790000}"/>
    <cellStyle name="Normal 94 2 7" xfId="32676" xr:uid="{00000000-0005-0000-0000-0000E2790000}"/>
    <cellStyle name="Normal 94 2 8" xfId="32677" xr:uid="{00000000-0005-0000-0000-0000E3790000}"/>
    <cellStyle name="Normal 94 2_Additional Disclosures" xfId="16947" xr:uid="{00000000-0005-0000-0000-0000E4790000}"/>
    <cellStyle name="Normal 94 3" xfId="9731" xr:uid="{00000000-0005-0000-0000-0000E5790000}"/>
    <cellStyle name="Normal 94 3 2" xfId="11314" xr:uid="{00000000-0005-0000-0000-0000E6790000}"/>
    <cellStyle name="Normal 94 3 2 2" xfId="12735" xr:uid="{00000000-0005-0000-0000-0000E7790000}"/>
    <cellStyle name="Normal 94 3 2 2 2" xfId="27339" xr:uid="{00000000-0005-0000-0000-0000E8790000}"/>
    <cellStyle name="Normal 94 3 2 3" xfId="27338" xr:uid="{00000000-0005-0000-0000-0000E9790000}"/>
    <cellStyle name="Normal 94 3 3" xfId="12085" xr:uid="{00000000-0005-0000-0000-0000EA790000}"/>
    <cellStyle name="Normal 94 3 3 2" xfId="27340" xr:uid="{00000000-0005-0000-0000-0000EB790000}"/>
    <cellStyle name="Normal 94 3 4" xfId="13999" xr:uid="{00000000-0005-0000-0000-0000EC790000}"/>
    <cellStyle name="Normal 94 3 4 2" xfId="27341" xr:uid="{00000000-0005-0000-0000-0000ED790000}"/>
    <cellStyle name="Normal 94 3 5" xfId="15143" xr:uid="{00000000-0005-0000-0000-0000EE790000}"/>
    <cellStyle name="Normal 94 3 5 2" xfId="27342" xr:uid="{00000000-0005-0000-0000-0000EF790000}"/>
    <cellStyle name="Normal 94 3 6" xfId="27337" xr:uid="{00000000-0005-0000-0000-0000F0790000}"/>
    <cellStyle name="Normal 94 3 7" xfId="32678" xr:uid="{00000000-0005-0000-0000-0000F1790000}"/>
    <cellStyle name="Normal 94 3_Additional Disclosures" xfId="16949" xr:uid="{00000000-0005-0000-0000-0000F2790000}"/>
    <cellStyle name="Normal 94 4" xfId="13488" xr:uid="{00000000-0005-0000-0000-0000F3790000}"/>
    <cellStyle name="Normal 94 4 2" xfId="27343" xr:uid="{00000000-0005-0000-0000-0000F4790000}"/>
    <cellStyle name="Normal 94 5" xfId="14633" xr:uid="{00000000-0005-0000-0000-0000F5790000}"/>
    <cellStyle name="Normal 94 5 2" xfId="27344" xr:uid="{00000000-0005-0000-0000-0000F6790000}"/>
    <cellStyle name="Normal 94 6" xfId="27328" xr:uid="{00000000-0005-0000-0000-0000F7790000}"/>
    <cellStyle name="Normal 94 7" xfId="29075" xr:uid="{00000000-0005-0000-0000-0000F8790000}"/>
    <cellStyle name="Normal 94 8" xfId="17294" xr:uid="{00000000-0005-0000-0000-0000F9790000}"/>
    <cellStyle name="Normal 94 9" xfId="29089" xr:uid="{00000000-0005-0000-0000-0000FA790000}"/>
    <cellStyle name="Normal 94_Additional Disclosures" xfId="16946" xr:uid="{00000000-0005-0000-0000-0000FB790000}"/>
    <cellStyle name="Normal 945" xfId="29108" xr:uid="{00000000-0005-0000-0000-0000FC790000}"/>
    <cellStyle name="Normal 946" xfId="29109" xr:uid="{00000000-0005-0000-0000-0000FD790000}"/>
    <cellStyle name="Normal 946 2" xfId="33751" xr:uid="{00000000-0005-0000-0000-0000FE790000}"/>
    <cellStyle name="Normal 946 3" xfId="33979" xr:uid="{00000000-0005-0000-0000-0000FF790000}"/>
    <cellStyle name="Normal 946 4" xfId="34193" xr:uid="{00000000-0005-0000-0000-0000007A0000}"/>
    <cellStyle name="Normal 946 5" xfId="33368" xr:uid="{00000000-0005-0000-0000-0000017A0000}"/>
    <cellStyle name="Normal 95" xfId="9732" xr:uid="{00000000-0005-0000-0000-0000027A0000}"/>
    <cellStyle name="Normal 95 10" xfId="17325" xr:uid="{00000000-0005-0000-0000-0000037A0000}"/>
    <cellStyle name="Normal 95 11" xfId="32679" xr:uid="{00000000-0005-0000-0000-0000047A0000}"/>
    <cellStyle name="Normal 95 12" xfId="32680" xr:uid="{00000000-0005-0000-0000-0000057A0000}"/>
    <cellStyle name="Normal 95 2" xfId="9733" xr:uid="{00000000-0005-0000-0000-0000067A0000}"/>
    <cellStyle name="Normal 95 2 2" xfId="11315" xr:uid="{00000000-0005-0000-0000-0000077A0000}"/>
    <cellStyle name="Normal 95 2 2 2" xfId="12736" xr:uid="{00000000-0005-0000-0000-0000087A0000}"/>
    <cellStyle name="Normal 95 2 2 2 2" xfId="27348" xr:uid="{00000000-0005-0000-0000-0000097A0000}"/>
    <cellStyle name="Normal 95 2 2 3" xfId="14254" xr:uid="{00000000-0005-0000-0000-00000A7A0000}"/>
    <cellStyle name="Normal 95 2 2 3 2" xfId="27349" xr:uid="{00000000-0005-0000-0000-00000B7A0000}"/>
    <cellStyle name="Normal 95 2 2 4" xfId="15398" xr:uid="{00000000-0005-0000-0000-00000C7A0000}"/>
    <cellStyle name="Normal 95 2 2 4 2" xfId="27350" xr:uid="{00000000-0005-0000-0000-00000D7A0000}"/>
    <cellStyle name="Normal 95 2 2 5" xfId="27347" xr:uid="{00000000-0005-0000-0000-00000E7A0000}"/>
    <cellStyle name="Normal 95 2 2_Additional Disclosures" xfId="16952" xr:uid="{00000000-0005-0000-0000-00000F7A0000}"/>
    <cellStyle name="Normal 95 2 3" xfId="12086" xr:uid="{00000000-0005-0000-0000-0000107A0000}"/>
    <cellStyle name="Normal 95 2 3 2" xfId="27351" xr:uid="{00000000-0005-0000-0000-0000117A0000}"/>
    <cellStyle name="Normal 95 2 4" xfId="13744" xr:uid="{00000000-0005-0000-0000-0000127A0000}"/>
    <cellStyle name="Normal 95 2 4 2" xfId="27352" xr:uid="{00000000-0005-0000-0000-0000137A0000}"/>
    <cellStyle name="Normal 95 2 5" xfId="14888" xr:uid="{00000000-0005-0000-0000-0000147A0000}"/>
    <cellStyle name="Normal 95 2 5 2" xfId="27353" xr:uid="{00000000-0005-0000-0000-0000157A0000}"/>
    <cellStyle name="Normal 95 2 6" xfId="27346" xr:uid="{00000000-0005-0000-0000-0000167A0000}"/>
    <cellStyle name="Normal 95 2 7" xfId="32681" xr:uid="{00000000-0005-0000-0000-0000177A0000}"/>
    <cellStyle name="Normal 95 2 8" xfId="32682" xr:uid="{00000000-0005-0000-0000-0000187A0000}"/>
    <cellStyle name="Normal 95 2_Additional Disclosures" xfId="16951" xr:uid="{00000000-0005-0000-0000-0000197A0000}"/>
    <cellStyle name="Normal 95 3" xfId="9734" xr:uid="{00000000-0005-0000-0000-00001A7A0000}"/>
    <cellStyle name="Normal 95 3 2" xfId="11316" xr:uid="{00000000-0005-0000-0000-00001B7A0000}"/>
    <cellStyle name="Normal 95 3 2 2" xfId="12737" xr:uid="{00000000-0005-0000-0000-00001C7A0000}"/>
    <cellStyle name="Normal 95 3 2 2 2" xfId="27356" xr:uid="{00000000-0005-0000-0000-00001D7A0000}"/>
    <cellStyle name="Normal 95 3 2 3" xfId="27355" xr:uid="{00000000-0005-0000-0000-00001E7A0000}"/>
    <cellStyle name="Normal 95 3 3" xfId="12087" xr:uid="{00000000-0005-0000-0000-00001F7A0000}"/>
    <cellStyle name="Normal 95 3 3 2" xfId="27357" xr:uid="{00000000-0005-0000-0000-0000207A0000}"/>
    <cellStyle name="Normal 95 3 4" xfId="14000" xr:uid="{00000000-0005-0000-0000-0000217A0000}"/>
    <cellStyle name="Normal 95 3 4 2" xfId="27358" xr:uid="{00000000-0005-0000-0000-0000227A0000}"/>
    <cellStyle name="Normal 95 3 5" xfId="15144" xr:uid="{00000000-0005-0000-0000-0000237A0000}"/>
    <cellStyle name="Normal 95 3 5 2" xfId="27359" xr:uid="{00000000-0005-0000-0000-0000247A0000}"/>
    <cellStyle name="Normal 95 3 6" xfId="27354" xr:uid="{00000000-0005-0000-0000-0000257A0000}"/>
    <cellStyle name="Normal 95 3_Additional Disclosures" xfId="16953" xr:uid="{00000000-0005-0000-0000-0000267A0000}"/>
    <cellStyle name="Normal 95 4" xfId="13489" xr:uid="{00000000-0005-0000-0000-0000277A0000}"/>
    <cellStyle name="Normal 95 4 2" xfId="27360" xr:uid="{00000000-0005-0000-0000-0000287A0000}"/>
    <cellStyle name="Normal 95 5" xfId="14634" xr:uid="{00000000-0005-0000-0000-0000297A0000}"/>
    <cellStyle name="Normal 95 5 2" xfId="27361" xr:uid="{00000000-0005-0000-0000-00002A7A0000}"/>
    <cellStyle name="Normal 95 6" xfId="27345" xr:uid="{00000000-0005-0000-0000-00002B7A0000}"/>
    <cellStyle name="Normal 95 7" xfId="29078" xr:uid="{00000000-0005-0000-0000-00002C7A0000}"/>
    <cellStyle name="Normal 95 8" xfId="17296" xr:uid="{00000000-0005-0000-0000-00002D7A0000}"/>
    <cellStyle name="Normal 95 9" xfId="29090" xr:uid="{00000000-0005-0000-0000-00002E7A0000}"/>
    <cellStyle name="Normal 95_Additional Disclosures" xfId="16950" xr:uid="{00000000-0005-0000-0000-00002F7A0000}"/>
    <cellStyle name="Normal 96" xfId="9735" xr:uid="{00000000-0005-0000-0000-0000307A0000}"/>
    <cellStyle name="Normal 96 10" xfId="9736" xr:uid="{00000000-0005-0000-0000-0000317A0000}"/>
    <cellStyle name="Normal 96 10 2" xfId="11317" xr:uid="{00000000-0005-0000-0000-0000327A0000}"/>
    <cellStyle name="Normal 96 10 2 2" xfId="12738" xr:uid="{00000000-0005-0000-0000-0000337A0000}"/>
    <cellStyle name="Normal 96 10 2 2 2" xfId="27365" xr:uid="{00000000-0005-0000-0000-0000347A0000}"/>
    <cellStyle name="Normal 96 10 2 3" xfId="27364" xr:uid="{00000000-0005-0000-0000-0000357A0000}"/>
    <cellStyle name="Normal 96 10 3" xfId="12088" xr:uid="{00000000-0005-0000-0000-0000367A0000}"/>
    <cellStyle name="Normal 96 10 3 2" xfId="27366" xr:uid="{00000000-0005-0000-0000-0000377A0000}"/>
    <cellStyle name="Normal 96 10 4" xfId="27363" xr:uid="{00000000-0005-0000-0000-0000387A0000}"/>
    <cellStyle name="Normal 96 11" xfId="13344" xr:uid="{00000000-0005-0000-0000-0000397A0000}"/>
    <cellStyle name="Normal 96 11 2" xfId="27367" xr:uid="{00000000-0005-0000-0000-00003A7A0000}"/>
    <cellStyle name="Normal 96 12" xfId="14487" xr:uid="{00000000-0005-0000-0000-00003B7A0000}"/>
    <cellStyle name="Normal 96 12 2" xfId="27368" xr:uid="{00000000-0005-0000-0000-00003C7A0000}"/>
    <cellStyle name="Normal 96 13" xfId="27362" xr:uid="{00000000-0005-0000-0000-00003D7A0000}"/>
    <cellStyle name="Normal 96 14" xfId="32683" xr:uid="{00000000-0005-0000-0000-00003E7A0000}"/>
    <cellStyle name="Normal 96 15" xfId="32684" xr:uid="{00000000-0005-0000-0000-00003F7A0000}"/>
    <cellStyle name="Normal 96 16" xfId="33378" xr:uid="{00000000-0005-0000-0000-0000407A0000}"/>
    <cellStyle name="Normal 96 2" xfId="9737" xr:uid="{00000000-0005-0000-0000-0000417A0000}"/>
    <cellStyle name="Normal 96 2 10" xfId="17326" xr:uid="{00000000-0005-0000-0000-0000427A0000}"/>
    <cellStyle name="Normal 96 2 11" xfId="32685" xr:uid="{00000000-0005-0000-0000-0000437A0000}"/>
    <cellStyle name="Normal 96 2 12" xfId="32686" xr:uid="{00000000-0005-0000-0000-0000447A0000}"/>
    <cellStyle name="Normal 96 2 13" xfId="33760" xr:uid="{00000000-0005-0000-0000-0000457A0000}"/>
    <cellStyle name="Normal 96 2 2" xfId="13639" xr:uid="{00000000-0005-0000-0000-0000467A0000}"/>
    <cellStyle name="Normal 96 2 2 2" xfId="14150" xr:uid="{00000000-0005-0000-0000-0000477A0000}"/>
    <cellStyle name="Normal 96 2 2 2 2" xfId="15294" xr:uid="{00000000-0005-0000-0000-0000487A0000}"/>
    <cellStyle name="Normal 96 2 2 2 2 2" xfId="27372" xr:uid="{00000000-0005-0000-0000-0000497A0000}"/>
    <cellStyle name="Normal 96 2 2 2 3" xfId="27371" xr:uid="{00000000-0005-0000-0000-00004A7A0000}"/>
    <cellStyle name="Normal 96 2 2 2_Additional Disclosures" xfId="16957" xr:uid="{00000000-0005-0000-0000-00004B7A0000}"/>
    <cellStyle name="Normal 96 2 2 3" xfId="14784" xr:uid="{00000000-0005-0000-0000-00004C7A0000}"/>
    <cellStyle name="Normal 96 2 2 3 2" xfId="27373" xr:uid="{00000000-0005-0000-0000-00004D7A0000}"/>
    <cellStyle name="Normal 96 2 2 4" xfId="27370" xr:uid="{00000000-0005-0000-0000-00004E7A0000}"/>
    <cellStyle name="Normal 96 2 2_Additional Disclosures" xfId="16956" xr:uid="{00000000-0005-0000-0000-00004F7A0000}"/>
    <cellStyle name="Normal 96 2 3" xfId="13895" xr:uid="{00000000-0005-0000-0000-0000507A0000}"/>
    <cellStyle name="Normal 96 2 3 2" xfId="15040" xr:uid="{00000000-0005-0000-0000-0000517A0000}"/>
    <cellStyle name="Normal 96 2 3 2 2" xfId="27375" xr:uid="{00000000-0005-0000-0000-0000527A0000}"/>
    <cellStyle name="Normal 96 2 3 3" xfId="27374" xr:uid="{00000000-0005-0000-0000-0000537A0000}"/>
    <cellStyle name="Normal 96 2 3_Additional Disclosures" xfId="16958" xr:uid="{00000000-0005-0000-0000-0000547A0000}"/>
    <cellStyle name="Normal 96 2 4" xfId="13384" xr:uid="{00000000-0005-0000-0000-0000557A0000}"/>
    <cellStyle name="Normal 96 2 4 2" xfId="27376" xr:uid="{00000000-0005-0000-0000-0000567A0000}"/>
    <cellStyle name="Normal 96 2 5" xfId="14528" xr:uid="{00000000-0005-0000-0000-0000577A0000}"/>
    <cellStyle name="Normal 96 2 5 2" xfId="27377" xr:uid="{00000000-0005-0000-0000-0000587A0000}"/>
    <cellStyle name="Normal 96 2 6" xfId="27369" xr:uid="{00000000-0005-0000-0000-0000597A0000}"/>
    <cellStyle name="Normal 96 2 7" xfId="29080" xr:uid="{00000000-0005-0000-0000-00005A7A0000}"/>
    <cellStyle name="Normal 96 2 8" xfId="17299" xr:uid="{00000000-0005-0000-0000-00005B7A0000}"/>
    <cellStyle name="Normal 96 2 9" xfId="29091" xr:uid="{00000000-0005-0000-0000-00005C7A0000}"/>
    <cellStyle name="Normal 96 2_Additional Disclosures" xfId="16955" xr:uid="{00000000-0005-0000-0000-00005D7A0000}"/>
    <cellStyle name="Normal 96 3" xfId="9738" xr:uid="{00000000-0005-0000-0000-00005E7A0000}"/>
    <cellStyle name="Normal 96 3 10" xfId="32687" xr:uid="{00000000-0005-0000-0000-00005F7A0000}"/>
    <cellStyle name="Normal 96 3 11" xfId="33988" xr:uid="{00000000-0005-0000-0000-0000607A0000}"/>
    <cellStyle name="Normal 96 3 2" xfId="14110" xr:uid="{00000000-0005-0000-0000-0000617A0000}"/>
    <cellStyle name="Normal 96 3 2 2" xfId="15254" xr:uid="{00000000-0005-0000-0000-0000627A0000}"/>
    <cellStyle name="Normal 96 3 2 2 2" xfId="27380" xr:uid="{00000000-0005-0000-0000-0000637A0000}"/>
    <cellStyle name="Normal 96 3 2 3" xfId="27379" xr:uid="{00000000-0005-0000-0000-0000647A0000}"/>
    <cellStyle name="Normal 96 3 2_Additional Disclosures" xfId="16960" xr:uid="{00000000-0005-0000-0000-0000657A0000}"/>
    <cellStyle name="Normal 96 3 3" xfId="13599" xr:uid="{00000000-0005-0000-0000-0000667A0000}"/>
    <cellStyle name="Normal 96 3 3 2" xfId="27381" xr:uid="{00000000-0005-0000-0000-0000677A0000}"/>
    <cellStyle name="Normal 96 3 4" xfId="14744" xr:uid="{00000000-0005-0000-0000-0000687A0000}"/>
    <cellStyle name="Normal 96 3 4 2" xfId="27382" xr:uid="{00000000-0005-0000-0000-0000697A0000}"/>
    <cellStyle name="Normal 96 3 5" xfId="27378" xr:uid="{00000000-0005-0000-0000-00006A7A0000}"/>
    <cellStyle name="Normal 96 3 6" xfId="29081" xr:uid="{00000000-0005-0000-0000-00006B7A0000}"/>
    <cellStyle name="Normal 96 3 7" xfId="17307" xr:uid="{00000000-0005-0000-0000-00006C7A0000}"/>
    <cellStyle name="Normal 96 3 8" xfId="29092" xr:uid="{00000000-0005-0000-0000-00006D7A0000}"/>
    <cellStyle name="Normal 96 3 9" xfId="17327" xr:uid="{00000000-0005-0000-0000-00006E7A0000}"/>
    <cellStyle name="Normal 96 3_Additional Disclosures" xfId="16959" xr:uid="{00000000-0005-0000-0000-00006F7A0000}"/>
    <cellStyle name="Normal 96 4" xfId="9739" xr:uid="{00000000-0005-0000-0000-0000707A0000}"/>
    <cellStyle name="Normal 96 4 2" xfId="13855" xr:uid="{00000000-0005-0000-0000-0000717A0000}"/>
    <cellStyle name="Normal 96 4 2 2" xfId="27384" xr:uid="{00000000-0005-0000-0000-0000727A0000}"/>
    <cellStyle name="Normal 96 4 3" xfId="15000" xr:uid="{00000000-0005-0000-0000-0000737A0000}"/>
    <cellStyle name="Normal 96 4 3 2" xfId="27385" xr:uid="{00000000-0005-0000-0000-0000747A0000}"/>
    <cellStyle name="Normal 96 4 4" xfId="27383" xr:uid="{00000000-0005-0000-0000-0000757A0000}"/>
    <cellStyle name="Normal 96 4 5" xfId="32688" xr:uid="{00000000-0005-0000-0000-0000767A0000}"/>
    <cellStyle name="Normal 96 4 6" xfId="34202" xr:uid="{00000000-0005-0000-0000-0000777A0000}"/>
    <cellStyle name="Normal 96 4_Additional Disclosures" xfId="16961" xr:uid="{00000000-0005-0000-0000-0000787A0000}"/>
    <cellStyle name="Normal 96 5" xfId="9740" xr:uid="{00000000-0005-0000-0000-0000797A0000}"/>
    <cellStyle name="Normal 96 5 2" xfId="27386" xr:uid="{00000000-0005-0000-0000-00007A7A0000}"/>
    <cellStyle name="Normal 96 5 3" xfId="32689" xr:uid="{00000000-0005-0000-0000-00007B7A0000}"/>
    <cellStyle name="Normal 96 6" xfId="9741" xr:uid="{00000000-0005-0000-0000-00007C7A0000}"/>
    <cellStyle name="Normal 96 6 2" xfId="27387" xr:uid="{00000000-0005-0000-0000-00007D7A0000}"/>
    <cellStyle name="Normal 96 6 3" xfId="32690" xr:uid="{00000000-0005-0000-0000-00007E7A0000}"/>
    <cellStyle name="Normal 96 7" xfId="9742" xr:uid="{00000000-0005-0000-0000-00007F7A0000}"/>
    <cellStyle name="Normal 96 7 2" xfId="27388" xr:uid="{00000000-0005-0000-0000-0000807A0000}"/>
    <cellStyle name="Normal 96 7 3" xfId="32691" xr:uid="{00000000-0005-0000-0000-0000817A0000}"/>
    <cellStyle name="Normal 96 8" xfId="9743" xr:uid="{00000000-0005-0000-0000-0000827A0000}"/>
    <cellStyle name="Normal 96 8 2" xfId="27389" xr:uid="{00000000-0005-0000-0000-0000837A0000}"/>
    <cellStyle name="Normal 96 8 3" xfId="32692" xr:uid="{00000000-0005-0000-0000-0000847A0000}"/>
    <cellStyle name="Normal 96 9" xfId="9744" xr:uid="{00000000-0005-0000-0000-0000857A0000}"/>
    <cellStyle name="Normal 96 9 2" xfId="11318" xr:uid="{00000000-0005-0000-0000-0000867A0000}"/>
    <cellStyle name="Normal 96 9 2 2" xfId="12739" xr:uid="{00000000-0005-0000-0000-0000877A0000}"/>
    <cellStyle name="Normal 96 9 2 2 2" xfId="27392" xr:uid="{00000000-0005-0000-0000-0000887A0000}"/>
    <cellStyle name="Normal 96 9 2 3" xfId="27391" xr:uid="{00000000-0005-0000-0000-0000897A0000}"/>
    <cellStyle name="Normal 96 9 3" xfId="12089" xr:uid="{00000000-0005-0000-0000-00008A7A0000}"/>
    <cellStyle name="Normal 96 9 3 2" xfId="27393" xr:uid="{00000000-0005-0000-0000-00008B7A0000}"/>
    <cellStyle name="Normal 96 9 4" xfId="27390" xr:uid="{00000000-0005-0000-0000-00008C7A0000}"/>
    <cellStyle name="Normal 96 9 5" xfId="32693" xr:uid="{00000000-0005-0000-0000-00008D7A0000}"/>
    <cellStyle name="Normal 96_Additional Disclosures" xfId="16954" xr:uid="{00000000-0005-0000-0000-00008E7A0000}"/>
    <cellStyle name="Normal 97" xfId="9745" xr:uid="{00000000-0005-0000-0000-00008F7A0000}"/>
    <cellStyle name="Normal 97 10" xfId="17328" xr:uid="{00000000-0005-0000-0000-0000907A0000}"/>
    <cellStyle name="Normal 97 11" xfId="32694" xr:uid="{00000000-0005-0000-0000-0000917A0000}"/>
    <cellStyle name="Normal 97 12" xfId="32695" xr:uid="{00000000-0005-0000-0000-0000927A0000}"/>
    <cellStyle name="Normal 97 13" xfId="32696" xr:uid="{00000000-0005-0000-0000-0000937A0000}"/>
    <cellStyle name="Normal 97 2" xfId="9746" xr:uid="{00000000-0005-0000-0000-0000947A0000}"/>
    <cellStyle name="Normal 97 2 10" xfId="32697" xr:uid="{00000000-0005-0000-0000-0000957A0000}"/>
    <cellStyle name="Normal 97 2 11" xfId="32698" xr:uid="{00000000-0005-0000-0000-0000967A0000}"/>
    <cellStyle name="Normal 97 2 2" xfId="14255" xr:uid="{00000000-0005-0000-0000-0000977A0000}"/>
    <cellStyle name="Normal 97 2 2 2" xfId="15399" xr:uid="{00000000-0005-0000-0000-0000987A0000}"/>
    <cellStyle name="Normal 97 2 2 2 2" xfId="27397" xr:uid="{00000000-0005-0000-0000-0000997A0000}"/>
    <cellStyle name="Normal 97 2 2 3" xfId="27396" xr:uid="{00000000-0005-0000-0000-00009A7A0000}"/>
    <cellStyle name="Normal 97 2 2_Additional Disclosures" xfId="16964" xr:uid="{00000000-0005-0000-0000-00009B7A0000}"/>
    <cellStyle name="Normal 97 2 3" xfId="13745" xr:uid="{00000000-0005-0000-0000-00009C7A0000}"/>
    <cellStyle name="Normal 97 2 3 2" xfId="27398" xr:uid="{00000000-0005-0000-0000-00009D7A0000}"/>
    <cellStyle name="Normal 97 2 4" xfId="14889" xr:uid="{00000000-0005-0000-0000-00009E7A0000}"/>
    <cellStyle name="Normal 97 2 4 2" xfId="27399" xr:uid="{00000000-0005-0000-0000-00009F7A0000}"/>
    <cellStyle name="Normal 97 2 5" xfId="27395" xr:uid="{00000000-0005-0000-0000-0000A07A0000}"/>
    <cellStyle name="Normal 97 2 6" xfId="29084" xr:uid="{00000000-0005-0000-0000-0000A17A0000}"/>
    <cellStyle name="Normal 97 2 7" xfId="17317" xr:uid="{00000000-0005-0000-0000-0000A27A0000}"/>
    <cellStyle name="Normal 97 2 8" xfId="29094" xr:uid="{00000000-0005-0000-0000-0000A37A0000}"/>
    <cellStyle name="Normal 97 2 9" xfId="17329" xr:uid="{00000000-0005-0000-0000-0000A47A0000}"/>
    <cellStyle name="Normal 97 2_Additional Disclosures" xfId="16963" xr:uid="{00000000-0005-0000-0000-0000A57A0000}"/>
    <cellStyle name="Normal 97 3" xfId="14001" xr:uid="{00000000-0005-0000-0000-0000A67A0000}"/>
    <cellStyle name="Normal 97 3 2" xfId="15145" xr:uid="{00000000-0005-0000-0000-0000A77A0000}"/>
    <cellStyle name="Normal 97 3 2 2" xfId="27401" xr:uid="{00000000-0005-0000-0000-0000A87A0000}"/>
    <cellStyle name="Normal 97 3 3" xfId="27400" xr:uid="{00000000-0005-0000-0000-0000A97A0000}"/>
    <cellStyle name="Normal 97 3_Additional Disclosures" xfId="16965" xr:uid="{00000000-0005-0000-0000-0000AA7A0000}"/>
    <cellStyle name="Normal 97 4" xfId="13490" xr:uid="{00000000-0005-0000-0000-0000AB7A0000}"/>
    <cellStyle name="Normal 97 4 2" xfId="27402" xr:uid="{00000000-0005-0000-0000-0000AC7A0000}"/>
    <cellStyle name="Normal 97 5" xfId="14635" xr:uid="{00000000-0005-0000-0000-0000AD7A0000}"/>
    <cellStyle name="Normal 97 5 2" xfId="27403" xr:uid="{00000000-0005-0000-0000-0000AE7A0000}"/>
    <cellStyle name="Normal 97 6" xfId="27394" xr:uid="{00000000-0005-0000-0000-0000AF7A0000}"/>
    <cellStyle name="Normal 97 7" xfId="29083" xr:uid="{00000000-0005-0000-0000-0000B07A0000}"/>
    <cellStyle name="Normal 97 8" xfId="17316" xr:uid="{00000000-0005-0000-0000-0000B17A0000}"/>
    <cellStyle name="Normal 97 9" xfId="29093" xr:uid="{00000000-0005-0000-0000-0000B27A0000}"/>
    <cellStyle name="Normal 97_Additional Disclosures" xfId="16962" xr:uid="{00000000-0005-0000-0000-0000B37A0000}"/>
    <cellStyle name="Normal 98" xfId="622" xr:uid="{00000000-0005-0000-0000-0000B47A0000}"/>
    <cellStyle name="Normal 98 10" xfId="9747" xr:uid="{00000000-0005-0000-0000-0000B57A0000}"/>
    <cellStyle name="Normal 98 10 2" xfId="11319" xr:uid="{00000000-0005-0000-0000-0000B67A0000}"/>
    <cellStyle name="Normal 98 10 2 2" xfId="12740" xr:uid="{00000000-0005-0000-0000-0000B77A0000}"/>
    <cellStyle name="Normal 98 10 2 2 2" xfId="27407" xr:uid="{00000000-0005-0000-0000-0000B87A0000}"/>
    <cellStyle name="Normal 98 10 2 3" xfId="27406" xr:uid="{00000000-0005-0000-0000-0000B97A0000}"/>
    <cellStyle name="Normal 98 10 3" xfId="12090" xr:uid="{00000000-0005-0000-0000-0000BA7A0000}"/>
    <cellStyle name="Normal 98 10 3 2" xfId="27408" xr:uid="{00000000-0005-0000-0000-0000BB7A0000}"/>
    <cellStyle name="Normal 98 10 4" xfId="27405" xr:uid="{00000000-0005-0000-0000-0000BC7A0000}"/>
    <cellStyle name="Normal 98 11" xfId="10848" xr:uid="{00000000-0005-0000-0000-0000BD7A0000}"/>
    <cellStyle name="Normal 98 11 2" xfId="12267" xr:uid="{00000000-0005-0000-0000-0000BE7A0000}"/>
    <cellStyle name="Normal 98 11 2 2" xfId="27410" xr:uid="{00000000-0005-0000-0000-0000BF7A0000}"/>
    <cellStyle name="Normal 98 11 3" xfId="27409" xr:uid="{00000000-0005-0000-0000-0000C07A0000}"/>
    <cellStyle name="Normal 98 12" xfId="11605" xr:uid="{00000000-0005-0000-0000-0000C17A0000}"/>
    <cellStyle name="Normal 98 12 2" xfId="27411" xr:uid="{00000000-0005-0000-0000-0000C27A0000}"/>
    <cellStyle name="Normal 98 13" xfId="13491" xr:uid="{00000000-0005-0000-0000-0000C37A0000}"/>
    <cellStyle name="Normal 98 13 2" xfId="27412" xr:uid="{00000000-0005-0000-0000-0000C47A0000}"/>
    <cellStyle name="Normal 98 14" xfId="14636" xr:uid="{00000000-0005-0000-0000-0000C57A0000}"/>
    <cellStyle name="Normal 98 14 2" xfId="27413" xr:uid="{00000000-0005-0000-0000-0000C67A0000}"/>
    <cellStyle name="Normal 98 15" xfId="27404" xr:uid="{00000000-0005-0000-0000-0000C77A0000}"/>
    <cellStyle name="Normal 98 16" xfId="32699" xr:uid="{00000000-0005-0000-0000-0000C87A0000}"/>
    <cellStyle name="Normal 98 2" xfId="9748" xr:uid="{00000000-0005-0000-0000-0000C97A0000}"/>
    <cellStyle name="Normal 98 2 10" xfId="17330" xr:uid="{00000000-0005-0000-0000-0000CA7A0000}"/>
    <cellStyle name="Normal 98 2 11" xfId="32700" xr:uid="{00000000-0005-0000-0000-0000CB7A0000}"/>
    <cellStyle name="Normal 98 2 12" xfId="32701" xr:uid="{00000000-0005-0000-0000-0000CC7A0000}"/>
    <cellStyle name="Normal 98 2 2" xfId="12095" xr:uid="{00000000-0005-0000-0000-0000CD7A0000}"/>
    <cellStyle name="Normal 98 2 2 2" xfId="14256" xr:uid="{00000000-0005-0000-0000-0000CE7A0000}"/>
    <cellStyle name="Normal 98 2 2 2 2" xfId="27416" xr:uid="{00000000-0005-0000-0000-0000CF7A0000}"/>
    <cellStyle name="Normal 98 2 2 3" xfId="15400" xr:uid="{00000000-0005-0000-0000-0000D07A0000}"/>
    <cellStyle name="Normal 98 2 2 3 2" xfId="27417" xr:uid="{00000000-0005-0000-0000-0000D17A0000}"/>
    <cellStyle name="Normal 98 2 2 4" xfId="27415" xr:uid="{00000000-0005-0000-0000-0000D27A0000}"/>
    <cellStyle name="Normal 98 2 2_Additional Disclosures" xfId="16968" xr:uid="{00000000-0005-0000-0000-0000D37A0000}"/>
    <cellStyle name="Normal 98 2 3" xfId="12096" xr:uid="{00000000-0005-0000-0000-0000D47A0000}"/>
    <cellStyle name="Normal 98 2 3 2" xfId="27418" xr:uid="{00000000-0005-0000-0000-0000D57A0000}"/>
    <cellStyle name="Normal 98 2 4" xfId="13746" xr:uid="{00000000-0005-0000-0000-0000D67A0000}"/>
    <cellStyle name="Normal 98 2 4 2" xfId="27419" xr:uid="{00000000-0005-0000-0000-0000D77A0000}"/>
    <cellStyle name="Normal 98 2 5" xfId="14890" xr:uid="{00000000-0005-0000-0000-0000D87A0000}"/>
    <cellStyle name="Normal 98 2 5 2" xfId="27420" xr:uid="{00000000-0005-0000-0000-0000D97A0000}"/>
    <cellStyle name="Normal 98 2 6" xfId="27414" xr:uid="{00000000-0005-0000-0000-0000DA7A0000}"/>
    <cellStyle name="Normal 98 2 7" xfId="29086" xr:uid="{00000000-0005-0000-0000-0000DB7A0000}"/>
    <cellStyle name="Normal 98 2 8" xfId="17321" xr:uid="{00000000-0005-0000-0000-0000DC7A0000}"/>
    <cellStyle name="Normal 98 2 9" xfId="29095" xr:uid="{00000000-0005-0000-0000-0000DD7A0000}"/>
    <cellStyle name="Normal 98 2_Additional Disclosures" xfId="16967" xr:uid="{00000000-0005-0000-0000-0000DE7A0000}"/>
    <cellStyle name="Normal 98 3" xfId="9749" xr:uid="{00000000-0005-0000-0000-0000DF7A0000}"/>
    <cellStyle name="Normal 98 3 2" xfId="12094" xr:uid="{00000000-0005-0000-0000-0000E07A0000}"/>
    <cellStyle name="Normal 98 3 2 2" xfId="27422" xr:uid="{00000000-0005-0000-0000-0000E17A0000}"/>
    <cellStyle name="Normal 98 3 3" xfId="14002" xr:uid="{00000000-0005-0000-0000-0000E27A0000}"/>
    <cellStyle name="Normal 98 3 3 2" xfId="27423" xr:uid="{00000000-0005-0000-0000-0000E37A0000}"/>
    <cellStyle name="Normal 98 3 4" xfId="15146" xr:uid="{00000000-0005-0000-0000-0000E47A0000}"/>
    <cellStyle name="Normal 98 3 4 2" xfId="27424" xr:uid="{00000000-0005-0000-0000-0000E57A0000}"/>
    <cellStyle name="Normal 98 3 5" xfId="27421" xr:uid="{00000000-0005-0000-0000-0000E67A0000}"/>
    <cellStyle name="Normal 98 3 6" xfId="32702" xr:uid="{00000000-0005-0000-0000-0000E77A0000}"/>
    <cellStyle name="Normal 98 3_Additional Disclosures" xfId="16969" xr:uid="{00000000-0005-0000-0000-0000E87A0000}"/>
    <cellStyle name="Normal 98 4" xfId="9750" xr:uid="{00000000-0005-0000-0000-0000E97A0000}"/>
    <cellStyle name="Normal 98 4 2" xfId="27425" xr:uid="{00000000-0005-0000-0000-0000EA7A0000}"/>
    <cellStyle name="Normal 98 4 3" xfId="32703" xr:uid="{00000000-0005-0000-0000-0000EB7A0000}"/>
    <cellStyle name="Normal 98 5" xfId="9751" xr:uid="{00000000-0005-0000-0000-0000EC7A0000}"/>
    <cellStyle name="Normal 98 5 2" xfId="27426" xr:uid="{00000000-0005-0000-0000-0000ED7A0000}"/>
    <cellStyle name="Normal 98 5 3" xfId="32704" xr:uid="{00000000-0005-0000-0000-0000EE7A0000}"/>
    <cellStyle name="Normal 98 6" xfId="9752" xr:uid="{00000000-0005-0000-0000-0000EF7A0000}"/>
    <cellStyle name="Normal 98 6 2" xfId="27427" xr:uid="{00000000-0005-0000-0000-0000F07A0000}"/>
    <cellStyle name="Normal 98 6 3" xfId="32705" xr:uid="{00000000-0005-0000-0000-0000F17A0000}"/>
    <cellStyle name="Normal 98 7" xfId="9753" xr:uid="{00000000-0005-0000-0000-0000F27A0000}"/>
    <cellStyle name="Normal 98 7 2" xfId="27428" xr:uid="{00000000-0005-0000-0000-0000F37A0000}"/>
    <cellStyle name="Normal 98 7 3" xfId="32706" xr:uid="{00000000-0005-0000-0000-0000F47A0000}"/>
    <cellStyle name="Normal 98 8" xfId="9754" xr:uid="{00000000-0005-0000-0000-0000F57A0000}"/>
    <cellStyle name="Normal 98 8 2" xfId="27429" xr:uid="{00000000-0005-0000-0000-0000F67A0000}"/>
    <cellStyle name="Normal 98 8 3" xfId="32707" xr:uid="{00000000-0005-0000-0000-0000F77A0000}"/>
    <cellStyle name="Normal 98 9" xfId="9755" xr:uid="{00000000-0005-0000-0000-0000F87A0000}"/>
    <cellStyle name="Normal 98 9 2" xfId="11320" xr:uid="{00000000-0005-0000-0000-0000F97A0000}"/>
    <cellStyle name="Normal 98 9 2 2" xfId="12741" xr:uid="{00000000-0005-0000-0000-0000FA7A0000}"/>
    <cellStyle name="Normal 98 9 2 2 2" xfId="27432" xr:uid="{00000000-0005-0000-0000-0000FB7A0000}"/>
    <cellStyle name="Normal 98 9 2 3" xfId="27431" xr:uid="{00000000-0005-0000-0000-0000FC7A0000}"/>
    <cellStyle name="Normal 98 9 3" xfId="12091" xr:uid="{00000000-0005-0000-0000-0000FD7A0000}"/>
    <cellStyle name="Normal 98 9 3 2" xfId="27433" xr:uid="{00000000-0005-0000-0000-0000FE7A0000}"/>
    <cellStyle name="Normal 98 9 4" xfId="27430" xr:uid="{00000000-0005-0000-0000-0000FF7A0000}"/>
    <cellStyle name="Normal 98 9 5" xfId="32708" xr:uid="{00000000-0005-0000-0000-0000007B0000}"/>
    <cellStyle name="Normal 98_Additional Disclosures" xfId="16966" xr:uid="{00000000-0005-0000-0000-0000017B0000}"/>
    <cellStyle name="Normal 99" xfId="9756" xr:uid="{00000000-0005-0000-0000-0000027B0000}"/>
    <cellStyle name="Normal 99 10" xfId="17331" xr:uid="{00000000-0005-0000-0000-0000037B0000}"/>
    <cellStyle name="Normal 99 11" xfId="32709" xr:uid="{00000000-0005-0000-0000-0000047B0000}"/>
    <cellStyle name="Normal 99 12" xfId="32710" xr:uid="{00000000-0005-0000-0000-0000057B0000}"/>
    <cellStyle name="Normal 99 13" xfId="32711" xr:uid="{00000000-0005-0000-0000-0000067B0000}"/>
    <cellStyle name="Normal 99 14" xfId="32712" xr:uid="{00000000-0005-0000-0000-0000077B0000}"/>
    <cellStyle name="Normal 99 15" xfId="32713" xr:uid="{00000000-0005-0000-0000-0000087B0000}"/>
    <cellStyle name="Normal 99 2" xfId="9757" xr:uid="{00000000-0005-0000-0000-0000097B0000}"/>
    <cellStyle name="Normal 99 2 10" xfId="32714" xr:uid="{00000000-0005-0000-0000-00000A7B0000}"/>
    <cellStyle name="Normal 99 2 11" xfId="32715" xr:uid="{00000000-0005-0000-0000-00000B7B0000}"/>
    <cellStyle name="Normal 99 2 12" xfId="32716" xr:uid="{00000000-0005-0000-0000-00000C7B0000}"/>
    <cellStyle name="Normal 99 2 2" xfId="11321" xr:uid="{00000000-0005-0000-0000-00000D7B0000}"/>
    <cellStyle name="Normal 99 2 2 2" xfId="12742" xr:uid="{00000000-0005-0000-0000-00000E7B0000}"/>
    <cellStyle name="Normal 99 2 2 2 2" xfId="27437" xr:uid="{00000000-0005-0000-0000-00000F7B0000}"/>
    <cellStyle name="Normal 99 2 2 3" xfId="14257" xr:uid="{00000000-0005-0000-0000-0000107B0000}"/>
    <cellStyle name="Normal 99 2 2 3 2" xfId="27438" xr:uid="{00000000-0005-0000-0000-0000117B0000}"/>
    <cellStyle name="Normal 99 2 2 4" xfId="15401" xr:uid="{00000000-0005-0000-0000-0000127B0000}"/>
    <cellStyle name="Normal 99 2 2 4 2" xfId="27439" xr:uid="{00000000-0005-0000-0000-0000137B0000}"/>
    <cellStyle name="Normal 99 2 2 5" xfId="27436" xr:uid="{00000000-0005-0000-0000-0000147B0000}"/>
    <cellStyle name="Normal 99 2 2_Additional Disclosures" xfId="16972" xr:uid="{00000000-0005-0000-0000-0000157B0000}"/>
    <cellStyle name="Normal 99 2 3" xfId="12092" xr:uid="{00000000-0005-0000-0000-0000167B0000}"/>
    <cellStyle name="Normal 99 2 3 2" xfId="27440" xr:uid="{00000000-0005-0000-0000-0000177B0000}"/>
    <cellStyle name="Normal 99 2 4" xfId="13747" xr:uid="{00000000-0005-0000-0000-0000187B0000}"/>
    <cellStyle name="Normal 99 2 4 2" xfId="27441" xr:uid="{00000000-0005-0000-0000-0000197B0000}"/>
    <cellStyle name="Normal 99 2 5" xfId="14891" xr:uid="{00000000-0005-0000-0000-00001A7B0000}"/>
    <cellStyle name="Normal 99 2 5 2" xfId="27442" xr:uid="{00000000-0005-0000-0000-00001B7B0000}"/>
    <cellStyle name="Normal 99 2 6" xfId="27435" xr:uid="{00000000-0005-0000-0000-00001C7B0000}"/>
    <cellStyle name="Normal 99 2 7" xfId="32717" xr:uid="{00000000-0005-0000-0000-00001D7B0000}"/>
    <cellStyle name="Normal 99 2 8" xfId="32718" xr:uid="{00000000-0005-0000-0000-00001E7B0000}"/>
    <cellStyle name="Normal 99 2 9" xfId="32719" xr:uid="{00000000-0005-0000-0000-00001F7B0000}"/>
    <cellStyle name="Normal 99 2_Additional Disclosures" xfId="16971" xr:uid="{00000000-0005-0000-0000-0000207B0000}"/>
    <cellStyle name="Normal 99 3" xfId="9758" xr:uid="{00000000-0005-0000-0000-0000217B0000}"/>
    <cellStyle name="Normal 99 3 2" xfId="11322" xr:uid="{00000000-0005-0000-0000-0000227B0000}"/>
    <cellStyle name="Normal 99 3 2 2" xfId="12743" xr:uid="{00000000-0005-0000-0000-0000237B0000}"/>
    <cellStyle name="Normal 99 3 2 2 2" xfId="27445" xr:uid="{00000000-0005-0000-0000-0000247B0000}"/>
    <cellStyle name="Normal 99 3 2 3" xfId="27444" xr:uid="{00000000-0005-0000-0000-0000257B0000}"/>
    <cellStyle name="Normal 99 3 3" xfId="12093" xr:uid="{00000000-0005-0000-0000-0000267B0000}"/>
    <cellStyle name="Normal 99 3 3 2" xfId="27446" xr:uid="{00000000-0005-0000-0000-0000277B0000}"/>
    <cellStyle name="Normal 99 3 4" xfId="14003" xr:uid="{00000000-0005-0000-0000-0000287B0000}"/>
    <cellStyle name="Normal 99 3 4 2" xfId="27447" xr:uid="{00000000-0005-0000-0000-0000297B0000}"/>
    <cellStyle name="Normal 99 3 5" xfId="15147" xr:uid="{00000000-0005-0000-0000-00002A7B0000}"/>
    <cellStyle name="Normal 99 3 5 2" xfId="27448" xr:uid="{00000000-0005-0000-0000-00002B7B0000}"/>
    <cellStyle name="Normal 99 3 6" xfId="27443" xr:uid="{00000000-0005-0000-0000-00002C7B0000}"/>
    <cellStyle name="Normal 99 3 7" xfId="32720" xr:uid="{00000000-0005-0000-0000-00002D7B0000}"/>
    <cellStyle name="Normal 99 3 8" xfId="32721" xr:uid="{00000000-0005-0000-0000-00002E7B0000}"/>
    <cellStyle name="Normal 99 3 9" xfId="32722" xr:uid="{00000000-0005-0000-0000-00002F7B0000}"/>
    <cellStyle name="Normal 99 3_Additional Disclosures" xfId="16973" xr:uid="{00000000-0005-0000-0000-0000307B0000}"/>
    <cellStyle name="Normal 99 4" xfId="13492" xr:uid="{00000000-0005-0000-0000-0000317B0000}"/>
    <cellStyle name="Normal 99 4 2" xfId="27449" xr:uid="{00000000-0005-0000-0000-0000327B0000}"/>
    <cellStyle name="Normal 99 5" xfId="14637" xr:uid="{00000000-0005-0000-0000-0000337B0000}"/>
    <cellStyle name="Normal 99 5 2" xfId="27450" xr:uid="{00000000-0005-0000-0000-0000347B0000}"/>
    <cellStyle name="Normal 99 6" xfId="27434" xr:uid="{00000000-0005-0000-0000-0000357B0000}"/>
    <cellStyle name="Normal 99 7" xfId="29087" xr:uid="{00000000-0005-0000-0000-0000367B0000}"/>
    <cellStyle name="Normal 99 8" xfId="17322" xr:uid="{00000000-0005-0000-0000-0000377B0000}"/>
    <cellStyle name="Normal 99 9" xfId="29096" xr:uid="{00000000-0005-0000-0000-0000387B0000}"/>
    <cellStyle name="Normal 99_Additional Disclosures" xfId="16970" xr:uid="{00000000-0005-0000-0000-0000397B0000}"/>
    <cellStyle name="Normal 990" xfId="33102" xr:uid="{00000000-0005-0000-0000-00003A7B0000}"/>
    <cellStyle name="Normal 990 2" xfId="33352" xr:uid="{00000000-0005-0000-0000-00003B7B0000}"/>
    <cellStyle name="Normal 990 2 2" xfId="33736" xr:uid="{00000000-0005-0000-0000-00003C7B0000}"/>
    <cellStyle name="Normal 990 2 3" xfId="33965" xr:uid="{00000000-0005-0000-0000-00003D7B0000}"/>
    <cellStyle name="Normal 990 2 4" xfId="34179" xr:uid="{00000000-0005-0000-0000-00003E7B0000}"/>
    <cellStyle name="Normal 990 3" xfId="33638" xr:uid="{00000000-0005-0000-0000-00003F7B0000}"/>
    <cellStyle name="Normal 990 4" xfId="33867" xr:uid="{00000000-0005-0000-0000-0000407B0000}"/>
    <cellStyle name="Normal 990 5" xfId="34082" xr:uid="{00000000-0005-0000-0000-0000417B0000}"/>
    <cellStyle name="Normal 990 6" xfId="33253" xr:uid="{00000000-0005-0000-0000-0000427B0000}"/>
    <cellStyle name="Note 10" xfId="9759" xr:uid="{00000000-0005-0000-0000-0000437B0000}"/>
    <cellStyle name="Note 10 2" xfId="9760" xr:uid="{00000000-0005-0000-0000-0000447B0000}"/>
    <cellStyle name="Note 10 2 2" xfId="9761" xr:uid="{00000000-0005-0000-0000-0000457B0000}"/>
    <cellStyle name="Note 10 2 2 2" xfId="27453" xr:uid="{00000000-0005-0000-0000-0000467B0000}"/>
    <cellStyle name="Note 10 2 3" xfId="9762" xr:uid="{00000000-0005-0000-0000-0000477B0000}"/>
    <cellStyle name="Note 10 2 3 2" xfId="27454" xr:uid="{00000000-0005-0000-0000-0000487B0000}"/>
    <cellStyle name="Note 10 2 4" xfId="9763" xr:uid="{00000000-0005-0000-0000-0000497B0000}"/>
    <cellStyle name="Note 10 2 4 2" xfId="27455" xr:uid="{00000000-0005-0000-0000-00004A7B0000}"/>
    <cellStyle name="Note 10 2 5" xfId="9764" xr:uid="{00000000-0005-0000-0000-00004B7B0000}"/>
    <cellStyle name="Note 10 2 5 2" xfId="27456" xr:uid="{00000000-0005-0000-0000-00004C7B0000}"/>
    <cellStyle name="Note 10 2 6" xfId="27452" xr:uid="{00000000-0005-0000-0000-00004D7B0000}"/>
    <cellStyle name="Note 10 2 7" xfId="32723" xr:uid="{00000000-0005-0000-0000-00004E7B0000}"/>
    <cellStyle name="Note 10 2 8" xfId="32724" xr:uid="{00000000-0005-0000-0000-00004F7B0000}"/>
    <cellStyle name="Note 10 3" xfId="9765" xr:uid="{00000000-0005-0000-0000-0000507B0000}"/>
    <cellStyle name="Note 10 3 2" xfId="27457" xr:uid="{00000000-0005-0000-0000-0000517B0000}"/>
    <cellStyle name="Note 10 3 3" xfId="32725" xr:uid="{00000000-0005-0000-0000-0000527B0000}"/>
    <cellStyle name="Note 10 4" xfId="27451" xr:uid="{00000000-0005-0000-0000-0000537B0000}"/>
    <cellStyle name="Note 10 5" xfId="32726" xr:uid="{00000000-0005-0000-0000-0000547B0000}"/>
    <cellStyle name="Note 10 6" xfId="32727" xr:uid="{00000000-0005-0000-0000-0000557B0000}"/>
    <cellStyle name="Note 10 7" xfId="32728" xr:uid="{00000000-0005-0000-0000-0000567B0000}"/>
    <cellStyle name="Note 10 8" xfId="32729" xr:uid="{00000000-0005-0000-0000-0000577B0000}"/>
    <cellStyle name="Note 11" xfId="9766" xr:uid="{00000000-0005-0000-0000-0000587B0000}"/>
    <cellStyle name="Note 11 2" xfId="9767" xr:uid="{00000000-0005-0000-0000-0000597B0000}"/>
    <cellStyle name="Note 11 2 2" xfId="9768" xr:uid="{00000000-0005-0000-0000-00005A7B0000}"/>
    <cellStyle name="Note 11 2 2 2" xfId="27460" xr:uid="{00000000-0005-0000-0000-00005B7B0000}"/>
    <cellStyle name="Note 11 2 3" xfId="9769" xr:uid="{00000000-0005-0000-0000-00005C7B0000}"/>
    <cellStyle name="Note 11 2 3 2" xfId="27461" xr:uid="{00000000-0005-0000-0000-00005D7B0000}"/>
    <cellStyle name="Note 11 2 4" xfId="9770" xr:uid="{00000000-0005-0000-0000-00005E7B0000}"/>
    <cellStyle name="Note 11 2 4 2" xfId="27462" xr:uid="{00000000-0005-0000-0000-00005F7B0000}"/>
    <cellStyle name="Note 11 2 5" xfId="9771" xr:uid="{00000000-0005-0000-0000-0000607B0000}"/>
    <cellStyle name="Note 11 2 5 2" xfId="27463" xr:uid="{00000000-0005-0000-0000-0000617B0000}"/>
    <cellStyle name="Note 11 2 6" xfId="27459" xr:uid="{00000000-0005-0000-0000-0000627B0000}"/>
    <cellStyle name="Note 11 2 7" xfId="32730" xr:uid="{00000000-0005-0000-0000-0000637B0000}"/>
    <cellStyle name="Note 11 3" xfId="9772" xr:uid="{00000000-0005-0000-0000-0000647B0000}"/>
    <cellStyle name="Note 11 3 2" xfId="27464" xr:uid="{00000000-0005-0000-0000-0000657B0000}"/>
    <cellStyle name="Note 11 3 3" xfId="32731" xr:uid="{00000000-0005-0000-0000-0000667B0000}"/>
    <cellStyle name="Note 11 4" xfId="27458" xr:uid="{00000000-0005-0000-0000-0000677B0000}"/>
    <cellStyle name="Note 11 5" xfId="32732" xr:uid="{00000000-0005-0000-0000-0000687B0000}"/>
    <cellStyle name="Note 11 6" xfId="32733" xr:uid="{00000000-0005-0000-0000-0000697B0000}"/>
    <cellStyle name="Note 11 7" xfId="32734" xr:uid="{00000000-0005-0000-0000-00006A7B0000}"/>
    <cellStyle name="Note 11 8" xfId="32735" xr:uid="{00000000-0005-0000-0000-00006B7B0000}"/>
    <cellStyle name="Note 11 9" xfId="34271" xr:uid="{00000000-0005-0000-0000-00006C7B0000}"/>
    <cellStyle name="Note 12" xfId="9773" xr:uid="{00000000-0005-0000-0000-00006D7B0000}"/>
    <cellStyle name="Note 12 2" xfId="9774" xr:uid="{00000000-0005-0000-0000-00006E7B0000}"/>
    <cellStyle name="Note 12 2 2" xfId="27466" xr:uid="{00000000-0005-0000-0000-00006F7B0000}"/>
    <cellStyle name="Note 12 2 3" xfId="32736" xr:uid="{00000000-0005-0000-0000-0000707B0000}"/>
    <cellStyle name="Note 12 3" xfId="27465" xr:uid="{00000000-0005-0000-0000-0000717B0000}"/>
    <cellStyle name="Note 12 3 2" xfId="32737" xr:uid="{00000000-0005-0000-0000-0000727B0000}"/>
    <cellStyle name="Note 12 4" xfId="32738" xr:uid="{00000000-0005-0000-0000-0000737B0000}"/>
    <cellStyle name="Note 12 5" xfId="32739" xr:uid="{00000000-0005-0000-0000-0000747B0000}"/>
    <cellStyle name="Note 13" xfId="9775" xr:uid="{00000000-0005-0000-0000-0000757B0000}"/>
    <cellStyle name="Note 13 2" xfId="9776" xr:uid="{00000000-0005-0000-0000-0000767B0000}"/>
    <cellStyle name="Note 13 2 2" xfId="27468" xr:uid="{00000000-0005-0000-0000-0000777B0000}"/>
    <cellStyle name="Note 13 2 3" xfId="32740" xr:uid="{00000000-0005-0000-0000-0000787B0000}"/>
    <cellStyle name="Note 13 3" xfId="27467" xr:uid="{00000000-0005-0000-0000-0000797B0000}"/>
    <cellStyle name="Note 13 4" xfId="32741" xr:uid="{00000000-0005-0000-0000-00007A7B0000}"/>
    <cellStyle name="Note 13 5" xfId="32742" xr:uid="{00000000-0005-0000-0000-00007B7B0000}"/>
    <cellStyle name="Note 14" xfId="9777" xr:uid="{00000000-0005-0000-0000-00007C7B0000}"/>
    <cellStyle name="Note 14 2" xfId="27469" xr:uid="{00000000-0005-0000-0000-00007D7B0000}"/>
    <cellStyle name="Note 14 3" xfId="32743" xr:uid="{00000000-0005-0000-0000-00007E7B0000}"/>
    <cellStyle name="Note 14 4" xfId="32744" xr:uid="{00000000-0005-0000-0000-00007F7B0000}"/>
    <cellStyle name="Note 15" xfId="9778" xr:uid="{00000000-0005-0000-0000-0000807B0000}"/>
    <cellStyle name="Note 15 2" xfId="27470" xr:uid="{00000000-0005-0000-0000-0000817B0000}"/>
    <cellStyle name="Note 15 3" xfId="32745" xr:uid="{00000000-0005-0000-0000-0000827B0000}"/>
    <cellStyle name="Note 15 4" xfId="32746" xr:uid="{00000000-0005-0000-0000-0000837B0000}"/>
    <cellStyle name="Note 16" xfId="9779" xr:uid="{00000000-0005-0000-0000-0000847B0000}"/>
    <cellStyle name="Note 16 2" xfId="27471" xr:uid="{00000000-0005-0000-0000-0000857B0000}"/>
    <cellStyle name="Note 16 3" xfId="32747" xr:uid="{00000000-0005-0000-0000-0000867B0000}"/>
    <cellStyle name="Note 17" xfId="9780" xr:uid="{00000000-0005-0000-0000-0000877B0000}"/>
    <cellStyle name="Note 17 2" xfId="9781" xr:uid="{00000000-0005-0000-0000-0000887B0000}"/>
    <cellStyle name="Note 17 2 2" xfId="27473" xr:uid="{00000000-0005-0000-0000-0000897B0000}"/>
    <cellStyle name="Note 17 3" xfId="9782" xr:uid="{00000000-0005-0000-0000-00008A7B0000}"/>
    <cellStyle name="Note 17 3 2" xfId="27474" xr:uid="{00000000-0005-0000-0000-00008B7B0000}"/>
    <cellStyle name="Note 17 4" xfId="9783" xr:uid="{00000000-0005-0000-0000-00008C7B0000}"/>
    <cellStyle name="Note 17 4 2" xfId="27475" xr:uid="{00000000-0005-0000-0000-00008D7B0000}"/>
    <cellStyle name="Note 17 5" xfId="9784" xr:uid="{00000000-0005-0000-0000-00008E7B0000}"/>
    <cellStyle name="Note 17 5 2" xfId="27476" xr:uid="{00000000-0005-0000-0000-00008F7B0000}"/>
    <cellStyle name="Note 17 6" xfId="27472" xr:uid="{00000000-0005-0000-0000-0000907B0000}"/>
    <cellStyle name="Note 17 7" xfId="32748" xr:uid="{00000000-0005-0000-0000-0000917B0000}"/>
    <cellStyle name="Note 18" xfId="9785" xr:uid="{00000000-0005-0000-0000-0000927B0000}"/>
    <cellStyle name="Note 18 2" xfId="27477" xr:uid="{00000000-0005-0000-0000-0000937B0000}"/>
    <cellStyle name="Note 18 3" xfId="32749" xr:uid="{00000000-0005-0000-0000-0000947B0000}"/>
    <cellStyle name="Note 19" xfId="9786" xr:uid="{00000000-0005-0000-0000-0000957B0000}"/>
    <cellStyle name="Note 19 2" xfId="27478" xr:uid="{00000000-0005-0000-0000-0000967B0000}"/>
    <cellStyle name="Note 19 3" xfId="32750" xr:uid="{00000000-0005-0000-0000-0000977B0000}"/>
    <cellStyle name="Note 2" xfId="181" xr:uid="{00000000-0005-0000-0000-0000987B0000}"/>
    <cellStyle name="Note 2 10" xfId="9787" xr:uid="{00000000-0005-0000-0000-0000997B0000}"/>
    <cellStyle name="Note 2 10 2" xfId="27480" xr:uid="{00000000-0005-0000-0000-00009A7B0000}"/>
    <cellStyle name="Note 2 11" xfId="9788" xr:uid="{00000000-0005-0000-0000-00009B7B0000}"/>
    <cellStyle name="Note 2 11 2" xfId="27481" xr:uid="{00000000-0005-0000-0000-00009C7B0000}"/>
    <cellStyle name="Note 2 12" xfId="9789" xr:uid="{00000000-0005-0000-0000-00009D7B0000}"/>
    <cellStyle name="Note 2 12 2" xfId="27482" xr:uid="{00000000-0005-0000-0000-00009E7B0000}"/>
    <cellStyle name="Note 2 13" xfId="9790" xr:uid="{00000000-0005-0000-0000-00009F7B0000}"/>
    <cellStyle name="Note 2 13 2" xfId="27483" xr:uid="{00000000-0005-0000-0000-0000A07B0000}"/>
    <cellStyle name="Note 2 14" xfId="9791" xr:uid="{00000000-0005-0000-0000-0000A17B0000}"/>
    <cellStyle name="Note 2 14 2" xfId="9792" xr:uid="{00000000-0005-0000-0000-0000A27B0000}"/>
    <cellStyle name="Note 2 14 2 2" xfId="27485" xr:uid="{00000000-0005-0000-0000-0000A37B0000}"/>
    <cellStyle name="Note 2 14 3" xfId="27484" xr:uid="{00000000-0005-0000-0000-0000A47B0000}"/>
    <cellStyle name="Note 2 15" xfId="9793" xr:uid="{00000000-0005-0000-0000-0000A57B0000}"/>
    <cellStyle name="Note 2 15 2" xfId="27486" xr:uid="{00000000-0005-0000-0000-0000A67B0000}"/>
    <cellStyle name="Note 2 16" xfId="9794" xr:uid="{00000000-0005-0000-0000-0000A77B0000}"/>
    <cellStyle name="Note 2 16 2" xfId="27487" xr:uid="{00000000-0005-0000-0000-0000A87B0000}"/>
    <cellStyle name="Note 2 17" xfId="9795" xr:uid="{00000000-0005-0000-0000-0000A97B0000}"/>
    <cellStyle name="Note 2 17 2" xfId="27488" xr:uid="{00000000-0005-0000-0000-0000AA7B0000}"/>
    <cellStyle name="Note 2 18" xfId="9796" xr:uid="{00000000-0005-0000-0000-0000AB7B0000}"/>
    <cellStyle name="Note 2 18 2" xfId="27489" xr:uid="{00000000-0005-0000-0000-0000AC7B0000}"/>
    <cellStyle name="Note 2 19" xfId="9797" xr:uid="{00000000-0005-0000-0000-0000AD7B0000}"/>
    <cellStyle name="Note 2 19 2" xfId="27490" xr:uid="{00000000-0005-0000-0000-0000AE7B0000}"/>
    <cellStyle name="Note 2 2" xfId="357" xr:uid="{00000000-0005-0000-0000-0000AF7B0000}"/>
    <cellStyle name="Note 2 2 10" xfId="9799" xr:uid="{00000000-0005-0000-0000-0000B07B0000}"/>
    <cellStyle name="Note 2 2 10 2" xfId="27492" xr:uid="{00000000-0005-0000-0000-0000B17B0000}"/>
    <cellStyle name="Note 2 2 11" xfId="9800" xr:uid="{00000000-0005-0000-0000-0000B27B0000}"/>
    <cellStyle name="Note 2 2 11 2" xfId="27493" xr:uid="{00000000-0005-0000-0000-0000B37B0000}"/>
    <cellStyle name="Note 2 2 12" xfId="9801" xr:uid="{00000000-0005-0000-0000-0000B47B0000}"/>
    <cellStyle name="Note 2 2 12 2" xfId="27494" xr:uid="{00000000-0005-0000-0000-0000B57B0000}"/>
    <cellStyle name="Note 2 2 13" xfId="9802" xr:uid="{00000000-0005-0000-0000-0000B67B0000}"/>
    <cellStyle name="Note 2 2 13 2" xfId="27495" xr:uid="{00000000-0005-0000-0000-0000B77B0000}"/>
    <cellStyle name="Note 2 2 14" xfId="9803" xr:uid="{00000000-0005-0000-0000-0000B87B0000}"/>
    <cellStyle name="Note 2 2 14 2" xfId="9804" xr:uid="{00000000-0005-0000-0000-0000B97B0000}"/>
    <cellStyle name="Note 2 2 14 2 2" xfId="27497" xr:uid="{00000000-0005-0000-0000-0000BA7B0000}"/>
    <cellStyle name="Note 2 2 14 3" xfId="27496" xr:uid="{00000000-0005-0000-0000-0000BB7B0000}"/>
    <cellStyle name="Note 2 2 15" xfId="9805" xr:uid="{00000000-0005-0000-0000-0000BC7B0000}"/>
    <cellStyle name="Note 2 2 15 2" xfId="27498" xr:uid="{00000000-0005-0000-0000-0000BD7B0000}"/>
    <cellStyle name="Note 2 2 16" xfId="9806" xr:uid="{00000000-0005-0000-0000-0000BE7B0000}"/>
    <cellStyle name="Note 2 2 16 2" xfId="27499" xr:uid="{00000000-0005-0000-0000-0000BF7B0000}"/>
    <cellStyle name="Note 2 2 17" xfId="9807" xr:uid="{00000000-0005-0000-0000-0000C07B0000}"/>
    <cellStyle name="Note 2 2 17 2" xfId="27500" xr:uid="{00000000-0005-0000-0000-0000C17B0000}"/>
    <cellStyle name="Note 2 2 18" xfId="9808" xr:uid="{00000000-0005-0000-0000-0000C27B0000}"/>
    <cellStyle name="Note 2 2 18 2" xfId="27501" xr:uid="{00000000-0005-0000-0000-0000C37B0000}"/>
    <cellStyle name="Note 2 2 19" xfId="9809" xr:uid="{00000000-0005-0000-0000-0000C47B0000}"/>
    <cellStyle name="Note 2 2 19 2" xfId="27502" xr:uid="{00000000-0005-0000-0000-0000C57B0000}"/>
    <cellStyle name="Note 2 2 2" xfId="9810" xr:uid="{00000000-0005-0000-0000-0000C67B0000}"/>
    <cellStyle name="Note 2 2 2 2" xfId="9811" xr:uid="{00000000-0005-0000-0000-0000C77B0000}"/>
    <cellStyle name="Note 2 2 2 2 2" xfId="27504" xr:uid="{00000000-0005-0000-0000-0000C87B0000}"/>
    <cellStyle name="Note 2 2 2 2 3" xfId="32751" xr:uid="{00000000-0005-0000-0000-0000C97B0000}"/>
    <cellStyle name="Note 2 2 2 3" xfId="9812" xr:uid="{00000000-0005-0000-0000-0000CA7B0000}"/>
    <cellStyle name="Note 2 2 2 3 2" xfId="27505" xr:uid="{00000000-0005-0000-0000-0000CB7B0000}"/>
    <cellStyle name="Note 2 2 2 3 3" xfId="32752" xr:uid="{00000000-0005-0000-0000-0000CC7B0000}"/>
    <cellStyle name="Note 2 2 2 4" xfId="9813" xr:uid="{00000000-0005-0000-0000-0000CD7B0000}"/>
    <cellStyle name="Note 2 2 2 4 2" xfId="27506" xr:uid="{00000000-0005-0000-0000-0000CE7B0000}"/>
    <cellStyle name="Note 2 2 2 4 3" xfId="32753" xr:uid="{00000000-0005-0000-0000-0000CF7B0000}"/>
    <cellStyle name="Note 2 2 2 5" xfId="9814" xr:uid="{00000000-0005-0000-0000-0000D07B0000}"/>
    <cellStyle name="Note 2 2 2 5 2" xfId="27507" xr:uid="{00000000-0005-0000-0000-0000D17B0000}"/>
    <cellStyle name="Note 2 2 2 5 3" xfId="32754" xr:uid="{00000000-0005-0000-0000-0000D27B0000}"/>
    <cellStyle name="Note 2 2 2 6" xfId="27503" xr:uid="{00000000-0005-0000-0000-0000D37B0000}"/>
    <cellStyle name="Note 2 2 2 7" xfId="32755" xr:uid="{00000000-0005-0000-0000-0000D47B0000}"/>
    <cellStyle name="Note 2 2 2 8" xfId="32756" xr:uid="{00000000-0005-0000-0000-0000D57B0000}"/>
    <cellStyle name="Note 2 2 20" xfId="9815" xr:uid="{00000000-0005-0000-0000-0000D67B0000}"/>
    <cellStyle name="Note 2 2 20 2" xfId="27508" xr:uid="{00000000-0005-0000-0000-0000D77B0000}"/>
    <cellStyle name="Note 2 2 21" xfId="9816" xr:uid="{00000000-0005-0000-0000-0000D87B0000}"/>
    <cellStyle name="Note 2 2 21 2" xfId="27509" xr:uid="{00000000-0005-0000-0000-0000D97B0000}"/>
    <cellStyle name="Note 2 2 22" xfId="9817" xr:uid="{00000000-0005-0000-0000-0000DA7B0000}"/>
    <cellStyle name="Note 2 2 22 2" xfId="27510" xr:uid="{00000000-0005-0000-0000-0000DB7B0000}"/>
    <cellStyle name="Note 2 2 23" xfId="9818" xr:uid="{00000000-0005-0000-0000-0000DC7B0000}"/>
    <cellStyle name="Note 2 2 23 2" xfId="27511" xr:uid="{00000000-0005-0000-0000-0000DD7B0000}"/>
    <cellStyle name="Note 2 2 24" xfId="9819" xr:uid="{00000000-0005-0000-0000-0000DE7B0000}"/>
    <cellStyle name="Note 2 2 24 2" xfId="27512" xr:uid="{00000000-0005-0000-0000-0000DF7B0000}"/>
    <cellStyle name="Note 2 2 25" xfId="9820" xr:uid="{00000000-0005-0000-0000-0000E07B0000}"/>
    <cellStyle name="Note 2 2 25 2" xfId="27513" xr:uid="{00000000-0005-0000-0000-0000E17B0000}"/>
    <cellStyle name="Note 2 2 26" xfId="9821" xr:uid="{00000000-0005-0000-0000-0000E27B0000}"/>
    <cellStyle name="Note 2 2 26 2" xfId="27514" xr:uid="{00000000-0005-0000-0000-0000E37B0000}"/>
    <cellStyle name="Note 2 2 27" xfId="9822" xr:uid="{00000000-0005-0000-0000-0000E47B0000}"/>
    <cellStyle name="Note 2 2 27 2" xfId="27515" xr:uid="{00000000-0005-0000-0000-0000E57B0000}"/>
    <cellStyle name="Note 2 2 28" xfId="9823" xr:uid="{00000000-0005-0000-0000-0000E67B0000}"/>
    <cellStyle name="Note 2 2 28 2" xfId="27516" xr:uid="{00000000-0005-0000-0000-0000E77B0000}"/>
    <cellStyle name="Note 2 2 29" xfId="9824" xr:uid="{00000000-0005-0000-0000-0000E87B0000}"/>
    <cellStyle name="Note 2 2 29 2" xfId="27517" xr:uid="{00000000-0005-0000-0000-0000E97B0000}"/>
    <cellStyle name="Note 2 2 3" xfId="9825" xr:uid="{00000000-0005-0000-0000-0000EA7B0000}"/>
    <cellStyle name="Note 2 2 3 2" xfId="9826" xr:uid="{00000000-0005-0000-0000-0000EB7B0000}"/>
    <cellStyle name="Note 2 2 3 2 2" xfId="27519" xr:uid="{00000000-0005-0000-0000-0000EC7B0000}"/>
    <cellStyle name="Note 2 2 3 3" xfId="27518" xr:uid="{00000000-0005-0000-0000-0000ED7B0000}"/>
    <cellStyle name="Note 2 2 3 4" xfId="32757" xr:uid="{00000000-0005-0000-0000-0000EE7B0000}"/>
    <cellStyle name="Note 2 2 3 5" xfId="32758" xr:uid="{00000000-0005-0000-0000-0000EF7B0000}"/>
    <cellStyle name="Note 2 2 30" xfId="9827" xr:uid="{00000000-0005-0000-0000-0000F07B0000}"/>
    <cellStyle name="Note 2 2 30 2" xfId="27520" xr:uid="{00000000-0005-0000-0000-0000F17B0000}"/>
    <cellStyle name="Note 2 2 31" xfId="9828" xr:uid="{00000000-0005-0000-0000-0000F27B0000}"/>
    <cellStyle name="Note 2 2 31 2" xfId="9829" xr:uid="{00000000-0005-0000-0000-0000F37B0000}"/>
    <cellStyle name="Note 2 2 31 2 2" xfId="27522" xr:uid="{00000000-0005-0000-0000-0000F47B0000}"/>
    <cellStyle name="Note 2 2 31 3" xfId="27521" xr:uid="{00000000-0005-0000-0000-0000F57B0000}"/>
    <cellStyle name="Note 2 2 32" xfId="9830" xr:uid="{00000000-0005-0000-0000-0000F67B0000}"/>
    <cellStyle name="Note 2 2 32 2" xfId="27523" xr:uid="{00000000-0005-0000-0000-0000F77B0000}"/>
    <cellStyle name="Note 2 2 33" xfId="9831" xr:uid="{00000000-0005-0000-0000-0000F87B0000}"/>
    <cellStyle name="Note 2 2 33 2" xfId="27524" xr:uid="{00000000-0005-0000-0000-0000F97B0000}"/>
    <cellStyle name="Note 2 2 34" xfId="9832" xr:uid="{00000000-0005-0000-0000-0000FA7B0000}"/>
    <cellStyle name="Note 2 2 34 2" xfId="27525" xr:uid="{00000000-0005-0000-0000-0000FB7B0000}"/>
    <cellStyle name="Note 2 2 35" xfId="9833" xr:uid="{00000000-0005-0000-0000-0000FC7B0000}"/>
    <cellStyle name="Note 2 2 35 2" xfId="27526" xr:uid="{00000000-0005-0000-0000-0000FD7B0000}"/>
    <cellStyle name="Note 2 2 36" xfId="9834" xr:uid="{00000000-0005-0000-0000-0000FE7B0000}"/>
    <cellStyle name="Note 2 2 36 2" xfId="27527" xr:uid="{00000000-0005-0000-0000-0000FF7B0000}"/>
    <cellStyle name="Note 2 2 37" xfId="9835" xr:uid="{00000000-0005-0000-0000-0000007C0000}"/>
    <cellStyle name="Note 2 2 37 2" xfId="27528" xr:uid="{00000000-0005-0000-0000-0000017C0000}"/>
    <cellStyle name="Note 2 2 38" xfId="9836" xr:uid="{00000000-0005-0000-0000-0000027C0000}"/>
    <cellStyle name="Note 2 2 38 2" xfId="27529" xr:uid="{00000000-0005-0000-0000-0000037C0000}"/>
    <cellStyle name="Note 2 2 39" xfId="9837" xr:uid="{00000000-0005-0000-0000-0000047C0000}"/>
    <cellStyle name="Note 2 2 39 2" xfId="9838" xr:uid="{00000000-0005-0000-0000-0000057C0000}"/>
    <cellStyle name="Note 2 2 39 2 2" xfId="27531" xr:uid="{00000000-0005-0000-0000-0000067C0000}"/>
    <cellStyle name="Note 2 2 39 3" xfId="27530" xr:uid="{00000000-0005-0000-0000-0000077C0000}"/>
    <cellStyle name="Note 2 2 4" xfId="9839" xr:uid="{00000000-0005-0000-0000-0000087C0000}"/>
    <cellStyle name="Note 2 2 4 2" xfId="27532" xr:uid="{00000000-0005-0000-0000-0000097C0000}"/>
    <cellStyle name="Note 2 2 4 3" xfId="32759" xr:uid="{00000000-0005-0000-0000-00000A7C0000}"/>
    <cellStyle name="Note 2 2 4 4" xfId="32760" xr:uid="{00000000-0005-0000-0000-00000B7C0000}"/>
    <cellStyle name="Note 2 2 40" xfId="27491" xr:uid="{00000000-0005-0000-0000-00000C7C0000}"/>
    <cellStyle name="Note 2 2 41" xfId="32761" xr:uid="{00000000-0005-0000-0000-00000D7C0000}"/>
    <cellStyle name="Note 2 2 42" xfId="32762" xr:uid="{00000000-0005-0000-0000-00000E7C0000}"/>
    <cellStyle name="Note 2 2 43" xfId="32763" xr:uid="{00000000-0005-0000-0000-00000F7C0000}"/>
    <cellStyle name="Note 2 2 44" xfId="32764" xr:uid="{00000000-0005-0000-0000-0000107C0000}"/>
    <cellStyle name="Note 2 2 45" xfId="32765" xr:uid="{00000000-0005-0000-0000-0000117C0000}"/>
    <cellStyle name="Note 2 2 46" xfId="32766" xr:uid="{00000000-0005-0000-0000-0000127C0000}"/>
    <cellStyle name="Note 2 2 47" xfId="32767" xr:uid="{00000000-0005-0000-0000-0000137C0000}"/>
    <cellStyle name="Note 2 2 48" xfId="9798" xr:uid="{00000000-0005-0000-0000-0000147C0000}"/>
    <cellStyle name="Note 2 2 5" xfId="9840" xr:uid="{00000000-0005-0000-0000-0000157C0000}"/>
    <cellStyle name="Note 2 2 5 2" xfId="27533" xr:uid="{00000000-0005-0000-0000-0000167C0000}"/>
    <cellStyle name="Note 2 2 5 3" xfId="32768" xr:uid="{00000000-0005-0000-0000-0000177C0000}"/>
    <cellStyle name="Note 2 2 6" xfId="9841" xr:uid="{00000000-0005-0000-0000-0000187C0000}"/>
    <cellStyle name="Note 2 2 6 2" xfId="27534" xr:uid="{00000000-0005-0000-0000-0000197C0000}"/>
    <cellStyle name="Note 2 2 6 3" xfId="32769" xr:uid="{00000000-0005-0000-0000-00001A7C0000}"/>
    <cellStyle name="Note 2 2 7" xfId="9842" xr:uid="{00000000-0005-0000-0000-00001B7C0000}"/>
    <cellStyle name="Note 2 2 7 2" xfId="27535" xr:uid="{00000000-0005-0000-0000-00001C7C0000}"/>
    <cellStyle name="Note 2 2 8" xfId="9843" xr:uid="{00000000-0005-0000-0000-00001D7C0000}"/>
    <cellStyle name="Note 2 2 8 2" xfId="27536" xr:uid="{00000000-0005-0000-0000-00001E7C0000}"/>
    <cellStyle name="Note 2 2 9" xfId="9844" xr:uid="{00000000-0005-0000-0000-00001F7C0000}"/>
    <cellStyle name="Note 2 2 9 2" xfId="27537" xr:uid="{00000000-0005-0000-0000-0000207C0000}"/>
    <cellStyle name="Note 2 20" xfId="9845" xr:uid="{00000000-0005-0000-0000-0000217C0000}"/>
    <cellStyle name="Note 2 20 2" xfId="27538" xr:uid="{00000000-0005-0000-0000-0000227C0000}"/>
    <cellStyle name="Note 2 21" xfId="9846" xr:uid="{00000000-0005-0000-0000-0000237C0000}"/>
    <cellStyle name="Note 2 21 2" xfId="27539" xr:uid="{00000000-0005-0000-0000-0000247C0000}"/>
    <cellStyle name="Note 2 22" xfId="9847" xr:uid="{00000000-0005-0000-0000-0000257C0000}"/>
    <cellStyle name="Note 2 22 2" xfId="27540" xr:uid="{00000000-0005-0000-0000-0000267C0000}"/>
    <cellStyle name="Note 2 23" xfId="9848" xr:uid="{00000000-0005-0000-0000-0000277C0000}"/>
    <cellStyle name="Note 2 23 2" xfId="27541" xr:uid="{00000000-0005-0000-0000-0000287C0000}"/>
    <cellStyle name="Note 2 24" xfId="9849" xr:uid="{00000000-0005-0000-0000-0000297C0000}"/>
    <cellStyle name="Note 2 24 2" xfId="27542" xr:uid="{00000000-0005-0000-0000-00002A7C0000}"/>
    <cellStyle name="Note 2 25" xfId="9850" xr:uid="{00000000-0005-0000-0000-00002B7C0000}"/>
    <cellStyle name="Note 2 25 2" xfId="27543" xr:uid="{00000000-0005-0000-0000-00002C7C0000}"/>
    <cellStyle name="Note 2 26" xfId="9851" xr:uid="{00000000-0005-0000-0000-00002D7C0000}"/>
    <cellStyle name="Note 2 26 2" xfId="27544" xr:uid="{00000000-0005-0000-0000-00002E7C0000}"/>
    <cellStyle name="Note 2 27" xfId="9852" xr:uid="{00000000-0005-0000-0000-00002F7C0000}"/>
    <cellStyle name="Note 2 27 2" xfId="27545" xr:uid="{00000000-0005-0000-0000-0000307C0000}"/>
    <cellStyle name="Note 2 28" xfId="9853" xr:uid="{00000000-0005-0000-0000-0000317C0000}"/>
    <cellStyle name="Note 2 28 2" xfId="27546" xr:uid="{00000000-0005-0000-0000-0000327C0000}"/>
    <cellStyle name="Note 2 29" xfId="9854" xr:uid="{00000000-0005-0000-0000-0000337C0000}"/>
    <cellStyle name="Note 2 29 2" xfId="27547" xr:uid="{00000000-0005-0000-0000-0000347C0000}"/>
    <cellStyle name="Note 2 3" xfId="9855" xr:uid="{00000000-0005-0000-0000-0000357C0000}"/>
    <cellStyle name="Note 2 3 2" xfId="9856" xr:uid="{00000000-0005-0000-0000-0000367C0000}"/>
    <cellStyle name="Note 2 3 2 2" xfId="27549" xr:uid="{00000000-0005-0000-0000-0000377C0000}"/>
    <cellStyle name="Note 2 3 2 3" xfId="32770" xr:uid="{00000000-0005-0000-0000-0000387C0000}"/>
    <cellStyle name="Note 2 3 3" xfId="27548" xr:uid="{00000000-0005-0000-0000-0000397C0000}"/>
    <cellStyle name="Note 2 3 3 2" xfId="32771" xr:uid="{00000000-0005-0000-0000-00003A7C0000}"/>
    <cellStyle name="Note 2 3 4" xfId="32772" xr:uid="{00000000-0005-0000-0000-00003B7C0000}"/>
    <cellStyle name="Note 2 3 4 2" xfId="32773" xr:uid="{00000000-0005-0000-0000-00003C7C0000}"/>
    <cellStyle name="Note 2 3 5" xfId="32774" xr:uid="{00000000-0005-0000-0000-00003D7C0000}"/>
    <cellStyle name="Note 2 3 6" xfId="32775" xr:uid="{00000000-0005-0000-0000-00003E7C0000}"/>
    <cellStyle name="Note 2 3 7" xfId="32776" xr:uid="{00000000-0005-0000-0000-00003F7C0000}"/>
    <cellStyle name="Note 2 3 8" xfId="32777" xr:uid="{00000000-0005-0000-0000-0000407C0000}"/>
    <cellStyle name="Note 2 3 9" xfId="32778" xr:uid="{00000000-0005-0000-0000-0000417C0000}"/>
    <cellStyle name="Note 2 3_Loan Classification" xfId="11476" xr:uid="{00000000-0005-0000-0000-0000427C0000}"/>
    <cellStyle name="Note 2 30" xfId="9857" xr:uid="{00000000-0005-0000-0000-0000437C0000}"/>
    <cellStyle name="Note 2 30 2" xfId="27550" xr:uid="{00000000-0005-0000-0000-0000447C0000}"/>
    <cellStyle name="Note 2 31" xfId="9858" xr:uid="{00000000-0005-0000-0000-0000457C0000}"/>
    <cellStyle name="Note 2 31 2" xfId="9859" xr:uid="{00000000-0005-0000-0000-0000467C0000}"/>
    <cellStyle name="Note 2 31 2 2" xfId="27552" xr:uid="{00000000-0005-0000-0000-0000477C0000}"/>
    <cellStyle name="Note 2 31 3" xfId="27551" xr:uid="{00000000-0005-0000-0000-0000487C0000}"/>
    <cellStyle name="Note 2 32" xfId="9860" xr:uid="{00000000-0005-0000-0000-0000497C0000}"/>
    <cellStyle name="Note 2 32 2" xfId="27553" xr:uid="{00000000-0005-0000-0000-00004A7C0000}"/>
    <cellStyle name="Note 2 33" xfId="9861" xr:uid="{00000000-0005-0000-0000-00004B7C0000}"/>
    <cellStyle name="Note 2 33 2" xfId="27554" xr:uid="{00000000-0005-0000-0000-00004C7C0000}"/>
    <cellStyle name="Note 2 34" xfId="9862" xr:uid="{00000000-0005-0000-0000-00004D7C0000}"/>
    <cellStyle name="Note 2 34 2" xfId="27555" xr:uid="{00000000-0005-0000-0000-00004E7C0000}"/>
    <cellStyle name="Note 2 35" xfId="9863" xr:uid="{00000000-0005-0000-0000-00004F7C0000}"/>
    <cellStyle name="Note 2 35 2" xfId="27556" xr:uid="{00000000-0005-0000-0000-0000507C0000}"/>
    <cellStyle name="Note 2 36" xfId="9864" xr:uid="{00000000-0005-0000-0000-0000517C0000}"/>
    <cellStyle name="Note 2 36 2" xfId="27557" xr:uid="{00000000-0005-0000-0000-0000527C0000}"/>
    <cellStyle name="Note 2 37" xfId="9865" xr:uid="{00000000-0005-0000-0000-0000537C0000}"/>
    <cellStyle name="Note 2 37 2" xfId="27558" xr:uid="{00000000-0005-0000-0000-0000547C0000}"/>
    <cellStyle name="Note 2 38" xfId="9866" xr:uid="{00000000-0005-0000-0000-0000557C0000}"/>
    <cellStyle name="Note 2 38 2" xfId="27559" xr:uid="{00000000-0005-0000-0000-0000567C0000}"/>
    <cellStyle name="Note 2 39" xfId="9867" xr:uid="{00000000-0005-0000-0000-0000577C0000}"/>
    <cellStyle name="Note 2 39 2" xfId="9868" xr:uid="{00000000-0005-0000-0000-0000587C0000}"/>
    <cellStyle name="Note 2 39 2 2" xfId="27561" xr:uid="{00000000-0005-0000-0000-0000597C0000}"/>
    <cellStyle name="Note 2 39 3" xfId="27560" xr:uid="{00000000-0005-0000-0000-00005A7C0000}"/>
    <cellStyle name="Note 2 4" xfId="9869" xr:uid="{00000000-0005-0000-0000-00005B7C0000}"/>
    <cellStyle name="Note 2 4 2" xfId="12867" xr:uid="{00000000-0005-0000-0000-00005C7C0000}"/>
    <cellStyle name="Note 2 4 2 2" xfId="27563" xr:uid="{00000000-0005-0000-0000-00005D7C0000}"/>
    <cellStyle name="Note 2 4 2 3" xfId="32779" xr:uid="{00000000-0005-0000-0000-00005E7C0000}"/>
    <cellStyle name="Note 2 4 3" xfId="27562" xr:uid="{00000000-0005-0000-0000-00005F7C0000}"/>
    <cellStyle name="Note 2 4 3 2" xfId="32780" xr:uid="{00000000-0005-0000-0000-0000607C0000}"/>
    <cellStyle name="Note 2 4 4" xfId="32781" xr:uid="{00000000-0005-0000-0000-0000617C0000}"/>
    <cellStyle name="Note 2 4 5" xfId="32782" xr:uid="{00000000-0005-0000-0000-0000627C0000}"/>
    <cellStyle name="Note 2 40" xfId="27479" xr:uid="{00000000-0005-0000-0000-0000637C0000}"/>
    <cellStyle name="Note 2 41" xfId="32783" xr:uid="{00000000-0005-0000-0000-0000647C0000}"/>
    <cellStyle name="Note 2 42" xfId="32784" xr:uid="{00000000-0005-0000-0000-0000657C0000}"/>
    <cellStyle name="Note 2 43" xfId="32785" xr:uid="{00000000-0005-0000-0000-0000667C0000}"/>
    <cellStyle name="Note 2 44" xfId="32786" xr:uid="{00000000-0005-0000-0000-0000677C0000}"/>
    <cellStyle name="Note 2 45" xfId="32787" xr:uid="{00000000-0005-0000-0000-0000687C0000}"/>
    <cellStyle name="Note 2 46" xfId="32788" xr:uid="{00000000-0005-0000-0000-0000697C0000}"/>
    <cellStyle name="Note 2 47" xfId="624" xr:uid="{00000000-0005-0000-0000-00006A7C0000}"/>
    <cellStyle name="Note 2 5" xfId="9870" xr:uid="{00000000-0005-0000-0000-00006B7C0000}"/>
    <cellStyle name="Note 2 5 2" xfId="27564" xr:uid="{00000000-0005-0000-0000-00006C7C0000}"/>
    <cellStyle name="Note 2 5 3" xfId="32789" xr:uid="{00000000-0005-0000-0000-00006D7C0000}"/>
    <cellStyle name="Note 2 6" xfId="9871" xr:uid="{00000000-0005-0000-0000-00006E7C0000}"/>
    <cellStyle name="Note 2 6 2" xfId="27565" xr:uid="{00000000-0005-0000-0000-00006F7C0000}"/>
    <cellStyle name="Note 2 6 3" xfId="32790" xr:uid="{00000000-0005-0000-0000-0000707C0000}"/>
    <cellStyle name="Note 2 7" xfId="9872" xr:uid="{00000000-0005-0000-0000-0000717C0000}"/>
    <cellStyle name="Note 2 7 2" xfId="27566" xr:uid="{00000000-0005-0000-0000-0000727C0000}"/>
    <cellStyle name="Note 2 7 3" xfId="32791" xr:uid="{00000000-0005-0000-0000-0000737C0000}"/>
    <cellStyle name="Note 2 8" xfId="9873" xr:uid="{00000000-0005-0000-0000-0000747C0000}"/>
    <cellStyle name="Note 2 8 2" xfId="27567" xr:uid="{00000000-0005-0000-0000-0000757C0000}"/>
    <cellStyle name="Note 2 9" xfId="9874" xr:uid="{00000000-0005-0000-0000-0000767C0000}"/>
    <cellStyle name="Note 2 9 2" xfId="27568" xr:uid="{00000000-0005-0000-0000-0000777C0000}"/>
    <cellStyle name="Note 2_~2563501" xfId="32792" xr:uid="{00000000-0005-0000-0000-0000787C0000}"/>
    <cellStyle name="Note 20" xfId="9875" xr:uid="{00000000-0005-0000-0000-0000797C0000}"/>
    <cellStyle name="Note 20 2" xfId="27569" xr:uid="{00000000-0005-0000-0000-00007A7C0000}"/>
    <cellStyle name="Note 20 3" xfId="32793" xr:uid="{00000000-0005-0000-0000-00007B7C0000}"/>
    <cellStyle name="Note 21" xfId="9876" xr:uid="{00000000-0005-0000-0000-00007C7C0000}"/>
    <cellStyle name="Note 21 2" xfId="27570" xr:uid="{00000000-0005-0000-0000-00007D7C0000}"/>
    <cellStyle name="Note 21 3" xfId="32794" xr:uid="{00000000-0005-0000-0000-00007E7C0000}"/>
    <cellStyle name="Note 22" xfId="9877" xr:uid="{00000000-0005-0000-0000-00007F7C0000}"/>
    <cellStyle name="Note 22 2" xfId="27571" xr:uid="{00000000-0005-0000-0000-0000807C0000}"/>
    <cellStyle name="Note 22 3" xfId="32795" xr:uid="{00000000-0005-0000-0000-0000817C0000}"/>
    <cellStyle name="Note 23" xfId="9878" xr:uid="{00000000-0005-0000-0000-0000827C0000}"/>
    <cellStyle name="Note 23 2" xfId="27572" xr:uid="{00000000-0005-0000-0000-0000837C0000}"/>
    <cellStyle name="Note 23 3" xfId="32796" xr:uid="{00000000-0005-0000-0000-0000847C0000}"/>
    <cellStyle name="Note 24" xfId="9879" xr:uid="{00000000-0005-0000-0000-0000857C0000}"/>
    <cellStyle name="Note 24 2" xfId="27573" xr:uid="{00000000-0005-0000-0000-0000867C0000}"/>
    <cellStyle name="Note 25" xfId="9880" xr:uid="{00000000-0005-0000-0000-0000877C0000}"/>
    <cellStyle name="Note 25 2" xfId="27574" xr:uid="{00000000-0005-0000-0000-0000887C0000}"/>
    <cellStyle name="Note 26" xfId="9881" xr:uid="{00000000-0005-0000-0000-0000897C0000}"/>
    <cellStyle name="Note 26 2" xfId="27575" xr:uid="{00000000-0005-0000-0000-00008A7C0000}"/>
    <cellStyle name="Note 27" xfId="9882" xr:uid="{00000000-0005-0000-0000-00008B7C0000}"/>
    <cellStyle name="Note 27 2" xfId="27576" xr:uid="{00000000-0005-0000-0000-00008C7C0000}"/>
    <cellStyle name="Note 28" xfId="9883" xr:uid="{00000000-0005-0000-0000-00008D7C0000}"/>
    <cellStyle name="Note 28 2" xfId="27577" xr:uid="{00000000-0005-0000-0000-00008E7C0000}"/>
    <cellStyle name="Note 29" xfId="9884" xr:uid="{00000000-0005-0000-0000-00008F7C0000}"/>
    <cellStyle name="Note 29 2" xfId="27578" xr:uid="{00000000-0005-0000-0000-0000907C0000}"/>
    <cellStyle name="Note 3" xfId="182" xr:uid="{00000000-0005-0000-0000-0000917C0000}"/>
    <cellStyle name="Note 3 2" xfId="356" xr:uid="{00000000-0005-0000-0000-0000927C0000}"/>
    <cellStyle name="Note 3 2 2" xfId="27580" xr:uid="{00000000-0005-0000-0000-0000937C0000}"/>
    <cellStyle name="Note 3 2 3" xfId="32797" xr:uid="{00000000-0005-0000-0000-0000947C0000}"/>
    <cellStyle name="Note 3 2 4" xfId="32798" xr:uid="{00000000-0005-0000-0000-0000957C0000}"/>
    <cellStyle name="Note 3 2 5" xfId="12868" xr:uid="{00000000-0005-0000-0000-0000967C0000}"/>
    <cellStyle name="Note 3 3" xfId="27579" xr:uid="{00000000-0005-0000-0000-0000977C0000}"/>
    <cellStyle name="Note 3 3 2" xfId="32799" xr:uid="{00000000-0005-0000-0000-0000987C0000}"/>
    <cellStyle name="Note 3 3 3" xfId="32800" xr:uid="{00000000-0005-0000-0000-0000997C0000}"/>
    <cellStyle name="Note 3 4" xfId="32801" xr:uid="{00000000-0005-0000-0000-00009A7C0000}"/>
    <cellStyle name="Note 3 5" xfId="32802" xr:uid="{00000000-0005-0000-0000-00009B7C0000}"/>
    <cellStyle name="Note 3 6" xfId="32803" xr:uid="{00000000-0005-0000-0000-00009C7C0000}"/>
    <cellStyle name="Note 3 7" xfId="625" xr:uid="{00000000-0005-0000-0000-00009D7C0000}"/>
    <cellStyle name="Note 30" xfId="9885" xr:uid="{00000000-0005-0000-0000-00009E7C0000}"/>
    <cellStyle name="Note 30 2" xfId="27581" xr:uid="{00000000-0005-0000-0000-00009F7C0000}"/>
    <cellStyle name="Note 31" xfId="9886" xr:uid="{00000000-0005-0000-0000-0000A07C0000}"/>
    <cellStyle name="Note 31 2" xfId="27582" xr:uid="{00000000-0005-0000-0000-0000A17C0000}"/>
    <cellStyle name="Note 32" xfId="9887" xr:uid="{00000000-0005-0000-0000-0000A27C0000}"/>
    <cellStyle name="Note 32 2" xfId="27583" xr:uid="{00000000-0005-0000-0000-0000A37C0000}"/>
    <cellStyle name="Note 33" xfId="9888" xr:uid="{00000000-0005-0000-0000-0000A47C0000}"/>
    <cellStyle name="Note 33 2" xfId="27584" xr:uid="{00000000-0005-0000-0000-0000A57C0000}"/>
    <cellStyle name="Note 34" xfId="9889" xr:uid="{00000000-0005-0000-0000-0000A67C0000}"/>
    <cellStyle name="Note 34 2" xfId="27585" xr:uid="{00000000-0005-0000-0000-0000A77C0000}"/>
    <cellStyle name="Note 35" xfId="9890" xr:uid="{00000000-0005-0000-0000-0000A87C0000}"/>
    <cellStyle name="Note 35 2" xfId="27586" xr:uid="{00000000-0005-0000-0000-0000A97C0000}"/>
    <cellStyle name="Note 36" xfId="9891" xr:uid="{00000000-0005-0000-0000-0000AA7C0000}"/>
    <cellStyle name="Note 36 2" xfId="27587" xr:uid="{00000000-0005-0000-0000-0000AB7C0000}"/>
    <cellStyle name="Note 37" xfId="9892" xr:uid="{00000000-0005-0000-0000-0000AC7C0000}"/>
    <cellStyle name="Note 37 2" xfId="27588" xr:uid="{00000000-0005-0000-0000-0000AD7C0000}"/>
    <cellStyle name="Note 38" xfId="9893" xr:uid="{00000000-0005-0000-0000-0000AE7C0000}"/>
    <cellStyle name="Note 38 2" xfId="27589" xr:uid="{00000000-0005-0000-0000-0000AF7C0000}"/>
    <cellStyle name="Note 39" xfId="9894" xr:uid="{00000000-0005-0000-0000-0000B07C0000}"/>
    <cellStyle name="Note 39 2" xfId="27590" xr:uid="{00000000-0005-0000-0000-0000B17C0000}"/>
    <cellStyle name="Note 4" xfId="456" xr:uid="{00000000-0005-0000-0000-0000B27C0000}"/>
    <cellStyle name="Note 4 2" xfId="12869" xr:uid="{00000000-0005-0000-0000-0000B37C0000}"/>
    <cellStyle name="Note 4 2 2" xfId="27592" xr:uid="{00000000-0005-0000-0000-0000B47C0000}"/>
    <cellStyle name="Note 4 2 3" xfId="32804" xr:uid="{00000000-0005-0000-0000-0000B57C0000}"/>
    <cellStyle name="Note 4 2 4" xfId="32805" xr:uid="{00000000-0005-0000-0000-0000B67C0000}"/>
    <cellStyle name="Note 4 3" xfId="27591" xr:uid="{00000000-0005-0000-0000-0000B77C0000}"/>
    <cellStyle name="Note 4 3 2" xfId="32806" xr:uid="{00000000-0005-0000-0000-0000B87C0000}"/>
    <cellStyle name="Note 4 3 3" xfId="32807" xr:uid="{00000000-0005-0000-0000-0000B97C0000}"/>
    <cellStyle name="Note 4 4" xfId="32808" xr:uid="{00000000-0005-0000-0000-0000BA7C0000}"/>
    <cellStyle name="Note 4 5" xfId="32809" xr:uid="{00000000-0005-0000-0000-0000BB7C0000}"/>
    <cellStyle name="Note 4 6" xfId="626" xr:uid="{00000000-0005-0000-0000-0000BC7C0000}"/>
    <cellStyle name="Note 40" xfId="9895" xr:uid="{00000000-0005-0000-0000-0000BD7C0000}"/>
    <cellStyle name="Note 40 2" xfId="27593" xr:uid="{00000000-0005-0000-0000-0000BE7C0000}"/>
    <cellStyle name="Note 41" xfId="9896" xr:uid="{00000000-0005-0000-0000-0000BF7C0000}"/>
    <cellStyle name="Note 41 2" xfId="27594" xr:uid="{00000000-0005-0000-0000-0000C07C0000}"/>
    <cellStyle name="Note 42" xfId="9897" xr:uid="{00000000-0005-0000-0000-0000C17C0000}"/>
    <cellStyle name="Note 42 2" xfId="27595" xr:uid="{00000000-0005-0000-0000-0000C27C0000}"/>
    <cellStyle name="Note 43" xfId="9898" xr:uid="{00000000-0005-0000-0000-0000C37C0000}"/>
    <cellStyle name="Note 43 2" xfId="27596" xr:uid="{00000000-0005-0000-0000-0000C47C0000}"/>
    <cellStyle name="Note 44" xfId="9899" xr:uid="{00000000-0005-0000-0000-0000C57C0000}"/>
    <cellStyle name="Note 44 2" xfId="27597" xr:uid="{00000000-0005-0000-0000-0000C67C0000}"/>
    <cellStyle name="Note 45" xfId="9900" xr:uid="{00000000-0005-0000-0000-0000C77C0000}"/>
    <cellStyle name="Note 45 2" xfId="27598" xr:uid="{00000000-0005-0000-0000-0000C87C0000}"/>
    <cellStyle name="Note 46" xfId="9901" xr:uid="{00000000-0005-0000-0000-0000C97C0000}"/>
    <cellStyle name="Note 46 2" xfId="27599" xr:uid="{00000000-0005-0000-0000-0000CA7C0000}"/>
    <cellStyle name="Note 47" xfId="9902" xr:uid="{00000000-0005-0000-0000-0000CB7C0000}"/>
    <cellStyle name="Note 47 2" xfId="27600" xr:uid="{00000000-0005-0000-0000-0000CC7C0000}"/>
    <cellStyle name="Note 48" xfId="11606" xr:uid="{00000000-0005-0000-0000-0000CD7C0000}"/>
    <cellStyle name="Note 48 2" xfId="27601" xr:uid="{00000000-0005-0000-0000-0000CE7C0000}"/>
    <cellStyle name="Note 49" xfId="11535" xr:uid="{00000000-0005-0000-0000-0000CF7C0000}"/>
    <cellStyle name="Note 49 2" xfId="27602" xr:uid="{00000000-0005-0000-0000-0000D07C0000}"/>
    <cellStyle name="Note 5" xfId="627" xr:uid="{00000000-0005-0000-0000-0000D17C0000}"/>
    <cellStyle name="Note 5 2" xfId="12870" xr:uid="{00000000-0005-0000-0000-0000D27C0000}"/>
    <cellStyle name="Note 5 2 2" xfId="27604" xr:uid="{00000000-0005-0000-0000-0000D37C0000}"/>
    <cellStyle name="Note 5 2 3" xfId="32810" xr:uid="{00000000-0005-0000-0000-0000D47C0000}"/>
    <cellStyle name="Note 5 2 4" xfId="32811" xr:uid="{00000000-0005-0000-0000-0000D57C0000}"/>
    <cellStyle name="Note 5 3" xfId="27603" xr:uid="{00000000-0005-0000-0000-0000D67C0000}"/>
    <cellStyle name="Note 5 3 2" xfId="32812" xr:uid="{00000000-0005-0000-0000-0000D77C0000}"/>
    <cellStyle name="Note 5 3 3" xfId="32813" xr:uid="{00000000-0005-0000-0000-0000D87C0000}"/>
    <cellStyle name="Note 5 4" xfId="32814" xr:uid="{00000000-0005-0000-0000-0000D97C0000}"/>
    <cellStyle name="Note 5 5" xfId="32815" xr:uid="{00000000-0005-0000-0000-0000DA7C0000}"/>
    <cellStyle name="Note 50" xfId="27605" xr:uid="{00000000-0005-0000-0000-0000DB7C0000}"/>
    <cellStyle name="Note 51" xfId="32816" xr:uid="{00000000-0005-0000-0000-0000DC7C0000}"/>
    <cellStyle name="Note 52" xfId="623" xr:uid="{00000000-0005-0000-0000-0000DD7C0000}"/>
    <cellStyle name="Note 6" xfId="628" xr:uid="{00000000-0005-0000-0000-0000DE7C0000}"/>
    <cellStyle name="Note 6 2" xfId="9903" xr:uid="{00000000-0005-0000-0000-0000DF7C0000}"/>
    <cellStyle name="Note 6 2 2" xfId="27607" xr:uid="{00000000-0005-0000-0000-0000E07C0000}"/>
    <cellStyle name="Note 6 2 3" xfId="32817" xr:uid="{00000000-0005-0000-0000-0000E17C0000}"/>
    <cellStyle name="Note 6 3" xfId="9904" xr:uid="{00000000-0005-0000-0000-0000E27C0000}"/>
    <cellStyle name="Note 6 3 2" xfId="27608" xr:uid="{00000000-0005-0000-0000-0000E37C0000}"/>
    <cellStyle name="Note 6 3 3" xfId="32818" xr:uid="{00000000-0005-0000-0000-0000E47C0000}"/>
    <cellStyle name="Note 6 4" xfId="9905" xr:uid="{00000000-0005-0000-0000-0000E57C0000}"/>
    <cellStyle name="Note 6 4 2" xfId="27609" xr:uid="{00000000-0005-0000-0000-0000E67C0000}"/>
    <cellStyle name="Note 6 5" xfId="9906" xr:uid="{00000000-0005-0000-0000-0000E77C0000}"/>
    <cellStyle name="Note 6 5 2" xfId="27610" xr:uid="{00000000-0005-0000-0000-0000E87C0000}"/>
    <cellStyle name="Note 6 6" xfId="27606" xr:uid="{00000000-0005-0000-0000-0000E97C0000}"/>
    <cellStyle name="Note 6 7" xfId="32819" xr:uid="{00000000-0005-0000-0000-0000EA7C0000}"/>
    <cellStyle name="Note 7" xfId="9907" xr:uid="{00000000-0005-0000-0000-0000EB7C0000}"/>
    <cellStyle name="Note 7 10" xfId="32820" xr:uid="{00000000-0005-0000-0000-0000EC7C0000}"/>
    <cellStyle name="Note 7 2" xfId="9908" xr:uid="{00000000-0005-0000-0000-0000ED7C0000}"/>
    <cellStyle name="Note 7 2 2" xfId="9909" xr:uid="{00000000-0005-0000-0000-0000EE7C0000}"/>
    <cellStyle name="Note 7 2 2 2" xfId="27613" xr:uid="{00000000-0005-0000-0000-0000EF7C0000}"/>
    <cellStyle name="Note 7 2 2 3" xfId="32821" xr:uid="{00000000-0005-0000-0000-0000F07C0000}"/>
    <cellStyle name="Note 7 2 3" xfId="9910" xr:uid="{00000000-0005-0000-0000-0000F17C0000}"/>
    <cellStyle name="Note 7 2 3 2" xfId="27614" xr:uid="{00000000-0005-0000-0000-0000F27C0000}"/>
    <cellStyle name="Note 7 2 3 3" xfId="32822" xr:uid="{00000000-0005-0000-0000-0000F37C0000}"/>
    <cellStyle name="Note 7 2 4" xfId="9911" xr:uid="{00000000-0005-0000-0000-0000F47C0000}"/>
    <cellStyle name="Note 7 2 4 2" xfId="27615" xr:uid="{00000000-0005-0000-0000-0000F57C0000}"/>
    <cellStyle name="Note 7 2 5" xfId="9912" xr:uid="{00000000-0005-0000-0000-0000F67C0000}"/>
    <cellStyle name="Note 7 2 5 2" xfId="27616" xr:uid="{00000000-0005-0000-0000-0000F77C0000}"/>
    <cellStyle name="Note 7 2 6" xfId="27612" xr:uid="{00000000-0005-0000-0000-0000F87C0000}"/>
    <cellStyle name="Note 7 2 7" xfId="32823" xr:uid="{00000000-0005-0000-0000-0000F97C0000}"/>
    <cellStyle name="Note 7 2 8" xfId="32824" xr:uid="{00000000-0005-0000-0000-0000FA7C0000}"/>
    <cellStyle name="Note 7 2 9" xfId="32825" xr:uid="{00000000-0005-0000-0000-0000FB7C0000}"/>
    <cellStyle name="Note 7 2_Loan Classification" xfId="11478" xr:uid="{00000000-0005-0000-0000-0000FC7C0000}"/>
    <cellStyle name="Note 7 3" xfId="9913" xr:uid="{00000000-0005-0000-0000-0000FD7C0000}"/>
    <cellStyle name="Note 7 3 2" xfId="27617" xr:uid="{00000000-0005-0000-0000-0000FE7C0000}"/>
    <cellStyle name="Note 7 3 3" xfId="32826" xr:uid="{00000000-0005-0000-0000-0000FF7C0000}"/>
    <cellStyle name="Note 7 3 4" xfId="32827" xr:uid="{00000000-0005-0000-0000-0000007D0000}"/>
    <cellStyle name="Note 7 4" xfId="9914" xr:uid="{00000000-0005-0000-0000-0000017D0000}"/>
    <cellStyle name="Note 7 4 2" xfId="27618" xr:uid="{00000000-0005-0000-0000-0000027D0000}"/>
    <cellStyle name="Note 7 4 3" xfId="32828" xr:uid="{00000000-0005-0000-0000-0000037D0000}"/>
    <cellStyle name="Note 7 5" xfId="9915" xr:uid="{00000000-0005-0000-0000-0000047D0000}"/>
    <cellStyle name="Note 7 5 2" xfId="27619" xr:uid="{00000000-0005-0000-0000-0000057D0000}"/>
    <cellStyle name="Note 7 6" xfId="9916" xr:uid="{00000000-0005-0000-0000-0000067D0000}"/>
    <cellStyle name="Note 7 6 2" xfId="27620" xr:uid="{00000000-0005-0000-0000-0000077D0000}"/>
    <cellStyle name="Note 7 7" xfId="9917" xr:uid="{00000000-0005-0000-0000-0000087D0000}"/>
    <cellStyle name="Note 7 7 2" xfId="27621" xr:uid="{00000000-0005-0000-0000-0000097D0000}"/>
    <cellStyle name="Note 7 8" xfId="27611" xr:uid="{00000000-0005-0000-0000-00000A7D0000}"/>
    <cellStyle name="Note 7 9" xfId="32829" xr:uid="{00000000-0005-0000-0000-00000B7D0000}"/>
    <cellStyle name="Note 7_Loan Classification" xfId="11477" xr:uid="{00000000-0005-0000-0000-00000C7D0000}"/>
    <cellStyle name="Note 8" xfId="9918" xr:uid="{00000000-0005-0000-0000-00000D7D0000}"/>
    <cellStyle name="Note 8 10" xfId="32830" xr:uid="{00000000-0005-0000-0000-00000E7D0000}"/>
    <cellStyle name="Note 8 2" xfId="9919" xr:uid="{00000000-0005-0000-0000-00000F7D0000}"/>
    <cellStyle name="Note 8 2 10" xfId="32831" xr:uid="{00000000-0005-0000-0000-0000107D0000}"/>
    <cellStyle name="Note 8 2 2" xfId="9920" xr:uid="{00000000-0005-0000-0000-0000117D0000}"/>
    <cellStyle name="Note 8 2 2 2" xfId="27624" xr:uid="{00000000-0005-0000-0000-0000127D0000}"/>
    <cellStyle name="Note 8 2 2 3" xfId="32832" xr:uid="{00000000-0005-0000-0000-0000137D0000}"/>
    <cellStyle name="Note 8 2 3" xfId="9921" xr:uid="{00000000-0005-0000-0000-0000147D0000}"/>
    <cellStyle name="Note 8 2 3 2" xfId="27625" xr:uid="{00000000-0005-0000-0000-0000157D0000}"/>
    <cellStyle name="Note 8 2 3 3" xfId="32833" xr:uid="{00000000-0005-0000-0000-0000167D0000}"/>
    <cellStyle name="Note 8 2 4" xfId="9922" xr:uid="{00000000-0005-0000-0000-0000177D0000}"/>
    <cellStyle name="Note 8 2 4 2" xfId="27626" xr:uid="{00000000-0005-0000-0000-0000187D0000}"/>
    <cellStyle name="Note 8 2 5" xfId="9923" xr:uid="{00000000-0005-0000-0000-0000197D0000}"/>
    <cellStyle name="Note 8 2 5 2" xfId="27627" xr:uid="{00000000-0005-0000-0000-00001A7D0000}"/>
    <cellStyle name="Note 8 2 6" xfId="27623" xr:uid="{00000000-0005-0000-0000-00001B7D0000}"/>
    <cellStyle name="Note 8 2 7" xfId="32834" xr:uid="{00000000-0005-0000-0000-00001C7D0000}"/>
    <cellStyle name="Note 8 2 8" xfId="32835" xr:uid="{00000000-0005-0000-0000-00001D7D0000}"/>
    <cellStyle name="Note 8 2 9" xfId="32836" xr:uid="{00000000-0005-0000-0000-00001E7D0000}"/>
    <cellStyle name="Note 8 2_Loan Classification" xfId="11480" xr:uid="{00000000-0005-0000-0000-00001F7D0000}"/>
    <cellStyle name="Note 8 3" xfId="9924" xr:uid="{00000000-0005-0000-0000-0000207D0000}"/>
    <cellStyle name="Note 8 3 2" xfId="27628" xr:uid="{00000000-0005-0000-0000-0000217D0000}"/>
    <cellStyle name="Note 8 3 3" xfId="32837" xr:uid="{00000000-0005-0000-0000-0000227D0000}"/>
    <cellStyle name="Note 8 3 4" xfId="32838" xr:uid="{00000000-0005-0000-0000-0000237D0000}"/>
    <cellStyle name="Note 8 4" xfId="9925" xr:uid="{00000000-0005-0000-0000-0000247D0000}"/>
    <cellStyle name="Note 8 4 2" xfId="27629" xr:uid="{00000000-0005-0000-0000-0000257D0000}"/>
    <cellStyle name="Note 8 4 3" xfId="32839" xr:uid="{00000000-0005-0000-0000-0000267D0000}"/>
    <cellStyle name="Note 8 5" xfId="9926" xr:uid="{00000000-0005-0000-0000-0000277D0000}"/>
    <cellStyle name="Note 8 5 2" xfId="27630" xr:uid="{00000000-0005-0000-0000-0000287D0000}"/>
    <cellStyle name="Note 8 6" xfId="9927" xr:uid="{00000000-0005-0000-0000-0000297D0000}"/>
    <cellStyle name="Note 8 6 2" xfId="27631" xr:uid="{00000000-0005-0000-0000-00002A7D0000}"/>
    <cellStyle name="Note 8 7" xfId="9928" xr:uid="{00000000-0005-0000-0000-00002B7D0000}"/>
    <cellStyle name="Note 8 7 2" xfId="27632" xr:uid="{00000000-0005-0000-0000-00002C7D0000}"/>
    <cellStyle name="Note 8 8" xfId="27622" xr:uid="{00000000-0005-0000-0000-00002D7D0000}"/>
    <cellStyle name="Note 8 9" xfId="32840" xr:uid="{00000000-0005-0000-0000-00002E7D0000}"/>
    <cellStyle name="Note 8_Loan Classification" xfId="11479" xr:uid="{00000000-0005-0000-0000-00002F7D0000}"/>
    <cellStyle name="Note 9" xfId="9929" xr:uid="{00000000-0005-0000-0000-0000307D0000}"/>
    <cellStyle name="Note 9 10" xfId="32841" xr:uid="{00000000-0005-0000-0000-0000317D0000}"/>
    <cellStyle name="Note 9 2" xfId="9930" xr:uid="{00000000-0005-0000-0000-0000327D0000}"/>
    <cellStyle name="Note 9 2 2" xfId="9931" xr:uid="{00000000-0005-0000-0000-0000337D0000}"/>
    <cellStyle name="Note 9 2 2 2" xfId="27635" xr:uid="{00000000-0005-0000-0000-0000347D0000}"/>
    <cellStyle name="Note 9 2 2 3" xfId="32842" xr:uid="{00000000-0005-0000-0000-0000357D0000}"/>
    <cellStyle name="Note 9 2 3" xfId="9932" xr:uid="{00000000-0005-0000-0000-0000367D0000}"/>
    <cellStyle name="Note 9 2 3 2" xfId="27636" xr:uid="{00000000-0005-0000-0000-0000377D0000}"/>
    <cellStyle name="Note 9 2 3 3" xfId="32843" xr:uid="{00000000-0005-0000-0000-0000387D0000}"/>
    <cellStyle name="Note 9 2 4" xfId="9933" xr:uid="{00000000-0005-0000-0000-0000397D0000}"/>
    <cellStyle name="Note 9 2 4 2" xfId="27637" xr:uid="{00000000-0005-0000-0000-00003A7D0000}"/>
    <cellStyle name="Note 9 2 5" xfId="9934" xr:uid="{00000000-0005-0000-0000-00003B7D0000}"/>
    <cellStyle name="Note 9 2 5 2" xfId="27638" xr:uid="{00000000-0005-0000-0000-00003C7D0000}"/>
    <cellStyle name="Note 9 2 6" xfId="27634" xr:uid="{00000000-0005-0000-0000-00003D7D0000}"/>
    <cellStyle name="Note 9 2 7" xfId="32844" xr:uid="{00000000-0005-0000-0000-00003E7D0000}"/>
    <cellStyle name="Note 9 2 8" xfId="32845" xr:uid="{00000000-0005-0000-0000-00003F7D0000}"/>
    <cellStyle name="Note 9 2 9" xfId="32846" xr:uid="{00000000-0005-0000-0000-0000407D0000}"/>
    <cellStyle name="Note 9 2_Loan Classification" xfId="11482" xr:uid="{00000000-0005-0000-0000-0000417D0000}"/>
    <cellStyle name="Note 9 3" xfId="9935" xr:uid="{00000000-0005-0000-0000-0000427D0000}"/>
    <cellStyle name="Note 9 3 2" xfId="27639" xr:uid="{00000000-0005-0000-0000-0000437D0000}"/>
    <cellStyle name="Note 9 3 3" xfId="32847" xr:uid="{00000000-0005-0000-0000-0000447D0000}"/>
    <cellStyle name="Note 9 3 4" xfId="32848" xr:uid="{00000000-0005-0000-0000-0000457D0000}"/>
    <cellStyle name="Note 9 4" xfId="9936" xr:uid="{00000000-0005-0000-0000-0000467D0000}"/>
    <cellStyle name="Note 9 4 2" xfId="27640" xr:uid="{00000000-0005-0000-0000-0000477D0000}"/>
    <cellStyle name="Note 9 5" xfId="9937" xr:uid="{00000000-0005-0000-0000-0000487D0000}"/>
    <cellStyle name="Note 9 5 2" xfId="27641" xr:uid="{00000000-0005-0000-0000-0000497D0000}"/>
    <cellStyle name="Note 9 6" xfId="9938" xr:uid="{00000000-0005-0000-0000-00004A7D0000}"/>
    <cellStyle name="Note 9 6 2" xfId="27642" xr:uid="{00000000-0005-0000-0000-00004B7D0000}"/>
    <cellStyle name="Note 9 7" xfId="9939" xr:uid="{00000000-0005-0000-0000-00004C7D0000}"/>
    <cellStyle name="Note 9 7 2" xfId="27643" xr:uid="{00000000-0005-0000-0000-00004D7D0000}"/>
    <cellStyle name="Note 9 8" xfId="27633" xr:uid="{00000000-0005-0000-0000-00004E7D0000}"/>
    <cellStyle name="Note 9 9" xfId="32849" xr:uid="{00000000-0005-0000-0000-00004F7D0000}"/>
    <cellStyle name="Note 9_Loan Classification" xfId="11481" xr:uid="{00000000-0005-0000-0000-0000507D0000}"/>
    <cellStyle name="Output" xfId="18" builtinId="21" customBuiltin="1"/>
    <cellStyle name="Output 10" xfId="9940" xr:uid="{00000000-0005-0000-0000-0000527D0000}"/>
    <cellStyle name="Output 10 2" xfId="27644" xr:uid="{00000000-0005-0000-0000-0000537D0000}"/>
    <cellStyle name="Output 10 3" xfId="32850" xr:uid="{00000000-0005-0000-0000-0000547D0000}"/>
    <cellStyle name="Output 11" xfId="9941" xr:uid="{00000000-0005-0000-0000-0000557D0000}"/>
    <cellStyle name="Output 11 2" xfId="27645" xr:uid="{00000000-0005-0000-0000-0000567D0000}"/>
    <cellStyle name="Output 11 3" xfId="32851" xr:uid="{00000000-0005-0000-0000-0000577D0000}"/>
    <cellStyle name="Output 12" xfId="9942" xr:uid="{00000000-0005-0000-0000-0000587D0000}"/>
    <cellStyle name="Output 12 2" xfId="27646" xr:uid="{00000000-0005-0000-0000-0000597D0000}"/>
    <cellStyle name="Output 12 3" xfId="32852" xr:uid="{00000000-0005-0000-0000-00005A7D0000}"/>
    <cellStyle name="Output 13" xfId="9943" xr:uid="{00000000-0005-0000-0000-00005B7D0000}"/>
    <cellStyle name="Output 13 2" xfId="27647" xr:uid="{00000000-0005-0000-0000-00005C7D0000}"/>
    <cellStyle name="Output 13 3" xfId="32853" xr:uid="{00000000-0005-0000-0000-00005D7D0000}"/>
    <cellStyle name="Output 14" xfId="9944" xr:uid="{00000000-0005-0000-0000-00005E7D0000}"/>
    <cellStyle name="Output 14 2" xfId="27648" xr:uid="{00000000-0005-0000-0000-00005F7D0000}"/>
    <cellStyle name="Output 14 3" xfId="32854" xr:uid="{00000000-0005-0000-0000-0000607D0000}"/>
    <cellStyle name="Output 15" xfId="9945" xr:uid="{00000000-0005-0000-0000-0000617D0000}"/>
    <cellStyle name="Output 15 2" xfId="27649" xr:uid="{00000000-0005-0000-0000-0000627D0000}"/>
    <cellStyle name="Output 15 3" xfId="32855" xr:uid="{00000000-0005-0000-0000-0000637D0000}"/>
    <cellStyle name="Output 16" xfId="9946" xr:uid="{00000000-0005-0000-0000-0000647D0000}"/>
    <cellStyle name="Output 16 2" xfId="27650" xr:uid="{00000000-0005-0000-0000-0000657D0000}"/>
    <cellStyle name="Output 16 3" xfId="32856" xr:uid="{00000000-0005-0000-0000-0000667D0000}"/>
    <cellStyle name="Output 17" xfId="9947" xr:uid="{00000000-0005-0000-0000-0000677D0000}"/>
    <cellStyle name="Output 17 2" xfId="27651" xr:uid="{00000000-0005-0000-0000-0000687D0000}"/>
    <cellStyle name="Output 17 3" xfId="32857" xr:uid="{00000000-0005-0000-0000-0000697D0000}"/>
    <cellStyle name="Output 18" xfId="9948" xr:uid="{00000000-0005-0000-0000-00006A7D0000}"/>
    <cellStyle name="Output 18 2" xfId="27652" xr:uid="{00000000-0005-0000-0000-00006B7D0000}"/>
    <cellStyle name="Output 19" xfId="9949" xr:uid="{00000000-0005-0000-0000-00006C7D0000}"/>
    <cellStyle name="Output 19 2" xfId="27653" xr:uid="{00000000-0005-0000-0000-00006D7D0000}"/>
    <cellStyle name="Output 2" xfId="183" xr:uid="{00000000-0005-0000-0000-00006E7D0000}"/>
    <cellStyle name="Output 2 10" xfId="9951" xr:uid="{00000000-0005-0000-0000-00006F7D0000}"/>
    <cellStyle name="Output 2 10 2" xfId="27655" xr:uid="{00000000-0005-0000-0000-0000707D0000}"/>
    <cellStyle name="Output 2 11" xfId="9952" xr:uid="{00000000-0005-0000-0000-0000717D0000}"/>
    <cellStyle name="Output 2 11 2" xfId="27656" xr:uid="{00000000-0005-0000-0000-0000727D0000}"/>
    <cellStyle name="Output 2 12" xfId="9953" xr:uid="{00000000-0005-0000-0000-0000737D0000}"/>
    <cellStyle name="Output 2 12 2" xfId="27657" xr:uid="{00000000-0005-0000-0000-0000747D0000}"/>
    <cellStyle name="Output 2 13" xfId="9954" xr:uid="{00000000-0005-0000-0000-0000757D0000}"/>
    <cellStyle name="Output 2 13 2" xfId="27658" xr:uid="{00000000-0005-0000-0000-0000767D0000}"/>
    <cellStyle name="Output 2 14" xfId="9955" xr:uid="{00000000-0005-0000-0000-0000777D0000}"/>
    <cellStyle name="Output 2 14 2" xfId="9956" xr:uid="{00000000-0005-0000-0000-0000787D0000}"/>
    <cellStyle name="Output 2 14 2 2" xfId="27660" xr:uid="{00000000-0005-0000-0000-0000797D0000}"/>
    <cellStyle name="Output 2 14 3" xfId="27659" xr:uid="{00000000-0005-0000-0000-00007A7D0000}"/>
    <cellStyle name="Output 2 15" xfId="9957" xr:uid="{00000000-0005-0000-0000-00007B7D0000}"/>
    <cellStyle name="Output 2 15 2" xfId="27661" xr:uid="{00000000-0005-0000-0000-00007C7D0000}"/>
    <cellStyle name="Output 2 16" xfId="9958" xr:uid="{00000000-0005-0000-0000-00007D7D0000}"/>
    <cellStyle name="Output 2 16 2" xfId="27662" xr:uid="{00000000-0005-0000-0000-00007E7D0000}"/>
    <cellStyle name="Output 2 17" xfId="9959" xr:uid="{00000000-0005-0000-0000-00007F7D0000}"/>
    <cellStyle name="Output 2 17 2" xfId="27663" xr:uid="{00000000-0005-0000-0000-0000807D0000}"/>
    <cellStyle name="Output 2 18" xfId="9960" xr:uid="{00000000-0005-0000-0000-0000817D0000}"/>
    <cellStyle name="Output 2 18 2" xfId="27664" xr:uid="{00000000-0005-0000-0000-0000827D0000}"/>
    <cellStyle name="Output 2 19" xfId="9961" xr:uid="{00000000-0005-0000-0000-0000837D0000}"/>
    <cellStyle name="Output 2 19 2" xfId="27665" xr:uid="{00000000-0005-0000-0000-0000847D0000}"/>
    <cellStyle name="Output 2 2" xfId="9962" xr:uid="{00000000-0005-0000-0000-0000857D0000}"/>
    <cellStyle name="Output 2 2 10" xfId="9963" xr:uid="{00000000-0005-0000-0000-0000867D0000}"/>
    <cellStyle name="Output 2 2 10 2" xfId="27667" xr:uid="{00000000-0005-0000-0000-0000877D0000}"/>
    <cellStyle name="Output 2 2 11" xfId="9964" xr:uid="{00000000-0005-0000-0000-0000887D0000}"/>
    <cellStyle name="Output 2 2 11 2" xfId="27668" xr:uid="{00000000-0005-0000-0000-0000897D0000}"/>
    <cellStyle name="Output 2 2 12" xfId="9965" xr:uid="{00000000-0005-0000-0000-00008A7D0000}"/>
    <cellStyle name="Output 2 2 12 2" xfId="27669" xr:uid="{00000000-0005-0000-0000-00008B7D0000}"/>
    <cellStyle name="Output 2 2 13" xfId="9966" xr:uid="{00000000-0005-0000-0000-00008C7D0000}"/>
    <cellStyle name="Output 2 2 13 2" xfId="27670" xr:uid="{00000000-0005-0000-0000-00008D7D0000}"/>
    <cellStyle name="Output 2 2 14" xfId="9967" xr:uid="{00000000-0005-0000-0000-00008E7D0000}"/>
    <cellStyle name="Output 2 2 14 2" xfId="9968" xr:uid="{00000000-0005-0000-0000-00008F7D0000}"/>
    <cellStyle name="Output 2 2 14 2 2" xfId="27672" xr:uid="{00000000-0005-0000-0000-0000907D0000}"/>
    <cellStyle name="Output 2 2 14 3" xfId="27671" xr:uid="{00000000-0005-0000-0000-0000917D0000}"/>
    <cellStyle name="Output 2 2 15" xfId="9969" xr:uid="{00000000-0005-0000-0000-0000927D0000}"/>
    <cellStyle name="Output 2 2 15 2" xfId="27673" xr:uid="{00000000-0005-0000-0000-0000937D0000}"/>
    <cellStyle name="Output 2 2 16" xfId="9970" xr:uid="{00000000-0005-0000-0000-0000947D0000}"/>
    <cellStyle name="Output 2 2 16 2" xfId="27674" xr:uid="{00000000-0005-0000-0000-0000957D0000}"/>
    <cellStyle name="Output 2 2 17" xfId="9971" xr:uid="{00000000-0005-0000-0000-0000967D0000}"/>
    <cellStyle name="Output 2 2 17 2" xfId="27675" xr:uid="{00000000-0005-0000-0000-0000977D0000}"/>
    <cellStyle name="Output 2 2 18" xfId="9972" xr:uid="{00000000-0005-0000-0000-0000987D0000}"/>
    <cellStyle name="Output 2 2 18 2" xfId="27676" xr:uid="{00000000-0005-0000-0000-0000997D0000}"/>
    <cellStyle name="Output 2 2 19" xfId="9973" xr:uid="{00000000-0005-0000-0000-00009A7D0000}"/>
    <cellStyle name="Output 2 2 19 2" xfId="27677" xr:uid="{00000000-0005-0000-0000-00009B7D0000}"/>
    <cellStyle name="Output 2 2 2" xfId="9974" xr:uid="{00000000-0005-0000-0000-00009C7D0000}"/>
    <cellStyle name="Output 2 2 2 10" xfId="9975" xr:uid="{00000000-0005-0000-0000-00009D7D0000}"/>
    <cellStyle name="Output 2 2 2 10 2" xfId="27679" xr:uid="{00000000-0005-0000-0000-00009E7D0000}"/>
    <cellStyle name="Output 2 2 2 11" xfId="9976" xr:uid="{00000000-0005-0000-0000-00009F7D0000}"/>
    <cellStyle name="Output 2 2 2 11 2" xfId="27680" xr:uid="{00000000-0005-0000-0000-0000A07D0000}"/>
    <cellStyle name="Output 2 2 2 12" xfId="9977" xr:uid="{00000000-0005-0000-0000-0000A17D0000}"/>
    <cellStyle name="Output 2 2 2 12 2" xfId="27681" xr:uid="{00000000-0005-0000-0000-0000A27D0000}"/>
    <cellStyle name="Output 2 2 2 13" xfId="9978" xr:uid="{00000000-0005-0000-0000-0000A37D0000}"/>
    <cellStyle name="Output 2 2 2 13 2" xfId="27682" xr:uid="{00000000-0005-0000-0000-0000A47D0000}"/>
    <cellStyle name="Output 2 2 2 14" xfId="9979" xr:uid="{00000000-0005-0000-0000-0000A57D0000}"/>
    <cellStyle name="Output 2 2 2 14 2" xfId="27683" xr:uid="{00000000-0005-0000-0000-0000A67D0000}"/>
    <cellStyle name="Output 2 2 2 15" xfId="9980" xr:uid="{00000000-0005-0000-0000-0000A77D0000}"/>
    <cellStyle name="Output 2 2 2 15 2" xfId="27684" xr:uid="{00000000-0005-0000-0000-0000A87D0000}"/>
    <cellStyle name="Output 2 2 2 16" xfId="9981" xr:uid="{00000000-0005-0000-0000-0000A97D0000}"/>
    <cellStyle name="Output 2 2 2 16 2" xfId="27685" xr:uid="{00000000-0005-0000-0000-0000AA7D0000}"/>
    <cellStyle name="Output 2 2 2 17" xfId="9982" xr:uid="{00000000-0005-0000-0000-0000AB7D0000}"/>
    <cellStyle name="Output 2 2 2 17 2" xfId="27686" xr:uid="{00000000-0005-0000-0000-0000AC7D0000}"/>
    <cellStyle name="Output 2 2 2 18" xfId="9983" xr:uid="{00000000-0005-0000-0000-0000AD7D0000}"/>
    <cellStyle name="Output 2 2 2 18 2" xfId="27687" xr:uid="{00000000-0005-0000-0000-0000AE7D0000}"/>
    <cellStyle name="Output 2 2 2 19" xfId="9984" xr:uid="{00000000-0005-0000-0000-0000AF7D0000}"/>
    <cellStyle name="Output 2 2 2 19 2" xfId="27688" xr:uid="{00000000-0005-0000-0000-0000B07D0000}"/>
    <cellStyle name="Output 2 2 2 2" xfId="9985" xr:uid="{00000000-0005-0000-0000-0000B17D0000}"/>
    <cellStyle name="Output 2 2 2 2 10" xfId="9986" xr:uid="{00000000-0005-0000-0000-0000B27D0000}"/>
    <cellStyle name="Output 2 2 2 2 10 2" xfId="27690" xr:uid="{00000000-0005-0000-0000-0000B37D0000}"/>
    <cellStyle name="Output 2 2 2 2 11" xfId="9987" xr:uid="{00000000-0005-0000-0000-0000B47D0000}"/>
    <cellStyle name="Output 2 2 2 2 11 2" xfId="27691" xr:uid="{00000000-0005-0000-0000-0000B57D0000}"/>
    <cellStyle name="Output 2 2 2 2 12" xfId="9988" xr:uid="{00000000-0005-0000-0000-0000B67D0000}"/>
    <cellStyle name="Output 2 2 2 2 12 2" xfId="27692" xr:uid="{00000000-0005-0000-0000-0000B77D0000}"/>
    <cellStyle name="Output 2 2 2 2 13" xfId="9989" xr:uid="{00000000-0005-0000-0000-0000B87D0000}"/>
    <cellStyle name="Output 2 2 2 2 13 2" xfId="27693" xr:uid="{00000000-0005-0000-0000-0000B97D0000}"/>
    <cellStyle name="Output 2 2 2 2 14" xfId="9990" xr:uid="{00000000-0005-0000-0000-0000BA7D0000}"/>
    <cellStyle name="Output 2 2 2 2 14 2" xfId="27694" xr:uid="{00000000-0005-0000-0000-0000BB7D0000}"/>
    <cellStyle name="Output 2 2 2 2 15" xfId="9991" xr:uid="{00000000-0005-0000-0000-0000BC7D0000}"/>
    <cellStyle name="Output 2 2 2 2 15 2" xfId="27695" xr:uid="{00000000-0005-0000-0000-0000BD7D0000}"/>
    <cellStyle name="Output 2 2 2 2 16" xfId="9992" xr:uid="{00000000-0005-0000-0000-0000BE7D0000}"/>
    <cellStyle name="Output 2 2 2 2 16 2" xfId="27696" xr:uid="{00000000-0005-0000-0000-0000BF7D0000}"/>
    <cellStyle name="Output 2 2 2 2 17" xfId="9993" xr:uid="{00000000-0005-0000-0000-0000C07D0000}"/>
    <cellStyle name="Output 2 2 2 2 17 2" xfId="27697" xr:uid="{00000000-0005-0000-0000-0000C17D0000}"/>
    <cellStyle name="Output 2 2 2 2 18" xfId="9994" xr:uid="{00000000-0005-0000-0000-0000C27D0000}"/>
    <cellStyle name="Output 2 2 2 2 18 2" xfId="27698" xr:uid="{00000000-0005-0000-0000-0000C37D0000}"/>
    <cellStyle name="Output 2 2 2 2 19" xfId="9995" xr:uid="{00000000-0005-0000-0000-0000C47D0000}"/>
    <cellStyle name="Output 2 2 2 2 19 2" xfId="27699" xr:uid="{00000000-0005-0000-0000-0000C57D0000}"/>
    <cellStyle name="Output 2 2 2 2 2" xfId="9996" xr:uid="{00000000-0005-0000-0000-0000C67D0000}"/>
    <cellStyle name="Output 2 2 2 2 2 10" xfId="9997" xr:uid="{00000000-0005-0000-0000-0000C77D0000}"/>
    <cellStyle name="Output 2 2 2 2 2 10 2" xfId="27701" xr:uid="{00000000-0005-0000-0000-0000C87D0000}"/>
    <cellStyle name="Output 2 2 2 2 2 11" xfId="9998" xr:uid="{00000000-0005-0000-0000-0000C97D0000}"/>
    <cellStyle name="Output 2 2 2 2 2 11 2" xfId="9999" xr:uid="{00000000-0005-0000-0000-0000CA7D0000}"/>
    <cellStyle name="Output 2 2 2 2 2 11 2 2" xfId="27703" xr:uid="{00000000-0005-0000-0000-0000CB7D0000}"/>
    <cellStyle name="Output 2 2 2 2 2 11 3" xfId="27702" xr:uid="{00000000-0005-0000-0000-0000CC7D0000}"/>
    <cellStyle name="Output 2 2 2 2 2 12" xfId="27700" xr:uid="{00000000-0005-0000-0000-0000CD7D0000}"/>
    <cellStyle name="Output 2 2 2 2 2 2" xfId="10000" xr:uid="{00000000-0005-0000-0000-0000CE7D0000}"/>
    <cellStyle name="Output 2 2 2 2 2 2 10" xfId="10001" xr:uid="{00000000-0005-0000-0000-0000CF7D0000}"/>
    <cellStyle name="Output 2 2 2 2 2 2 10 2" xfId="27705" xr:uid="{00000000-0005-0000-0000-0000D07D0000}"/>
    <cellStyle name="Output 2 2 2 2 2 2 11" xfId="10002" xr:uid="{00000000-0005-0000-0000-0000D17D0000}"/>
    <cellStyle name="Output 2 2 2 2 2 2 11 2" xfId="10003" xr:uid="{00000000-0005-0000-0000-0000D27D0000}"/>
    <cellStyle name="Output 2 2 2 2 2 2 11 2 2" xfId="27707" xr:uid="{00000000-0005-0000-0000-0000D37D0000}"/>
    <cellStyle name="Output 2 2 2 2 2 2 11 3" xfId="27706" xr:uid="{00000000-0005-0000-0000-0000D47D0000}"/>
    <cellStyle name="Output 2 2 2 2 2 2 12" xfId="27704" xr:uid="{00000000-0005-0000-0000-0000D57D0000}"/>
    <cellStyle name="Output 2 2 2 2 2 2 2" xfId="10004" xr:uid="{00000000-0005-0000-0000-0000D67D0000}"/>
    <cellStyle name="Output 2 2 2 2 2 2 2 2" xfId="10005" xr:uid="{00000000-0005-0000-0000-0000D77D0000}"/>
    <cellStyle name="Output 2 2 2 2 2 2 2 2 2" xfId="10006" xr:uid="{00000000-0005-0000-0000-0000D87D0000}"/>
    <cellStyle name="Output 2 2 2 2 2 2 2 2 2 2" xfId="10007" xr:uid="{00000000-0005-0000-0000-0000D97D0000}"/>
    <cellStyle name="Output 2 2 2 2 2 2 2 2 2 2 2" xfId="27711" xr:uid="{00000000-0005-0000-0000-0000DA7D0000}"/>
    <cellStyle name="Output 2 2 2 2 2 2 2 2 2 3" xfId="27710" xr:uid="{00000000-0005-0000-0000-0000DB7D0000}"/>
    <cellStyle name="Output 2 2 2 2 2 2 2 2 3" xfId="10008" xr:uid="{00000000-0005-0000-0000-0000DC7D0000}"/>
    <cellStyle name="Output 2 2 2 2 2 2 2 2 3 2" xfId="27712" xr:uid="{00000000-0005-0000-0000-0000DD7D0000}"/>
    <cellStyle name="Output 2 2 2 2 2 2 2 2 4" xfId="27709" xr:uid="{00000000-0005-0000-0000-0000DE7D0000}"/>
    <cellStyle name="Output 2 2 2 2 2 2 2 3" xfId="10009" xr:uid="{00000000-0005-0000-0000-0000DF7D0000}"/>
    <cellStyle name="Output 2 2 2 2 2 2 2 3 2" xfId="10010" xr:uid="{00000000-0005-0000-0000-0000E07D0000}"/>
    <cellStyle name="Output 2 2 2 2 2 2 2 3 2 2" xfId="27714" xr:uid="{00000000-0005-0000-0000-0000E17D0000}"/>
    <cellStyle name="Output 2 2 2 2 2 2 2 3 3" xfId="27713" xr:uid="{00000000-0005-0000-0000-0000E27D0000}"/>
    <cellStyle name="Output 2 2 2 2 2 2 2 4" xfId="27708" xr:uid="{00000000-0005-0000-0000-0000E37D0000}"/>
    <cellStyle name="Output 2 2 2 2 2 2 3" xfId="10011" xr:uid="{00000000-0005-0000-0000-0000E47D0000}"/>
    <cellStyle name="Output 2 2 2 2 2 2 3 2" xfId="27715" xr:uid="{00000000-0005-0000-0000-0000E57D0000}"/>
    <cellStyle name="Output 2 2 2 2 2 2 4" xfId="10012" xr:uid="{00000000-0005-0000-0000-0000E67D0000}"/>
    <cellStyle name="Output 2 2 2 2 2 2 4 2" xfId="27716" xr:uid="{00000000-0005-0000-0000-0000E77D0000}"/>
    <cellStyle name="Output 2 2 2 2 2 2 5" xfId="10013" xr:uid="{00000000-0005-0000-0000-0000E87D0000}"/>
    <cellStyle name="Output 2 2 2 2 2 2 5 2" xfId="27717" xr:uid="{00000000-0005-0000-0000-0000E97D0000}"/>
    <cellStyle name="Output 2 2 2 2 2 2 6" xfId="10014" xr:uid="{00000000-0005-0000-0000-0000EA7D0000}"/>
    <cellStyle name="Output 2 2 2 2 2 2 6 2" xfId="27718" xr:uid="{00000000-0005-0000-0000-0000EB7D0000}"/>
    <cellStyle name="Output 2 2 2 2 2 2 7" xfId="10015" xr:uid="{00000000-0005-0000-0000-0000EC7D0000}"/>
    <cellStyle name="Output 2 2 2 2 2 2 7 2" xfId="27719" xr:uid="{00000000-0005-0000-0000-0000ED7D0000}"/>
    <cellStyle name="Output 2 2 2 2 2 2 8" xfId="10016" xr:uid="{00000000-0005-0000-0000-0000EE7D0000}"/>
    <cellStyle name="Output 2 2 2 2 2 2 8 2" xfId="27720" xr:uid="{00000000-0005-0000-0000-0000EF7D0000}"/>
    <cellStyle name="Output 2 2 2 2 2 2 9" xfId="10017" xr:uid="{00000000-0005-0000-0000-0000F07D0000}"/>
    <cellStyle name="Output 2 2 2 2 2 2 9 2" xfId="27721" xr:uid="{00000000-0005-0000-0000-0000F17D0000}"/>
    <cellStyle name="Output 2 2 2 2 2 3" xfId="10018" xr:uid="{00000000-0005-0000-0000-0000F27D0000}"/>
    <cellStyle name="Output 2 2 2 2 2 3 2" xfId="10019" xr:uid="{00000000-0005-0000-0000-0000F37D0000}"/>
    <cellStyle name="Output 2 2 2 2 2 3 2 2" xfId="27723" xr:uid="{00000000-0005-0000-0000-0000F47D0000}"/>
    <cellStyle name="Output 2 2 2 2 2 3 3" xfId="27722" xr:uid="{00000000-0005-0000-0000-0000F57D0000}"/>
    <cellStyle name="Output 2 2 2 2 2 4" xfId="10020" xr:uid="{00000000-0005-0000-0000-0000F67D0000}"/>
    <cellStyle name="Output 2 2 2 2 2 4 2" xfId="27724" xr:uid="{00000000-0005-0000-0000-0000F77D0000}"/>
    <cellStyle name="Output 2 2 2 2 2 5" xfId="10021" xr:uid="{00000000-0005-0000-0000-0000F87D0000}"/>
    <cellStyle name="Output 2 2 2 2 2 5 2" xfId="27725" xr:uid="{00000000-0005-0000-0000-0000F97D0000}"/>
    <cellStyle name="Output 2 2 2 2 2 6" xfId="10022" xr:uid="{00000000-0005-0000-0000-0000FA7D0000}"/>
    <cellStyle name="Output 2 2 2 2 2 6 2" xfId="27726" xr:uid="{00000000-0005-0000-0000-0000FB7D0000}"/>
    <cellStyle name="Output 2 2 2 2 2 7" xfId="10023" xr:uid="{00000000-0005-0000-0000-0000FC7D0000}"/>
    <cellStyle name="Output 2 2 2 2 2 7 2" xfId="27727" xr:uid="{00000000-0005-0000-0000-0000FD7D0000}"/>
    <cellStyle name="Output 2 2 2 2 2 8" xfId="10024" xr:uid="{00000000-0005-0000-0000-0000FE7D0000}"/>
    <cellStyle name="Output 2 2 2 2 2 8 2" xfId="27728" xr:uid="{00000000-0005-0000-0000-0000FF7D0000}"/>
    <cellStyle name="Output 2 2 2 2 2 9" xfId="10025" xr:uid="{00000000-0005-0000-0000-0000007E0000}"/>
    <cellStyle name="Output 2 2 2 2 2 9 2" xfId="27729" xr:uid="{00000000-0005-0000-0000-0000017E0000}"/>
    <cellStyle name="Output 2 2 2 2 20" xfId="10026" xr:uid="{00000000-0005-0000-0000-0000027E0000}"/>
    <cellStyle name="Output 2 2 2 2 20 2" xfId="10027" xr:uid="{00000000-0005-0000-0000-0000037E0000}"/>
    <cellStyle name="Output 2 2 2 2 20 2 2" xfId="27731" xr:uid="{00000000-0005-0000-0000-0000047E0000}"/>
    <cellStyle name="Output 2 2 2 2 20 3" xfId="27730" xr:uid="{00000000-0005-0000-0000-0000057E0000}"/>
    <cellStyle name="Output 2 2 2 2 21" xfId="10028" xr:uid="{00000000-0005-0000-0000-0000067E0000}"/>
    <cellStyle name="Output 2 2 2 2 21 2" xfId="27732" xr:uid="{00000000-0005-0000-0000-0000077E0000}"/>
    <cellStyle name="Output 2 2 2 2 22" xfId="10029" xr:uid="{00000000-0005-0000-0000-0000087E0000}"/>
    <cellStyle name="Output 2 2 2 2 22 2" xfId="27733" xr:uid="{00000000-0005-0000-0000-0000097E0000}"/>
    <cellStyle name="Output 2 2 2 2 23" xfId="10030" xr:uid="{00000000-0005-0000-0000-00000A7E0000}"/>
    <cellStyle name="Output 2 2 2 2 23 2" xfId="27734" xr:uid="{00000000-0005-0000-0000-00000B7E0000}"/>
    <cellStyle name="Output 2 2 2 2 24" xfId="10031" xr:uid="{00000000-0005-0000-0000-00000C7E0000}"/>
    <cellStyle name="Output 2 2 2 2 24 2" xfId="27735" xr:uid="{00000000-0005-0000-0000-00000D7E0000}"/>
    <cellStyle name="Output 2 2 2 2 25" xfId="10032" xr:uid="{00000000-0005-0000-0000-00000E7E0000}"/>
    <cellStyle name="Output 2 2 2 2 25 2" xfId="27736" xr:uid="{00000000-0005-0000-0000-00000F7E0000}"/>
    <cellStyle name="Output 2 2 2 2 26" xfId="10033" xr:uid="{00000000-0005-0000-0000-0000107E0000}"/>
    <cellStyle name="Output 2 2 2 2 26 2" xfId="27737" xr:uid="{00000000-0005-0000-0000-0000117E0000}"/>
    <cellStyle name="Output 2 2 2 2 27" xfId="10034" xr:uid="{00000000-0005-0000-0000-0000127E0000}"/>
    <cellStyle name="Output 2 2 2 2 27 2" xfId="27738" xr:uid="{00000000-0005-0000-0000-0000137E0000}"/>
    <cellStyle name="Output 2 2 2 2 28" xfId="10035" xr:uid="{00000000-0005-0000-0000-0000147E0000}"/>
    <cellStyle name="Output 2 2 2 2 28 2" xfId="10036" xr:uid="{00000000-0005-0000-0000-0000157E0000}"/>
    <cellStyle name="Output 2 2 2 2 28 2 2" xfId="27740" xr:uid="{00000000-0005-0000-0000-0000167E0000}"/>
    <cellStyle name="Output 2 2 2 2 28 3" xfId="27739" xr:uid="{00000000-0005-0000-0000-0000177E0000}"/>
    <cellStyle name="Output 2 2 2 2 29" xfId="27689" xr:uid="{00000000-0005-0000-0000-0000187E0000}"/>
    <cellStyle name="Output 2 2 2 2 3" xfId="10037" xr:uid="{00000000-0005-0000-0000-0000197E0000}"/>
    <cellStyle name="Output 2 2 2 2 3 2" xfId="27741" xr:uid="{00000000-0005-0000-0000-00001A7E0000}"/>
    <cellStyle name="Output 2 2 2 2 4" xfId="10038" xr:uid="{00000000-0005-0000-0000-00001B7E0000}"/>
    <cellStyle name="Output 2 2 2 2 4 2" xfId="27742" xr:uid="{00000000-0005-0000-0000-00001C7E0000}"/>
    <cellStyle name="Output 2 2 2 2 5" xfId="10039" xr:uid="{00000000-0005-0000-0000-00001D7E0000}"/>
    <cellStyle name="Output 2 2 2 2 5 2" xfId="27743" xr:uid="{00000000-0005-0000-0000-00001E7E0000}"/>
    <cellStyle name="Output 2 2 2 2 6" xfId="10040" xr:uid="{00000000-0005-0000-0000-00001F7E0000}"/>
    <cellStyle name="Output 2 2 2 2 6 2" xfId="27744" xr:uid="{00000000-0005-0000-0000-0000207E0000}"/>
    <cellStyle name="Output 2 2 2 2 7" xfId="10041" xr:uid="{00000000-0005-0000-0000-0000217E0000}"/>
    <cellStyle name="Output 2 2 2 2 7 2" xfId="27745" xr:uid="{00000000-0005-0000-0000-0000227E0000}"/>
    <cellStyle name="Output 2 2 2 2 8" xfId="10042" xr:uid="{00000000-0005-0000-0000-0000237E0000}"/>
    <cellStyle name="Output 2 2 2 2 8 2" xfId="27746" xr:uid="{00000000-0005-0000-0000-0000247E0000}"/>
    <cellStyle name="Output 2 2 2 2 9" xfId="10043" xr:uid="{00000000-0005-0000-0000-0000257E0000}"/>
    <cellStyle name="Output 2 2 2 2 9 2" xfId="27747" xr:uid="{00000000-0005-0000-0000-0000267E0000}"/>
    <cellStyle name="Output 2 2 2 20" xfId="10044" xr:uid="{00000000-0005-0000-0000-0000277E0000}"/>
    <cellStyle name="Output 2 2 2 20 2" xfId="10045" xr:uid="{00000000-0005-0000-0000-0000287E0000}"/>
    <cellStyle name="Output 2 2 2 20 2 2" xfId="27749" xr:uid="{00000000-0005-0000-0000-0000297E0000}"/>
    <cellStyle name="Output 2 2 2 20 3" xfId="27748" xr:uid="{00000000-0005-0000-0000-00002A7E0000}"/>
    <cellStyle name="Output 2 2 2 21" xfId="10046" xr:uid="{00000000-0005-0000-0000-00002B7E0000}"/>
    <cellStyle name="Output 2 2 2 21 2" xfId="27750" xr:uid="{00000000-0005-0000-0000-00002C7E0000}"/>
    <cellStyle name="Output 2 2 2 22" xfId="10047" xr:uid="{00000000-0005-0000-0000-00002D7E0000}"/>
    <cellStyle name="Output 2 2 2 22 2" xfId="27751" xr:uid="{00000000-0005-0000-0000-00002E7E0000}"/>
    <cellStyle name="Output 2 2 2 23" xfId="10048" xr:uid="{00000000-0005-0000-0000-00002F7E0000}"/>
    <cellStyle name="Output 2 2 2 23 2" xfId="27752" xr:uid="{00000000-0005-0000-0000-0000307E0000}"/>
    <cellStyle name="Output 2 2 2 24" xfId="10049" xr:uid="{00000000-0005-0000-0000-0000317E0000}"/>
    <cellStyle name="Output 2 2 2 24 2" xfId="27753" xr:uid="{00000000-0005-0000-0000-0000327E0000}"/>
    <cellStyle name="Output 2 2 2 25" xfId="10050" xr:uid="{00000000-0005-0000-0000-0000337E0000}"/>
    <cellStyle name="Output 2 2 2 25 2" xfId="27754" xr:uid="{00000000-0005-0000-0000-0000347E0000}"/>
    <cellStyle name="Output 2 2 2 26" xfId="10051" xr:uid="{00000000-0005-0000-0000-0000357E0000}"/>
    <cellStyle name="Output 2 2 2 26 2" xfId="27755" xr:uid="{00000000-0005-0000-0000-0000367E0000}"/>
    <cellStyle name="Output 2 2 2 27" xfId="10052" xr:uid="{00000000-0005-0000-0000-0000377E0000}"/>
    <cellStyle name="Output 2 2 2 27 2" xfId="27756" xr:uid="{00000000-0005-0000-0000-0000387E0000}"/>
    <cellStyle name="Output 2 2 2 28" xfId="10053" xr:uid="{00000000-0005-0000-0000-0000397E0000}"/>
    <cellStyle name="Output 2 2 2 28 2" xfId="10054" xr:uid="{00000000-0005-0000-0000-00003A7E0000}"/>
    <cellStyle name="Output 2 2 2 28 2 2" xfId="27758" xr:uid="{00000000-0005-0000-0000-00003B7E0000}"/>
    <cellStyle name="Output 2 2 2 28 3" xfId="27757" xr:uid="{00000000-0005-0000-0000-00003C7E0000}"/>
    <cellStyle name="Output 2 2 2 29" xfId="27678" xr:uid="{00000000-0005-0000-0000-00003D7E0000}"/>
    <cellStyle name="Output 2 2 2 3" xfId="10055" xr:uid="{00000000-0005-0000-0000-00003E7E0000}"/>
    <cellStyle name="Output 2 2 2 3 2" xfId="10056" xr:uid="{00000000-0005-0000-0000-00003F7E0000}"/>
    <cellStyle name="Output 2 2 2 3 2 2" xfId="27760" xr:uid="{00000000-0005-0000-0000-0000407E0000}"/>
    <cellStyle name="Output 2 2 2 3 3" xfId="27759" xr:uid="{00000000-0005-0000-0000-0000417E0000}"/>
    <cellStyle name="Output 2 2 2 30" xfId="32858" xr:uid="{00000000-0005-0000-0000-0000427E0000}"/>
    <cellStyle name="Output 2 2 2 4" xfId="10057" xr:uid="{00000000-0005-0000-0000-0000437E0000}"/>
    <cellStyle name="Output 2 2 2 4 2" xfId="27761" xr:uid="{00000000-0005-0000-0000-0000447E0000}"/>
    <cellStyle name="Output 2 2 2 5" xfId="10058" xr:uid="{00000000-0005-0000-0000-0000457E0000}"/>
    <cellStyle name="Output 2 2 2 5 2" xfId="27762" xr:uid="{00000000-0005-0000-0000-0000467E0000}"/>
    <cellStyle name="Output 2 2 2 6" xfId="10059" xr:uid="{00000000-0005-0000-0000-0000477E0000}"/>
    <cellStyle name="Output 2 2 2 6 2" xfId="27763" xr:uid="{00000000-0005-0000-0000-0000487E0000}"/>
    <cellStyle name="Output 2 2 2 7" xfId="10060" xr:uid="{00000000-0005-0000-0000-0000497E0000}"/>
    <cellStyle name="Output 2 2 2 7 2" xfId="27764" xr:uid="{00000000-0005-0000-0000-00004A7E0000}"/>
    <cellStyle name="Output 2 2 2 8" xfId="10061" xr:uid="{00000000-0005-0000-0000-00004B7E0000}"/>
    <cellStyle name="Output 2 2 2 8 2" xfId="27765" xr:uid="{00000000-0005-0000-0000-00004C7E0000}"/>
    <cellStyle name="Output 2 2 2 9" xfId="10062" xr:uid="{00000000-0005-0000-0000-00004D7E0000}"/>
    <cellStyle name="Output 2 2 2 9 2" xfId="27766" xr:uid="{00000000-0005-0000-0000-00004E7E0000}"/>
    <cellStyle name="Output 2 2 20" xfId="10063" xr:uid="{00000000-0005-0000-0000-00004F7E0000}"/>
    <cellStyle name="Output 2 2 20 2" xfId="27767" xr:uid="{00000000-0005-0000-0000-0000507E0000}"/>
    <cellStyle name="Output 2 2 21" xfId="10064" xr:uid="{00000000-0005-0000-0000-0000517E0000}"/>
    <cellStyle name="Output 2 2 21 2" xfId="27768" xr:uid="{00000000-0005-0000-0000-0000527E0000}"/>
    <cellStyle name="Output 2 2 22" xfId="10065" xr:uid="{00000000-0005-0000-0000-0000537E0000}"/>
    <cellStyle name="Output 2 2 22 2" xfId="27769" xr:uid="{00000000-0005-0000-0000-0000547E0000}"/>
    <cellStyle name="Output 2 2 23" xfId="10066" xr:uid="{00000000-0005-0000-0000-0000557E0000}"/>
    <cellStyle name="Output 2 2 23 2" xfId="27770" xr:uid="{00000000-0005-0000-0000-0000567E0000}"/>
    <cellStyle name="Output 2 2 24" xfId="10067" xr:uid="{00000000-0005-0000-0000-0000577E0000}"/>
    <cellStyle name="Output 2 2 24 2" xfId="27771" xr:uid="{00000000-0005-0000-0000-0000587E0000}"/>
    <cellStyle name="Output 2 2 25" xfId="10068" xr:uid="{00000000-0005-0000-0000-0000597E0000}"/>
    <cellStyle name="Output 2 2 25 2" xfId="27772" xr:uid="{00000000-0005-0000-0000-00005A7E0000}"/>
    <cellStyle name="Output 2 2 26" xfId="10069" xr:uid="{00000000-0005-0000-0000-00005B7E0000}"/>
    <cellStyle name="Output 2 2 26 2" xfId="27773" xr:uid="{00000000-0005-0000-0000-00005C7E0000}"/>
    <cellStyle name="Output 2 2 27" xfId="10070" xr:uid="{00000000-0005-0000-0000-00005D7E0000}"/>
    <cellStyle name="Output 2 2 27 2" xfId="27774" xr:uid="{00000000-0005-0000-0000-00005E7E0000}"/>
    <cellStyle name="Output 2 2 28" xfId="10071" xr:uid="{00000000-0005-0000-0000-00005F7E0000}"/>
    <cellStyle name="Output 2 2 28 2" xfId="27775" xr:uid="{00000000-0005-0000-0000-0000607E0000}"/>
    <cellStyle name="Output 2 2 29" xfId="10072" xr:uid="{00000000-0005-0000-0000-0000617E0000}"/>
    <cellStyle name="Output 2 2 29 2" xfId="27776" xr:uid="{00000000-0005-0000-0000-0000627E0000}"/>
    <cellStyle name="Output 2 2 3" xfId="10073" xr:uid="{00000000-0005-0000-0000-0000637E0000}"/>
    <cellStyle name="Output 2 2 3 2" xfId="27777" xr:uid="{00000000-0005-0000-0000-0000647E0000}"/>
    <cellStyle name="Output 2 2 30" xfId="10074" xr:uid="{00000000-0005-0000-0000-0000657E0000}"/>
    <cellStyle name="Output 2 2 30 2" xfId="27778" xr:uid="{00000000-0005-0000-0000-0000667E0000}"/>
    <cellStyle name="Output 2 2 31" xfId="10075" xr:uid="{00000000-0005-0000-0000-0000677E0000}"/>
    <cellStyle name="Output 2 2 31 2" xfId="10076" xr:uid="{00000000-0005-0000-0000-0000687E0000}"/>
    <cellStyle name="Output 2 2 31 2 2" xfId="27780" xr:uid="{00000000-0005-0000-0000-0000697E0000}"/>
    <cellStyle name="Output 2 2 31 3" xfId="27779" xr:uid="{00000000-0005-0000-0000-00006A7E0000}"/>
    <cellStyle name="Output 2 2 32" xfId="10077" xr:uid="{00000000-0005-0000-0000-00006B7E0000}"/>
    <cellStyle name="Output 2 2 32 2" xfId="27781" xr:uid="{00000000-0005-0000-0000-00006C7E0000}"/>
    <cellStyle name="Output 2 2 33" xfId="10078" xr:uid="{00000000-0005-0000-0000-00006D7E0000}"/>
    <cellStyle name="Output 2 2 33 2" xfId="27782" xr:uid="{00000000-0005-0000-0000-00006E7E0000}"/>
    <cellStyle name="Output 2 2 34" xfId="10079" xr:uid="{00000000-0005-0000-0000-00006F7E0000}"/>
    <cellStyle name="Output 2 2 34 2" xfId="27783" xr:uid="{00000000-0005-0000-0000-0000707E0000}"/>
    <cellStyle name="Output 2 2 35" xfId="10080" xr:uid="{00000000-0005-0000-0000-0000717E0000}"/>
    <cellStyle name="Output 2 2 35 2" xfId="27784" xr:uid="{00000000-0005-0000-0000-0000727E0000}"/>
    <cellStyle name="Output 2 2 36" xfId="10081" xr:uid="{00000000-0005-0000-0000-0000737E0000}"/>
    <cellStyle name="Output 2 2 36 2" xfId="27785" xr:uid="{00000000-0005-0000-0000-0000747E0000}"/>
    <cellStyle name="Output 2 2 37" xfId="10082" xr:uid="{00000000-0005-0000-0000-0000757E0000}"/>
    <cellStyle name="Output 2 2 37 2" xfId="27786" xr:uid="{00000000-0005-0000-0000-0000767E0000}"/>
    <cellStyle name="Output 2 2 38" xfId="10083" xr:uid="{00000000-0005-0000-0000-0000777E0000}"/>
    <cellStyle name="Output 2 2 38 2" xfId="27787" xr:uid="{00000000-0005-0000-0000-0000787E0000}"/>
    <cellStyle name="Output 2 2 39" xfId="10084" xr:uid="{00000000-0005-0000-0000-0000797E0000}"/>
    <cellStyle name="Output 2 2 39 2" xfId="10085" xr:uid="{00000000-0005-0000-0000-00007A7E0000}"/>
    <cellStyle name="Output 2 2 39 2 2" xfId="27789" xr:uid="{00000000-0005-0000-0000-00007B7E0000}"/>
    <cellStyle name="Output 2 2 39 3" xfId="27788" xr:uid="{00000000-0005-0000-0000-00007C7E0000}"/>
    <cellStyle name="Output 2 2 4" xfId="10086" xr:uid="{00000000-0005-0000-0000-00007D7E0000}"/>
    <cellStyle name="Output 2 2 4 2" xfId="27790" xr:uid="{00000000-0005-0000-0000-00007E7E0000}"/>
    <cellStyle name="Output 2 2 40" xfId="27666" xr:uid="{00000000-0005-0000-0000-00007F7E0000}"/>
    <cellStyle name="Output 2 2 41" xfId="32859" xr:uid="{00000000-0005-0000-0000-0000807E0000}"/>
    <cellStyle name="Output 2 2 42" xfId="32860" xr:uid="{00000000-0005-0000-0000-0000817E0000}"/>
    <cellStyle name="Output 2 2 43" xfId="32861" xr:uid="{00000000-0005-0000-0000-0000827E0000}"/>
    <cellStyle name="Output 2 2 44" xfId="32862" xr:uid="{00000000-0005-0000-0000-0000837E0000}"/>
    <cellStyle name="Output 2 2 5" xfId="10087" xr:uid="{00000000-0005-0000-0000-0000847E0000}"/>
    <cellStyle name="Output 2 2 5 2" xfId="27791" xr:uid="{00000000-0005-0000-0000-0000857E0000}"/>
    <cellStyle name="Output 2 2 6" xfId="10088" xr:uid="{00000000-0005-0000-0000-0000867E0000}"/>
    <cellStyle name="Output 2 2 6 2" xfId="27792" xr:uid="{00000000-0005-0000-0000-0000877E0000}"/>
    <cellStyle name="Output 2 2 7" xfId="10089" xr:uid="{00000000-0005-0000-0000-0000887E0000}"/>
    <cellStyle name="Output 2 2 7 2" xfId="27793" xr:uid="{00000000-0005-0000-0000-0000897E0000}"/>
    <cellStyle name="Output 2 2 8" xfId="10090" xr:uid="{00000000-0005-0000-0000-00008A7E0000}"/>
    <cellStyle name="Output 2 2 8 2" xfId="27794" xr:uid="{00000000-0005-0000-0000-00008B7E0000}"/>
    <cellStyle name="Output 2 2 9" xfId="10091" xr:uid="{00000000-0005-0000-0000-00008C7E0000}"/>
    <cellStyle name="Output 2 2 9 2" xfId="27795" xr:uid="{00000000-0005-0000-0000-00008D7E0000}"/>
    <cellStyle name="Output 2 2_Loan Classification" xfId="11484" xr:uid="{00000000-0005-0000-0000-00008E7E0000}"/>
    <cellStyle name="Output 2 20" xfId="10092" xr:uid="{00000000-0005-0000-0000-00008F7E0000}"/>
    <cellStyle name="Output 2 20 2" xfId="27796" xr:uid="{00000000-0005-0000-0000-0000907E0000}"/>
    <cellStyle name="Output 2 21" xfId="10093" xr:uid="{00000000-0005-0000-0000-0000917E0000}"/>
    <cellStyle name="Output 2 21 2" xfId="27797" xr:uid="{00000000-0005-0000-0000-0000927E0000}"/>
    <cellStyle name="Output 2 22" xfId="10094" xr:uid="{00000000-0005-0000-0000-0000937E0000}"/>
    <cellStyle name="Output 2 22 2" xfId="27798" xr:uid="{00000000-0005-0000-0000-0000947E0000}"/>
    <cellStyle name="Output 2 23" xfId="10095" xr:uid="{00000000-0005-0000-0000-0000957E0000}"/>
    <cellStyle name="Output 2 23 2" xfId="27799" xr:uid="{00000000-0005-0000-0000-0000967E0000}"/>
    <cellStyle name="Output 2 24" xfId="10096" xr:uid="{00000000-0005-0000-0000-0000977E0000}"/>
    <cellStyle name="Output 2 24 2" xfId="27800" xr:uid="{00000000-0005-0000-0000-0000987E0000}"/>
    <cellStyle name="Output 2 25" xfId="10097" xr:uid="{00000000-0005-0000-0000-0000997E0000}"/>
    <cellStyle name="Output 2 25 2" xfId="27801" xr:uid="{00000000-0005-0000-0000-00009A7E0000}"/>
    <cellStyle name="Output 2 26" xfId="10098" xr:uid="{00000000-0005-0000-0000-00009B7E0000}"/>
    <cellStyle name="Output 2 26 2" xfId="27802" xr:uid="{00000000-0005-0000-0000-00009C7E0000}"/>
    <cellStyle name="Output 2 27" xfId="10099" xr:uid="{00000000-0005-0000-0000-00009D7E0000}"/>
    <cellStyle name="Output 2 27 2" xfId="27803" xr:uid="{00000000-0005-0000-0000-00009E7E0000}"/>
    <cellStyle name="Output 2 28" xfId="10100" xr:uid="{00000000-0005-0000-0000-00009F7E0000}"/>
    <cellStyle name="Output 2 28 2" xfId="27804" xr:uid="{00000000-0005-0000-0000-0000A07E0000}"/>
    <cellStyle name="Output 2 29" xfId="10101" xr:uid="{00000000-0005-0000-0000-0000A17E0000}"/>
    <cellStyle name="Output 2 29 2" xfId="27805" xr:uid="{00000000-0005-0000-0000-0000A27E0000}"/>
    <cellStyle name="Output 2 3" xfId="10102" xr:uid="{00000000-0005-0000-0000-0000A37E0000}"/>
    <cellStyle name="Output 2 3 2" xfId="10103" xr:uid="{00000000-0005-0000-0000-0000A47E0000}"/>
    <cellStyle name="Output 2 3 2 2" xfId="27807" xr:uid="{00000000-0005-0000-0000-0000A57E0000}"/>
    <cellStyle name="Output 2 3 2 3" xfId="32863" xr:uid="{00000000-0005-0000-0000-0000A67E0000}"/>
    <cellStyle name="Output 2 3 3" xfId="27806" xr:uid="{00000000-0005-0000-0000-0000A77E0000}"/>
    <cellStyle name="Output 2 3 4" xfId="32864" xr:uid="{00000000-0005-0000-0000-0000A87E0000}"/>
    <cellStyle name="Output 2 3 5" xfId="32865" xr:uid="{00000000-0005-0000-0000-0000A97E0000}"/>
    <cellStyle name="Output 2 3_Loan Classification" xfId="11485" xr:uid="{00000000-0005-0000-0000-0000AA7E0000}"/>
    <cellStyle name="Output 2 30" xfId="10104" xr:uid="{00000000-0005-0000-0000-0000AB7E0000}"/>
    <cellStyle name="Output 2 30 2" xfId="27808" xr:uid="{00000000-0005-0000-0000-0000AC7E0000}"/>
    <cellStyle name="Output 2 31" xfId="10105" xr:uid="{00000000-0005-0000-0000-0000AD7E0000}"/>
    <cellStyle name="Output 2 31 2" xfId="10106" xr:uid="{00000000-0005-0000-0000-0000AE7E0000}"/>
    <cellStyle name="Output 2 31 2 2" xfId="27810" xr:uid="{00000000-0005-0000-0000-0000AF7E0000}"/>
    <cellStyle name="Output 2 31 3" xfId="27809" xr:uid="{00000000-0005-0000-0000-0000B07E0000}"/>
    <cellStyle name="Output 2 32" xfId="10107" xr:uid="{00000000-0005-0000-0000-0000B17E0000}"/>
    <cellStyle name="Output 2 32 2" xfId="27811" xr:uid="{00000000-0005-0000-0000-0000B27E0000}"/>
    <cellStyle name="Output 2 33" xfId="10108" xr:uid="{00000000-0005-0000-0000-0000B37E0000}"/>
    <cellStyle name="Output 2 33 2" xfId="27812" xr:uid="{00000000-0005-0000-0000-0000B47E0000}"/>
    <cellStyle name="Output 2 34" xfId="10109" xr:uid="{00000000-0005-0000-0000-0000B57E0000}"/>
    <cellStyle name="Output 2 34 2" xfId="27813" xr:uid="{00000000-0005-0000-0000-0000B67E0000}"/>
    <cellStyle name="Output 2 35" xfId="10110" xr:uid="{00000000-0005-0000-0000-0000B77E0000}"/>
    <cellStyle name="Output 2 35 2" xfId="27814" xr:uid="{00000000-0005-0000-0000-0000B87E0000}"/>
    <cellStyle name="Output 2 36" xfId="10111" xr:uid="{00000000-0005-0000-0000-0000B97E0000}"/>
    <cellStyle name="Output 2 36 2" xfId="27815" xr:uid="{00000000-0005-0000-0000-0000BA7E0000}"/>
    <cellStyle name="Output 2 37" xfId="10112" xr:uid="{00000000-0005-0000-0000-0000BB7E0000}"/>
    <cellStyle name="Output 2 37 2" xfId="27816" xr:uid="{00000000-0005-0000-0000-0000BC7E0000}"/>
    <cellStyle name="Output 2 38" xfId="10113" xr:uid="{00000000-0005-0000-0000-0000BD7E0000}"/>
    <cellStyle name="Output 2 38 2" xfId="27817" xr:uid="{00000000-0005-0000-0000-0000BE7E0000}"/>
    <cellStyle name="Output 2 39" xfId="10114" xr:uid="{00000000-0005-0000-0000-0000BF7E0000}"/>
    <cellStyle name="Output 2 39 2" xfId="10115" xr:uid="{00000000-0005-0000-0000-0000C07E0000}"/>
    <cellStyle name="Output 2 39 2 2" xfId="27819" xr:uid="{00000000-0005-0000-0000-0000C17E0000}"/>
    <cellStyle name="Output 2 39 3" xfId="27818" xr:uid="{00000000-0005-0000-0000-0000C27E0000}"/>
    <cellStyle name="Output 2 4" xfId="10116" xr:uid="{00000000-0005-0000-0000-0000C37E0000}"/>
    <cellStyle name="Output 2 4 2" xfId="27820" xr:uid="{00000000-0005-0000-0000-0000C47E0000}"/>
    <cellStyle name="Output 2 4 2 2" xfId="32866" xr:uid="{00000000-0005-0000-0000-0000C57E0000}"/>
    <cellStyle name="Output 2 4 3" xfId="32867" xr:uid="{00000000-0005-0000-0000-0000C67E0000}"/>
    <cellStyle name="Output 2 4 4" xfId="32868" xr:uid="{00000000-0005-0000-0000-0000C77E0000}"/>
    <cellStyle name="Output 2 4 5" xfId="32869" xr:uid="{00000000-0005-0000-0000-0000C87E0000}"/>
    <cellStyle name="Output 2 40" xfId="27654" xr:uid="{00000000-0005-0000-0000-0000C97E0000}"/>
    <cellStyle name="Output 2 41" xfId="32870" xr:uid="{00000000-0005-0000-0000-0000CA7E0000}"/>
    <cellStyle name="Output 2 42" xfId="32871" xr:uid="{00000000-0005-0000-0000-0000CB7E0000}"/>
    <cellStyle name="Output 2 43" xfId="32872" xr:uid="{00000000-0005-0000-0000-0000CC7E0000}"/>
    <cellStyle name="Output 2 44" xfId="32873" xr:uid="{00000000-0005-0000-0000-0000CD7E0000}"/>
    <cellStyle name="Output 2 45" xfId="33189" xr:uid="{00000000-0005-0000-0000-0000CE7E0000}"/>
    <cellStyle name="Output 2 46" xfId="33158" xr:uid="{00000000-0005-0000-0000-0000CF7E0000}"/>
    <cellStyle name="Output 2 47" xfId="9950" xr:uid="{00000000-0005-0000-0000-0000D07E0000}"/>
    <cellStyle name="Output 2 5" xfId="10117" xr:uid="{00000000-0005-0000-0000-0000D17E0000}"/>
    <cellStyle name="Output 2 5 2" xfId="27821" xr:uid="{00000000-0005-0000-0000-0000D27E0000}"/>
    <cellStyle name="Output 2 5 3" xfId="32874" xr:uid="{00000000-0005-0000-0000-0000D37E0000}"/>
    <cellStyle name="Output 2 5 4" xfId="32875" xr:uid="{00000000-0005-0000-0000-0000D47E0000}"/>
    <cellStyle name="Output 2 6" xfId="10118" xr:uid="{00000000-0005-0000-0000-0000D57E0000}"/>
    <cellStyle name="Output 2 6 2" xfId="27822" xr:uid="{00000000-0005-0000-0000-0000D67E0000}"/>
    <cellStyle name="Output 2 6 3" xfId="32876" xr:uid="{00000000-0005-0000-0000-0000D77E0000}"/>
    <cellStyle name="Output 2 7" xfId="10119" xr:uid="{00000000-0005-0000-0000-0000D87E0000}"/>
    <cellStyle name="Output 2 7 2" xfId="27823" xr:uid="{00000000-0005-0000-0000-0000D97E0000}"/>
    <cellStyle name="Output 2 8" xfId="10120" xr:uid="{00000000-0005-0000-0000-0000DA7E0000}"/>
    <cellStyle name="Output 2 8 2" xfId="27824" xr:uid="{00000000-0005-0000-0000-0000DB7E0000}"/>
    <cellStyle name="Output 2 9" xfId="10121" xr:uid="{00000000-0005-0000-0000-0000DC7E0000}"/>
    <cellStyle name="Output 2 9 2" xfId="27825" xr:uid="{00000000-0005-0000-0000-0000DD7E0000}"/>
    <cellStyle name="Output 2_Loan Classification" xfId="11483" xr:uid="{00000000-0005-0000-0000-0000DE7E0000}"/>
    <cellStyle name="Output 20" xfId="10122" xr:uid="{00000000-0005-0000-0000-0000DF7E0000}"/>
    <cellStyle name="Output 20 2" xfId="27826" xr:uid="{00000000-0005-0000-0000-0000E07E0000}"/>
    <cellStyle name="Output 21" xfId="10123" xr:uid="{00000000-0005-0000-0000-0000E17E0000}"/>
    <cellStyle name="Output 21 2" xfId="27827" xr:uid="{00000000-0005-0000-0000-0000E27E0000}"/>
    <cellStyle name="Output 22" xfId="10124" xr:uid="{00000000-0005-0000-0000-0000E37E0000}"/>
    <cellStyle name="Output 22 2" xfId="27828" xr:uid="{00000000-0005-0000-0000-0000E47E0000}"/>
    <cellStyle name="Output 23" xfId="10125" xr:uid="{00000000-0005-0000-0000-0000E57E0000}"/>
    <cellStyle name="Output 23 2" xfId="27829" xr:uid="{00000000-0005-0000-0000-0000E67E0000}"/>
    <cellStyle name="Output 24" xfId="10126" xr:uid="{00000000-0005-0000-0000-0000E77E0000}"/>
    <cellStyle name="Output 24 2" xfId="27830" xr:uid="{00000000-0005-0000-0000-0000E87E0000}"/>
    <cellStyle name="Output 25" xfId="10127" xr:uid="{00000000-0005-0000-0000-0000E97E0000}"/>
    <cellStyle name="Output 25 2" xfId="27831" xr:uid="{00000000-0005-0000-0000-0000EA7E0000}"/>
    <cellStyle name="Output 26" xfId="10128" xr:uid="{00000000-0005-0000-0000-0000EB7E0000}"/>
    <cellStyle name="Output 26 2" xfId="27832" xr:uid="{00000000-0005-0000-0000-0000EC7E0000}"/>
    <cellStyle name="Output 27" xfId="10129" xr:uid="{00000000-0005-0000-0000-0000ED7E0000}"/>
    <cellStyle name="Output 27 2" xfId="27833" xr:uid="{00000000-0005-0000-0000-0000EE7E0000}"/>
    <cellStyle name="Output 28" xfId="10130" xr:uid="{00000000-0005-0000-0000-0000EF7E0000}"/>
    <cellStyle name="Output 28 2" xfId="27834" xr:uid="{00000000-0005-0000-0000-0000F07E0000}"/>
    <cellStyle name="Output 29" xfId="10131" xr:uid="{00000000-0005-0000-0000-0000F17E0000}"/>
    <cellStyle name="Output 29 2" xfId="27835" xr:uid="{00000000-0005-0000-0000-0000F27E0000}"/>
    <cellStyle name="Output 3" xfId="184" xr:uid="{00000000-0005-0000-0000-0000F37E0000}"/>
    <cellStyle name="Output 3 2" xfId="27836" xr:uid="{00000000-0005-0000-0000-0000F47E0000}"/>
    <cellStyle name="Output 3 2 2" xfId="32877" xr:uid="{00000000-0005-0000-0000-0000F57E0000}"/>
    <cellStyle name="Output 3 3" xfId="32878" xr:uid="{00000000-0005-0000-0000-0000F67E0000}"/>
    <cellStyle name="Output 3 4" xfId="32879" xr:uid="{00000000-0005-0000-0000-0000F77E0000}"/>
    <cellStyle name="Output 3 5" xfId="10132" xr:uid="{00000000-0005-0000-0000-0000F87E0000}"/>
    <cellStyle name="Output 30" xfId="10133" xr:uid="{00000000-0005-0000-0000-0000F97E0000}"/>
    <cellStyle name="Output 30 2" xfId="27837" xr:uid="{00000000-0005-0000-0000-0000FA7E0000}"/>
    <cellStyle name="Output 31" xfId="10134" xr:uid="{00000000-0005-0000-0000-0000FB7E0000}"/>
    <cellStyle name="Output 31 2" xfId="27838" xr:uid="{00000000-0005-0000-0000-0000FC7E0000}"/>
    <cellStyle name="Output 32" xfId="10135" xr:uid="{00000000-0005-0000-0000-0000FD7E0000}"/>
    <cellStyle name="Output 32 2" xfId="27839" xr:uid="{00000000-0005-0000-0000-0000FE7E0000}"/>
    <cellStyle name="Output 33" xfId="10136" xr:uid="{00000000-0005-0000-0000-0000FF7E0000}"/>
    <cellStyle name="Output 33 2" xfId="27840" xr:uid="{00000000-0005-0000-0000-0000007F0000}"/>
    <cellStyle name="Output 34" xfId="10137" xr:uid="{00000000-0005-0000-0000-0000017F0000}"/>
    <cellStyle name="Output 34 2" xfId="27841" xr:uid="{00000000-0005-0000-0000-0000027F0000}"/>
    <cellStyle name="Output 35" xfId="10138" xr:uid="{00000000-0005-0000-0000-0000037F0000}"/>
    <cellStyle name="Output 35 2" xfId="27842" xr:uid="{00000000-0005-0000-0000-0000047F0000}"/>
    <cellStyle name="Output 36" xfId="10139" xr:uid="{00000000-0005-0000-0000-0000057F0000}"/>
    <cellStyle name="Output 36 2" xfId="27843" xr:uid="{00000000-0005-0000-0000-0000067F0000}"/>
    <cellStyle name="Output 37" xfId="10140" xr:uid="{00000000-0005-0000-0000-0000077F0000}"/>
    <cellStyle name="Output 37 2" xfId="27844" xr:uid="{00000000-0005-0000-0000-0000087F0000}"/>
    <cellStyle name="Output 38" xfId="10141" xr:uid="{00000000-0005-0000-0000-0000097F0000}"/>
    <cellStyle name="Output 38 2" xfId="27845" xr:uid="{00000000-0005-0000-0000-00000A7F0000}"/>
    <cellStyle name="Output 39" xfId="10142" xr:uid="{00000000-0005-0000-0000-00000B7F0000}"/>
    <cellStyle name="Output 39 2" xfId="27846" xr:uid="{00000000-0005-0000-0000-00000C7F0000}"/>
    <cellStyle name="Output 4" xfId="10143" xr:uid="{00000000-0005-0000-0000-00000D7F0000}"/>
    <cellStyle name="Output 4 2" xfId="27847" xr:uid="{00000000-0005-0000-0000-00000E7F0000}"/>
    <cellStyle name="Output 4 2 2" xfId="32880" xr:uid="{00000000-0005-0000-0000-00000F7F0000}"/>
    <cellStyle name="Output 4 3" xfId="32881" xr:uid="{00000000-0005-0000-0000-0000107F0000}"/>
    <cellStyle name="Output 4 4" xfId="32882" xr:uid="{00000000-0005-0000-0000-0000117F0000}"/>
    <cellStyle name="Output 40" xfId="10144" xr:uid="{00000000-0005-0000-0000-0000127F0000}"/>
    <cellStyle name="Output 40 2" xfId="27848" xr:uid="{00000000-0005-0000-0000-0000137F0000}"/>
    <cellStyle name="Output 41" xfId="10145" xr:uid="{00000000-0005-0000-0000-0000147F0000}"/>
    <cellStyle name="Output 41 2" xfId="27849" xr:uid="{00000000-0005-0000-0000-0000157F0000}"/>
    <cellStyle name="Output 42" xfId="10146" xr:uid="{00000000-0005-0000-0000-0000167F0000}"/>
    <cellStyle name="Output 42 2" xfId="27850" xr:uid="{00000000-0005-0000-0000-0000177F0000}"/>
    <cellStyle name="Output 43" xfId="11607" xr:uid="{00000000-0005-0000-0000-0000187F0000}"/>
    <cellStyle name="Output 43 2" xfId="27851" xr:uid="{00000000-0005-0000-0000-0000197F0000}"/>
    <cellStyle name="Output 44" xfId="11530" xr:uid="{00000000-0005-0000-0000-00001A7F0000}"/>
    <cellStyle name="Output 44 2" xfId="27852" xr:uid="{00000000-0005-0000-0000-00001B7F0000}"/>
    <cellStyle name="Output 45" xfId="27853" xr:uid="{00000000-0005-0000-0000-00001C7F0000}"/>
    <cellStyle name="Output 46" xfId="32883" xr:uid="{00000000-0005-0000-0000-00001D7F0000}"/>
    <cellStyle name="Output 47" xfId="629" xr:uid="{00000000-0005-0000-0000-00001E7F0000}"/>
    <cellStyle name="Output 5" xfId="10147" xr:uid="{00000000-0005-0000-0000-00001F7F0000}"/>
    <cellStyle name="Output 5 2" xfId="27854" xr:uid="{00000000-0005-0000-0000-0000207F0000}"/>
    <cellStyle name="Output 5 2 2" xfId="32884" xr:uid="{00000000-0005-0000-0000-0000217F0000}"/>
    <cellStyle name="Output 5 3" xfId="32885" xr:uid="{00000000-0005-0000-0000-0000227F0000}"/>
    <cellStyle name="Output 5 4" xfId="32886" xr:uid="{00000000-0005-0000-0000-0000237F0000}"/>
    <cellStyle name="Output 6" xfId="10148" xr:uid="{00000000-0005-0000-0000-0000247F0000}"/>
    <cellStyle name="Output 6 2" xfId="27855" xr:uid="{00000000-0005-0000-0000-0000257F0000}"/>
    <cellStyle name="Output 6 3" xfId="32887" xr:uid="{00000000-0005-0000-0000-0000267F0000}"/>
    <cellStyle name="Output 7" xfId="10149" xr:uid="{00000000-0005-0000-0000-0000277F0000}"/>
    <cellStyle name="Output 7 2" xfId="27856" xr:uid="{00000000-0005-0000-0000-0000287F0000}"/>
    <cellStyle name="Output 7 3" xfId="32888" xr:uid="{00000000-0005-0000-0000-0000297F0000}"/>
    <cellStyle name="Output 8" xfId="10150" xr:uid="{00000000-0005-0000-0000-00002A7F0000}"/>
    <cellStyle name="Output 8 2" xfId="27857" xr:uid="{00000000-0005-0000-0000-00002B7F0000}"/>
    <cellStyle name="Output 8 3" xfId="32889" xr:uid="{00000000-0005-0000-0000-00002C7F0000}"/>
    <cellStyle name="Output 9" xfId="10151" xr:uid="{00000000-0005-0000-0000-00002D7F0000}"/>
    <cellStyle name="Output 9 2" xfId="27858" xr:uid="{00000000-0005-0000-0000-00002E7F0000}"/>
    <cellStyle name="Output 9 3" xfId="32890" xr:uid="{00000000-0005-0000-0000-00002F7F0000}"/>
    <cellStyle name="Percent" xfId="2" builtinId="5"/>
    <cellStyle name="Percent [0]" xfId="631" xr:uid="{00000000-0005-0000-0000-0000317F0000}"/>
    <cellStyle name="Percent [0] 2" xfId="27859" xr:uid="{00000000-0005-0000-0000-0000327F0000}"/>
    <cellStyle name="Percent [00]" xfId="632" xr:uid="{00000000-0005-0000-0000-0000337F0000}"/>
    <cellStyle name="Percent [00] 2" xfId="27860" xr:uid="{00000000-0005-0000-0000-0000347F0000}"/>
    <cellStyle name="Percent [2]" xfId="32891" xr:uid="{00000000-0005-0000-0000-0000357F0000}"/>
    <cellStyle name="Percent 10" xfId="13312" xr:uid="{00000000-0005-0000-0000-0000367F0000}"/>
    <cellStyle name="Percent 10 2" xfId="11486" xr:uid="{00000000-0005-0000-0000-0000377F0000}"/>
    <cellStyle name="Percent 10 2 2" xfId="27862" xr:uid="{00000000-0005-0000-0000-0000387F0000}"/>
    <cellStyle name="Percent 10 3" xfId="11487" xr:uid="{00000000-0005-0000-0000-0000397F0000}"/>
    <cellStyle name="Percent 10 3 2" xfId="27863" xr:uid="{00000000-0005-0000-0000-00003A7F0000}"/>
    <cellStyle name="Percent 10 4" xfId="27861" xr:uid="{00000000-0005-0000-0000-00003B7F0000}"/>
    <cellStyle name="Percent 11" xfId="11488" xr:uid="{00000000-0005-0000-0000-00003C7F0000}"/>
    <cellStyle name="Percent 11 2" xfId="11489" xr:uid="{00000000-0005-0000-0000-00003D7F0000}"/>
    <cellStyle name="Percent 11 2 2" xfId="12871" xr:uid="{00000000-0005-0000-0000-00003E7F0000}"/>
    <cellStyle name="Percent 11 2 2 2" xfId="27866" xr:uid="{00000000-0005-0000-0000-00003F7F0000}"/>
    <cellStyle name="Percent 11 2 3" xfId="13313" xr:uid="{00000000-0005-0000-0000-0000407F0000}"/>
    <cellStyle name="Percent 11 2 3 2" xfId="27867" xr:uid="{00000000-0005-0000-0000-0000417F0000}"/>
    <cellStyle name="Percent 11 2 4" xfId="27865" xr:uid="{00000000-0005-0000-0000-0000427F0000}"/>
    <cellStyle name="Percent 11 2 4 2" xfId="33451" xr:uid="{00000000-0005-0000-0000-0000437F0000}"/>
    <cellStyle name="Percent 11 2 5" xfId="33563" xr:uid="{00000000-0005-0000-0000-0000447F0000}"/>
    <cellStyle name="Percent 11 3" xfId="27864" xr:uid="{00000000-0005-0000-0000-0000457F0000}"/>
    <cellStyle name="Percent 12" xfId="11490" xr:uid="{00000000-0005-0000-0000-0000467F0000}"/>
    <cellStyle name="Percent 12 2" xfId="12872" xr:uid="{00000000-0005-0000-0000-0000477F0000}"/>
    <cellStyle name="Percent 12 2 2" xfId="27869" xr:uid="{00000000-0005-0000-0000-0000487F0000}"/>
    <cellStyle name="Percent 12 3" xfId="27868" xr:uid="{00000000-0005-0000-0000-0000497F0000}"/>
    <cellStyle name="Percent 13" xfId="12873" xr:uid="{00000000-0005-0000-0000-00004A7F0000}"/>
    <cellStyle name="Percent 13 2" xfId="27870" xr:uid="{00000000-0005-0000-0000-00004B7F0000}"/>
    <cellStyle name="Percent 13 2 2" xfId="32892" xr:uid="{00000000-0005-0000-0000-00004C7F0000}"/>
    <cellStyle name="Percent 13 3" xfId="32893" xr:uid="{00000000-0005-0000-0000-00004D7F0000}"/>
    <cellStyle name="Percent 13 4" xfId="32894" xr:uid="{00000000-0005-0000-0000-00004E7F0000}"/>
    <cellStyle name="Percent 14" xfId="49" xr:uid="{00000000-0005-0000-0000-00004F7F0000}"/>
    <cellStyle name="Percent 14 2" xfId="445" xr:uid="{00000000-0005-0000-0000-0000507F0000}"/>
    <cellStyle name="Percent 14 2 2" xfId="27871" xr:uid="{00000000-0005-0000-0000-0000517F0000}"/>
    <cellStyle name="Percent 14 3" xfId="13314" xr:uid="{00000000-0005-0000-0000-0000527F0000}"/>
    <cellStyle name="Percent 15" xfId="13315" xr:uid="{00000000-0005-0000-0000-0000537F0000}"/>
    <cellStyle name="Percent 15 2" xfId="27872" xr:uid="{00000000-0005-0000-0000-0000547F0000}"/>
    <cellStyle name="Percent 16" xfId="14510" xr:uid="{00000000-0005-0000-0000-0000557F0000}"/>
    <cellStyle name="Percent 16 2" xfId="27873" xr:uid="{00000000-0005-0000-0000-0000567F0000}"/>
    <cellStyle name="Percent 16 3" xfId="32895" xr:uid="{00000000-0005-0000-0000-0000577F0000}"/>
    <cellStyle name="Percent 17" xfId="15795" xr:uid="{00000000-0005-0000-0000-0000587F0000}"/>
    <cellStyle name="Percent 17 2" xfId="27874" xr:uid="{00000000-0005-0000-0000-0000597F0000}"/>
    <cellStyle name="Percent 17 3" xfId="32896" xr:uid="{00000000-0005-0000-0000-00005A7F0000}"/>
    <cellStyle name="Percent 17 4" xfId="32897" xr:uid="{00000000-0005-0000-0000-00005B7F0000}"/>
    <cellStyle name="Percent 18" xfId="27875" xr:uid="{00000000-0005-0000-0000-00005C7F0000}"/>
    <cellStyle name="Percent 19" xfId="32898" xr:uid="{00000000-0005-0000-0000-00005D7F0000}"/>
    <cellStyle name="Percent 2" xfId="5" xr:uid="{00000000-0005-0000-0000-00005E7F0000}"/>
    <cellStyle name="Percent 2 10" xfId="10152" xr:uid="{00000000-0005-0000-0000-00005F7F0000}"/>
    <cellStyle name="Percent 2 10 2" xfId="27877" xr:uid="{00000000-0005-0000-0000-0000607F0000}"/>
    <cellStyle name="Percent 2 10 3" xfId="32899" xr:uid="{00000000-0005-0000-0000-0000617F0000}"/>
    <cellStyle name="Percent 2 10 4" xfId="32900" xr:uid="{00000000-0005-0000-0000-0000627F0000}"/>
    <cellStyle name="Percent 2 11" xfId="10153" xr:uid="{00000000-0005-0000-0000-0000637F0000}"/>
    <cellStyle name="Percent 2 11 2" xfId="27878" xr:uid="{00000000-0005-0000-0000-0000647F0000}"/>
    <cellStyle name="Percent 2 11 3" xfId="32901" xr:uid="{00000000-0005-0000-0000-0000657F0000}"/>
    <cellStyle name="Percent 2 11 4" xfId="32902" xr:uid="{00000000-0005-0000-0000-0000667F0000}"/>
    <cellStyle name="Percent 2 12" xfId="10154" xr:uid="{00000000-0005-0000-0000-0000677F0000}"/>
    <cellStyle name="Percent 2 12 2" xfId="27879" xr:uid="{00000000-0005-0000-0000-0000687F0000}"/>
    <cellStyle name="Percent 2 12 3" xfId="32903" xr:uid="{00000000-0005-0000-0000-0000697F0000}"/>
    <cellStyle name="Percent 2 12 4" xfId="32904" xr:uid="{00000000-0005-0000-0000-00006A7F0000}"/>
    <cellStyle name="Percent 2 13" xfId="10155" xr:uid="{00000000-0005-0000-0000-00006B7F0000}"/>
    <cellStyle name="Percent 2 13 2" xfId="27880" xr:uid="{00000000-0005-0000-0000-00006C7F0000}"/>
    <cellStyle name="Percent 2 13 3" xfId="32905" xr:uid="{00000000-0005-0000-0000-00006D7F0000}"/>
    <cellStyle name="Percent 2 13 4" xfId="32906" xr:uid="{00000000-0005-0000-0000-00006E7F0000}"/>
    <cellStyle name="Percent 2 14" xfId="10156" xr:uid="{00000000-0005-0000-0000-00006F7F0000}"/>
    <cellStyle name="Percent 2 14 2" xfId="27881" xr:uid="{00000000-0005-0000-0000-0000707F0000}"/>
    <cellStyle name="Percent 2 14 3" xfId="32907" xr:uid="{00000000-0005-0000-0000-0000717F0000}"/>
    <cellStyle name="Percent 2 14 4" xfId="32908" xr:uid="{00000000-0005-0000-0000-0000727F0000}"/>
    <cellStyle name="Percent 2 15" xfId="10157" xr:uid="{00000000-0005-0000-0000-0000737F0000}"/>
    <cellStyle name="Percent 2 15 2" xfId="27882" xr:uid="{00000000-0005-0000-0000-0000747F0000}"/>
    <cellStyle name="Percent 2 15 3" xfId="32909" xr:uid="{00000000-0005-0000-0000-0000757F0000}"/>
    <cellStyle name="Percent 2 16" xfId="10158" xr:uid="{00000000-0005-0000-0000-0000767F0000}"/>
    <cellStyle name="Percent 2 16 2" xfId="27883" xr:uid="{00000000-0005-0000-0000-0000777F0000}"/>
    <cellStyle name="Percent 2 17" xfId="10159" xr:uid="{00000000-0005-0000-0000-0000787F0000}"/>
    <cellStyle name="Percent 2 17 2" xfId="27884" xr:uid="{00000000-0005-0000-0000-0000797F0000}"/>
    <cellStyle name="Percent 2 18" xfId="10160" xr:uid="{00000000-0005-0000-0000-00007A7F0000}"/>
    <cellStyle name="Percent 2 18 2" xfId="27885" xr:uid="{00000000-0005-0000-0000-00007B7F0000}"/>
    <cellStyle name="Percent 2 19" xfId="10161" xr:uid="{00000000-0005-0000-0000-00007C7F0000}"/>
    <cellStyle name="Percent 2 19 2" xfId="27886" xr:uid="{00000000-0005-0000-0000-00007D7F0000}"/>
    <cellStyle name="Percent 2 2" xfId="455" xr:uid="{00000000-0005-0000-0000-00007E7F0000}"/>
    <cellStyle name="Percent 2 2 10" xfId="13316" xr:uid="{00000000-0005-0000-0000-00007F7F0000}"/>
    <cellStyle name="Percent 2 2 10 2" xfId="27888" xr:uid="{00000000-0005-0000-0000-0000807F0000}"/>
    <cellStyle name="Percent 2 2 11" xfId="13317" xr:uid="{00000000-0005-0000-0000-0000817F0000}"/>
    <cellStyle name="Percent 2 2 11 2" xfId="27889" xr:uid="{00000000-0005-0000-0000-0000827F0000}"/>
    <cellStyle name="Percent 2 2 12" xfId="27887" xr:uid="{00000000-0005-0000-0000-0000837F0000}"/>
    <cellStyle name="Percent 2 2 13" xfId="32910" xr:uid="{00000000-0005-0000-0000-0000847F0000}"/>
    <cellStyle name="Percent 2 2 14" xfId="32911" xr:uid="{00000000-0005-0000-0000-0000857F0000}"/>
    <cellStyle name="Percent 2 2 15" xfId="10162" xr:uid="{00000000-0005-0000-0000-0000867F0000}"/>
    <cellStyle name="Percent 2 2 2" xfId="10163" xr:uid="{00000000-0005-0000-0000-0000877F0000}"/>
    <cellStyle name="Percent 2 2 2 2" xfId="27890" xr:uid="{00000000-0005-0000-0000-0000887F0000}"/>
    <cellStyle name="Percent 2 2 2 3" xfId="32912" xr:uid="{00000000-0005-0000-0000-0000897F0000}"/>
    <cellStyle name="Percent 2 2 2 4" xfId="32913" xr:uid="{00000000-0005-0000-0000-00008A7F0000}"/>
    <cellStyle name="Percent 2 2 3" xfId="12895" xr:uid="{00000000-0005-0000-0000-00008B7F0000}"/>
    <cellStyle name="Percent 2 2 3 2" xfId="13690" xr:uid="{00000000-0005-0000-0000-00008C7F0000}"/>
    <cellStyle name="Percent 2 2 3 2 2" xfId="27892" xr:uid="{00000000-0005-0000-0000-00008D7F0000}"/>
    <cellStyle name="Percent 2 2 3 3" xfId="27891" xr:uid="{00000000-0005-0000-0000-00008E7F0000}"/>
    <cellStyle name="Percent 2 2 4" xfId="12896" xr:uid="{00000000-0005-0000-0000-00008F7F0000}"/>
    <cellStyle name="Percent 2 2 4 2" xfId="13946" xr:uid="{00000000-0005-0000-0000-0000907F0000}"/>
    <cellStyle name="Percent 2 2 4 2 2" xfId="27894" xr:uid="{00000000-0005-0000-0000-0000917F0000}"/>
    <cellStyle name="Percent 2 2 4 3" xfId="27893" xr:uid="{00000000-0005-0000-0000-0000927F0000}"/>
    <cellStyle name="Percent 2 2 4 4" xfId="32914" xr:uid="{00000000-0005-0000-0000-0000937F0000}"/>
    <cellStyle name="Percent 2 2 4 5" xfId="32915" xr:uid="{00000000-0005-0000-0000-0000947F0000}"/>
    <cellStyle name="Percent 2 2 5" xfId="12897" xr:uid="{00000000-0005-0000-0000-0000957F0000}"/>
    <cellStyle name="Percent 2 2 5 2" xfId="27895" xr:uid="{00000000-0005-0000-0000-0000967F0000}"/>
    <cellStyle name="Percent 2 2 6" xfId="13318" xr:uid="{00000000-0005-0000-0000-0000977F0000}"/>
    <cellStyle name="Percent 2 2 6 2" xfId="27896" xr:uid="{00000000-0005-0000-0000-0000987F0000}"/>
    <cellStyle name="Percent 2 2 7" xfId="13319" xr:uid="{00000000-0005-0000-0000-0000997F0000}"/>
    <cellStyle name="Percent 2 2 7 2" xfId="27897" xr:uid="{00000000-0005-0000-0000-00009A7F0000}"/>
    <cellStyle name="Percent 2 2 8" xfId="13320" xr:uid="{00000000-0005-0000-0000-00009B7F0000}"/>
    <cellStyle name="Percent 2 2 8 2" xfId="27898" xr:uid="{00000000-0005-0000-0000-00009C7F0000}"/>
    <cellStyle name="Percent 2 2 9" xfId="13321" xr:uid="{00000000-0005-0000-0000-00009D7F0000}"/>
    <cellStyle name="Percent 2 2 9 2" xfId="27899" xr:uid="{00000000-0005-0000-0000-00009E7F0000}"/>
    <cellStyle name="Percent 2 2_Additional Disclosures" xfId="16974" xr:uid="{00000000-0005-0000-0000-00009F7F0000}"/>
    <cellStyle name="Percent 2 20" xfId="10164" xr:uid="{00000000-0005-0000-0000-0000A07F0000}"/>
    <cellStyle name="Percent 2 20 2" xfId="27900" xr:uid="{00000000-0005-0000-0000-0000A17F0000}"/>
    <cellStyle name="Percent 2 21" xfId="10165" xr:uid="{00000000-0005-0000-0000-0000A27F0000}"/>
    <cellStyle name="Percent 2 21 2" xfId="27901" xr:uid="{00000000-0005-0000-0000-0000A37F0000}"/>
    <cellStyle name="Percent 2 22" xfId="10166" xr:uid="{00000000-0005-0000-0000-0000A47F0000}"/>
    <cellStyle name="Percent 2 22 2" xfId="27902" xr:uid="{00000000-0005-0000-0000-0000A57F0000}"/>
    <cellStyle name="Percent 2 23" xfId="10167" xr:uid="{00000000-0005-0000-0000-0000A67F0000}"/>
    <cellStyle name="Percent 2 23 2" xfId="27903" xr:uid="{00000000-0005-0000-0000-0000A77F0000}"/>
    <cellStyle name="Percent 2 24" xfId="10168" xr:uid="{00000000-0005-0000-0000-0000A87F0000}"/>
    <cellStyle name="Percent 2 24 2" xfId="27904" xr:uid="{00000000-0005-0000-0000-0000A97F0000}"/>
    <cellStyle name="Percent 2 25" xfId="10169" xr:uid="{00000000-0005-0000-0000-0000AA7F0000}"/>
    <cellStyle name="Percent 2 25 2" xfId="27905" xr:uid="{00000000-0005-0000-0000-0000AB7F0000}"/>
    <cellStyle name="Percent 2 26" xfId="10170" xr:uid="{00000000-0005-0000-0000-0000AC7F0000}"/>
    <cellStyle name="Percent 2 26 2" xfId="27906" xr:uid="{00000000-0005-0000-0000-0000AD7F0000}"/>
    <cellStyle name="Percent 2 27" xfId="10171" xr:uid="{00000000-0005-0000-0000-0000AE7F0000}"/>
    <cellStyle name="Percent 2 27 2" xfId="27907" xr:uid="{00000000-0005-0000-0000-0000AF7F0000}"/>
    <cellStyle name="Percent 2 28" xfId="10172" xr:uid="{00000000-0005-0000-0000-0000B07F0000}"/>
    <cellStyle name="Percent 2 28 2" xfId="27908" xr:uid="{00000000-0005-0000-0000-0000B17F0000}"/>
    <cellStyle name="Percent 2 29" xfId="10173" xr:uid="{00000000-0005-0000-0000-0000B27F0000}"/>
    <cellStyle name="Percent 2 29 2" xfId="27909" xr:uid="{00000000-0005-0000-0000-0000B37F0000}"/>
    <cellStyle name="Percent 2 3" xfId="10174" xr:uid="{00000000-0005-0000-0000-0000B47F0000}"/>
    <cellStyle name="Percent 2 3 2" xfId="12874" xr:uid="{00000000-0005-0000-0000-0000B57F0000}"/>
    <cellStyle name="Percent 2 3 2 2" xfId="27911" xr:uid="{00000000-0005-0000-0000-0000B67F0000}"/>
    <cellStyle name="Percent 2 3 3" xfId="27910" xr:uid="{00000000-0005-0000-0000-0000B77F0000}"/>
    <cellStyle name="Percent 2 3 4" xfId="32916" xr:uid="{00000000-0005-0000-0000-0000B87F0000}"/>
    <cellStyle name="Percent 2 30" xfId="10175" xr:uid="{00000000-0005-0000-0000-0000B97F0000}"/>
    <cellStyle name="Percent 2 30 2" xfId="27912" xr:uid="{00000000-0005-0000-0000-0000BA7F0000}"/>
    <cellStyle name="Percent 2 31" xfId="10176" xr:uid="{00000000-0005-0000-0000-0000BB7F0000}"/>
    <cellStyle name="Percent 2 31 2" xfId="27913" xr:uid="{00000000-0005-0000-0000-0000BC7F0000}"/>
    <cellStyle name="Percent 2 32" xfId="10177" xr:uid="{00000000-0005-0000-0000-0000BD7F0000}"/>
    <cellStyle name="Percent 2 32 2" xfId="27914" xr:uid="{00000000-0005-0000-0000-0000BE7F0000}"/>
    <cellStyle name="Percent 2 33" xfId="10178" xr:uid="{00000000-0005-0000-0000-0000BF7F0000}"/>
    <cellStyle name="Percent 2 33 2" xfId="27915" xr:uid="{00000000-0005-0000-0000-0000C07F0000}"/>
    <cellStyle name="Percent 2 34" xfId="10179" xr:uid="{00000000-0005-0000-0000-0000C17F0000}"/>
    <cellStyle name="Percent 2 34 2" xfId="27916" xr:uid="{00000000-0005-0000-0000-0000C27F0000}"/>
    <cellStyle name="Percent 2 35" xfId="10180" xr:uid="{00000000-0005-0000-0000-0000C37F0000}"/>
    <cellStyle name="Percent 2 35 2" xfId="27917" xr:uid="{00000000-0005-0000-0000-0000C47F0000}"/>
    <cellStyle name="Percent 2 36" xfId="10181" xr:uid="{00000000-0005-0000-0000-0000C57F0000}"/>
    <cellStyle name="Percent 2 36 2" xfId="27918" xr:uid="{00000000-0005-0000-0000-0000C67F0000}"/>
    <cellStyle name="Percent 2 37" xfId="10182" xr:uid="{00000000-0005-0000-0000-0000C77F0000}"/>
    <cellStyle name="Percent 2 37 2" xfId="27919" xr:uid="{00000000-0005-0000-0000-0000C87F0000}"/>
    <cellStyle name="Percent 2 38" xfId="10183" xr:uid="{00000000-0005-0000-0000-0000C97F0000}"/>
    <cellStyle name="Percent 2 38 2" xfId="27920" xr:uid="{00000000-0005-0000-0000-0000CA7F0000}"/>
    <cellStyle name="Percent 2 39" xfId="451" xr:uid="{00000000-0005-0000-0000-0000CB7F0000}"/>
    <cellStyle name="Percent 2 39 2" xfId="27921" xr:uid="{00000000-0005-0000-0000-0000CC7F0000}"/>
    <cellStyle name="Percent 2 4" xfId="10184" xr:uid="{00000000-0005-0000-0000-0000CD7F0000}"/>
    <cellStyle name="Percent 2 4 2" xfId="12875" xr:uid="{00000000-0005-0000-0000-0000CE7F0000}"/>
    <cellStyle name="Percent 2 4 2 2" xfId="27923" xr:uid="{00000000-0005-0000-0000-0000CF7F0000}"/>
    <cellStyle name="Percent 2 4 3" xfId="13322" xr:uid="{00000000-0005-0000-0000-0000D07F0000}"/>
    <cellStyle name="Percent 2 4 3 2" xfId="27924" xr:uid="{00000000-0005-0000-0000-0000D17F0000}"/>
    <cellStyle name="Percent 2 4 4" xfId="27922" xr:uid="{00000000-0005-0000-0000-0000D27F0000}"/>
    <cellStyle name="Percent 2 4 4 2" xfId="33447" xr:uid="{00000000-0005-0000-0000-0000D37F0000}"/>
    <cellStyle name="Percent 2 4 5" xfId="32917" xr:uid="{00000000-0005-0000-0000-0000D47F0000}"/>
    <cellStyle name="Percent 2 4 5 2" xfId="33570" xr:uid="{00000000-0005-0000-0000-0000D57F0000}"/>
    <cellStyle name="Percent 2 40" xfId="10185" xr:uid="{00000000-0005-0000-0000-0000D67F0000}"/>
    <cellStyle name="Percent 2 40 2" xfId="27925" xr:uid="{00000000-0005-0000-0000-0000D77F0000}"/>
    <cellStyle name="Percent 2 41" xfId="10853" xr:uid="{00000000-0005-0000-0000-0000D87F0000}"/>
    <cellStyle name="Percent 2 41 2" xfId="12272" xr:uid="{00000000-0005-0000-0000-0000D97F0000}"/>
    <cellStyle name="Percent 2 41 2 2" xfId="27927" xr:uid="{00000000-0005-0000-0000-0000DA7F0000}"/>
    <cellStyle name="Percent 2 41 3" xfId="27926" xr:uid="{00000000-0005-0000-0000-0000DB7F0000}"/>
    <cellStyle name="Percent 2 42" xfId="11619" xr:uid="{00000000-0005-0000-0000-0000DC7F0000}"/>
    <cellStyle name="Percent 2 42 2" xfId="27928" xr:uid="{00000000-0005-0000-0000-0000DD7F0000}"/>
    <cellStyle name="Percent 2 43" xfId="50" xr:uid="{00000000-0005-0000-0000-0000DE7F0000}"/>
    <cellStyle name="Percent 2 43 2" xfId="27929" xr:uid="{00000000-0005-0000-0000-0000DF7F0000}"/>
    <cellStyle name="Percent 2 43 3" xfId="12822" xr:uid="{00000000-0005-0000-0000-0000E07F0000}"/>
    <cellStyle name="Percent 2 44" xfId="11849" xr:uid="{00000000-0005-0000-0000-0000E17F0000}"/>
    <cellStyle name="Percent 2 44 2" xfId="27930" xr:uid="{00000000-0005-0000-0000-0000E27F0000}"/>
    <cellStyle name="Percent 2 45" xfId="11622" xr:uid="{00000000-0005-0000-0000-0000E37F0000}"/>
    <cellStyle name="Percent 2 45 2" xfId="27931" xr:uid="{00000000-0005-0000-0000-0000E47F0000}"/>
    <cellStyle name="Percent 2 46" xfId="12879" xr:uid="{00000000-0005-0000-0000-0000E57F0000}"/>
    <cellStyle name="Percent 2 46 2" xfId="27932" xr:uid="{00000000-0005-0000-0000-0000E67F0000}"/>
    <cellStyle name="Percent 2 47" xfId="27876" xr:uid="{00000000-0005-0000-0000-0000E77F0000}"/>
    <cellStyle name="Percent 2 48" xfId="32918" xr:uid="{00000000-0005-0000-0000-0000E87F0000}"/>
    <cellStyle name="Percent 2 49" xfId="32919" xr:uid="{00000000-0005-0000-0000-0000E97F0000}"/>
    <cellStyle name="Percent 2 5" xfId="10186" xr:uid="{00000000-0005-0000-0000-0000EA7F0000}"/>
    <cellStyle name="Percent 2 5 2" xfId="27933" xr:uid="{00000000-0005-0000-0000-0000EB7F0000}"/>
    <cellStyle name="Percent 2 5 3" xfId="32920" xr:uid="{00000000-0005-0000-0000-0000EC7F0000}"/>
    <cellStyle name="Percent 2 5 4" xfId="32921" xr:uid="{00000000-0005-0000-0000-0000ED7F0000}"/>
    <cellStyle name="Percent 2 50" xfId="32922" xr:uid="{00000000-0005-0000-0000-0000EE7F0000}"/>
    <cellStyle name="Percent 2 51" xfId="32923" xr:uid="{00000000-0005-0000-0000-0000EF7F0000}"/>
    <cellStyle name="Percent 2 52" xfId="32924" xr:uid="{00000000-0005-0000-0000-0000F07F0000}"/>
    <cellStyle name="Percent 2 6" xfId="10187" xr:uid="{00000000-0005-0000-0000-0000F17F0000}"/>
    <cellStyle name="Percent 2 6 2" xfId="27934" xr:uid="{00000000-0005-0000-0000-0000F27F0000}"/>
    <cellStyle name="Percent 2 6 3" xfId="32925" xr:uid="{00000000-0005-0000-0000-0000F37F0000}"/>
    <cellStyle name="Percent 2 6 4" xfId="32926" xr:uid="{00000000-0005-0000-0000-0000F47F0000}"/>
    <cellStyle name="Percent 2 7" xfId="10188" xr:uid="{00000000-0005-0000-0000-0000F57F0000}"/>
    <cellStyle name="Percent 2 7 2" xfId="27935" xr:uid="{00000000-0005-0000-0000-0000F67F0000}"/>
    <cellStyle name="Percent 2 7 3" xfId="32927" xr:uid="{00000000-0005-0000-0000-0000F77F0000}"/>
    <cellStyle name="Percent 2 7 4" xfId="32928" xr:uid="{00000000-0005-0000-0000-0000F87F0000}"/>
    <cellStyle name="Percent 2 8" xfId="10189" xr:uid="{00000000-0005-0000-0000-0000F97F0000}"/>
    <cellStyle name="Percent 2 8 2" xfId="27936" xr:uid="{00000000-0005-0000-0000-0000FA7F0000}"/>
    <cellStyle name="Percent 2 8 2 2" xfId="32929" xr:uid="{00000000-0005-0000-0000-0000FB7F0000}"/>
    <cellStyle name="Percent 2 8 3" xfId="32930" xr:uid="{00000000-0005-0000-0000-0000FC7F0000}"/>
    <cellStyle name="Percent 2 8 4" xfId="32931" xr:uid="{00000000-0005-0000-0000-0000FD7F0000}"/>
    <cellStyle name="Percent 2 9" xfId="10190" xr:uid="{00000000-0005-0000-0000-0000FE7F0000}"/>
    <cellStyle name="Percent 2 9 2" xfId="27937" xr:uid="{00000000-0005-0000-0000-0000FF7F0000}"/>
    <cellStyle name="Percent 2 9 2 2" xfId="32932" xr:uid="{00000000-0005-0000-0000-000000800000}"/>
    <cellStyle name="Percent 2 9 2 2 2" xfId="32933" xr:uid="{00000000-0005-0000-0000-000001800000}"/>
    <cellStyle name="Percent 2 9 3" xfId="32934" xr:uid="{00000000-0005-0000-0000-000002800000}"/>
    <cellStyle name="Percent 2 9 4" xfId="32935" xr:uid="{00000000-0005-0000-0000-000003800000}"/>
    <cellStyle name="Percent 2_Sheet3" xfId="32936" xr:uid="{00000000-0005-0000-0000-000004800000}"/>
    <cellStyle name="Percent 20" xfId="32937" xr:uid="{00000000-0005-0000-0000-000005800000}"/>
    <cellStyle name="Percent 21" xfId="32938" xr:uid="{00000000-0005-0000-0000-000006800000}"/>
    <cellStyle name="Percent 22" xfId="32939" xr:uid="{00000000-0005-0000-0000-000007800000}"/>
    <cellStyle name="Percent 23" xfId="32940" xr:uid="{00000000-0005-0000-0000-000008800000}"/>
    <cellStyle name="Percent 24" xfId="32941" xr:uid="{00000000-0005-0000-0000-000009800000}"/>
    <cellStyle name="Percent 25" xfId="32942" xr:uid="{00000000-0005-0000-0000-00000A800000}"/>
    <cellStyle name="Percent 26" xfId="32943" xr:uid="{00000000-0005-0000-0000-00000B800000}"/>
    <cellStyle name="Percent 27" xfId="32944" xr:uid="{00000000-0005-0000-0000-00000C800000}"/>
    <cellStyle name="Percent 28" xfId="33191" xr:uid="{00000000-0005-0000-0000-00000D800000}"/>
    <cellStyle name="Percent 29" xfId="33156" xr:uid="{00000000-0005-0000-0000-00000E800000}"/>
    <cellStyle name="Percent 3" xfId="51" xr:uid="{00000000-0005-0000-0000-00000F800000}"/>
    <cellStyle name="Percent 3 2" xfId="468" xr:uid="{00000000-0005-0000-0000-000010800000}"/>
    <cellStyle name="Percent 3 2 2" xfId="12876" xr:uid="{00000000-0005-0000-0000-000011800000}"/>
    <cellStyle name="Percent 3 2 2 2" xfId="27940" xr:uid="{00000000-0005-0000-0000-000012800000}"/>
    <cellStyle name="Percent 3 2 3" xfId="13323" xr:uid="{00000000-0005-0000-0000-000013800000}"/>
    <cellStyle name="Percent 3 2 3 2" xfId="27941" xr:uid="{00000000-0005-0000-0000-000014800000}"/>
    <cellStyle name="Percent 3 2 3 3" xfId="32945" xr:uid="{00000000-0005-0000-0000-000015800000}"/>
    <cellStyle name="Percent 3 2 4" xfId="27939" xr:uid="{00000000-0005-0000-0000-000016800000}"/>
    <cellStyle name="Percent 3 2 4 2" xfId="33440" xr:uid="{00000000-0005-0000-0000-000017800000}"/>
    <cellStyle name="Percent 3 2 5" xfId="32946" xr:uid="{00000000-0005-0000-0000-000018800000}"/>
    <cellStyle name="Percent 3 2 6" xfId="32947" xr:uid="{00000000-0005-0000-0000-000019800000}"/>
    <cellStyle name="Percent 3 3" xfId="11491" xr:uid="{00000000-0005-0000-0000-00001A800000}"/>
    <cellStyle name="Percent 3 3 2" xfId="27942" xr:uid="{00000000-0005-0000-0000-00001B800000}"/>
    <cellStyle name="Percent 3 4" xfId="11492" xr:uid="{00000000-0005-0000-0000-00001C800000}"/>
    <cellStyle name="Percent 3 4 2" xfId="27943" xr:uid="{00000000-0005-0000-0000-00001D800000}"/>
    <cellStyle name="Percent 3 5" xfId="12877" xr:uid="{00000000-0005-0000-0000-00001E800000}"/>
    <cellStyle name="Percent 3 5 2" xfId="27944" xr:uid="{00000000-0005-0000-0000-00001F800000}"/>
    <cellStyle name="Percent 3 6" xfId="13324" xr:uid="{00000000-0005-0000-0000-000020800000}"/>
    <cellStyle name="Percent 3 6 2" xfId="27945" xr:uid="{00000000-0005-0000-0000-000021800000}"/>
    <cellStyle name="Percent 3 7" xfId="27938" xr:uid="{00000000-0005-0000-0000-000022800000}"/>
    <cellStyle name="Percent 3 7 2" xfId="33441" xr:uid="{00000000-0005-0000-0000-000023800000}"/>
    <cellStyle name="Percent 3 8" xfId="33571" xr:uid="{00000000-0005-0000-0000-000024800000}"/>
    <cellStyle name="Percent 30" xfId="630" xr:uid="{00000000-0005-0000-0000-000025800000}"/>
    <cellStyle name="Percent 31" xfId="34330" xr:uid="{00000000-0005-0000-0000-000026800000}"/>
    <cellStyle name="Percent 4" xfId="10191" xr:uid="{00000000-0005-0000-0000-000027800000}"/>
    <cellStyle name="Percent 4 2" xfId="11493" xr:uid="{00000000-0005-0000-0000-000028800000}"/>
    <cellStyle name="Percent 4 2 2" xfId="27947" xr:uid="{00000000-0005-0000-0000-000029800000}"/>
    <cellStyle name="Percent 4 2 2 2" xfId="32948" xr:uid="{00000000-0005-0000-0000-00002A800000}"/>
    <cellStyle name="Percent 4 2 3" xfId="32949" xr:uid="{00000000-0005-0000-0000-00002B800000}"/>
    <cellStyle name="Percent 4 2 4" xfId="32950" xr:uid="{00000000-0005-0000-0000-00002C800000}"/>
    <cellStyle name="Percent 4 2 5" xfId="32951" xr:uid="{00000000-0005-0000-0000-00002D800000}"/>
    <cellStyle name="Percent 4 2 6" xfId="32952" xr:uid="{00000000-0005-0000-0000-00002E800000}"/>
    <cellStyle name="Percent 4 3" xfId="11494" xr:uid="{00000000-0005-0000-0000-00002F800000}"/>
    <cellStyle name="Percent 4 3 2" xfId="27948" xr:uid="{00000000-0005-0000-0000-000030800000}"/>
    <cellStyle name="Percent 4 3 2 2" xfId="32953" xr:uid="{00000000-0005-0000-0000-000031800000}"/>
    <cellStyle name="Percent 4 3 3" xfId="32954" xr:uid="{00000000-0005-0000-0000-000032800000}"/>
    <cellStyle name="Percent 4 3 4" xfId="32955" xr:uid="{00000000-0005-0000-0000-000033800000}"/>
    <cellStyle name="Percent 4 3 5" xfId="32956" xr:uid="{00000000-0005-0000-0000-000034800000}"/>
    <cellStyle name="Percent 4 4" xfId="27946" xr:uid="{00000000-0005-0000-0000-000035800000}"/>
    <cellStyle name="Percent 4 4 2" xfId="32957" xr:uid="{00000000-0005-0000-0000-000036800000}"/>
    <cellStyle name="Percent 4 5" xfId="32958" xr:uid="{00000000-0005-0000-0000-000037800000}"/>
    <cellStyle name="Percent 4 6" xfId="32959" xr:uid="{00000000-0005-0000-0000-000038800000}"/>
    <cellStyle name="Percent 4 7" xfId="32960" xr:uid="{00000000-0005-0000-0000-000039800000}"/>
    <cellStyle name="Percent 4 8" xfId="32961" xr:uid="{00000000-0005-0000-0000-00003A800000}"/>
    <cellStyle name="Percent 5" xfId="11351" xr:uid="{00000000-0005-0000-0000-00003B800000}"/>
    <cellStyle name="Percent 5 2" xfId="11495" xr:uid="{00000000-0005-0000-0000-00003C800000}"/>
    <cellStyle name="Percent 5 2 2" xfId="27950" xr:uid="{00000000-0005-0000-0000-00003D800000}"/>
    <cellStyle name="Percent 5 3" xfId="11496" xr:uid="{00000000-0005-0000-0000-00003E800000}"/>
    <cellStyle name="Percent 5 3 2" xfId="27951" xr:uid="{00000000-0005-0000-0000-00003F800000}"/>
    <cellStyle name="Percent 5 4" xfId="12773" xr:uid="{00000000-0005-0000-0000-000040800000}"/>
    <cellStyle name="Percent 5 4 2" xfId="27952" xr:uid="{00000000-0005-0000-0000-000041800000}"/>
    <cellStyle name="Percent 5 4 3" xfId="32962" xr:uid="{00000000-0005-0000-0000-000042800000}"/>
    <cellStyle name="Percent 5 5" xfId="27949" xr:uid="{00000000-0005-0000-0000-000043800000}"/>
    <cellStyle name="Percent 5 6" xfId="32963" xr:uid="{00000000-0005-0000-0000-000044800000}"/>
    <cellStyle name="Percent 5 7" xfId="32964" xr:uid="{00000000-0005-0000-0000-000045800000}"/>
    <cellStyle name="Percent 5 8" xfId="32965" xr:uid="{00000000-0005-0000-0000-000046800000}"/>
    <cellStyle name="Percent 6" xfId="11608" xr:uid="{00000000-0005-0000-0000-000047800000}"/>
    <cellStyle name="Percent 6 2" xfId="11497" xr:uid="{00000000-0005-0000-0000-000048800000}"/>
    <cellStyle name="Percent 6 2 2" xfId="27954" xr:uid="{00000000-0005-0000-0000-000049800000}"/>
    <cellStyle name="Percent 6 3" xfId="11498" xr:uid="{00000000-0005-0000-0000-00004A800000}"/>
    <cellStyle name="Percent 6 3 2" xfId="27955" xr:uid="{00000000-0005-0000-0000-00004B800000}"/>
    <cellStyle name="Percent 6 4" xfId="13325" xr:uid="{00000000-0005-0000-0000-00004C800000}"/>
    <cellStyle name="Percent 6 4 2" xfId="27956" xr:uid="{00000000-0005-0000-0000-00004D800000}"/>
    <cellStyle name="Percent 6 5" xfId="27953" xr:uid="{00000000-0005-0000-0000-00004E800000}"/>
    <cellStyle name="Percent 6 5 2" xfId="32966" xr:uid="{00000000-0005-0000-0000-00004F800000}"/>
    <cellStyle name="Percent 6 6" xfId="32967" xr:uid="{00000000-0005-0000-0000-000050800000}"/>
    <cellStyle name="Percent 6 7" xfId="32968" xr:uid="{00000000-0005-0000-0000-000051800000}"/>
    <cellStyle name="Percent 7" xfId="13326" xr:uid="{00000000-0005-0000-0000-000052800000}"/>
    <cellStyle name="Percent 7 2" xfId="11499" xr:uid="{00000000-0005-0000-0000-000053800000}"/>
    <cellStyle name="Percent 7 2 2" xfId="27958" xr:uid="{00000000-0005-0000-0000-000054800000}"/>
    <cellStyle name="Percent 7 3" xfId="11500" xr:uid="{00000000-0005-0000-0000-000055800000}"/>
    <cellStyle name="Percent 7 3 2" xfId="27959" xr:uid="{00000000-0005-0000-0000-000056800000}"/>
    <cellStyle name="Percent 7 4" xfId="27957" xr:uid="{00000000-0005-0000-0000-000057800000}"/>
    <cellStyle name="Percent 7 4 2" xfId="32969" xr:uid="{00000000-0005-0000-0000-000058800000}"/>
    <cellStyle name="Percent 7 5" xfId="32970" xr:uid="{00000000-0005-0000-0000-000059800000}"/>
    <cellStyle name="Percent 7 6" xfId="32971" xr:uid="{00000000-0005-0000-0000-00005A800000}"/>
    <cellStyle name="Percent 8" xfId="13327" xr:uid="{00000000-0005-0000-0000-00005B800000}"/>
    <cellStyle name="Percent 8 2" xfId="11501" xr:uid="{00000000-0005-0000-0000-00005C800000}"/>
    <cellStyle name="Percent 8 2 2" xfId="27961" xr:uid="{00000000-0005-0000-0000-00005D800000}"/>
    <cellStyle name="Percent 8 3" xfId="11502" xr:uid="{00000000-0005-0000-0000-00005E800000}"/>
    <cellStyle name="Percent 8 3 2" xfId="27962" xr:uid="{00000000-0005-0000-0000-00005F800000}"/>
    <cellStyle name="Percent 8 4" xfId="27960" xr:uid="{00000000-0005-0000-0000-000060800000}"/>
    <cellStyle name="Percent 8 4 2" xfId="32972" xr:uid="{00000000-0005-0000-0000-000061800000}"/>
    <cellStyle name="Percent 8 5" xfId="32973" xr:uid="{00000000-0005-0000-0000-000062800000}"/>
    <cellStyle name="Percent 8 6" xfId="32974" xr:uid="{00000000-0005-0000-0000-000063800000}"/>
    <cellStyle name="Percent 8 7" xfId="32975" xr:uid="{00000000-0005-0000-0000-000064800000}"/>
    <cellStyle name="Percent 9" xfId="13328" xr:uid="{00000000-0005-0000-0000-000065800000}"/>
    <cellStyle name="Percent 9 2" xfId="11503" xr:uid="{00000000-0005-0000-0000-000066800000}"/>
    <cellStyle name="Percent 9 2 2" xfId="27964" xr:uid="{00000000-0005-0000-0000-000067800000}"/>
    <cellStyle name="Percent 9 3" xfId="11504" xr:uid="{00000000-0005-0000-0000-000068800000}"/>
    <cellStyle name="Percent 9 3 2" xfId="27965" xr:uid="{00000000-0005-0000-0000-000069800000}"/>
    <cellStyle name="Percent 9 4" xfId="27963" xr:uid="{00000000-0005-0000-0000-00006A800000}"/>
    <cellStyle name="PwC Normal" xfId="633" xr:uid="{00000000-0005-0000-0000-00006B800000}"/>
    <cellStyle name="PwC Normal 2" xfId="27966" xr:uid="{00000000-0005-0000-0000-00006C800000}"/>
    <cellStyle name="Ratio" xfId="634" xr:uid="{00000000-0005-0000-0000-00006D800000}"/>
    <cellStyle name="Ratio 2" xfId="27967" xr:uid="{00000000-0005-0000-0000-00006E800000}"/>
    <cellStyle name="Ratios" xfId="635" xr:uid="{00000000-0005-0000-0000-00006F800000}"/>
    <cellStyle name="Ratios 2" xfId="27968" xr:uid="{00000000-0005-0000-0000-000070800000}"/>
    <cellStyle name="Result" xfId="32976" xr:uid="{00000000-0005-0000-0000-000071800000}"/>
    <cellStyle name="Result2" xfId="32977" xr:uid="{00000000-0005-0000-0000-000072800000}"/>
    <cellStyle name="RevList" xfId="32978" xr:uid="{00000000-0005-0000-0000-000073800000}"/>
    <cellStyle name="Satisfaisant" xfId="32979" xr:uid="{00000000-0005-0000-0000-000074800000}"/>
    <cellStyle name="SBK link in sheet" xfId="34334" xr:uid="{00000000-0005-0000-0000-000075800000}"/>
    <cellStyle name="SBK Normal Calc" xfId="34335" xr:uid="{00000000-0005-0000-0000-000076800000}"/>
    <cellStyle name="SBK table heading 2" xfId="34333" xr:uid="{00000000-0005-0000-0000-000077800000}"/>
    <cellStyle name="SBK Total" xfId="34336" xr:uid="{00000000-0005-0000-0000-000078800000}"/>
    <cellStyle name="SBK_Comment" xfId="34332" xr:uid="{00000000-0005-0000-0000-000079800000}"/>
    <cellStyle name="Sortie" xfId="32980" xr:uid="{00000000-0005-0000-0000-00007A800000}"/>
    <cellStyle name="Standard_names" xfId="636" xr:uid="{00000000-0005-0000-0000-00007B800000}"/>
    <cellStyle name="Style 1" xfId="185" xr:uid="{00000000-0005-0000-0000-00007C800000}"/>
    <cellStyle name="Style 1 2" xfId="10192" xr:uid="{00000000-0005-0000-0000-00007D800000}"/>
    <cellStyle name="Style 1 2 2" xfId="27970" xr:uid="{00000000-0005-0000-0000-00007E800000}"/>
    <cellStyle name="Style 1 2 3" xfId="32981" xr:uid="{00000000-0005-0000-0000-00007F800000}"/>
    <cellStyle name="Style 1 2 4" xfId="32982" xr:uid="{00000000-0005-0000-0000-000080800000}"/>
    <cellStyle name="Style 1 3" xfId="10193" xr:uid="{00000000-0005-0000-0000-000081800000}"/>
    <cellStyle name="Style 1 3 2" xfId="27971" xr:uid="{00000000-0005-0000-0000-000082800000}"/>
    <cellStyle name="Style 1 4" xfId="10194" xr:uid="{00000000-0005-0000-0000-000083800000}"/>
    <cellStyle name="Style 1 4 2" xfId="27972" xr:uid="{00000000-0005-0000-0000-000084800000}"/>
    <cellStyle name="Style 1 5" xfId="10195" xr:uid="{00000000-0005-0000-0000-000085800000}"/>
    <cellStyle name="Style 1 5 2" xfId="27973" xr:uid="{00000000-0005-0000-0000-000086800000}"/>
    <cellStyle name="Style 1 6" xfId="27969" xr:uid="{00000000-0005-0000-0000-000087800000}"/>
    <cellStyle name="Style 1 7" xfId="32983" xr:uid="{00000000-0005-0000-0000-000088800000}"/>
    <cellStyle name="Style 1 8" xfId="637" xr:uid="{00000000-0005-0000-0000-000089800000}"/>
    <cellStyle name="Style 1_Daily Loans Disbursed" xfId="10196" xr:uid="{00000000-0005-0000-0000-00008A800000}"/>
    <cellStyle name="Subtotal" xfId="32984" xr:uid="{00000000-0005-0000-0000-00008B800000}"/>
    <cellStyle name="Superscript" xfId="638" xr:uid="{00000000-0005-0000-0000-00008C800000}"/>
    <cellStyle name="Superscript 2" xfId="27974" xr:uid="{00000000-0005-0000-0000-00008D800000}"/>
    <cellStyle name="Texte explicatif" xfId="32985" xr:uid="{00000000-0005-0000-0000-00008E800000}"/>
    <cellStyle name="Thousands" xfId="639" xr:uid="{00000000-0005-0000-0000-00008F800000}"/>
    <cellStyle name="Thousands 2" xfId="27975" xr:uid="{00000000-0005-0000-0000-000090800000}"/>
    <cellStyle name="Title 10" xfId="10197" xr:uid="{00000000-0005-0000-0000-000091800000}"/>
    <cellStyle name="Title 10 2" xfId="27976" xr:uid="{00000000-0005-0000-0000-000092800000}"/>
    <cellStyle name="Title 10 3" xfId="32986" xr:uid="{00000000-0005-0000-0000-000093800000}"/>
    <cellStyle name="Title 11" xfId="10198" xr:uid="{00000000-0005-0000-0000-000094800000}"/>
    <cellStyle name="Title 11 2" xfId="27977" xr:uid="{00000000-0005-0000-0000-000095800000}"/>
    <cellStyle name="Title 11 3" xfId="32987" xr:uid="{00000000-0005-0000-0000-000096800000}"/>
    <cellStyle name="Title 12" xfId="10199" xr:uid="{00000000-0005-0000-0000-000097800000}"/>
    <cellStyle name="Title 12 2" xfId="27978" xr:uid="{00000000-0005-0000-0000-000098800000}"/>
    <cellStyle name="Title 12 3" xfId="32988" xr:uid="{00000000-0005-0000-0000-000099800000}"/>
    <cellStyle name="Title 13" xfId="10200" xr:uid="{00000000-0005-0000-0000-00009A800000}"/>
    <cellStyle name="Title 13 2" xfId="27979" xr:uid="{00000000-0005-0000-0000-00009B800000}"/>
    <cellStyle name="Title 13 3" xfId="32989" xr:uid="{00000000-0005-0000-0000-00009C800000}"/>
    <cellStyle name="Title 14" xfId="10201" xr:uid="{00000000-0005-0000-0000-00009D800000}"/>
    <cellStyle name="Title 14 2" xfId="27980" xr:uid="{00000000-0005-0000-0000-00009E800000}"/>
    <cellStyle name="Title 14 3" xfId="32990" xr:uid="{00000000-0005-0000-0000-00009F800000}"/>
    <cellStyle name="Title 15" xfId="10202" xr:uid="{00000000-0005-0000-0000-0000A0800000}"/>
    <cellStyle name="Title 15 2" xfId="27981" xr:uid="{00000000-0005-0000-0000-0000A1800000}"/>
    <cellStyle name="Title 15 3" xfId="32991" xr:uid="{00000000-0005-0000-0000-0000A2800000}"/>
    <cellStyle name="Title 16" xfId="10203" xr:uid="{00000000-0005-0000-0000-0000A3800000}"/>
    <cellStyle name="Title 16 2" xfId="27982" xr:uid="{00000000-0005-0000-0000-0000A4800000}"/>
    <cellStyle name="Title 16 3" xfId="32992" xr:uid="{00000000-0005-0000-0000-0000A5800000}"/>
    <cellStyle name="Title 17" xfId="10204" xr:uid="{00000000-0005-0000-0000-0000A6800000}"/>
    <cellStyle name="Title 17 2" xfId="27983" xr:uid="{00000000-0005-0000-0000-0000A7800000}"/>
    <cellStyle name="Title 17 3" xfId="32993" xr:uid="{00000000-0005-0000-0000-0000A8800000}"/>
    <cellStyle name="Title 18" xfId="10205" xr:uid="{00000000-0005-0000-0000-0000A9800000}"/>
    <cellStyle name="Title 18 2" xfId="27984" xr:uid="{00000000-0005-0000-0000-0000AA800000}"/>
    <cellStyle name="Title 19" xfId="10206" xr:uid="{00000000-0005-0000-0000-0000AB800000}"/>
    <cellStyle name="Title 19 2" xfId="27985" xr:uid="{00000000-0005-0000-0000-0000AC800000}"/>
    <cellStyle name="Title 2" xfId="186" xr:uid="{00000000-0005-0000-0000-0000AD800000}"/>
    <cellStyle name="Title 2 10" xfId="10207" xr:uid="{00000000-0005-0000-0000-0000AE800000}"/>
    <cellStyle name="Title 2 10 2" xfId="27987" xr:uid="{00000000-0005-0000-0000-0000AF800000}"/>
    <cellStyle name="Title 2 11" xfId="10208" xr:uid="{00000000-0005-0000-0000-0000B0800000}"/>
    <cellStyle name="Title 2 11 2" xfId="27988" xr:uid="{00000000-0005-0000-0000-0000B1800000}"/>
    <cellStyle name="Title 2 12" xfId="10209" xr:uid="{00000000-0005-0000-0000-0000B2800000}"/>
    <cellStyle name="Title 2 12 2" xfId="27989" xr:uid="{00000000-0005-0000-0000-0000B3800000}"/>
    <cellStyle name="Title 2 13" xfId="10210" xr:uid="{00000000-0005-0000-0000-0000B4800000}"/>
    <cellStyle name="Title 2 13 2" xfId="27990" xr:uid="{00000000-0005-0000-0000-0000B5800000}"/>
    <cellStyle name="Title 2 14" xfId="10211" xr:uid="{00000000-0005-0000-0000-0000B6800000}"/>
    <cellStyle name="Title 2 14 2" xfId="10212" xr:uid="{00000000-0005-0000-0000-0000B7800000}"/>
    <cellStyle name="Title 2 14 2 2" xfId="27992" xr:uid="{00000000-0005-0000-0000-0000B8800000}"/>
    <cellStyle name="Title 2 14 3" xfId="27991" xr:uid="{00000000-0005-0000-0000-0000B9800000}"/>
    <cellStyle name="Title 2 15" xfId="10213" xr:uid="{00000000-0005-0000-0000-0000BA800000}"/>
    <cellStyle name="Title 2 15 2" xfId="27993" xr:uid="{00000000-0005-0000-0000-0000BB800000}"/>
    <cellStyle name="Title 2 16" xfId="10214" xr:uid="{00000000-0005-0000-0000-0000BC800000}"/>
    <cellStyle name="Title 2 16 2" xfId="27994" xr:uid="{00000000-0005-0000-0000-0000BD800000}"/>
    <cellStyle name="Title 2 17" xfId="10215" xr:uid="{00000000-0005-0000-0000-0000BE800000}"/>
    <cellStyle name="Title 2 17 2" xfId="27995" xr:uid="{00000000-0005-0000-0000-0000BF800000}"/>
    <cellStyle name="Title 2 18" xfId="10216" xr:uid="{00000000-0005-0000-0000-0000C0800000}"/>
    <cellStyle name="Title 2 18 2" xfId="27996" xr:uid="{00000000-0005-0000-0000-0000C1800000}"/>
    <cellStyle name="Title 2 19" xfId="10217" xr:uid="{00000000-0005-0000-0000-0000C2800000}"/>
    <cellStyle name="Title 2 19 2" xfId="27997" xr:uid="{00000000-0005-0000-0000-0000C3800000}"/>
    <cellStyle name="Title 2 2" xfId="10218" xr:uid="{00000000-0005-0000-0000-0000C4800000}"/>
    <cellStyle name="Title 2 2 10" xfId="10219" xr:uid="{00000000-0005-0000-0000-0000C5800000}"/>
    <cellStyle name="Title 2 2 10 2" xfId="27999" xr:uid="{00000000-0005-0000-0000-0000C6800000}"/>
    <cellStyle name="Title 2 2 11" xfId="10220" xr:uid="{00000000-0005-0000-0000-0000C7800000}"/>
    <cellStyle name="Title 2 2 11 2" xfId="28000" xr:uid="{00000000-0005-0000-0000-0000C8800000}"/>
    <cellStyle name="Title 2 2 12" xfId="10221" xr:uid="{00000000-0005-0000-0000-0000C9800000}"/>
    <cellStyle name="Title 2 2 12 2" xfId="28001" xr:uid="{00000000-0005-0000-0000-0000CA800000}"/>
    <cellStyle name="Title 2 2 13" xfId="10222" xr:uid="{00000000-0005-0000-0000-0000CB800000}"/>
    <cellStyle name="Title 2 2 13 2" xfId="28002" xr:uid="{00000000-0005-0000-0000-0000CC800000}"/>
    <cellStyle name="Title 2 2 14" xfId="10223" xr:uid="{00000000-0005-0000-0000-0000CD800000}"/>
    <cellStyle name="Title 2 2 14 2" xfId="10224" xr:uid="{00000000-0005-0000-0000-0000CE800000}"/>
    <cellStyle name="Title 2 2 14 2 2" xfId="28004" xr:uid="{00000000-0005-0000-0000-0000CF800000}"/>
    <cellStyle name="Title 2 2 14 3" xfId="28003" xr:uid="{00000000-0005-0000-0000-0000D0800000}"/>
    <cellStyle name="Title 2 2 15" xfId="10225" xr:uid="{00000000-0005-0000-0000-0000D1800000}"/>
    <cellStyle name="Title 2 2 15 2" xfId="28005" xr:uid="{00000000-0005-0000-0000-0000D2800000}"/>
    <cellStyle name="Title 2 2 16" xfId="10226" xr:uid="{00000000-0005-0000-0000-0000D3800000}"/>
    <cellStyle name="Title 2 2 16 2" xfId="28006" xr:uid="{00000000-0005-0000-0000-0000D4800000}"/>
    <cellStyle name="Title 2 2 17" xfId="10227" xr:uid="{00000000-0005-0000-0000-0000D5800000}"/>
    <cellStyle name="Title 2 2 17 2" xfId="28007" xr:uid="{00000000-0005-0000-0000-0000D6800000}"/>
    <cellStyle name="Title 2 2 18" xfId="10228" xr:uid="{00000000-0005-0000-0000-0000D7800000}"/>
    <cellStyle name="Title 2 2 18 2" xfId="28008" xr:uid="{00000000-0005-0000-0000-0000D8800000}"/>
    <cellStyle name="Title 2 2 19" xfId="10229" xr:uid="{00000000-0005-0000-0000-0000D9800000}"/>
    <cellStyle name="Title 2 2 19 2" xfId="28009" xr:uid="{00000000-0005-0000-0000-0000DA800000}"/>
    <cellStyle name="Title 2 2 2" xfId="10230" xr:uid="{00000000-0005-0000-0000-0000DB800000}"/>
    <cellStyle name="Title 2 2 2 10" xfId="10231" xr:uid="{00000000-0005-0000-0000-0000DC800000}"/>
    <cellStyle name="Title 2 2 2 10 2" xfId="28011" xr:uid="{00000000-0005-0000-0000-0000DD800000}"/>
    <cellStyle name="Title 2 2 2 11" xfId="10232" xr:uid="{00000000-0005-0000-0000-0000DE800000}"/>
    <cellStyle name="Title 2 2 2 11 2" xfId="28012" xr:uid="{00000000-0005-0000-0000-0000DF800000}"/>
    <cellStyle name="Title 2 2 2 12" xfId="10233" xr:uid="{00000000-0005-0000-0000-0000E0800000}"/>
    <cellStyle name="Title 2 2 2 12 2" xfId="28013" xr:uid="{00000000-0005-0000-0000-0000E1800000}"/>
    <cellStyle name="Title 2 2 2 13" xfId="10234" xr:uid="{00000000-0005-0000-0000-0000E2800000}"/>
    <cellStyle name="Title 2 2 2 13 2" xfId="28014" xr:uid="{00000000-0005-0000-0000-0000E3800000}"/>
    <cellStyle name="Title 2 2 2 14" xfId="10235" xr:uid="{00000000-0005-0000-0000-0000E4800000}"/>
    <cellStyle name="Title 2 2 2 14 2" xfId="28015" xr:uid="{00000000-0005-0000-0000-0000E5800000}"/>
    <cellStyle name="Title 2 2 2 15" xfId="10236" xr:uid="{00000000-0005-0000-0000-0000E6800000}"/>
    <cellStyle name="Title 2 2 2 15 2" xfId="28016" xr:uid="{00000000-0005-0000-0000-0000E7800000}"/>
    <cellStyle name="Title 2 2 2 16" xfId="10237" xr:uid="{00000000-0005-0000-0000-0000E8800000}"/>
    <cellStyle name="Title 2 2 2 16 2" xfId="28017" xr:uid="{00000000-0005-0000-0000-0000E9800000}"/>
    <cellStyle name="Title 2 2 2 17" xfId="10238" xr:uid="{00000000-0005-0000-0000-0000EA800000}"/>
    <cellStyle name="Title 2 2 2 17 2" xfId="28018" xr:uid="{00000000-0005-0000-0000-0000EB800000}"/>
    <cellStyle name="Title 2 2 2 18" xfId="10239" xr:uid="{00000000-0005-0000-0000-0000EC800000}"/>
    <cellStyle name="Title 2 2 2 18 2" xfId="28019" xr:uid="{00000000-0005-0000-0000-0000ED800000}"/>
    <cellStyle name="Title 2 2 2 19" xfId="10240" xr:uid="{00000000-0005-0000-0000-0000EE800000}"/>
    <cellStyle name="Title 2 2 2 19 2" xfId="28020" xr:uid="{00000000-0005-0000-0000-0000EF800000}"/>
    <cellStyle name="Title 2 2 2 2" xfId="10241" xr:uid="{00000000-0005-0000-0000-0000F0800000}"/>
    <cellStyle name="Title 2 2 2 2 10" xfId="10242" xr:uid="{00000000-0005-0000-0000-0000F1800000}"/>
    <cellStyle name="Title 2 2 2 2 10 2" xfId="28022" xr:uid="{00000000-0005-0000-0000-0000F2800000}"/>
    <cellStyle name="Title 2 2 2 2 11" xfId="10243" xr:uid="{00000000-0005-0000-0000-0000F3800000}"/>
    <cellStyle name="Title 2 2 2 2 11 2" xfId="28023" xr:uid="{00000000-0005-0000-0000-0000F4800000}"/>
    <cellStyle name="Title 2 2 2 2 12" xfId="10244" xr:uid="{00000000-0005-0000-0000-0000F5800000}"/>
    <cellStyle name="Title 2 2 2 2 12 2" xfId="28024" xr:uid="{00000000-0005-0000-0000-0000F6800000}"/>
    <cellStyle name="Title 2 2 2 2 13" xfId="10245" xr:uid="{00000000-0005-0000-0000-0000F7800000}"/>
    <cellStyle name="Title 2 2 2 2 13 2" xfId="28025" xr:uid="{00000000-0005-0000-0000-0000F8800000}"/>
    <cellStyle name="Title 2 2 2 2 14" xfId="10246" xr:uid="{00000000-0005-0000-0000-0000F9800000}"/>
    <cellStyle name="Title 2 2 2 2 14 2" xfId="28026" xr:uid="{00000000-0005-0000-0000-0000FA800000}"/>
    <cellStyle name="Title 2 2 2 2 15" xfId="10247" xr:uid="{00000000-0005-0000-0000-0000FB800000}"/>
    <cellStyle name="Title 2 2 2 2 15 2" xfId="28027" xr:uid="{00000000-0005-0000-0000-0000FC800000}"/>
    <cellStyle name="Title 2 2 2 2 16" xfId="10248" xr:uid="{00000000-0005-0000-0000-0000FD800000}"/>
    <cellStyle name="Title 2 2 2 2 16 2" xfId="28028" xr:uid="{00000000-0005-0000-0000-0000FE800000}"/>
    <cellStyle name="Title 2 2 2 2 17" xfId="10249" xr:uid="{00000000-0005-0000-0000-0000FF800000}"/>
    <cellStyle name="Title 2 2 2 2 17 2" xfId="28029" xr:uid="{00000000-0005-0000-0000-000000810000}"/>
    <cellStyle name="Title 2 2 2 2 18" xfId="10250" xr:uid="{00000000-0005-0000-0000-000001810000}"/>
    <cellStyle name="Title 2 2 2 2 18 2" xfId="28030" xr:uid="{00000000-0005-0000-0000-000002810000}"/>
    <cellStyle name="Title 2 2 2 2 19" xfId="10251" xr:uid="{00000000-0005-0000-0000-000003810000}"/>
    <cellStyle name="Title 2 2 2 2 19 2" xfId="28031" xr:uid="{00000000-0005-0000-0000-000004810000}"/>
    <cellStyle name="Title 2 2 2 2 2" xfId="10252" xr:uid="{00000000-0005-0000-0000-000005810000}"/>
    <cellStyle name="Title 2 2 2 2 2 10" xfId="10253" xr:uid="{00000000-0005-0000-0000-000006810000}"/>
    <cellStyle name="Title 2 2 2 2 2 10 2" xfId="28033" xr:uid="{00000000-0005-0000-0000-000007810000}"/>
    <cellStyle name="Title 2 2 2 2 2 11" xfId="10254" xr:uid="{00000000-0005-0000-0000-000008810000}"/>
    <cellStyle name="Title 2 2 2 2 2 11 2" xfId="10255" xr:uid="{00000000-0005-0000-0000-000009810000}"/>
    <cellStyle name="Title 2 2 2 2 2 11 2 2" xfId="28035" xr:uid="{00000000-0005-0000-0000-00000A810000}"/>
    <cellStyle name="Title 2 2 2 2 2 11 3" xfId="28034" xr:uid="{00000000-0005-0000-0000-00000B810000}"/>
    <cellStyle name="Title 2 2 2 2 2 12" xfId="28032" xr:uid="{00000000-0005-0000-0000-00000C810000}"/>
    <cellStyle name="Title 2 2 2 2 2 2" xfId="10256" xr:uid="{00000000-0005-0000-0000-00000D810000}"/>
    <cellStyle name="Title 2 2 2 2 2 2 10" xfId="10257" xr:uid="{00000000-0005-0000-0000-00000E810000}"/>
    <cellStyle name="Title 2 2 2 2 2 2 10 2" xfId="28037" xr:uid="{00000000-0005-0000-0000-00000F810000}"/>
    <cellStyle name="Title 2 2 2 2 2 2 11" xfId="10258" xr:uid="{00000000-0005-0000-0000-000010810000}"/>
    <cellStyle name="Title 2 2 2 2 2 2 11 2" xfId="10259" xr:uid="{00000000-0005-0000-0000-000011810000}"/>
    <cellStyle name="Title 2 2 2 2 2 2 11 2 2" xfId="28039" xr:uid="{00000000-0005-0000-0000-000012810000}"/>
    <cellStyle name="Title 2 2 2 2 2 2 11 3" xfId="28038" xr:uid="{00000000-0005-0000-0000-000013810000}"/>
    <cellStyle name="Title 2 2 2 2 2 2 12" xfId="28036" xr:uid="{00000000-0005-0000-0000-000014810000}"/>
    <cellStyle name="Title 2 2 2 2 2 2 2" xfId="10260" xr:uid="{00000000-0005-0000-0000-000015810000}"/>
    <cellStyle name="Title 2 2 2 2 2 2 2 2" xfId="10261" xr:uid="{00000000-0005-0000-0000-000016810000}"/>
    <cellStyle name="Title 2 2 2 2 2 2 2 2 2" xfId="10262" xr:uid="{00000000-0005-0000-0000-000017810000}"/>
    <cellStyle name="Title 2 2 2 2 2 2 2 2 2 2" xfId="10263" xr:uid="{00000000-0005-0000-0000-000018810000}"/>
    <cellStyle name="Title 2 2 2 2 2 2 2 2 2 2 2" xfId="28043" xr:uid="{00000000-0005-0000-0000-000019810000}"/>
    <cellStyle name="Title 2 2 2 2 2 2 2 2 2 3" xfId="28042" xr:uid="{00000000-0005-0000-0000-00001A810000}"/>
    <cellStyle name="Title 2 2 2 2 2 2 2 2 3" xfId="10264" xr:uid="{00000000-0005-0000-0000-00001B810000}"/>
    <cellStyle name="Title 2 2 2 2 2 2 2 2 3 2" xfId="28044" xr:uid="{00000000-0005-0000-0000-00001C810000}"/>
    <cellStyle name="Title 2 2 2 2 2 2 2 2 4" xfId="28041" xr:uid="{00000000-0005-0000-0000-00001D810000}"/>
    <cellStyle name="Title 2 2 2 2 2 2 2 3" xfId="10265" xr:uid="{00000000-0005-0000-0000-00001E810000}"/>
    <cellStyle name="Title 2 2 2 2 2 2 2 3 2" xfId="10266" xr:uid="{00000000-0005-0000-0000-00001F810000}"/>
    <cellStyle name="Title 2 2 2 2 2 2 2 3 2 2" xfId="28046" xr:uid="{00000000-0005-0000-0000-000020810000}"/>
    <cellStyle name="Title 2 2 2 2 2 2 2 3 3" xfId="28045" xr:uid="{00000000-0005-0000-0000-000021810000}"/>
    <cellStyle name="Title 2 2 2 2 2 2 2 4" xfId="28040" xr:uid="{00000000-0005-0000-0000-000022810000}"/>
    <cellStyle name="Title 2 2 2 2 2 2 3" xfId="10267" xr:uid="{00000000-0005-0000-0000-000023810000}"/>
    <cellStyle name="Title 2 2 2 2 2 2 3 2" xfId="28047" xr:uid="{00000000-0005-0000-0000-000024810000}"/>
    <cellStyle name="Title 2 2 2 2 2 2 4" xfId="10268" xr:uid="{00000000-0005-0000-0000-000025810000}"/>
    <cellStyle name="Title 2 2 2 2 2 2 4 2" xfId="28048" xr:uid="{00000000-0005-0000-0000-000026810000}"/>
    <cellStyle name="Title 2 2 2 2 2 2 5" xfId="10269" xr:uid="{00000000-0005-0000-0000-000027810000}"/>
    <cellStyle name="Title 2 2 2 2 2 2 5 2" xfId="28049" xr:uid="{00000000-0005-0000-0000-000028810000}"/>
    <cellStyle name="Title 2 2 2 2 2 2 6" xfId="10270" xr:uid="{00000000-0005-0000-0000-000029810000}"/>
    <cellStyle name="Title 2 2 2 2 2 2 6 2" xfId="28050" xr:uid="{00000000-0005-0000-0000-00002A810000}"/>
    <cellStyle name="Title 2 2 2 2 2 2 7" xfId="10271" xr:uid="{00000000-0005-0000-0000-00002B810000}"/>
    <cellStyle name="Title 2 2 2 2 2 2 7 2" xfId="28051" xr:uid="{00000000-0005-0000-0000-00002C810000}"/>
    <cellStyle name="Title 2 2 2 2 2 2 8" xfId="10272" xr:uid="{00000000-0005-0000-0000-00002D810000}"/>
    <cellStyle name="Title 2 2 2 2 2 2 8 2" xfId="28052" xr:uid="{00000000-0005-0000-0000-00002E810000}"/>
    <cellStyle name="Title 2 2 2 2 2 2 9" xfId="10273" xr:uid="{00000000-0005-0000-0000-00002F810000}"/>
    <cellStyle name="Title 2 2 2 2 2 2 9 2" xfId="28053" xr:uid="{00000000-0005-0000-0000-000030810000}"/>
    <cellStyle name="Title 2 2 2 2 2 3" xfId="10274" xr:uid="{00000000-0005-0000-0000-000031810000}"/>
    <cellStyle name="Title 2 2 2 2 2 3 2" xfId="10275" xr:uid="{00000000-0005-0000-0000-000032810000}"/>
    <cellStyle name="Title 2 2 2 2 2 3 2 2" xfId="28055" xr:uid="{00000000-0005-0000-0000-000033810000}"/>
    <cellStyle name="Title 2 2 2 2 2 3 3" xfId="28054" xr:uid="{00000000-0005-0000-0000-000034810000}"/>
    <cellStyle name="Title 2 2 2 2 2 4" xfId="10276" xr:uid="{00000000-0005-0000-0000-000035810000}"/>
    <cellStyle name="Title 2 2 2 2 2 4 2" xfId="28056" xr:uid="{00000000-0005-0000-0000-000036810000}"/>
    <cellStyle name="Title 2 2 2 2 2 5" xfId="10277" xr:uid="{00000000-0005-0000-0000-000037810000}"/>
    <cellStyle name="Title 2 2 2 2 2 5 2" xfId="28057" xr:uid="{00000000-0005-0000-0000-000038810000}"/>
    <cellStyle name="Title 2 2 2 2 2 6" xfId="10278" xr:uid="{00000000-0005-0000-0000-000039810000}"/>
    <cellStyle name="Title 2 2 2 2 2 6 2" xfId="28058" xr:uid="{00000000-0005-0000-0000-00003A810000}"/>
    <cellStyle name="Title 2 2 2 2 2 7" xfId="10279" xr:uid="{00000000-0005-0000-0000-00003B810000}"/>
    <cellStyle name="Title 2 2 2 2 2 7 2" xfId="28059" xr:uid="{00000000-0005-0000-0000-00003C810000}"/>
    <cellStyle name="Title 2 2 2 2 2 8" xfId="10280" xr:uid="{00000000-0005-0000-0000-00003D810000}"/>
    <cellStyle name="Title 2 2 2 2 2 8 2" xfId="28060" xr:uid="{00000000-0005-0000-0000-00003E810000}"/>
    <cellStyle name="Title 2 2 2 2 2 9" xfId="10281" xr:uid="{00000000-0005-0000-0000-00003F810000}"/>
    <cellStyle name="Title 2 2 2 2 2 9 2" xfId="28061" xr:uid="{00000000-0005-0000-0000-000040810000}"/>
    <cellStyle name="Title 2 2 2 2 20" xfId="10282" xr:uid="{00000000-0005-0000-0000-000041810000}"/>
    <cellStyle name="Title 2 2 2 2 20 2" xfId="10283" xr:uid="{00000000-0005-0000-0000-000042810000}"/>
    <cellStyle name="Title 2 2 2 2 20 2 2" xfId="28063" xr:uid="{00000000-0005-0000-0000-000043810000}"/>
    <cellStyle name="Title 2 2 2 2 20 3" xfId="28062" xr:uid="{00000000-0005-0000-0000-000044810000}"/>
    <cellStyle name="Title 2 2 2 2 21" xfId="10284" xr:uid="{00000000-0005-0000-0000-000045810000}"/>
    <cellStyle name="Title 2 2 2 2 21 2" xfId="28064" xr:uid="{00000000-0005-0000-0000-000046810000}"/>
    <cellStyle name="Title 2 2 2 2 22" xfId="10285" xr:uid="{00000000-0005-0000-0000-000047810000}"/>
    <cellStyle name="Title 2 2 2 2 22 2" xfId="28065" xr:uid="{00000000-0005-0000-0000-000048810000}"/>
    <cellStyle name="Title 2 2 2 2 23" xfId="10286" xr:uid="{00000000-0005-0000-0000-000049810000}"/>
    <cellStyle name="Title 2 2 2 2 23 2" xfId="28066" xr:uid="{00000000-0005-0000-0000-00004A810000}"/>
    <cellStyle name="Title 2 2 2 2 24" xfId="10287" xr:uid="{00000000-0005-0000-0000-00004B810000}"/>
    <cellStyle name="Title 2 2 2 2 24 2" xfId="28067" xr:uid="{00000000-0005-0000-0000-00004C810000}"/>
    <cellStyle name="Title 2 2 2 2 25" xfId="10288" xr:uid="{00000000-0005-0000-0000-00004D810000}"/>
    <cellStyle name="Title 2 2 2 2 25 2" xfId="28068" xr:uid="{00000000-0005-0000-0000-00004E810000}"/>
    <cellStyle name="Title 2 2 2 2 26" xfId="10289" xr:uid="{00000000-0005-0000-0000-00004F810000}"/>
    <cellStyle name="Title 2 2 2 2 26 2" xfId="28069" xr:uid="{00000000-0005-0000-0000-000050810000}"/>
    <cellStyle name="Title 2 2 2 2 27" xfId="10290" xr:uid="{00000000-0005-0000-0000-000051810000}"/>
    <cellStyle name="Title 2 2 2 2 27 2" xfId="28070" xr:uid="{00000000-0005-0000-0000-000052810000}"/>
    <cellStyle name="Title 2 2 2 2 28" xfId="10291" xr:uid="{00000000-0005-0000-0000-000053810000}"/>
    <cellStyle name="Title 2 2 2 2 28 2" xfId="10292" xr:uid="{00000000-0005-0000-0000-000054810000}"/>
    <cellStyle name="Title 2 2 2 2 28 2 2" xfId="28072" xr:uid="{00000000-0005-0000-0000-000055810000}"/>
    <cellStyle name="Title 2 2 2 2 28 3" xfId="28071" xr:uid="{00000000-0005-0000-0000-000056810000}"/>
    <cellStyle name="Title 2 2 2 2 29" xfId="28021" xr:uid="{00000000-0005-0000-0000-000057810000}"/>
    <cellStyle name="Title 2 2 2 2 3" xfId="10293" xr:uid="{00000000-0005-0000-0000-000058810000}"/>
    <cellStyle name="Title 2 2 2 2 3 2" xfId="28073" xr:uid="{00000000-0005-0000-0000-000059810000}"/>
    <cellStyle name="Title 2 2 2 2 4" xfId="10294" xr:uid="{00000000-0005-0000-0000-00005A810000}"/>
    <cellStyle name="Title 2 2 2 2 4 2" xfId="28074" xr:uid="{00000000-0005-0000-0000-00005B810000}"/>
    <cellStyle name="Title 2 2 2 2 5" xfId="10295" xr:uid="{00000000-0005-0000-0000-00005C810000}"/>
    <cellStyle name="Title 2 2 2 2 5 2" xfId="28075" xr:uid="{00000000-0005-0000-0000-00005D810000}"/>
    <cellStyle name="Title 2 2 2 2 6" xfId="10296" xr:uid="{00000000-0005-0000-0000-00005E810000}"/>
    <cellStyle name="Title 2 2 2 2 6 2" xfId="28076" xr:uid="{00000000-0005-0000-0000-00005F810000}"/>
    <cellStyle name="Title 2 2 2 2 7" xfId="10297" xr:uid="{00000000-0005-0000-0000-000060810000}"/>
    <cellStyle name="Title 2 2 2 2 7 2" xfId="28077" xr:uid="{00000000-0005-0000-0000-000061810000}"/>
    <cellStyle name="Title 2 2 2 2 8" xfId="10298" xr:uid="{00000000-0005-0000-0000-000062810000}"/>
    <cellStyle name="Title 2 2 2 2 8 2" xfId="28078" xr:uid="{00000000-0005-0000-0000-000063810000}"/>
    <cellStyle name="Title 2 2 2 2 9" xfId="10299" xr:uid="{00000000-0005-0000-0000-000064810000}"/>
    <cellStyle name="Title 2 2 2 2 9 2" xfId="28079" xr:uid="{00000000-0005-0000-0000-000065810000}"/>
    <cellStyle name="Title 2 2 2 20" xfId="10300" xr:uid="{00000000-0005-0000-0000-000066810000}"/>
    <cellStyle name="Title 2 2 2 20 2" xfId="10301" xr:uid="{00000000-0005-0000-0000-000067810000}"/>
    <cellStyle name="Title 2 2 2 20 2 2" xfId="28081" xr:uid="{00000000-0005-0000-0000-000068810000}"/>
    <cellStyle name="Title 2 2 2 20 3" xfId="28080" xr:uid="{00000000-0005-0000-0000-000069810000}"/>
    <cellStyle name="Title 2 2 2 21" xfId="10302" xr:uid="{00000000-0005-0000-0000-00006A810000}"/>
    <cellStyle name="Title 2 2 2 21 2" xfId="28082" xr:uid="{00000000-0005-0000-0000-00006B810000}"/>
    <cellStyle name="Title 2 2 2 22" xfId="10303" xr:uid="{00000000-0005-0000-0000-00006C810000}"/>
    <cellStyle name="Title 2 2 2 22 2" xfId="28083" xr:uid="{00000000-0005-0000-0000-00006D810000}"/>
    <cellStyle name="Title 2 2 2 23" xfId="10304" xr:uid="{00000000-0005-0000-0000-00006E810000}"/>
    <cellStyle name="Title 2 2 2 23 2" xfId="28084" xr:uid="{00000000-0005-0000-0000-00006F810000}"/>
    <cellStyle name="Title 2 2 2 24" xfId="10305" xr:uid="{00000000-0005-0000-0000-000070810000}"/>
    <cellStyle name="Title 2 2 2 24 2" xfId="28085" xr:uid="{00000000-0005-0000-0000-000071810000}"/>
    <cellStyle name="Title 2 2 2 25" xfId="10306" xr:uid="{00000000-0005-0000-0000-000072810000}"/>
    <cellStyle name="Title 2 2 2 25 2" xfId="28086" xr:uid="{00000000-0005-0000-0000-000073810000}"/>
    <cellStyle name="Title 2 2 2 26" xfId="10307" xr:uid="{00000000-0005-0000-0000-000074810000}"/>
    <cellStyle name="Title 2 2 2 26 2" xfId="28087" xr:uid="{00000000-0005-0000-0000-000075810000}"/>
    <cellStyle name="Title 2 2 2 27" xfId="10308" xr:uid="{00000000-0005-0000-0000-000076810000}"/>
    <cellStyle name="Title 2 2 2 27 2" xfId="28088" xr:uid="{00000000-0005-0000-0000-000077810000}"/>
    <cellStyle name="Title 2 2 2 28" xfId="10309" xr:uid="{00000000-0005-0000-0000-000078810000}"/>
    <cellStyle name="Title 2 2 2 28 2" xfId="10310" xr:uid="{00000000-0005-0000-0000-000079810000}"/>
    <cellStyle name="Title 2 2 2 28 2 2" xfId="28090" xr:uid="{00000000-0005-0000-0000-00007A810000}"/>
    <cellStyle name="Title 2 2 2 28 3" xfId="28089" xr:uid="{00000000-0005-0000-0000-00007B810000}"/>
    <cellStyle name="Title 2 2 2 29" xfId="28010" xr:uid="{00000000-0005-0000-0000-00007C810000}"/>
    <cellStyle name="Title 2 2 2 3" xfId="10311" xr:uid="{00000000-0005-0000-0000-00007D810000}"/>
    <cellStyle name="Title 2 2 2 3 2" xfId="10312" xr:uid="{00000000-0005-0000-0000-00007E810000}"/>
    <cellStyle name="Title 2 2 2 3 2 2" xfId="28092" xr:uid="{00000000-0005-0000-0000-00007F810000}"/>
    <cellStyle name="Title 2 2 2 3 3" xfId="28091" xr:uid="{00000000-0005-0000-0000-000080810000}"/>
    <cellStyle name="Title 2 2 2 30" xfId="32994" xr:uid="{00000000-0005-0000-0000-000081810000}"/>
    <cellStyle name="Title 2 2 2 4" xfId="10313" xr:uid="{00000000-0005-0000-0000-000082810000}"/>
    <cellStyle name="Title 2 2 2 4 2" xfId="28093" xr:uid="{00000000-0005-0000-0000-000083810000}"/>
    <cellStyle name="Title 2 2 2 5" xfId="10314" xr:uid="{00000000-0005-0000-0000-000084810000}"/>
    <cellStyle name="Title 2 2 2 5 2" xfId="28094" xr:uid="{00000000-0005-0000-0000-000085810000}"/>
    <cellStyle name="Title 2 2 2 6" xfId="10315" xr:uid="{00000000-0005-0000-0000-000086810000}"/>
    <cellStyle name="Title 2 2 2 6 2" xfId="28095" xr:uid="{00000000-0005-0000-0000-000087810000}"/>
    <cellStyle name="Title 2 2 2 7" xfId="10316" xr:uid="{00000000-0005-0000-0000-000088810000}"/>
    <cellStyle name="Title 2 2 2 7 2" xfId="28096" xr:uid="{00000000-0005-0000-0000-000089810000}"/>
    <cellStyle name="Title 2 2 2 8" xfId="10317" xr:uid="{00000000-0005-0000-0000-00008A810000}"/>
    <cellStyle name="Title 2 2 2 8 2" xfId="28097" xr:uid="{00000000-0005-0000-0000-00008B810000}"/>
    <cellStyle name="Title 2 2 2 9" xfId="10318" xr:uid="{00000000-0005-0000-0000-00008C810000}"/>
    <cellStyle name="Title 2 2 2 9 2" xfId="28098" xr:uid="{00000000-0005-0000-0000-00008D810000}"/>
    <cellStyle name="Title 2 2 20" xfId="10319" xr:uid="{00000000-0005-0000-0000-00008E810000}"/>
    <cellStyle name="Title 2 2 20 2" xfId="28099" xr:uid="{00000000-0005-0000-0000-00008F810000}"/>
    <cellStyle name="Title 2 2 21" xfId="10320" xr:uid="{00000000-0005-0000-0000-000090810000}"/>
    <cellStyle name="Title 2 2 21 2" xfId="28100" xr:uid="{00000000-0005-0000-0000-000091810000}"/>
    <cellStyle name="Title 2 2 22" xfId="10321" xr:uid="{00000000-0005-0000-0000-000092810000}"/>
    <cellStyle name="Title 2 2 22 2" xfId="28101" xr:uid="{00000000-0005-0000-0000-000093810000}"/>
    <cellStyle name="Title 2 2 23" xfId="10322" xr:uid="{00000000-0005-0000-0000-000094810000}"/>
    <cellStyle name="Title 2 2 23 2" xfId="28102" xr:uid="{00000000-0005-0000-0000-000095810000}"/>
    <cellStyle name="Title 2 2 24" xfId="10323" xr:uid="{00000000-0005-0000-0000-000096810000}"/>
    <cellStyle name="Title 2 2 24 2" xfId="28103" xr:uid="{00000000-0005-0000-0000-000097810000}"/>
    <cellStyle name="Title 2 2 25" xfId="10324" xr:uid="{00000000-0005-0000-0000-000098810000}"/>
    <cellStyle name="Title 2 2 25 2" xfId="28104" xr:uid="{00000000-0005-0000-0000-000099810000}"/>
    <cellStyle name="Title 2 2 26" xfId="10325" xr:uid="{00000000-0005-0000-0000-00009A810000}"/>
    <cellStyle name="Title 2 2 26 2" xfId="28105" xr:uid="{00000000-0005-0000-0000-00009B810000}"/>
    <cellStyle name="Title 2 2 27" xfId="10326" xr:uid="{00000000-0005-0000-0000-00009C810000}"/>
    <cellStyle name="Title 2 2 27 2" xfId="28106" xr:uid="{00000000-0005-0000-0000-00009D810000}"/>
    <cellStyle name="Title 2 2 28" xfId="10327" xr:uid="{00000000-0005-0000-0000-00009E810000}"/>
    <cellStyle name="Title 2 2 28 2" xfId="28107" xr:uid="{00000000-0005-0000-0000-00009F810000}"/>
    <cellStyle name="Title 2 2 29" xfId="10328" xr:uid="{00000000-0005-0000-0000-0000A0810000}"/>
    <cellStyle name="Title 2 2 29 2" xfId="28108" xr:uid="{00000000-0005-0000-0000-0000A1810000}"/>
    <cellStyle name="Title 2 2 3" xfId="10329" xr:uid="{00000000-0005-0000-0000-0000A2810000}"/>
    <cellStyle name="Title 2 2 3 2" xfId="28109" xr:uid="{00000000-0005-0000-0000-0000A3810000}"/>
    <cellStyle name="Title 2 2 30" xfId="10330" xr:uid="{00000000-0005-0000-0000-0000A4810000}"/>
    <cellStyle name="Title 2 2 30 2" xfId="28110" xr:uid="{00000000-0005-0000-0000-0000A5810000}"/>
    <cellStyle name="Title 2 2 31" xfId="10331" xr:uid="{00000000-0005-0000-0000-0000A6810000}"/>
    <cellStyle name="Title 2 2 31 2" xfId="10332" xr:uid="{00000000-0005-0000-0000-0000A7810000}"/>
    <cellStyle name="Title 2 2 31 2 2" xfId="28112" xr:uid="{00000000-0005-0000-0000-0000A8810000}"/>
    <cellStyle name="Title 2 2 31 3" xfId="28111" xr:uid="{00000000-0005-0000-0000-0000A9810000}"/>
    <cellStyle name="Title 2 2 32" xfId="10333" xr:uid="{00000000-0005-0000-0000-0000AA810000}"/>
    <cellStyle name="Title 2 2 32 2" xfId="28113" xr:uid="{00000000-0005-0000-0000-0000AB810000}"/>
    <cellStyle name="Title 2 2 33" xfId="10334" xr:uid="{00000000-0005-0000-0000-0000AC810000}"/>
    <cellStyle name="Title 2 2 33 2" xfId="28114" xr:uid="{00000000-0005-0000-0000-0000AD810000}"/>
    <cellStyle name="Title 2 2 34" xfId="10335" xr:uid="{00000000-0005-0000-0000-0000AE810000}"/>
    <cellStyle name="Title 2 2 34 2" xfId="28115" xr:uid="{00000000-0005-0000-0000-0000AF810000}"/>
    <cellStyle name="Title 2 2 35" xfId="10336" xr:uid="{00000000-0005-0000-0000-0000B0810000}"/>
    <cellStyle name="Title 2 2 35 2" xfId="28116" xr:uid="{00000000-0005-0000-0000-0000B1810000}"/>
    <cellStyle name="Title 2 2 36" xfId="10337" xr:uid="{00000000-0005-0000-0000-0000B2810000}"/>
    <cellStyle name="Title 2 2 36 2" xfId="28117" xr:uid="{00000000-0005-0000-0000-0000B3810000}"/>
    <cellStyle name="Title 2 2 37" xfId="10338" xr:uid="{00000000-0005-0000-0000-0000B4810000}"/>
    <cellStyle name="Title 2 2 37 2" xfId="28118" xr:uid="{00000000-0005-0000-0000-0000B5810000}"/>
    <cellStyle name="Title 2 2 38" xfId="10339" xr:uid="{00000000-0005-0000-0000-0000B6810000}"/>
    <cellStyle name="Title 2 2 38 2" xfId="28119" xr:uid="{00000000-0005-0000-0000-0000B7810000}"/>
    <cellStyle name="Title 2 2 39" xfId="10340" xr:uid="{00000000-0005-0000-0000-0000B8810000}"/>
    <cellStyle name="Title 2 2 39 2" xfId="10341" xr:uid="{00000000-0005-0000-0000-0000B9810000}"/>
    <cellStyle name="Title 2 2 39 2 2" xfId="28121" xr:uid="{00000000-0005-0000-0000-0000BA810000}"/>
    <cellStyle name="Title 2 2 39 3" xfId="28120" xr:uid="{00000000-0005-0000-0000-0000BB810000}"/>
    <cellStyle name="Title 2 2 4" xfId="10342" xr:uid="{00000000-0005-0000-0000-0000BC810000}"/>
    <cellStyle name="Title 2 2 4 2" xfId="28122" xr:uid="{00000000-0005-0000-0000-0000BD810000}"/>
    <cellStyle name="Title 2 2 40" xfId="27998" xr:uid="{00000000-0005-0000-0000-0000BE810000}"/>
    <cellStyle name="Title 2 2 41" xfId="32995" xr:uid="{00000000-0005-0000-0000-0000BF810000}"/>
    <cellStyle name="Title 2 2 5" xfId="10343" xr:uid="{00000000-0005-0000-0000-0000C0810000}"/>
    <cellStyle name="Title 2 2 5 2" xfId="28123" xr:uid="{00000000-0005-0000-0000-0000C1810000}"/>
    <cellStyle name="Title 2 2 6" xfId="10344" xr:uid="{00000000-0005-0000-0000-0000C2810000}"/>
    <cellStyle name="Title 2 2 6 2" xfId="28124" xr:uid="{00000000-0005-0000-0000-0000C3810000}"/>
    <cellStyle name="Title 2 2 7" xfId="10345" xr:uid="{00000000-0005-0000-0000-0000C4810000}"/>
    <cellStyle name="Title 2 2 7 2" xfId="28125" xr:uid="{00000000-0005-0000-0000-0000C5810000}"/>
    <cellStyle name="Title 2 2 8" xfId="10346" xr:uid="{00000000-0005-0000-0000-0000C6810000}"/>
    <cellStyle name="Title 2 2 8 2" xfId="28126" xr:uid="{00000000-0005-0000-0000-0000C7810000}"/>
    <cellStyle name="Title 2 2 9" xfId="10347" xr:uid="{00000000-0005-0000-0000-0000C8810000}"/>
    <cellStyle name="Title 2 2 9 2" xfId="28127" xr:uid="{00000000-0005-0000-0000-0000C9810000}"/>
    <cellStyle name="Title 2 2_Loan Classification" xfId="11506" xr:uid="{00000000-0005-0000-0000-0000CA810000}"/>
    <cellStyle name="Title 2 20" xfId="10348" xr:uid="{00000000-0005-0000-0000-0000CB810000}"/>
    <cellStyle name="Title 2 20 2" xfId="28128" xr:uid="{00000000-0005-0000-0000-0000CC810000}"/>
    <cellStyle name="Title 2 21" xfId="10349" xr:uid="{00000000-0005-0000-0000-0000CD810000}"/>
    <cellStyle name="Title 2 21 2" xfId="28129" xr:uid="{00000000-0005-0000-0000-0000CE810000}"/>
    <cellStyle name="Title 2 22" xfId="10350" xr:uid="{00000000-0005-0000-0000-0000CF810000}"/>
    <cellStyle name="Title 2 22 2" xfId="28130" xr:uid="{00000000-0005-0000-0000-0000D0810000}"/>
    <cellStyle name="Title 2 23" xfId="10351" xr:uid="{00000000-0005-0000-0000-0000D1810000}"/>
    <cellStyle name="Title 2 23 2" xfId="28131" xr:uid="{00000000-0005-0000-0000-0000D2810000}"/>
    <cellStyle name="Title 2 24" xfId="10352" xr:uid="{00000000-0005-0000-0000-0000D3810000}"/>
    <cellStyle name="Title 2 24 2" xfId="28132" xr:uid="{00000000-0005-0000-0000-0000D4810000}"/>
    <cellStyle name="Title 2 25" xfId="10353" xr:uid="{00000000-0005-0000-0000-0000D5810000}"/>
    <cellStyle name="Title 2 25 2" xfId="28133" xr:uid="{00000000-0005-0000-0000-0000D6810000}"/>
    <cellStyle name="Title 2 26" xfId="10354" xr:uid="{00000000-0005-0000-0000-0000D7810000}"/>
    <cellStyle name="Title 2 26 2" xfId="28134" xr:uid="{00000000-0005-0000-0000-0000D8810000}"/>
    <cellStyle name="Title 2 27" xfId="10355" xr:uid="{00000000-0005-0000-0000-0000D9810000}"/>
    <cellStyle name="Title 2 27 2" xfId="28135" xr:uid="{00000000-0005-0000-0000-0000DA810000}"/>
    <cellStyle name="Title 2 28" xfId="10356" xr:uid="{00000000-0005-0000-0000-0000DB810000}"/>
    <cellStyle name="Title 2 28 2" xfId="28136" xr:uid="{00000000-0005-0000-0000-0000DC810000}"/>
    <cellStyle name="Title 2 29" xfId="10357" xr:uid="{00000000-0005-0000-0000-0000DD810000}"/>
    <cellStyle name="Title 2 29 2" xfId="28137" xr:uid="{00000000-0005-0000-0000-0000DE810000}"/>
    <cellStyle name="Title 2 3" xfId="10358" xr:uid="{00000000-0005-0000-0000-0000DF810000}"/>
    <cellStyle name="Title 2 3 2" xfId="10359" xr:uid="{00000000-0005-0000-0000-0000E0810000}"/>
    <cellStyle name="Title 2 3 2 2" xfId="28139" xr:uid="{00000000-0005-0000-0000-0000E1810000}"/>
    <cellStyle name="Title 2 3 3" xfId="28138" xr:uid="{00000000-0005-0000-0000-0000E2810000}"/>
    <cellStyle name="Title 2 3 4" xfId="32996" xr:uid="{00000000-0005-0000-0000-0000E3810000}"/>
    <cellStyle name="Title 2 30" xfId="10360" xr:uid="{00000000-0005-0000-0000-0000E4810000}"/>
    <cellStyle name="Title 2 30 2" xfId="28140" xr:uid="{00000000-0005-0000-0000-0000E5810000}"/>
    <cellStyle name="Title 2 31" xfId="10361" xr:uid="{00000000-0005-0000-0000-0000E6810000}"/>
    <cellStyle name="Title 2 31 2" xfId="10362" xr:uid="{00000000-0005-0000-0000-0000E7810000}"/>
    <cellStyle name="Title 2 31 2 2" xfId="28142" xr:uid="{00000000-0005-0000-0000-0000E8810000}"/>
    <cellStyle name="Title 2 31 3" xfId="28141" xr:uid="{00000000-0005-0000-0000-0000E9810000}"/>
    <cellStyle name="Title 2 32" xfId="10363" xr:uid="{00000000-0005-0000-0000-0000EA810000}"/>
    <cellStyle name="Title 2 32 2" xfId="28143" xr:uid="{00000000-0005-0000-0000-0000EB810000}"/>
    <cellStyle name="Title 2 33" xfId="10364" xr:uid="{00000000-0005-0000-0000-0000EC810000}"/>
    <cellStyle name="Title 2 33 2" xfId="28144" xr:uid="{00000000-0005-0000-0000-0000ED810000}"/>
    <cellStyle name="Title 2 34" xfId="10365" xr:uid="{00000000-0005-0000-0000-0000EE810000}"/>
    <cellStyle name="Title 2 34 2" xfId="28145" xr:uid="{00000000-0005-0000-0000-0000EF810000}"/>
    <cellStyle name="Title 2 35" xfId="10366" xr:uid="{00000000-0005-0000-0000-0000F0810000}"/>
    <cellStyle name="Title 2 35 2" xfId="28146" xr:uid="{00000000-0005-0000-0000-0000F1810000}"/>
    <cellStyle name="Title 2 36" xfId="10367" xr:uid="{00000000-0005-0000-0000-0000F2810000}"/>
    <cellStyle name="Title 2 36 2" xfId="28147" xr:uid="{00000000-0005-0000-0000-0000F3810000}"/>
    <cellStyle name="Title 2 37" xfId="10368" xr:uid="{00000000-0005-0000-0000-0000F4810000}"/>
    <cellStyle name="Title 2 37 2" xfId="28148" xr:uid="{00000000-0005-0000-0000-0000F5810000}"/>
    <cellStyle name="Title 2 38" xfId="10369" xr:uid="{00000000-0005-0000-0000-0000F6810000}"/>
    <cellStyle name="Title 2 38 2" xfId="28149" xr:uid="{00000000-0005-0000-0000-0000F7810000}"/>
    <cellStyle name="Title 2 39" xfId="10370" xr:uid="{00000000-0005-0000-0000-0000F8810000}"/>
    <cellStyle name="Title 2 39 2" xfId="10371" xr:uid="{00000000-0005-0000-0000-0000F9810000}"/>
    <cellStyle name="Title 2 39 2 2" xfId="28151" xr:uid="{00000000-0005-0000-0000-0000FA810000}"/>
    <cellStyle name="Title 2 39 3" xfId="28150" xr:uid="{00000000-0005-0000-0000-0000FB810000}"/>
    <cellStyle name="Title 2 4" xfId="10372" xr:uid="{00000000-0005-0000-0000-0000FC810000}"/>
    <cellStyle name="Title 2 4 2" xfId="28152" xr:uid="{00000000-0005-0000-0000-0000FD810000}"/>
    <cellStyle name="Title 2 4 3" xfId="32997" xr:uid="{00000000-0005-0000-0000-0000FE810000}"/>
    <cellStyle name="Title 2 40" xfId="27986" xr:uid="{00000000-0005-0000-0000-0000FF810000}"/>
    <cellStyle name="Title 2 41" xfId="32998" xr:uid="{00000000-0005-0000-0000-000000820000}"/>
    <cellStyle name="Title 2 42" xfId="32999" xr:uid="{00000000-0005-0000-0000-000001820000}"/>
    <cellStyle name="Title 2 43" xfId="33000" xr:uid="{00000000-0005-0000-0000-000002820000}"/>
    <cellStyle name="Title 2 44" xfId="33001" xr:uid="{00000000-0005-0000-0000-000003820000}"/>
    <cellStyle name="Title 2 45" xfId="33195" xr:uid="{00000000-0005-0000-0000-000004820000}"/>
    <cellStyle name="Title 2 46" xfId="33136" xr:uid="{00000000-0005-0000-0000-000005820000}"/>
    <cellStyle name="Title 2 5" xfId="10373" xr:uid="{00000000-0005-0000-0000-000006820000}"/>
    <cellStyle name="Title 2 5 2" xfId="28153" xr:uid="{00000000-0005-0000-0000-000007820000}"/>
    <cellStyle name="Title 2 5 3" xfId="33002" xr:uid="{00000000-0005-0000-0000-000008820000}"/>
    <cellStyle name="Title 2 6" xfId="10374" xr:uid="{00000000-0005-0000-0000-000009820000}"/>
    <cellStyle name="Title 2 6 2" xfId="28154" xr:uid="{00000000-0005-0000-0000-00000A820000}"/>
    <cellStyle name="Title 2 7" xfId="10375" xr:uid="{00000000-0005-0000-0000-00000B820000}"/>
    <cellStyle name="Title 2 7 2" xfId="28155" xr:uid="{00000000-0005-0000-0000-00000C820000}"/>
    <cellStyle name="Title 2 8" xfId="10376" xr:uid="{00000000-0005-0000-0000-00000D820000}"/>
    <cellStyle name="Title 2 8 2" xfId="28156" xr:uid="{00000000-0005-0000-0000-00000E820000}"/>
    <cellStyle name="Title 2 9" xfId="10377" xr:uid="{00000000-0005-0000-0000-00000F820000}"/>
    <cellStyle name="Title 2 9 2" xfId="28157" xr:uid="{00000000-0005-0000-0000-000010820000}"/>
    <cellStyle name="Title 2_Loan Classification" xfId="11505" xr:uid="{00000000-0005-0000-0000-000011820000}"/>
    <cellStyle name="Title 20" xfId="10378" xr:uid="{00000000-0005-0000-0000-000012820000}"/>
    <cellStyle name="Title 20 2" xfId="28158" xr:uid="{00000000-0005-0000-0000-000013820000}"/>
    <cellStyle name="Title 21" xfId="10379" xr:uid="{00000000-0005-0000-0000-000014820000}"/>
    <cellStyle name="Title 21 2" xfId="28159" xr:uid="{00000000-0005-0000-0000-000015820000}"/>
    <cellStyle name="Title 22" xfId="10380" xr:uid="{00000000-0005-0000-0000-000016820000}"/>
    <cellStyle name="Title 22 2" xfId="28160" xr:uid="{00000000-0005-0000-0000-000017820000}"/>
    <cellStyle name="Title 23" xfId="10381" xr:uid="{00000000-0005-0000-0000-000018820000}"/>
    <cellStyle name="Title 23 2" xfId="28161" xr:uid="{00000000-0005-0000-0000-000019820000}"/>
    <cellStyle name="Title 24" xfId="10382" xr:uid="{00000000-0005-0000-0000-00001A820000}"/>
    <cellStyle name="Title 24 2" xfId="28162" xr:uid="{00000000-0005-0000-0000-00001B820000}"/>
    <cellStyle name="Title 25" xfId="10383" xr:uid="{00000000-0005-0000-0000-00001C820000}"/>
    <cellStyle name="Title 25 2" xfId="28163" xr:uid="{00000000-0005-0000-0000-00001D820000}"/>
    <cellStyle name="Title 26" xfId="10384" xr:uid="{00000000-0005-0000-0000-00001E820000}"/>
    <cellStyle name="Title 26 2" xfId="28164" xr:uid="{00000000-0005-0000-0000-00001F820000}"/>
    <cellStyle name="Title 27" xfId="10385" xr:uid="{00000000-0005-0000-0000-000020820000}"/>
    <cellStyle name="Title 27 2" xfId="28165" xr:uid="{00000000-0005-0000-0000-000021820000}"/>
    <cellStyle name="Title 28" xfId="10386" xr:uid="{00000000-0005-0000-0000-000022820000}"/>
    <cellStyle name="Title 28 2" xfId="28166" xr:uid="{00000000-0005-0000-0000-000023820000}"/>
    <cellStyle name="Title 29" xfId="10387" xr:uid="{00000000-0005-0000-0000-000024820000}"/>
    <cellStyle name="Title 29 2" xfId="28167" xr:uid="{00000000-0005-0000-0000-000025820000}"/>
    <cellStyle name="Title 3" xfId="187" xr:uid="{00000000-0005-0000-0000-000026820000}"/>
    <cellStyle name="Title 3 2" xfId="28168" xr:uid="{00000000-0005-0000-0000-000027820000}"/>
    <cellStyle name="Title 3 2 2" xfId="33003" xr:uid="{00000000-0005-0000-0000-000028820000}"/>
    <cellStyle name="Title 3 3" xfId="33004" xr:uid="{00000000-0005-0000-0000-000029820000}"/>
    <cellStyle name="Title 3 4" xfId="33005" xr:uid="{00000000-0005-0000-0000-00002A820000}"/>
    <cellStyle name="Title 3 5" xfId="10388" xr:uid="{00000000-0005-0000-0000-00002B820000}"/>
    <cellStyle name="Title 30" xfId="10389" xr:uid="{00000000-0005-0000-0000-00002C820000}"/>
    <cellStyle name="Title 30 2" xfId="28169" xr:uid="{00000000-0005-0000-0000-00002D820000}"/>
    <cellStyle name="Title 31" xfId="10390" xr:uid="{00000000-0005-0000-0000-00002E820000}"/>
    <cellStyle name="Title 31 2" xfId="28170" xr:uid="{00000000-0005-0000-0000-00002F820000}"/>
    <cellStyle name="Title 32" xfId="10391" xr:uid="{00000000-0005-0000-0000-000030820000}"/>
    <cellStyle name="Title 32 2" xfId="28171" xr:uid="{00000000-0005-0000-0000-000031820000}"/>
    <cellStyle name="Title 33" xfId="10392" xr:uid="{00000000-0005-0000-0000-000032820000}"/>
    <cellStyle name="Title 33 2" xfId="28172" xr:uid="{00000000-0005-0000-0000-000033820000}"/>
    <cellStyle name="Title 34" xfId="10393" xr:uid="{00000000-0005-0000-0000-000034820000}"/>
    <cellStyle name="Title 34 2" xfId="28173" xr:uid="{00000000-0005-0000-0000-000035820000}"/>
    <cellStyle name="Title 35" xfId="10394" xr:uid="{00000000-0005-0000-0000-000036820000}"/>
    <cellStyle name="Title 35 2" xfId="28174" xr:uid="{00000000-0005-0000-0000-000037820000}"/>
    <cellStyle name="Title 36" xfId="10395" xr:uid="{00000000-0005-0000-0000-000038820000}"/>
    <cellStyle name="Title 36 2" xfId="28175" xr:uid="{00000000-0005-0000-0000-000039820000}"/>
    <cellStyle name="Title 37" xfId="10396" xr:uid="{00000000-0005-0000-0000-00003A820000}"/>
    <cellStyle name="Title 37 2" xfId="28176" xr:uid="{00000000-0005-0000-0000-00003B820000}"/>
    <cellStyle name="Title 38" xfId="10397" xr:uid="{00000000-0005-0000-0000-00003C820000}"/>
    <cellStyle name="Title 38 2" xfId="28177" xr:uid="{00000000-0005-0000-0000-00003D820000}"/>
    <cellStyle name="Title 39" xfId="10398" xr:uid="{00000000-0005-0000-0000-00003E820000}"/>
    <cellStyle name="Title 39 2" xfId="28178" xr:uid="{00000000-0005-0000-0000-00003F820000}"/>
    <cellStyle name="Title 4" xfId="10399" xr:uid="{00000000-0005-0000-0000-000040820000}"/>
    <cellStyle name="Title 4 2" xfId="28179" xr:uid="{00000000-0005-0000-0000-000041820000}"/>
    <cellStyle name="Title 4 2 2" xfId="33006" xr:uid="{00000000-0005-0000-0000-000042820000}"/>
    <cellStyle name="Title 4 3" xfId="33007" xr:uid="{00000000-0005-0000-0000-000043820000}"/>
    <cellStyle name="Title 4 4" xfId="33008" xr:uid="{00000000-0005-0000-0000-000044820000}"/>
    <cellStyle name="Title 40" xfId="10400" xr:uid="{00000000-0005-0000-0000-000045820000}"/>
    <cellStyle name="Title 40 2" xfId="28180" xr:uid="{00000000-0005-0000-0000-000046820000}"/>
    <cellStyle name="Title 41" xfId="10401" xr:uid="{00000000-0005-0000-0000-000047820000}"/>
    <cellStyle name="Title 41 2" xfId="28181" xr:uid="{00000000-0005-0000-0000-000048820000}"/>
    <cellStyle name="Title 42" xfId="10402" xr:uid="{00000000-0005-0000-0000-000049820000}"/>
    <cellStyle name="Title 42 2" xfId="28182" xr:uid="{00000000-0005-0000-0000-00004A820000}"/>
    <cellStyle name="Title 43" xfId="11609" xr:uid="{00000000-0005-0000-0000-00004B820000}"/>
    <cellStyle name="Title 43 2" xfId="28183" xr:uid="{00000000-0005-0000-0000-00004C820000}"/>
    <cellStyle name="Title 44" xfId="28184" xr:uid="{00000000-0005-0000-0000-00004D820000}"/>
    <cellStyle name="Title 45" xfId="33009" xr:uid="{00000000-0005-0000-0000-00004E820000}"/>
    <cellStyle name="Title 46" xfId="640" xr:uid="{00000000-0005-0000-0000-00004F820000}"/>
    <cellStyle name="Title 5" xfId="10403" xr:uid="{00000000-0005-0000-0000-000050820000}"/>
    <cellStyle name="Title 5 2" xfId="28185" xr:uid="{00000000-0005-0000-0000-000051820000}"/>
    <cellStyle name="Title 5 2 2" xfId="33010" xr:uid="{00000000-0005-0000-0000-000052820000}"/>
    <cellStyle name="Title 5 3" xfId="33011" xr:uid="{00000000-0005-0000-0000-000053820000}"/>
    <cellStyle name="Title 5 4" xfId="33012" xr:uid="{00000000-0005-0000-0000-000054820000}"/>
    <cellStyle name="Title 6" xfId="10404" xr:uid="{00000000-0005-0000-0000-000055820000}"/>
    <cellStyle name="Title 6 2" xfId="28186" xr:uid="{00000000-0005-0000-0000-000056820000}"/>
    <cellStyle name="Title 6 2 2" xfId="33013" xr:uid="{00000000-0005-0000-0000-000057820000}"/>
    <cellStyle name="Title 6 3" xfId="33014" xr:uid="{00000000-0005-0000-0000-000058820000}"/>
    <cellStyle name="Title 6 4" xfId="33015" xr:uid="{00000000-0005-0000-0000-000059820000}"/>
    <cellStyle name="Title 7" xfId="10405" xr:uid="{00000000-0005-0000-0000-00005A820000}"/>
    <cellStyle name="Title 7 2" xfId="28187" xr:uid="{00000000-0005-0000-0000-00005B820000}"/>
    <cellStyle name="Title 7 2 2" xfId="33016" xr:uid="{00000000-0005-0000-0000-00005C820000}"/>
    <cellStyle name="Title 7 3" xfId="33017" xr:uid="{00000000-0005-0000-0000-00005D820000}"/>
    <cellStyle name="Title 7 4" xfId="33018" xr:uid="{00000000-0005-0000-0000-00005E820000}"/>
    <cellStyle name="Title 7 5" xfId="33019" xr:uid="{00000000-0005-0000-0000-00005F820000}"/>
    <cellStyle name="Title 8" xfId="10406" xr:uid="{00000000-0005-0000-0000-000060820000}"/>
    <cellStyle name="Title 8 2" xfId="28188" xr:uid="{00000000-0005-0000-0000-000061820000}"/>
    <cellStyle name="Title 8 3" xfId="33020" xr:uid="{00000000-0005-0000-0000-000062820000}"/>
    <cellStyle name="Title 8 4" xfId="34270" xr:uid="{00000000-0005-0000-0000-000063820000}"/>
    <cellStyle name="Title 9" xfId="10407" xr:uid="{00000000-0005-0000-0000-000064820000}"/>
    <cellStyle name="Title 9 2" xfId="28189" xr:uid="{00000000-0005-0000-0000-000065820000}"/>
    <cellStyle name="Title 9 3" xfId="33021" xr:uid="{00000000-0005-0000-0000-000066820000}"/>
    <cellStyle name="Titre" xfId="33022" xr:uid="{00000000-0005-0000-0000-000067820000}"/>
    <cellStyle name="Titre 1" xfId="33023" xr:uid="{00000000-0005-0000-0000-000068820000}"/>
    <cellStyle name="Titre 2" xfId="33024" xr:uid="{00000000-0005-0000-0000-000069820000}"/>
    <cellStyle name="Titre 3" xfId="33025" xr:uid="{00000000-0005-0000-0000-00006A820000}"/>
    <cellStyle name="Titre 4" xfId="33026" xr:uid="{00000000-0005-0000-0000-00006B820000}"/>
    <cellStyle name="Total" xfId="24" builtinId="25" customBuiltin="1"/>
    <cellStyle name="Total 10" xfId="10408" xr:uid="{00000000-0005-0000-0000-00006D820000}"/>
    <cellStyle name="Total 10 2" xfId="28190" xr:uid="{00000000-0005-0000-0000-00006E820000}"/>
    <cellStyle name="Total 10 3" xfId="33027" xr:uid="{00000000-0005-0000-0000-00006F820000}"/>
    <cellStyle name="Total 11" xfId="10409" xr:uid="{00000000-0005-0000-0000-000070820000}"/>
    <cellStyle name="Total 11 2" xfId="28191" xr:uid="{00000000-0005-0000-0000-000071820000}"/>
    <cellStyle name="Total 11 3" xfId="33028" xr:uid="{00000000-0005-0000-0000-000072820000}"/>
    <cellStyle name="Total 12" xfId="10410" xr:uid="{00000000-0005-0000-0000-000073820000}"/>
    <cellStyle name="Total 12 2" xfId="28192" xr:uid="{00000000-0005-0000-0000-000074820000}"/>
    <cellStyle name="Total 12 3" xfId="33029" xr:uid="{00000000-0005-0000-0000-000075820000}"/>
    <cellStyle name="Total 13" xfId="10411" xr:uid="{00000000-0005-0000-0000-000076820000}"/>
    <cellStyle name="Total 13 2" xfId="28193" xr:uid="{00000000-0005-0000-0000-000077820000}"/>
    <cellStyle name="Total 13 3" xfId="33030" xr:uid="{00000000-0005-0000-0000-000078820000}"/>
    <cellStyle name="Total 14" xfId="10412" xr:uid="{00000000-0005-0000-0000-000079820000}"/>
    <cellStyle name="Total 14 2" xfId="28194" xr:uid="{00000000-0005-0000-0000-00007A820000}"/>
    <cellStyle name="Total 14 3" xfId="33031" xr:uid="{00000000-0005-0000-0000-00007B820000}"/>
    <cellStyle name="Total 15" xfId="10413" xr:uid="{00000000-0005-0000-0000-00007C820000}"/>
    <cellStyle name="Total 15 2" xfId="28195" xr:uid="{00000000-0005-0000-0000-00007D820000}"/>
    <cellStyle name="Total 15 3" xfId="33032" xr:uid="{00000000-0005-0000-0000-00007E820000}"/>
    <cellStyle name="Total 16" xfId="10414" xr:uid="{00000000-0005-0000-0000-00007F820000}"/>
    <cellStyle name="Total 16 2" xfId="28196" xr:uid="{00000000-0005-0000-0000-000080820000}"/>
    <cellStyle name="Total 16 3" xfId="33033" xr:uid="{00000000-0005-0000-0000-000081820000}"/>
    <cellStyle name="Total 17" xfId="10415" xr:uid="{00000000-0005-0000-0000-000082820000}"/>
    <cellStyle name="Total 17 2" xfId="28197" xr:uid="{00000000-0005-0000-0000-000083820000}"/>
    <cellStyle name="Total 17 3" xfId="33034" xr:uid="{00000000-0005-0000-0000-000084820000}"/>
    <cellStyle name="Total 18" xfId="10416" xr:uid="{00000000-0005-0000-0000-000085820000}"/>
    <cellStyle name="Total 18 2" xfId="28198" xr:uid="{00000000-0005-0000-0000-000086820000}"/>
    <cellStyle name="Total 19" xfId="10417" xr:uid="{00000000-0005-0000-0000-000087820000}"/>
    <cellStyle name="Total 19 2" xfId="28199" xr:uid="{00000000-0005-0000-0000-000088820000}"/>
    <cellStyle name="Total 2" xfId="188" xr:uid="{00000000-0005-0000-0000-000089820000}"/>
    <cellStyle name="Total 2 10" xfId="10419" xr:uid="{00000000-0005-0000-0000-00008A820000}"/>
    <cellStyle name="Total 2 10 2" xfId="28201" xr:uid="{00000000-0005-0000-0000-00008B820000}"/>
    <cellStyle name="Total 2 11" xfId="10420" xr:uid="{00000000-0005-0000-0000-00008C820000}"/>
    <cellStyle name="Total 2 11 2" xfId="28202" xr:uid="{00000000-0005-0000-0000-00008D820000}"/>
    <cellStyle name="Total 2 12" xfId="10421" xr:uid="{00000000-0005-0000-0000-00008E820000}"/>
    <cellStyle name="Total 2 12 2" xfId="28203" xr:uid="{00000000-0005-0000-0000-00008F820000}"/>
    <cellStyle name="Total 2 13" xfId="10422" xr:uid="{00000000-0005-0000-0000-000090820000}"/>
    <cellStyle name="Total 2 13 2" xfId="28204" xr:uid="{00000000-0005-0000-0000-000091820000}"/>
    <cellStyle name="Total 2 14" xfId="10423" xr:uid="{00000000-0005-0000-0000-000092820000}"/>
    <cellStyle name="Total 2 14 2" xfId="10424" xr:uid="{00000000-0005-0000-0000-000093820000}"/>
    <cellStyle name="Total 2 14 2 2" xfId="28206" xr:uid="{00000000-0005-0000-0000-000094820000}"/>
    <cellStyle name="Total 2 14 3" xfId="28205" xr:uid="{00000000-0005-0000-0000-000095820000}"/>
    <cellStyle name="Total 2 15" xfId="10425" xr:uid="{00000000-0005-0000-0000-000096820000}"/>
    <cellStyle name="Total 2 15 2" xfId="28207" xr:uid="{00000000-0005-0000-0000-000097820000}"/>
    <cellStyle name="Total 2 16" xfId="10426" xr:uid="{00000000-0005-0000-0000-000098820000}"/>
    <cellStyle name="Total 2 16 2" xfId="28208" xr:uid="{00000000-0005-0000-0000-000099820000}"/>
    <cellStyle name="Total 2 17" xfId="10427" xr:uid="{00000000-0005-0000-0000-00009A820000}"/>
    <cellStyle name="Total 2 17 2" xfId="28209" xr:uid="{00000000-0005-0000-0000-00009B820000}"/>
    <cellStyle name="Total 2 18" xfId="10428" xr:uid="{00000000-0005-0000-0000-00009C820000}"/>
    <cellStyle name="Total 2 18 2" xfId="28210" xr:uid="{00000000-0005-0000-0000-00009D820000}"/>
    <cellStyle name="Total 2 19" xfId="10429" xr:uid="{00000000-0005-0000-0000-00009E820000}"/>
    <cellStyle name="Total 2 19 2" xfId="28211" xr:uid="{00000000-0005-0000-0000-00009F820000}"/>
    <cellStyle name="Total 2 2" xfId="10430" xr:uid="{00000000-0005-0000-0000-0000A0820000}"/>
    <cellStyle name="Total 2 2 10" xfId="10431" xr:uid="{00000000-0005-0000-0000-0000A1820000}"/>
    <cellStyle name="Total 2 2 10 2" xfId="28213" xr:uid="{00000000-0005-0000-0000-0000A2820000}"/>
    <cellStyle name="Total 2 2 11" xfId="10432" xr:uid="{00000000-0005-0000-0000-0000A3820000}"/>
    <cellStyle name="Total 2 2 11 2" xfId="28214" xr:uid="{00000000-0005-0000-0000-0000A4820000}"/>
    <cellStyle name="Total 2 2 12" xfId="10433" xr:uid="{00000000-0005-0000-0000-0000A5820000}"/>
    <cellStyle name="Total 2 2 12 2" xfId="28215" xr:uid="{00000000-0005-0000-0000-0000A6820000}"/>
    <cellStyle name="Total 2 2 13" xfId="10434" xr:uid="{00000000-0005-0000-0000-0000A7820000}"/>
    <cellStyle name="Total 2 2 13 2" xfId="28216" xr:uid="{00000000-0005-0000-0000-0000A8820000}"/>
    <cellStyle name="Total 2 2 14" xfId="10435" xr:uid="{00000000-0005-0000-0000-0000A9820000}"/>
    <cellStyle name="Total 2 2 14 2" xfId="10436" xr:uid="{00000000-0005-0000-0000-0000AA820000}"/>
    <cellStyle name="Total 2 2 14 2 2" xfId="28218" xr:uid="{00000000-0005-0000-0000-0000AB820000}"/>
    <cellStyle name="Total 2 2 14 3" xfId="28217" xr:uid="{00000000-0005-0000-0000-0000AC820000}"/>
    <cellStyle name="Total 2 2 15" xfId="10437" xr:uid="{00000000-0005-0000-0000-0000AD820000}"/>
    <cellStyle name="Total 2 2 15 2" xfId="28219" xr:uid="{00000000-0005-0000-0000-0000AE820000}"/>
    <cellStyle name="Total 2 2 16" xfId="10438" xr:uid="{00000000-0005-0000-0000-0000AF820000}"/>
    <cellStyle name="Total 2 2 16 2" xfId="28220" xr:uid="{00000000-0005-0000-0000-0000B0820000}"/>
    <cellStyle name="Total 2 2 17" xfId="10439" xr:uid="{00000000-0005-0000-0000-0000B1820000}"/>
    <cellStyle name="Total 2 2 17 2" xfId="28221" xr:uid="{00000000-0005-0000-0000-0000B2820000}"/>
    <cellStyle name="Total 2 2 18" xfId="10440" xr:uid="{00000000-0005-0000-0000-0000B3820000}"/>
    <cellStyle name="Total 2 2 18 2" xfId="28222" xr:uid="{00000000-0005-0000-0000-0000B4820000}"/>
    <cellStyle name="Total 2 2 19" xfId="10441" xr:uid="{00000000-0005-0000-0000-0000B5820000}"/>
    <cellStyle name="Total 2 2 19 2" xfId="28223" xr:uid="{00000000-0005-0000-0000-0000B6820000}"/>
    <cellStyle name="Total 2 2 2" xfId="10442" xr:uid="{00000000-0005-0000-0000-0000B7820000}"/>
    <cellStyle name="Total 2 2 2 10" xfId="10443" xr:uid="{00000000-0005-0000-0000-0000B8820000}"/>
    <cellStyle name="Total 2 2 2 10 2" xfId="28225" xr:uid="{00000000-0005-0000-0000-0000B9820000}"/>
    <cellStyle name="Total 2 2 2 11" xfId="10444" xr:uid="{00000000-0005-0000-0000-0000BA820000}"/>
    <cellStyle name="Total 2 2 2 11 2" xfId="28226" xr:uid="{00000000-0005-0000-0000-0000BB820000}"/>
    <cellStyle name="Total 2 2 2 12" xfId="10445" xr:uid="{00000000-0005-0000-0000-0000BC820000}"/>
    <cellStyle name="Total 2 2 2 12 2" xfId="28227" xr:uid="{00000000-0005-0000-0000-0000BD820000}"/>
    <cellStyle name="Total 2 2 2 13" xfId="10446" xr:uid="{00000000-0005-0000-0000-0000BE820000}"/>
    <cellStyle name="Total 2 2 2 13 2" xfId="28228" xr:uid="{00000000-0005-0000-0000-0000BF820000}"/>
    <cellStyle name="Total 2 2 2 14" xfId="10447" xr:uid="{00000000-0005-0000-0000-0000C0820000}"/>
    <cellStyle name="Total 2 2 2 14 2" xfId="28229" xr:uid="{00000000-0005-0000-0000-0000C1820000}"/>
    <cellStyle name="Total 2 2 2 15" xfId="10448" xr:uid="{00000000-0005-0000-0000-0000C2820000}"/>
    <cellStyle name="Total 2 2 2 15 2" xfId="28230" xr:uid="{00000000-0005-0000-0000-0000C3820000}"/>
    <cellStyle name="Total 2 2 2 16" xfId="10449" xr:uid="{00000000-0005-0000-0000-0000C4820000}"/>
    <cellStyle name="Total 2 2 2 16 2" xfId="28231" xr:uid="{00000000-0005-0000-0000-0000C5820000}"/>
    <cellStyle name="Total 2 2 2 17" xfId="10450" xr:uid="{00000000-0005-0000-0000-0000C6820000}"/>
    <cellStyle name="Total 2 2 2 17 2" xfId="28232" xr:uid="{00000000-0005-0000-0000-0000C7820000}"/>
    <cellStyle name="Total 2 2 2 18" xfId="10451" xr:uid="{00000000-0005-0000-0000-0000C8820000}"/>
    <cellStyle name="Total 2 2 2 18 2" xfId="28233" xr:uid="{00000000-0005-0000-0000-0000C9820000}"/>
    <cellStyle name="Total 2 2 2 19" xfId="10452" xr:uid="{00000000-0005-0000-0000-0000CA820000}"/>
    <cellStyle name="Total 2 2 2 19 2" xfId="28234" xr:uid="{00000000-0005-0000-0000-0000CB820000}"/>
    <cellStyle name="Total 2 2 2 2" xfId="10453" xr:uid="{00000000-0005-0000-0000-0000CC820000}"/>
    <cellStyle name="Total 2 2 2 2 10" xfId="10454" xr:uid="{00000000-0005-0000-0000-0000CD820000}"/>
    <cellStyle name="Total 2 2 2 2 10 2" xfId="28236" xr:uid="{00000000-0005-0000-0000-0000CE820000}"/>
    <cellStyle name="Total 2 2 2 2 11" xfId="10455" xr:uid="{00000000-0005-0000-0000-0000CF820000}"/>
    <cellStyle name="Total 2 2 2 2 11 2" xfId="28237" xr:uid="{00000000-0005-0000-0000-0000D0820000}"/>
    <cellStyle name="Total 2 2 2 2 12" xfId="10456" xr:uid="{00000000-0005-0000-0000-0000D1820000}"/>
    <cellStyle name="Total 2 2 2 2 12 2" xfId="28238" xr:uid="{00000000-0005-0000-0000-0000D2820000}"/>
    <cellStyle name="Total 2 2 2 2 13" xfId="10457" xr:uid="{00000000-0005-0000-0000-0000D3820000}"/>
    <cellStyle name="Total 2 2 2 2 13 2" xfId="28239" xr:uid="{00000000-0005-0000-0000-0000D4820000}"/>
    <cellStyle name="Total 2 2 2 2 14" xfId="10458" xr:uid="{00000000-0005-0000-0000-0000D5820000}"/>
    <cellStyle name="Total 2 2 2 2 14 2" xfId="28240" xr:uid="{00000000-0005-0000-0000-0000D6820000}"/>
    <cellStyle name="Total 2 2 2 2 15" xfId="10459" xr:uid="{00000000-0005-0000-0000-0000D7820000}"/>
    <cellStyle name="Total 2 2 2 2 15 2" xfId="28241" xr:uid="{00000000-0005-0000-0000-0000D8820000}"/>
    <cellStyle name="Total 2 2 2 2 16" xfId="10460" xr:uid="{00000000-0005-0000-0000-0000D9820000}"/>
    <cellStyle name="Total 2 2 2 2 16 2" xfId="28242" xr:uid="{00000000-0005-0000-0000-0000DA820000}"/>
    <cellStyle name="Total 2 2 2 2 17" xfId="10461" xr:uid="{00000000-0005-0000-0000-0000DB820000}"/>
    <cellStyle name="Total 2 2 2 2 17 2" xfId="28243" xr:uid="{00000000-0005-0000-0000-0000DC820000}"/>
    <cellStyle name="Total 2 2 2 2 18" xfId="10462" xr:uid="{00000000-0005-0000-0000-0000DD820000}"/>
    <cellStyle name="Total 2 2 2 2 18 2" xfId="28244" xr:uid="{00000000-0005-0000-0000-0000DE820000}"/>
    <cellStyle name="Total 2 2 2 2 19" xfId="10463" xr:uid="{00000000-0005-0000-0000-0000DF820000}"/>
    <cellStyle name="Total 2 2 2 2 19 2" xfId="28245" xr:uid="{00000000-0005-0000-0000-0000E0820000}"/>
    <cellStyle name="Total 2 2 2 2 2" xfId="10464" xr:uid="{00000000-0005-0000-0000-0000E1820000}"/>
    <cellStyle name="Total 2 2 2 2 2 10" xfId="10465" xr:uid="{00000000-0005-0000-0000-0000E2820000}"/>
    <cellStyle name="Total 2 2 2 2 2 10 2" xfId="28247" xr:uid="{00000000-0005-0000-0000-0000E3820000}"/>
    <cellStyle name="Total 2 2 2 2 2 11" xfId="10466" xr:uid="{00000000-0005-0000-0000-0000E4820000}"/>
    <cellStyle name="Total 2 2 2 2 2 11 2" xfId="10467" xr:uid="{00000000-0005-0000-0000-0000E5820000}"/>
    <cellStyle name="Total 2 2 2 2 2 11 2 2" xfId="28249" xr:uid="{00000000-0005-0000-0000-0000E6820000}"/>
    <cellStyle name="Total 2 2 2 2 2 11 3" xfId="28248" xr:uid="{00000000-0005-0000-0000-0000E7820000}"/>
    <cellStyle name="Total 2 2 2 2 2 12" xfId="28246" xr:uid="{00000000-0005-0000-0000-0000E8820000}"/>
    <cellStyle name="Total 2 2 2 2 2 2" xfId="10468" xr:uid="{00000000-0005-0000-0000-0000E9820000}"/>
    <cellStyle name="Total 2 2 2 2 2 2 10" xfId="10469" xr:uid="{00000000-0005-0000-0000-0000EA820000}"/>
    <cellStyle name="Total 2 2 2 2 2 2 10 2" xfId="28251" xr:uid="{00000000-0005-0000-0000-0000EB820000}"/>
    <cellStyle name="Total 2 2 2 2 2 2 11" xfId="10470" xr:uid="{00000000-0005-0000-0000-0000EC820000}"/>
    <cellStyle name="Total 2 2 2 2 2 2 11 2" xfId="10471" xr:uid="{00000000-0005-0000-0000-0000ED820000}"/>
    <cellStyle name="Total 2 2 2 2 2 2 11 2 2" xfId="28253" xr:uid="{00000000-0005-0000-0000-0000EE820000}"/>
    <cellStyle name="Total 2 2 2 2 2 2 11 3" xfId="28252" xr:uid="{00000000-0005-0000-0000-0000EF820000}"/>
    <cellStyle name="Total 2 2 2 2 2 2 12" xfId="28250" xr:uid="{00000000-0005-0000-0000-0000F0820000}"/>
    <cellStyle name="Total 2 2 2 2 2 2 2" xfId="10472" xr:uid="{00000000-0005-0000-0000-0000F1820000}"/>
    <cellStyle name="Total 2 2 2 2 2 2 2 2" xfId="10473" xr:uid="{00000000-0005-0000-0000-0000F2820000}"/>
    <cellStyle name="Total 2 2 2 2 2 2 2 2 2" xfId="10474" xr:uid="{00000000-0005-0000-0000-0000F3820000}"/>
    <cellStyle name="Total 2 2 2 2 2 2 2 2 2 2" xfId="10475" xr:uid="{00000000-0005-0000-0000-0000F4820000}"/>
    <cellStyle name="Total 2 2 2 2 2 2 2 2 2 2 2" xfId="28257" xr:uid="{00000000-0005-0000-0000-0000F5820000}"/>
    <cellStyle name="Total 2 2 2 2 2 2 2 2 2 3" xfId="28256" xr:uid="{00000000-0005-0000-0000-0000F6820000}"/>
    <cellStyle name="Total 2 2 2 2 2 2 2 2 3" xfId="10476" xr:uid="{00000000-0005-0000-0000-0000F7820000}"/>
    <cellStyle name="Total 2 2 2 2 2 2 2 2 3 2" xfId="28258" xr:uid="{00000000-0005-0000-0000-0000F8820000}"/>
    <cellStyle name="Total 2 2 2 2 2 2 2 2 4" xfId="28255" xr:uid="{00000000-0005-0000-0000-0000F9820000}"/>
    <cellStyle name="Total 2 2 2 2 2 2 2 3" xfId="10477" xr:uid="{00000000-0005-0000-0000-0000FA820000}"/>
    <cellStyle name="Total 2 2 2 2 2 2 2 3 2" xfId="10478" xr:uid="{00000000-0005-0000-0000-0000FB820000}"/>
    <cellStyle name="Total 2 2 2 2 2 2 2 3 2 2" xfId="28260" xr:uid="{00000000-0005-0000-0000-0000FC820000}"/>
    <cellStyle name="Total 2 2 2 2 2 2 2 3 3" xfId="28259" xr:uid="{00000000-0005-0000-0000-0000FD820000}"/>
    <cellStyle name="Total 2 2 2 2 2 2 2 4" xfId="28254" xr:uid="{00000000-0005-0000-0000-0000FE820000}"/>
    <cellStyle name="Total 2 2 2 2 2 2 3" xfId="10479" xr:uid="{00000000-0005-0000-0000-0000FF820000}"/>
    <cellStyle name="Total 2 2 2 2 2 2 3 2" xfId="28261" xr:uid="{00000000-0005-0000-0000-000000830000}"/>
    <cellStyle name="Total 2 2 2 2 2 2 4" xfId="10480" xr:uid="{00000000-0005-0000-0000-000001830000}"/>
    <cellStyle name="Total 2 2 2 2 2 2 4 2" xfId="28262" xr:uid="{00000000-0005-0000-0000-000002830000}"/>
    <cellStyle name="Total 2 2 2 2 2 2 5" xfId="10481" xr:uid="{00000000-0005-0000-0000-000003830000}"/>
    <cellStyle name="Total 2 2 2 2 2 2 5 2" xfId="28263" xr:uid="{00000000-0005-0000-0000-000004830000}"/>
    <cellStyle name="Total 2 2 2 2 2 2 6" xfId="10482" xr:uid="{00000000-0005-0000-0000-000005830000}"/>
    <cellStyle name="Total 2 2 2 2 2 2 6 2" xfId="28264" xr:uid="{00000000-0005-0000-0000-000006830000}"/>
    <cellStyle name="Total 2 2 2 2 2 2 7" xfId="10483" xr:uid="{00000000-0005-0000-0000-000007830000}"/>
    <cellStyle name="Total 2 2 2 2 2 2 7 2" xfId="28265" xr:uid="{00000000-0005-0000-0000-000008830000}"/>
    <cellStyle name="Total 2 2 2 2 2 2 8" xfId="10484" xr:uid="{00000000-0005-0000-0000-000009830000}"/>
    <cellStyle name="Total 2 2 2 2 2 2 8 2" xfId="28266" xr:uid="{00000000-0005-0000-0000-00000A830000}"/>
    <cellStyle name="Total 2 2 2 2 2 2 9" xfId="10485" xr:uid="{00000000-0005-0000-0000-00000B830000}"/>
    <cellStyle name="Total 2 2 2 2 2 2 9 2" xfId="28267" xr:uid="{00000000-0005-0000-0000-00000C830000}"/>
    <cellStyle name="Total 2 2 2 2 2 3" xfId="10486" xr:uid="{00000000-0005-0000-0000-00000D830000}"/>
    <cellStyle name="Total 2 2 2 2 2 3 2" xfId="10487" xr:uid="{00000000-0005-0000-0000-00000E830000}"/>
    <cellStyle name="Total 2 2 2 2 2 3 2 2" xfId="28269" xr:uid="{00000000-0005-0000-0000-00000F830000}"/>
    <cellStyle name="Total 2 2 2 2 2 3 3" xfId="28268" xr:uid="{00000000-0005-0000-0000-000010830000}"/>
    <cellStyle name="Total 2 2 2 2 2 4" xfId="10488" xr:uid="{00000000-0005-0000-0000-000011830000}"/>
    <cellStyle name="Total 2 2 2 2 2 4 2" xfId="28270" xr:uid="{00000000-0005-0000-0000-000012830000}"/>
    <cellStyle name="Total 2 2 2 2 2 5" xfId="10489" xr:uid="{00000000-0005-0000-0000-000013830000}"/>
    <cellStyle name="Total 2 2 2 2 2 5 2" xfId="28271" xr:uid="{00000000-0005-0000-0000-000014830000}"/>
    <cellStyle name="Total 2 2 2 2 2 6" xfId="10490" xr:uid="{00000000-0005-0000-0000-000015830000}"/>
    <cellStyle name="Total 2 2 2 2 2 6 2" xfId="28272" xr:uid="{00000000-0005-0000-0000-000016830000}"/>
    <cellStyle name="Total 2 2 2 2 2 7" xfId="10491" xr:uid="{00000000-0005-0000-0000-000017830000}"/>
    <cellStyle name="Total 2 2 2 2 2 7 2" xfId="28273" xr:uid="{00000000-0005-0000-0000-000018830000}"/>
    <cellStyle name="Total 2 2 2 2 2 8" xfId="10492" xr:uid="{00000000-0005-0000-0000-000019830000}"/>
    <cellStyle name="Total 2 2 2 2 2 8 2" xfId="28274" xr:uid="{00000000-0005-0000-0000-00001A830000}"/>
    <cellStyle name="Total 2 2 2 2 2 9" xfId="10493" xr:uid="{00000000-0005-0000-0000-00001B830000}"/>
    <cellStyle name="Total 2 2 2 2 2 9 2" xfId="28275" xr:uid="{00000000-0005-0000-0000-00001C830000}"/>
    <cellStyle name="Total 2 2 2 2 20" xfId="10494" xr:uid="{00000000-0005-0000-0000-00001D830000}"/>
    <cellStyle name="Total 2 2 2 2 20 2" xfId="10495" xr:uid="{00000000-0005-0000-0000-00001E830000}"/>
    <cellStyle name="Total 2 2 2 2 20 2 2" xfId="28277" xr:uid="{00000000-0005-0000-0000-00001F830000}"/>
    <cellStyle name="Total 2 2 2 2 20 3" xfId="28276" xr:uid="{00000000-0005-0000-0000-000020830000}"/>
    <cellStyle name="Total 2 2 2 2 21" xfId="10496" xr:uid="{00000000-0005-0000-0000-000021830000}"/>
    <cellStyle name="Total 2 2 2 2 21 2" xfId="28278" xr:uid="{00000000-0005-0000-0000-000022830000}"/>
    <cellStyle name="Total 2 2 2 2 22" xfId="10497" xr:uid="{00000000-0005-0000-0000-000023830000}"/>
    <cellStyle name="Total 2 2 2 2 22 2" xfId="28279" xr:uid="{00000000-0005-0000-0000-000024830000}"/>
    <cellStyle name="Total 2 2 2 2 23" xfId="10498" xr:uid="{00000000-0005-0000-0000-000025830000}"/>
    <cellStyle name="Total 2 2 2 2 23 2" xfId="28280" xr:uid="{00000000-0005-0000-0000-000026830000}"/>
    <cellStyle name="Total 2 2 2 2 24" xfId="10499" xr:uid="{00000000-0005-0000-0000-000027830000}"/>
    <cellStyle name="Total 2 2 2 2 24 2" xfId="28281" xr:uid="{00000000-0005-0000-0000-000028830000}"/>
    <cellStyle name="Total 2 2 2 2 25" xfId="10500" xr:uid="{00000000-0005-0000-0000-000029830000}"/>
    <cellStyle name="Total 2 2 2 2 25 2" xfId="28282" xr:uid="{00000000-0005-0000-0000-00002A830000}"/>
    <cellStyle name="Total 2 2 2 2 26" xfId="10501" xr:uid="{00000000-0005-0000-0000-00002B830000}"/>
    <cellStyle name="Total 2 2 2 2 26 2" xfId="28283" xr:uid="{00000000-0005-0000-0000-00002C830000}"/>
    <cellStyle name="Total 2 2 2 2 27" xfId="10502" xr:uid="{00000000-0005-0000-0000-00002D830000}"/>
    <cellStyle name="Total 2 2 2 2 27 2" xfId="28284" xr:uid="{00000000-0005-0000-0000-00002E830000}"/>
    <cellStyle name="Total 2 2 2 2 28" xfId="10503" xr:uid="{00000000-0005-0000-0000-00002F830000}"/>
    <cellStyle name="Total 2 2 2 2 28 2" xfId="10504" xr:uid="{00000000-0005-0000-0000-000030830000}"/>
    <cellStyle name="Total 2 2 2 2 28 2 2" xfId="28286" xr:uid="{00000000-0005-0000-0000-000031830000}"/>
    <cellStyle name="Total 2 2 2 2 28 3" xfId="28285" xr:uid="{00000000-0005-0000-0000-000032830000}"/>
    <cellStyle name="Total 2 2 2 2 29" xfId="28235" xr:uid="{00000000-0005-0000-0000-000033830000}"/>
    <cellStyle name="Total 2 2 2 2 3" xfId="10505" xr:uid="{00000000-0005-0000-0000-000034830000}"/>
    <cellStyle name="Total 2 2 2 2 3 2" xfId="28287" xr:uid="{00000000-0005-0000-0000-000035830000}"/>
    <cellStyle name="Total 2 2 2 2 4" xfId="10506" xr:uid="{00000000-0005-0000-0000-000036830000}"/>
    <cellStyle name="Total 2 2 2 2 4 2" xfId="28288" xr:uid="{00000000-0005-0000-0000-000037830000}"/>
    <cellStyle name="Total 2 2 2 2 5" xfId="10507" xr:uid="{00000000-0005-0000-0000-000038830000}"/>
    <cellStyle name="Total 2 2 2 2 5 2" xfId="28289" xr:uid="{00000000-0005-0000-0000-000039830000}"/>
    <cellStyle name="Total 2 2 2 2 6" xfId="10508" xr:uid="{00000000-0005-0000-0000-00003A830000}"/>
    <cellStyle name="Total 2 2 2 2 6 2" xfId="28290" xr:uid="{00000000-0005-0000-0000-00003B830000}"/>
    <cellStyle name="Total 2 2 2 2 7" xfId="10509" xr:uid="{00000000-0005-0000-0000-00003C830000}"/>
    <cellStyle name="Total 2 2 2 2 7 2" xfId="28291" xr:uid="{00000000-0005-0000-0000-00003D830000}"/>
    <cellStyle name="Total 2 2 2 2 8" xfId="10510" xr:uid="{00000000-0005-0000-0000-00003E830000}"/>
    <cellStyle name="Total 2 2 2 2 8 2" xfId="28292" xr:uid="{00000000-0005-0000-0000-00003F830000}"/>
    <cellStyle name="Total 2 2 2 2 9" xfId="10511" xr:uid="{00000000-0005-0000-0000-000040830000}"/>
    <cellStyle name="Total 2 2 2 2 9 2" xfId="28293" xr:uid="{00000000-0005-0000-0000-000041830000}"/>
    <cellStyle name="Total 2 2 2 20" xfId="10512" xr:uid="{00000000-0005-0000-0000-000042830000}"/>
    <cellStyle name="Total 2 2 2 20 2" xfId="10513" xr:uid="{00000000-0005-0000-0000-000043830000}"/>
    <cellStyle name="Total 2 2 2 20 2 2" xfId="28295" xr:uid="{00000000-0005-0000-0000-000044830000}"/>
    <cellStyle name="Total 2 2 2 20 3" xfId="28294" xr:uid="{00000000-0005-0000-0000-000045830000}"/>
    <cellStyle name="Total 2 2 2 21" xfId="10514" xr:uid="{00000000-0005-0000-0000-000046830000}"/>
    <cellStyle name="Total 2 2 2 21 2" xfId="28296" xr:uid="{00000000-0005-0000-0000-000047830000}"/>
    <cellStyle name="Total 2 2 2 22" xfId="10515" xr:uid="{00000000-0005-0000-0000-000048830000}"/>
    <cellStyle name="Total 2 2 2 22 2" xfId="28297" xr:uid="{00000000-0005-0000-0000-000049830000}"/>
    <cellStyle name="Total 2 2 2 23" xfId="10516" xr:uid="{00000000-0005-0000-0000-00004A830000}"/>
    <cellStyle name="Total 2 2 2 23 2" xfId="28298" xr:uid="{00000000-0005-0000-0000-00004B830000}"/>
    <cellStyle name="Total 2 2 2 24" xfId="10517" xr:uid="{00000000-0005-0000-0000-00004C830000}"/>
    <cellStyle name="Total 2 2 2 24 2" xfId="28299" xr:uid="{00000000-0005-0000-0000-00004D830000}"/>
    <cellStyle name="Total 2 2 2 25" xfId="10518" xr:uid="{00000000-0005-0000-0000-00004E830000}"/>
    <cellStyle name="Total 2 2 2 25 2" xfId="28300" xr:uid="{00000000-0005-0000-0000-00004F830000}"/>
    <cellStyle name="Total 2 2 2 26" xfId="10519" xr:uid="{00000000-0005-0000-0000-000050830000}"/>
    <cellStyle name="Total 2 2 2 26 2" xfId="28301" xr:uid="{00000000-0005-0000-0000-000051830000}"/>
    <cellStyle name="Total 2 2 2 27" xfId="10520" xr:uid="{00000000-0005-0000-0000-000052830000}"/>
    <cellStyle name="Total 2 2 2 27 2" xfId="28302" xr:uid="{00000000-0005-0000-0000-000053830000}"/>
    <cellStyle name="Total 2 2 2 28" xfId="10521" xr:uid="{00000000-0005-0000-0000-000054830000}"/>
    <cellStyle name="Total 2 2 2 28 2" xfId="10522" xr:uid="{00000000-0005-0000-0000-000055830000}"/>
    <cellStyle name="Total 2 2 2 28 2 2" xfId="28304" xr:uid="{00000000-0005-0000-0000-000056830000}"/>
    <cellStyle name="Total 2 2 2 28 3" xfId="28303" xr:uid="{00000000-0005-0000-0000-000057830000}"/>
    <cellStyle name="Total 2 2 2 29" xfId="28224" xr:uid="{00000000-0005-0000-0000-000058830000}"/>
    <cellStyle name="Total 2 2 2 3" xfId="10523" xr:uid="{00000000-0005-0000-0000-000059830000}"/>
    <cellStyle name="Total 2 2 2 3 2" xfId="10524" xr:uid="{00000000-0005-0000-0000-00005A830000}"/>
    <cellStyle name="Total 2 2 2 3 2 2" xfId="28306" xr:uid="{00000000-0005-0000-0000-00005B830000}"/>
    <cellStyle name="Total 2 2 2 3 3" xfId="28305" xr:uid="{00000000-0005-0000-0000-00005C830000}"/>
    <cellStyle name="Total 2 2 2 30" xfId="33035" xr:uid="{00000000-0005-0000-0000-00005D830000}"/>
    <cellStyle name="Total 2 2 2 4" xfId="10525" xr:uid="{00000000-0005-0000-0000-00005E830000}"/>
    <cellStyle name="Total 2 2 2 4 2" xfId="28307" xr:uid="{00000000-0005-0000-0000-00005F830000}"/>
    <cellStyle name="Total 2 2 2 5" xfId="10526" xr:uid="{00000000-0005-0000-0000-000060830000}"/>
    <cellStyle name="Total 2 2 2 5 2" xfId="28308" xr:uid="{00000000-0005-0000-0000-000061830000}"/>
    <cellStyle name="Total 2 2 2 6" xfId="10527" xr:uid="{00000000-0005-0000-0000-000062830000}"/>
    <cellStyle name="Total 2 2 2 6 2" xfId="28309" xr:uid="{00000000-0005-0000-0000-000063830000}"/>
    <cellStyle name="Total 2 2 2 7" xfId="10528" xr:uid="{00000000-0005-0000-0000-000064830000}"/>
    <cellStyle name="Total 2 2 2 7 2" xfId="28310" xr:uid="{00000000-0005-0000-0000-000065830000}"/>
    <cellStyle name="Total 2 2 2 8" xfId="10529" xr:uid="{00000000-0005-0000-0000-000066830000}"/>
    <cellStyle name="Total 2 2 2 8 2" xfId="28311" xr:uid="{00000000-0005-0000-0000-000067830000}"/>
    <cellStyle name="Total 2 2 2 9" xfId="10530" xr:uid="{00000000-0005-0000-0000-000068830000}"/>
    <cellStyle name="Total 2 2 2 9 2" xfId="28312" xr:uid="{00000000-0005-0000-0000-000069830000}"/>
    <cellStyle name="Total 2 2 20" xfId="10531" xr:uid="{00000000-0005-0000-0000-00006A830000}"/>
    <cellStyle name="Total 2 2 20 2" xfId="28313" xr:uid="{00000000-0005-0000-0000-00006B830000}"/>
    <cellStyle name="Total 2 2 21" xfId="10532" xr:uid="{00000000-0005-0000-0000-00006C830000}"/>
    <cellStyle name="Total 2 2 21 2" xfId="28314" xr:uid="{00000000-0005-0000-0000-00006D830000}"/>
    <cellStyle name="Total 2 2 22" xfId="10533" xr:uid="{00000000-0005-0000-0000-00006E830000}"/>
    <cellStyle name="Total 2 2 22 2" xfId="28315" xr:uid="{00000000-0005-0000-0000-00006F830000}"/>
    <cellStyle name="Total 2 2 23" xfId="10534" xr:uid="{00000000-0005-0000-0000-000070830000}"/>
    <cellStyle name="Total 2 2 23 2" xfId="28316" xr:uid="{00000000-0005-0000-0000-000071830000}"/>
    <cellStyle name="Total 2 2 24" xfId="10535" xr:uid="{00000000-0005-0000-0000-000072830000}"/>
    <cellStyle name="Total 2 2 24 2" xfId="28317" xr:uid="{00000000-0005-0000-0000-000073830000}"/>
    <cellStyle name="Total 2 2 25" xfId="10536" xr:uid="{00000000-0005-0000-0000-000074830000}"/>
    <cellStyle name="Total 2 2 25 2" xfId="28318" xr:uid="{00000000-0005-0000-0000-000075830000}"/>
    <cellStyle name="Total 2 2 26" xfId="10537" xr:uid="{00000000-0005-0000-0000-000076830000}"/>
    <cellStyle name="Total 2 2 26 2" xfId="28319" xr:uid="{00000000-0005-0000-0000-000077830000}"/>
    <cellStyle name="Total 2 2 27" xfId="10538" xr:uid="{00000000-0005-0000-0000-000078830000}"/>
    <cellStyle name="Total 2 2 27 2" xfId="28320" xr:uid="{00000000-0005-0000-0000-000079830000}"/>
    <cellStyle name="Total 2 2 28" xfId="10539" xr:uid="{00000000-0005-0000-0000-00007A830000}"/>
    <cellStyle name="Total 2 2 28 2" xfId="28321" xr:uid="{00000000-0005-0000-0000-00007B830000}"/>
    <cellStyle name="Total 2 2 29" xfId="10540" xr:uid="{00000000-0005-0000-0000-00007C830000}"/>
    <cellStyle name="Total 2 2 29 2" xfId="28322" xr:uid="{00000000-0005-0000-0000-00007D830000}"/>
    <cellStyle name="Total 2 2 3" xfId="10541" xr:uid="{00000000-0005-0000-0000-00007E830000}"/>
    <cellStyle name="Total 2 2 3 2" xfId="28323" xr:uid="{00000000-0005-0000-0000-00007F830000}"/>
    <cellStyle name="Total 2 2 30" xfId="10542" xr:uid="{00000000-0005-0000-0000-000080830000}"/>
    <cellStyle name="Total 2 2 30 2" xfId="28324" xr:uid="{00000000-0005-0000-0000-000081830000}"/>
    <cellStyle name="Total 2 2 31" xfId="10543" xr:uid="{00000000-0005-0000-0000-000082830000}"/>
    <cellStyle name="Total 2 2 31 2" xfId="10544" xr:uid="{00000000-0005-0000-0000-000083830000}"/>
    <cellStyle name="Total 2 2 31 2 2" xfId="28326" xr:uid="{00000000-0005-0000-0000-000084830000}"/>
    <cellStyle name="Total 2 2 31 3" xfId="28325" xr:uid="{00000000-0005-0000-0000-000085830000}"/>
    <cellStyle name="Total 2 2 32" xfId="10545" xr:uid="{00000000-0005-0000-0000-000086830000}"/>
    <cellStyle name="Total 2 2 32 2" xfId="28327" xr:uid="{00000000-0005-0000-0000-000087830000}"/>
    <cellStyle name="Total 2 2 33" xfId="10546" xr:uid="{00000000-0005-0000-0000-000088830000}"/>
    <cellStyle name="Total 2 2 33 2" xfId="28328" xr:uid="{00000000-0005-0000-0000-000089830000}"/>
    <cellStyle name="Total 2 2 34" xfId="10547" xr:uid="{00000000-0005-0000-0000-00008A830000}"/>
    <cellStyle name="Total 2 2 34 2" xfId="28329" xr:uid="{00000000-0005-0000-0000-00008B830000}"/>
    <cellStyle name="Total 2 2 35" xfId="10548" xr:uid="{00000000-0005-0000-0000-00008C830000}"/>
    <cellStyle name="Total 2 2 35 2" xfId="28330" xr:uid="{00000000-0005-0000-0000-00008D830000}"/>
    <cellStyle name="Total 2 2 36" xfId="10549" xr:uid="{00000000-0005-0000-0000-00008E830000}"/>
    <cellStyle name="Total 2 2 36 2" xfId="28331" xr:uid="{00000000-0005-0000-0000-00008F830000}"/>
    <cellStyle name="Total 2 2 37" xfId="10550" xr:uid="{00000000-0005-0000-0000-000090830000}"/>
    <cellStyle name="Total 2 2 37 2" xfId="28332" xr:uid="{00000000-0005-0000-0000-000091830000}"/>
    <cellStyle name="Total 2 2 38" xfId="10551" xr:uid="{00000000-0005-0000-0000-000092830000}"/>
    <cellStyle name="Total 2 2 38 2" xfId="28333" xr:uid="{00000000-0005-0000-0000-000093830000}"/>
    <cellStyle name="Total 2 2 39" xfId="10552" xr:uid="{00000000-0005-0000-0000-000094830000}"/>
    <cellStyle name="Total 2 2 39 2" xfId="10553" xr:uid="{00000000-0005-0000-0000-000095830000}"/>
    <cellStyle name="Total 2 2 39 2 2" xfId="28335" xr:uid="{00000000-0005-0000-0000-000096830000}"/>
    <cellStyle name="Total 2 2 39 3" xfId="28334" xr:uid="{00000000-0005-0000-0000-000097830000}"/>
    <cellStyle name="Total 2 2 4" xfId="10554" xr:uid="{00000000-0005-0000-0000-000098830000}"/>
    <cellStyle name="Total 2 2 4 2" xfId="28336" xr:uid="{00000000-0005-0000-0000-000099830000}"/>
    <cellStyle name="Total 2 2 40" xfId="28212" xr:uid="{00000000-0005-0000-0000-00009A830000}"/>
    <cellStyle name="Total 2 2 41" xfId="33036" xr:uid="{00000000-0005-0000-0000-00009B830000}"/>
    <cellStyle name="Total 2 2 42" xfId="33037" xr:uid="{00000000-0005-0000-0000-00009C830000}"/>
    <cellStyle name="Total 2 2 5" xfId="10555" xr:uid="{00000000-0005-0000-0000-00009D830000}"/>
    <cellStyle name="Total 2 2 5 2" xfId="28337" xr:uid="{00000000-0005-0000-0000-00009E830000}"/>
    <cellStyle name="Total 2 2 6" xfId="10556" xr:uid="{00000000-0005-0000-0000-00009F830000}"/>
    <cellStyle name="Total 2 2 6 2" xfId="28338" xr:uid="{00000000-0005-0000-0000-0000A0830000}"/>
    <cellStyle name="Total 2 2 7" xfId="10557" xr:uid="{00000000-0005-0000-0000-0000A1830000}"/>
    <cellStyle name="Total 2 2 7 2" xfId="28339" xr:uid="{00000000-0005-0000-0000-0000A2830000}"/>
    <cellStyle name="Total 2 2 8" xfId="10558" xr:uid="{00000000-0005-0000-0000-0000A3830000}"/>
    <cellStyle name="Total 2 2 8 2" xfId="28340" xr:uid="{00000000-0005-0000-0000-0000A4830000}"/>
    <cellStyle name="Total 2 2 9" xfId="10559" xr:uid="{00000000-0005-0000-0000-0000A5830000}"/>
    <cellStyle name="Total 2 2 9 2" xfId="28341" xr:uid="{00000000-0005-0000-0000-0000A6830000}"/>
    <cellStyle name="Total 2 2_Loan Classification" xfId="11508" xr:uid="{00000000-0005-0000-0000-0000A7830000}"/>
    <cellStyle name="Total 2 20" xfId="10560" xr:uid="{00000000-0005-0000-0000-0000A8830000}"/>
    <cellStyle name="Total 2 20 2" xfId="28342" xr:uid="{00000000-0005-0000-0000-0000A9830000}"/>
    <cellStyle name="Total 2 21" xfId="10561" xr:uid="{00000000-0005-0000-0000-0000AA830000}"/>
    <cellStyle name="Total 2 21 2" xfId="28343" xr:uid="{00000000-0005-0000-0000-0000AB830000}"/>
    <cellStyle name="Total 2 22" xfId="10562" xr:uid="{00000000-0005-0000-0000-0000AC830000}"/>
    <cellStyle name="Total 2 22 2" xfId="28344" xr:uid="{00000000-0005-0000-0000-0000AD830000}"/>
    <cellStyle name="Total 2 23" xfId="10563" xr:uid="{00000000-0005-0000-0000-0000AE830000}"/>
    <cellStyle name="Total 2 23 2" xfId="28345" xr:uid="{00000000-0005-0000-0000-0000AF830000}"/>
    <cellStyle name="Total 2 24" xfId="10564" xr:uid="{00000000-0005-0000-0000-0000B0830000}"/>
    <cellStyle name="Total 2 24 2" xfId="28346" xr:uid="{00000000-0005-0000-0000-0000B1830000}"/>
    <cellStyle name="Total 2 25" xfId="10565" xr:uid="{00000000-0005-0000-0000-0000B2830000}"/>
    <cellStyle name="Total 2 25 2" xfId="28347" xr:uid="{00000000-0005-0000-0000-0000B3830000}"/>
    <cellStyle name="Total 2 26" xfId="10566" xr:uid="{00000000-0005-0000-0000-0000B4830000}"/>
    <cellStyle name="Total 2 26 2" xfId="28348" xr:uid="{00000000-0005-0000-0000-0000B5830000}"/>
    <cellStyle name="Total 2 27" xfId="10567" xr:uid="{00000000-0005-0000-0000-0000B6830000}"/>
    <cellStyle name="Total 2 27 2" xfId="28349" xr:uid="{00000000-0005-0000-0000-0000B7830000}"/>
    <cellStyle name="Total 2 28" xfId="10568" xr:uid="{00000000-0005-0000-0000-0000B8830000}"/>
    <cellStyle name="Total 2 28 2" xfId="28350" xr:uid="{00000000-0005-0000-0000-0000B9830000}"/>
    <cellStyle name="Total 2 29" xfId="10569" xr:uid="{00000000-0005-0000-0000-0000BA830000}"/>
    <cellStyle name="Total 2 29 2" xfId="28351" xr:uid="{00000000-0005-0000-0000-0000BB830000}"/>
    <cellStyle name="Total 2 3" xfId="10570" xr:uid="{00000000-0005-0000-0000-0000BC830000}"/>
    <cellStyle name="Total 2 3 2" xfId="10571" xr:uid="{00000000-0005-0000-0000-0000BD830000}"/>
    <cellStyle name="Total 2 3 2 2" xfId="28353" xr:uid="{00000000-0005-0000-0000-0000BE830000}"/>
    <cellStyle name="Total 2 3 2 3" xfId="33038" xr:uid="{00000000-0005-0000-0000-0000BF830000}"/>
    <cellStyle name="Total 2 3 3" xfId="28352" xr:uid="{00000000-0005-0000-0000-0000C0830000}"/>
    <cellStyle name="Total 2 3 4" xfId="33039" xr:uid="{00000000-0005-0000-0000-0000C1830000}"/>
    <cellStyle name="Total 2 3 5" xfId="33040" xr:uid="{00000000-0005-0000-0000-0000C2830000}"/>
    <cellStyle name="Total 2 3_Loan Classification" xfId="11509" xr:uid="{00000000-0005-0000-0000-0000C3830000}"/>
    <cellStyle name="Total 2 30" xfId="10572" xr:uid="{00000000-0005-0000-0000-0000C4830000}"/>
    <cellStyle name="Total 2 30 2" xfId="28354" xr:uid="{00000000-0005-0000-0000-0000C5830000}"/>
    <cellStyle name="Total 2 31" xfId="10573" xr:uid="{00000000-0005-0000-0000-0000C6830000}"/>
    <cellStyle name="Total 2 31 2" xfId="10574" xr:uid="{00000000-0005-0000-0000-0000C7830000}"/>
    <cellStyle name="Total 2 31 2 2" xfId="28356" xr:uid="{00000000-0005-0000-0000-0000C8830000}"/>
    <cellStyle name="Total 2 31 3" xfId="28355" xr:uid="{00000000-0005-0000-0000-0000C9830000}"/>
    <cellStyle name="Total 2 32" xfId="10575" xr:uid="{00000000-0005-0000-0000-0000CA830000}"/>
    <cellStyle name="Total 2 32 2" xfId="28357" xr:uid="{00000000-0005-0000-0000-0000CB830000}"/>
    <cellStyle name="Total 2 33" xfId="10576" xr:uid="{00000000-0005-0000-0000-0000CC830000}"/>
    <cellStyle name="Total 2 33 2" xfId="28358" xr:uid="{00000000-0005-0000-0000-0000CD830000}"/>
    <cellStyle name="Total 2 34" xfId="10577" xr:uid="{00000000-0005-0000-0000-0000CE830000}"/>
    <cellStyle name="Total 2 34 2" xfId="28359" xr:uid="{00000000-0005-0000-0000-0000CF830000}"/>
    <cellStyle name="Total 2 35" xfId="10578" xr:uid="{00000000-0005-0000-0000-0000D0830000}"/>
    <cellStyle name="Total 2 35 2" xfId="28360" xr:uid="{00000000-0005-0000-0000-0000D1830000}"/>
    <cellStyle name="Total 2 36" xfId="10579" xr:uid="{00000000-0005-0000-0000-0000D2830000}"/>
    <cellStyle name="Total 2 36 2" xfId="28361" xr:uid="{00000000-0005-0000-0000-0000D3830000}"/>
    <cellStyle name="Total 2 37" xfId="10580" xr:uid="{00000000-0005-0000-0000-0000D4830000}"/>
    <cellStyle name="Total 2 37 2" xfId="28362" xr:uid="{00000000-0005-0000-0000-0000D5830000}"/>
    <cellStyle name="Total 2 38" xfId="10581" xr:uid="{00000000-0005-0000-0000-0000D6830000}"/>
    <cellStyle name="Total 2 38 2" xfId="28363" xr:uid="{00000000-0005-0000-0000-0000D7830000}"/>
    <cellStyle name="Total 2 39" xfId="10582" xr:uid="{00000000-0005-0000-0000-0000D8830000}"/>
    <cellStyle name="Total 2 39 2" xfId="10583" xr:uid="{00000000-0005-0000-0000-0000D9830000}"/>
    <cellStyle name="Total 2 39 2 2" xfId="28365" xr:uid="{00000000-0005-0000-0000-0000DA830000}"/>
    <cellStyle name="Total 2 39 3" xfId="28364" xr:uid="{00000000-0005-0000-0000-0000DB830000}"/>
    <cellStyle name="Total 2 4" xfId="10584" xr:uid="{00000000-0005-0000-0000-0000DC830000}"/>
    <cellStyle name="Total 2 4 2" xfId="28366" xr:uid="{00000000-0005-0000-0000-0000DD830000}"/>
    <cellStyle name="Total 2 4 2 2" xfId="33041" xr:uid="{00000000-0005-0000-0000-0000DE830000}"/>
    <cellStyle name="Total 2 4 3" xfId="33042" xr:uid="{00000000-0005-0000-0000-0000DF830000}"/>
    <cellStyle name="Total 2 4 4" xfId="33043" xr:uid="{00000000-0005-0000-0000-0000E0830000}"/>
    <cellStyle name="Total 2 4 5" xfId="33044" xr:uid="{00000000-0005-0000-0000-0000E1830000}"/>
    <cellStyle name="Total 2 40" xfId="28200" xr:uid="{00000000-0005-0000-0000-0000E2830000}"/>
    <cellStyle name="Total 2 41" xfId="33045" xr:uid="{00000000-0005-0000-0000-0000E3830000}"/>
    <cellStyle name="Total 2 42" xfId="33046" xr:uid="{00000000-0005-0000-0000-0000E4830000}"/>
    <cellStyle name="Total 2 43" xfId="33047" xr:uid="{00000000-0005-0000-0000-0000E5830000}"/>
    <cellStyle name="Total 2 44" xfId="33048" xr:uid="{00000000-0005-0000-0000-0000E6830000}"/>
    <cellStyle name="Total 2 45" xfId="33197" xr:uid="{00000000-0005-0000-0000-0000E7830000}"/>
    <cellStyle name="Total 2 46" xfId="33127" xr:uid="{00000000-0005-0000-0000-0000E8830000}"/>
    <cellStyle name="Total 2 47" xfId="10418" xr:uid="{00000000-0005-0000-0000-0000E9830000}"/>
    <cellStyle name="Total 2 5" xfId="10585" xr:uid="{00000000-0005-0000-0000-0000EA830000}"/>
    <cellStyle name="Total 2 5 2" xfId="28367" xr:uid="{00000000-0005-0000-0000-0000EB830000}"/>
    <cellStyle name="Total 2 5 3" xfId="33049" xr:uid="{00000000-0005-0000-0000-0000EC830000}"/>
    <cellStyle name="Total 2 5 4" xfId="33050" xr:uid="{00000000-0005-0000-0000-0000ED830000}"/>
    <cellStyle name="Total 2 6" xfId="10586" xr:uid="{00000000-0005-0000-0000-0000EE830000}"/>
    <cellStyle name="Total 2 6 2" xfId="28368" xr:uid="{00000000-0005-0000-0000-0000EF830000}"/>
    <cellStyle name="Total 2 6 3" xfId="33051" xr:uid="{00000000-0005-0000-0000-0000F0830000}"/>
    <cellStyle name="Total 2 7" xfId="10587" xr:uid="{00000000-0005-0000-0000-0000F1830000}"/>
    <cellStyle name="Total 2 7 2" xfId="28369" xr:uid="{00000000-0005-0000-0000-0000F2830000}"/>
    <cellStyle name="Total 2 8" xfId="10588" xr:uid="{00000000-0005-0000-0000-0000F3830000}"/>
    <cellStyle name="Total 2 8 2" xfId="28370" xr:uid="{00000000-0005-0000-0000-0000F4830000}"/>
    <cellStyle name="Total 2 9" xfId="10589" xr:uid="{00000000-0005-0000-0000-0000F5830000}"/>
    <cellStyle name="Total 2 9 2" xfId="28371" xr:uid="{00000000-0005-0000-0000-0000F6830000}"/>
    <cellStyle name="Total 2_Loan Classification" xfId="11507" xr:uid="{00000000-0005-0000-0000-0000F7830000}"/>
    <cellStyle name="Total 20" xfId="10590" xr:uid="{00000000-0005-0000-0000-0000F8830000}"/>
    <cellStyle name="Total 20 2" xfId="28372" xr:uid="{00000000-0005-0000-0000-0000F9830000}"/>
    <cellStyle name="Total 21" xfId="10591" xr:uid="{00000000-0005-0000-0000-0000FA830000}"/>
    <cellStyle name="Total 21 2" xfId="28373" xr:uid="{00000000-0005-0000-0000-0000FB830000}"/>
    <cellStyle name="Total 22" xfId="10592" xr:uid="{00000000-0005-0000-0000-0000FC830000}"/>
    <cellStyle name="Total 22 2" xfId="28374" xr:uid="{00000000-0005-0000-0000-0000FD830000}"/>
    <cellStyle name="Total 23" xfId="10593" xr:uid="{00000000-0005-0000-0000-0000FE830000}"/>
    <cellStyle name="Total 23 2" xfId="28375" xr:uid="{00000000-0005-0000-0000-0000FF830000}"/>
    <cellStyle name="Total 24" xfId="10594" xr:uid="{00000000-0005-0000-0000-000000840000}"/>
    <cellStyle name="Total 24 2" xfId="28376" xr:uid="{00000000-0005-0000-0000-000001840000}"/>
    <cellStyle name="Total 25" xfId="10595" xr:uid="{00000000-0005-0000-0000-000002840000}"/>
    <cellStyle name="Total 25 2" xfId="28377" xr:uid="{00000000-0005-0000-0000-000003840000}"/>
    <cellStyle name="Total 26" xfId="10596" xr:uid="{00000000-0005-0000-0000-000004840000}"/>
    <cellStyle name="Total 26 2" xfId="28378" xr:uid="{00000000-0005-0000-0000-000005840000}"/>
    <cellStyle name="Total 27" xfId="10597" xr:uid="{00000000-0005-0000-0000-000006840000}"/>
    <cellStyle name="Total 27 2" xfId="28379" xr:uid="{00000000-0005-0000-0000-000007840000}"/>
    <cellStyle name="Total 28" xfId="10598" xr:uid="{00000000-0005-0000-0000-000008840000}"/>
    <cellStyle name="Total 28 2" xfId="28380" xr:uid="{00000000-0005-0000-0000-000009840000}"/>
    <cellStyle name="Total 29" xfId="10599" xr:uid="{00000000-0005-0000-0000-00000A840000}"/>
    <cellStyle name="Total 29 2" xfId="28381" xr:uid="{00000000-0005-0000-0000-00000B840000}"/>
    <cellStyle name="Total 3" xfId="189" xr:uid="{00000000-0005-0000-0000-00000C840000}"/>
    <cellStyle name="Total 3 2" xfId="28382" xr:uid="{00000000-0005-0000-0000-00000D840000}"/>
    <cellStyle name="Total 3 2 2" xfId="33052" xr:uid="{00000000-0005-0000-0000-00000E840000}"/>
    <cellStyle name="Total 3 3" xfId="33053" xr:uid="{00000000-0005-0000-0000-00000F840000}"/>
    <cellStyle name="Total 3 4" xfId="33054" xr:uid="{00000000-0005-0000-0000-000010840000}"/>
    <cellStyle name="Total 3 5" xfId="10600" xr:uid="{00000000-0005-0000-0000-000011840000}"/>
    <cellStyle name="Total 30" xfId="10601" xr:uid="{00000000-0005-0000-0000-000012840000}"/>
    <cellStyle name="Total 30 2" xfId="28383" xr:uid="{00000000-0005-0000-0000-000013840000}"/>
    <cellStyle name="Total 31" xfId="10602" xr:uid="{00000000-0005-0000-0000-000014840000}"/>
    <cellStyle name="Total 31 2" xfId="28384" xr:uid="{00000000-0005-0000-0000-000015840000}"/>
    <cellStyle name="Total 32" xfId="10603" xr:uid="{00000000-0005-0000-0000-000016840000}"/>
    <cellStyle name="Total 32 2" xfId="28385" xr:uid="{00000000-0005-0000-0000-000017840000}"/>
    <cellStyle name="Total 33" xfId="10604" xr:uid="{00000000-0005-0000-0000-000018840000}"/>
    <cellStyle name="Total 33 2" xfId="28386" xr:uid="{00000000-0005-0000-0000-000019840000}"/>
    <cellStyle name="Total 34" xfId="10605" xr:uid="{00000000-0005-0000-0000-00001A840000}"/>
    <cellStyle name="Total 34 2" xfId="28387" xr:uid="{00000000-0005-0000-0000-00001B840000}"/>
    <cellStyle name="Total 35" xfId="10606" xr:uid="{00000000-0005-0000-0000-00001C840000}"/>
    <cellStyle name="Total 35 2" xfId="28388" xr:uid="{00000000-0005-0000-0000-00001D840000}"/>
    <cellStyle name="Total 36" xfId="10607" xr:uid="{00000000-0005-0000-0000-00001E840000}"/>
    <cellStyle name="Total 36 2" xfId="28389" xr:uid="{00000000-0005-0000-0000-00001F840000}"/>
    <cellStyle name="Total 37" xfId="10608" xr:uid="{00000000-0005-0000-0000-000020840000}"/>
    <cellStyle name="Total 37 2" xfId="28390" xr:uid="{00000000-0005-0000-0000-000021840000}"/>
    <cellStyle name="Total 38" xfId="10609" xr:uid="{00000000-0005-0000-0000-000022840000}"/>
    <cellStyle name="Total 38 2" xfId="28391" xr:uid="{00000000-0005-0000-0000-000023840000}"/>
    <cellStyle name="Total 39" xfId="10610" xr:uid="{00000000-0005-0000-0000-000024840000}"/>
    <cellStyle name="Total 39 2" xfId="28392" xr:uid="{00000000-0005-0000-0000-000025840000}"/>
    <cellStyle name="Total 4" xfId="10611" xr:uid="{00000000-0005-0000-0000-000026840000}"/>
    <cellStyle name="Total 4 2" xfId="28393" xr:uid="{00000000-0005-0000-0000-000027840000}"/>
    <cellStyle name="Total 4 2 2" xfId="33055" xr:uid="{00000000-0005-0000-0000-000028840000}"/>
    <cellStyle name="Total 4 3" xfId="33056" xr:uid="{00000000-0005-0000-0000-000029840000}"/>
    <cellStyle name="Total 4 4" xfId="33057" xr:uid="{00000000-0005-0000-0000-00002A840000}"/>
    <cellStyle name="Total 40" xfId="10612" xr:uid="{00000000-0005-0000-0000-00002B840000}"/>
    <cellStyle name="Total 40 2" xfId="28394" xr:uid="{00000000-0005-0000-0000-00002C840000}"/>
    <cellStyle name="Total 41" xfId="10613" xr:uid="{00000000-0005-0000-0000-00002D840000}"/>
    <cellStyle name="Total 41 2" xfId="28395" xr:uid="{00000000-0005-0000-0000-00002E840000}"/>
    <cellStyle name="Total 42" xfId="10614" xr:uid="{00000000-0005-0000-0000-00002F840000}"/>
    <cellStyle name="Total 42 2" xfId="28396" xr:uid="{00000000-0005-0000-0000-000030840000}"/>
    <cellStyle name="Total 43" xfId="11610" xr:uid="{00000000-0005-0000-0000-000031840000}"/>
    <cellStyle name="Total 43 2" xfId="28397" xr:uid="{00000000-0005-0000-0000-000032840000}"/>
    <cellStyle name="Total 44" xfId="11537" xr:uid="{00000000-0005-0000-0000-000033840000}"/>
    <cellStyle name="Total 44 2" xfId="28398" xr:uid="{00000000-0005-0000-0000-000034840000}"/>
    <cellStyle name="Total 45" xfId="28399" xr:uid="{00000000-0005-0000-0000-000035840000}"/>
    <cellStyle name="Total 46" xfId="33058" xr:uid="{00000000-0005-0000-0000-000036840000}"/>
    <cellStyle name="Total 47" xfId="641" xr:uid="{00000000-0005-0000-0000-000037840000}"/>
    <cellStyle name="Total 5" xfId="10615" xr:uid="{00000000-0005-0000-0000-000038840000}"/>
    <cellStyle name="Total 5 2" xfId="28400" xr:uid="{00000000-0005-0000-0000-000039840000}"/>
    <cellStyle name="Total 5 2 2" xfId="33059" xr:uid="{00000000-0005-0000-0000-00003A840000}"/>
    <cellStyle name="Total 5 3" xfId="33060" xr:uid="{00000000-0005-0000-0000-00003B840000}"/>
    <cellStyle name="Total 5 4" xfId="33061" xr:uid="{00000000-0005-0000-0000-00003C840000}"/>
    <cellStyle name="Total 6" xfId="10616" xr:uid="{00000000-0005-0000-0000-00003D840000}"/>
    <cellStyle name="Total 6 2" xfId="28401" xr:uid="{00000000-0005-0000-0000-00003E840000}"/>
    <cellStyle name="Total 6 3" xfId="33062" xr:uid="{00000000-0005-0000-0000-00003F840000}"/>
    <cellStyle name="Total 7" xfId="10617" xr:uid="{00000000-0005-0000-0000-000040840000}"/>
    <cellStyle name="Total 7 2" xfId="28402" xr:uid="{00000000-0005-0000-0000-000041840000}"/>
    <cellStyle name="Total 7 3" xfId="33063" xr:uid="{00000000-0005-0000-0000-000042840000}"/>
    <cellStyle name="Total 8" xfId="10618" xr:uid="{00000000-0005-0000-0000-000043840000}"/>
    <cellStyle name="Total 8 2" xfId="28403" xr:uid="{00000000-0005-0000-0000-000044840000}"/>
    <cellStyle name="Total 8 3" xfId="33064" xr:uid="{00000000-0005-0000-0000-000045840000}"/>
    <cellStyle name="Total 9" xfId="10619" xr:uid="{00000000-0005-0000-0000-000046840000}"/>
    <cellStyle name="Total 9 2" xfId="28404" xr:uid="{00000000-0005-0000-0000-000047840000}"/>
    <cellStyle name="Total 9 3" xfId="33065" xr:uid="{00000000-0005-0000-0000-000048840000}"/>
    <cellStyle name="Vérification" xfId="33066" xr:uid="{00000000-0005-0000-0000-000049840000}"/>
    <cellStyle name="Verify" xfId="642" xr:uid="{00000000-0005-0000-0000-00004A840000}"/>
    <cellStyle name="Verify 2" xfId="28405" xr:uid="{00000000-0005-0000-0000-00004B840000}"/>
    <cellStyle name="Warning Text" xfId="22" builtinId="11" customBuiltin="1"/>
    <cellStyle name="Warning Text 10" xfId="10620" xr:uid="{00000000-0005-0000-0000-00004D840000}"/>
    <cellStyle name="Warning Text 10 2" xfId="28406" xr:uid="{00000000-0005-0000-0000-00004E840000}"/>
    <cellStyle name="Warning Text 10 3" xfId="33067" xr:uid="{00000000-0005-0000-0000-00004F840000}"/>
    <cellStyle name="Warning Text 11" xfId="10621" xr:uid="{00000000-0005-0000-0000-000050840000}"/>
    <cellStyle name="Warning Text 11 2" xfId="28407" xr:uid="{00000000-0005-0000-0000-000051840000}"/>
    <cellStyle name="Warning Text 11 3" xfId="33068" xr:uid="{00000000-0005-0000-0000-000052840000}"/>
    <cellStyle name="Warning Text 12" xfId="10622" xr:uid="{00000000-0005-0000-0000-000053840000}"/>
    <cellStyle name="Warning Text 12 2" xfId="28408" xr:uid="{00000000-0005-0000-0000-000054840000}"/>
    <cellStyle name="Warning Text 12 3" xfId="33069" xr:uid="{00000000-0005-0000-0000-000055840000}"/>
    <cellStyle name="Warning Text 13" xfId="10623" xr:uid="{00000000-0005-0000-0000-000056840000}"/>
    <cellStyle name="Warning Text 13 2" xfId="28409" xr:uid="{00000000-0005-0000-0000-000057840000}"/>
    <cellStyle name="Warning Text 13 3" xfId="33070" xr:uid="{00000000-0005-0000-0000-000058840000}"/>
    <cellStyle name="Warning Text 14" xfId="10624" xr:uid="{00000000-0005-0000-0000-000059840000}"/>
    <cellStyle name="Warning Text 14 2" xfId="28410" xr:uid="{00000000-0005-0000-0000-00005A840000}"/>
    <cellStyle name="Warning Text 14 3" xfId="33071" xr:uid="{00000000-0005-0000-0000-00005B840000}"/>
    <cellStyle name="Warning Text 15" xfId="10625" xr:uid="{00000000-0005-0000-0000-00005C840000}"/>
    <cellStyle name="Warning Text 15 2" xfId="28411" xr:uid="{00000000-0005-0000-0000-00005D840000}"/>
    <cellStyle name="Warning Text 15 3" xfId="33072" xr:uid="{00000000-0005-0000-0000-00005E840000}"/>
    <cellStyle name="Warning Text 16" xfId="10626" xr:uid="{00000000-0005-0000-0000-00005F840000}"/>
    <cellStyle name="Warning Text 16 2" xfId="28412" xr:uid="{00000000-0005-0000-0000-000060840000}"/>
    <cellStyle name="Warning Text 16 3" xfId="33073" xr:uid="{00000000-0005-0000-0000-000061840000}"/>
    <cellStyle name="Warning Text 17" xfId="10627" xr:uid="{00000000-0005-0000-0000-000062840000}"/>
    <cellStyle name="Warning Text 17 2" xfId="28413" xr:uid="{00000000-0005-0000-0000-000063840000}"/>
    <cellStyle name="Warning Text 17 3" xfId="33074" xr:uid="{00000000-0005-0000-0000-000064840000}"/>
    <cellStyle name="Warning Text 18" xfId="10628" xr:uid="{00000000-0005-0000-0000-000065840000}"/>
    <cellStyle name="Warning Text 18 2" xfId="28414" xr:uid="{00000000-0005-0000-0000-000066840000}"/>
    <cellStyle name="Warning Text 19" xfId="10629" xr:uid="{00000000-0005-0000-0000-000067840000}"/>
    <cellStyle name="Warning Text 19 2" xfId="28415" xr:uid="{00000000-0005-0000-0000-000068840000}"/>
    <cellStyle name="Warning Text 2" xfId="10630" xr:uid="{00000000-0005-0000-0000-000069840000}"/>
    <cellStyle name="Warning Text 2 10" xfId="10631" xr:uid="{00000000-0005-0000-0000-00006A840000}"/>
    <cellStyle name="Warning Text 2 10 2" xfId="28417" xr:uid="{00000000-0005-0000-0000-00006B840000}"/>
    <cellStyle name="Warning Text 2 11" xfId="10632" xr:uid="{00000000-0005-0000-0000-00006C840000}"/>
    <cellStyle name="Warning Text 2 11 2" xfId="28418" xr:uid="{00000000-0005-0000-0000-00006D840000}"/>
    <cellStyle name="Warning Text 2 12" xfId="10633" xr:uid="{00000000-0005-0000-0000-00006E840000}"/>
    <cellStyle name="Warning Text 2 12 2" xfId="28419" xr:uid="{00000000-0005-0000-0000-00006F840000}"/>
    <cellStyle name="Warning Text 2 13" xfId="10634" xr:uid="{00000000-0005-0000-0000-000070840000}"/>
    <cellStyle name="Warning Text 2 13 2" xfId="28420" xr:uid="{00000000-0005-0000-0000-000071840000}"/>
    <cellStyle name="Warning Text 2 14" xfId="10635" xr:uid="{00000000-0005-0000-0000-000072840000}"/>
    <cellStyle name="Warning Text 2 14 2" xfId="10636" xr:uid="{00000000-0005-0000-0000-000073840000}"/>
    <cellStyle name="Warning Text 2 14 2 2" xfId="28422" xr:uid="{00000000-0005-0000-0000-000074840000}"/>
    <cellStyle name="Warning Text 2 14 3" xfId="28421" xr:uid="{00000000-0005-0000-0000-000075840000}"/>
    <cellStyle name="Warning Text 2 15" xfId="10637" xr:uid="{00000000-0005-0000-0000-000076840000}"/>
    <cellStyle name="Warning Text 2 15 2" xfId="28423" xr:uid="{00000000-0005-0000-0000-000077840000}"/>
    <cellStyle name="Warning Text 2 16" xfId="10638" xr:uid="{00000000-0005-0000-0000-000078840000}"/>
    <cellStyle name="Warning Text 2 16 2" xfId="28424" xr:uid="{00000000-0005-0000-0000-000079840000}"/>
    <cellStyle name="Warning Text 2 17" xfId="10639" xr:uid="{00000000-0005-0000-0000-00007A840000}"/>
    <cellStyle name="Warning Text 2 17 2" xfId="28425" xr:uid="{00000000-0005-0000-0000-00007B840000}"/>
    <cellStyle name="Warning Text 2 18" xfId="10640" xr:uid="{00000000-0005-0000-0000-00007C840000}"/>
    <cellStyle name="Warning Text 2 18 2" xfId="28426" xr:uid="{00000000-0005-0000-0000-00007D840000}"/>
    <cellStyle name="Warning Text 2 19" xfId="10641" xr:uid="{00000000-0005-0000-0000-00007E840000}"/>
    <cellStyle name="Warning Text 2 19 2" xfId="28427" xr:uid="{00000000-0005-0000-0000-00007F840000}"/>
    <cellStyle name="Warning Text 2 2" xfId="10642" xr:uid="{00000000-0005-0000-0000-000080840000}"/>
    <cellStyle name="Warning Text 2 2 10" xfId="10643" xr:uid="{00000000-0005-0000-0000-000081840000}"/>
    <cellStyle name="Warning Text 2 2 10 2" xfId="28429" xr:uid="{00000000-0005-0000-0000-000082840000}"/>
    <cellStyle name="Warning Text 2 2 11" xfId="10644" xr:uid="{00000000-0005-0000-0000-000083840000}"/>
    <cellStyle name="Warning Text 2 2 11 2" xfId="28430" xr:uid="{00000000-0005-0000-0000-000084840000}"/>
    <cellStyle name="Warning Text 2 2 12" xfId="10645" xr:uid="{00000000-0005-0000-0000-000085840000}"/>
    <cellStyle name="Warning Text 2 2 12 2" xfId="28431" xr:uid="{00000000-0005-0000-0000-000086840000}"/>
    <cellStyle name="Warning Text 2 2 13" xfId="10646" xr:uid="{00000000-0005-0000-0000-000087840000}"/>
    <cellStyle name="Warning Text 2 2 13 2" xfId="28432" xr:uid="{00000000-0005-0000-0000-000088840000}"/>
    <cellStyle name="Warning Text 2 2 14" xfId="10647" xr:uid="{00000000-0005-0000-0000-000089840000}"/>
    <cellStyle name="Warning Text 2 2 14 2" xfId="10648" xr:uid="{00000000-0005-0000-0000-00008A840000}"/>
    <cellStyle name="Warning Text 2 2 14 2 2" xfId="28434" xr:uid="{00000000-0005-0000-0000-00008B840000}"/>
    <cellStyle name="Warning Text 2 2 14 3" xfId="28433" xr:uid="{00000000-0005-0000-0000-00008C840000}"/>
    <cellStyle name="Warning Text 2 2 15" xfId="10649" xr:uid="{00000000-0005-0000-0000-00008D840000}"/>
    <cellStyle name="Warning Text 2 2 15 2" xfId="28435" xr:uid="{00000000-0005-0000-0000-00008E840000}"/>
    <cellStyle name="Warning Text 2 2 16" xfId="10650" xr:uid="{00000000-0005-0000-0000-00008F840000}"/>
    <cellStyle name="Warning Text 2 2 16 2" xfId="28436" xr:uid="{00000000-0005-0000-0000-000090840000}"/>
    <cellStyle name="Warning Text 2 2 17" xfId="10651" xr:uid="{00000000-0005-0000-0000-000091840000}"/>
    <cellStyle name="Warning Text 2 2 17 2" xfId="28437" xr:uid="{00000000-0005-0000-0000-000092840000}"/>
    <cellStyle name="Warning Text 2 2 18" xfId="10652" xr:uid="{00000000-0005-0000-0000-000093840000}"/>
    <cellStyle name="Warning Text 2 2 18 2" xfId="28438" xr:uid="{00000000-0005-0000-0000-000094840000}"/>
    <cellStyle name="Warning Text 2 2 19" xfId="10653" xr:uid="{00000000-0005-0000-0000-000095840000}"/>
    <cellStyle name="Warning Text 2 2 19 2" xfId="28439" xr:uid="{00000000-0005-0000-0000-000096840000}"/>
    <cellStyle name="Warning Text 2 2 2" xfId="10654" xr:uid="{00000000-0005-0000-0000-000097840000}"/>
    <cellStyle name="Warning Text 2 2 2 10" xfId="10655" xr:uid="{00000000-0005-0000-0000-000098840000}"/>
    <cellStyle name="Warning Text 2 2 2 10 2" xfId="28441" xr:uid="{00000000-0005-0000-0000-000099840000}"/>
    <cellStyle name="Warning Text 2 2 2 11" xfId="10656" xr:uid="{00000000-0005-0000-0000-00009A840000}"/>
    <cellStyle name="Warning Text 2 2 2 11 2" xfId="28442" xr:uid="{00000000-0005-0000-0000-00009B840000}"/>
    <cellStyle name="Warning Text 2 2 2 12" xfId="10657" xr:uid="{00000000-0005-0000-0000-00009C840000}"/>
    <cellStyle name="Warning Text 2 2 2 12 2" xfId="28443" xr:uid="{00000000-0005-0000-0000-00009D840000}"/>
    <cellStyle name="Warning Text 2 2 2 13" xfId="10658" xr:uid="{00000000-0005-0000-0000-00009E840000}"/>
    <cellStyle name="Warning Text 2 2 2 13 2" xfId="28444" xr:uid="{00000000-0005-0000-0000-00009F840000}"/>
    <cellStyle name="Warning Text 2 2 2 14" xfId="10659" xr:uid="{00000000-0005-0000-0000-0000A0840000}"/>
    <cellStyle name="Warning Text 2 2 2 14 2" xfId="28445" xr:uid="{00000000-0005-0000-0000-0000A1840000}"/>
    <cellStyle name="Warning Text 2 2 2 15" xfId="10660" xr:uid="{00000000-0005-0000-0000-0000A2840000}"/>
    <cellStyle name="Warning Text 2 2 2 15 2" xfId="28446" xr:uid="{00000000-0005-0000-0000-0000A3840000}"/>
    <cellStyle name="Warning Text 2 2 2 16" xfId="10661" xr:uid="{00000000-0005-0000-0000-0000A4840000}"/>
    <cellStyle name="Warning Text 2 2 2 16 2" xfId="28447" xr:uid="{00000000-0005-0000-0000-0000A5840000}"/>
    <cellStyle name="Warning Text 2 2 2 17" xfId="10662" xr:uid="{00000000-0005-0000-0000-0000A6840000}"/>
    <cellStyle name="Warning Text 2 2 2 17 2" xfId="28448" xr:uid="{00000000-0005-0000-0000-0000A7840000}"/>
    <cellStyle name="Warning Text 2 2 2 18" xfId="10663" xr:uid="{00000000-0005-0000-0000-0000A8840000}"/>
    <cellStyle name="Warning Text 2 2 2 18 2" xfId="28449" xr:uid="{00000000-0005-0000-0000-0000A9840000}"/>
    <cellStyle name="Warning Text 2 2 2 19" xfId="10664" xr:uid="{00000000-0005-0000-0000-0000AA840000}"/>
    <cellStyle name="Warning Text 2 2 2 19 2" xfId="28450" xr:uid="{00000000-0005-0000-0000-0000AB840000}"/>
    <cellStyle name="Warning Text 2 2 2 2" xfId="10665" xr:uid="{00000000-0005-0000-0000-0000AC840000}"/>
    <cellStyle name="Warning Text 2 2 2 2 10" xfId="10666" xr:uid="{00000000-0005-0000-0000-0000AD840000}"/>
    <cellStyle name="Warning Text 2 2 2 2 10 2" xfId="28452" xr:uid="{00000000-0005-0000-0000-0000AE840000}"/>
    <cellStyle name="Warning Text 2 2 2 2 11" xfId="10667" xr:uid="{00000000-0005-0000-0000-0000AF840000}"/>
    <cellStyle name="Warning Text 2 2 2 2 11 2" xfId="28453" xr:uid="{00000000-0005-0000-0000-0000B0840000}"/>
    <cellStyle name="Warning Text 2 2 2 2 12" xfId="10668" xr:uid="{00000000-0005-0000-0000-0000B1840000}"/>
    <cellStyle name="Warning Text 2 2 2 2 12 2" xfId="28454" xr:uid="{00000000-0005-0000-0000-0000B2840000}"/>
    <cellStyle name="Warning Text 2 2 2 2 13" xfId="10669" xr:uid="{00000000-0005-0000-0000-0000B3840000}"/>
    <cellStyle name="Warning Text 2 2 2 2 13 2" xfId="28455" xr:uid="{00000000-0005-0000-0000-0000B4840000}"/>
    <cellStyle name="Warning Text 2 2 2 2 14" xfId="10670" xr:uid="{00000000-0005-0000-0000-0000B5840000}"/>
    <cellStyle name="Warning Text 2 2 2 2 14 2" xfId="28456" xr:uid="{00000000-0005-0000-0000-0000B6840000}"/>
    <cellStyle name="Warning Text 2 2 2 2 15" xfId="10671" xr:uid="{00000000-0005-0000-0000-0000B7840000}"/>
    <cellStyle name="Warning Text 2 2 2 2 15 2" xfId="28457" xr:uid="{00000000-0005-0000-0000-0000B8840000}"/>
    <cellStyle name="Warning Text 2 2 2 2 16" xfId="10672" xr:uid="{00000000-0005-0000-0000-0000B9840000}"/>
    <cellStyle name="Warning Text 2 2 2 2 16 2" xfId="28458" xr:uid="{00000000-0005-0000-0000-0000BA840000}"/>
    <cellStyle name="Warning Text 2 2 2 2 17" xfId="10673" xr:uid="{00000000-0005-0000-0000-0000BB840000}"/>
    <cellStyle name="Warning Text 2 2 2 2 17 2" xfId="28459" xr:uid="{00000000-0005-0000-0000-0000BC840000}"/>
    <cellStyle name="Warning Text 2 2 2 2 18" xfId="10674" xr:uid="{00000000-0005-0000-0000-0000BD840000}"/>
    <cellStyle name="Warning Text 2 2 2 2 18 2" xfId="28460" xr:uid="{00000000-0005-0000-0000-0000BE840000}"/>
    <cellStyle name="Warning Text 2 2 2 2 19" xfId="10675" xr:uid="{00000000-0005-0000-0000-0000BF840000}"/>
    <cellStyle name="Warning Text 2 2 2 2 19 2" xfId="28461" xr:uid="{00000000-0005-0000-0000-0000C0840000}"/>
    <cellStyle name="Warning Text 2 2 2 2 2" xfId="10676" xr:uid="{00000000-0005-0000-0000-0000C1840000}"/>
    <cellStyle name="Warning Text 2 2 2 2 2 10" xfId="10677" xr:uid="{00000000-0005-0000-0000-0000C2840000}"/>
    <cellStyle name="Warning Text 2 2 2 2 2 10 2" xfId="28463" xr:uid="{00000000-0005-0000-0000-0000C3840000}"/>
    <cellStyle name="Warning Text 2 2 2 2 2 11" xfId="10678" xr:uid="{00000000-0005-0000-0000-0000C4840000}"/>
    <cellStyle name="Warning Text 2 2 2 2 2 11 2" xfId="10679" xr:uid="{00000000-0005-0000-0000-0000C5840000}"/>
    <cellStyle name="Warning Text 2 2 2 2 2 11 2 2" xfId="28465" xr:uid="{00000000-0005-0000-0000-0000C6840000}"/>
    <cellStyle name="Warning Text 2 2 2 2 2 11 3" xfId="28464" xr:uid="{00000000-0005-0000-0000-0000C7840000}"/>
    <cellStyle name="Warning Text 2 2 2 2 2 12" xfId="28462" xr:uid="{00000000-0005-0000-0000-0000C8840000}"/>
    <cellStyle name="Warning Text 2 2 2 2 2 2" xfId="10680" xr:uid="{00000000-0005-0000-0000-0000C9840000}"/>
    <cellStyle name="Warning Text 2 2 2 2 2 2 10" xfId="10681" xr:uid="{00000000-0005-0000-0000-0000CA840000}"/>
    <cellStyle name="Warning Text 2 2 2 2 2 2 10 2" xfId="28467" xr:uid="{00000000-0005-0000-0000-0000CB840000}"/>
    <cellStyle name="Warning Text 2 2 2 2 2 2 11" xfId="10682" xr:uid="{00000000-0005-0000-0000-0000CC840000}"/>
    <cellStyle name="Warning Text 2 2 2 2 2 2 11 2" xfId="10683" xr:uid="{00000000-0005-0000-0000-0000CD840000}"/>
    <cellStyle name="Warning Text 2 2 2 2 2 2 11 2 2" xfId="28469" xr:uid="{00000000-0005-0000-0000-0000CE840000}"/>
    <cellStyle name="Warning Text 2 2 2 2 2 2 11 3" xfId="28468" xr:uid="{00000000-0005-0000-0000-0000CF840000}"/>
    <cellStyle name="Warning Text 2 2 2 2 2 2 12" xfId="28466" xr:uid="{00000000-0005-0000-0000-0000D0840000}"/>
    <cellStyle name="Warning Text 2 2 2 2 2 2 2" xfId="10684" xr:uid="{00000000-0005-0000-0000-0000D1840000}"/>
    <cellStyle name="Warning Text 2 2 2 2 2 2 2 2" xfId="10685" xr:uid="{00000000-0005-0000-0000-0000D2840000}"/>
    <cellStyle name="Warning Text 2 2 2 2 2 2 2 2 2" xfId="10686" xr:uid="{00000000-0005-0000-0000-0000D3840000}"/>
    <cellStyle name="Warning Text 2 2 2 2 2 2 2 2 2 2" xfId="10687" xr:uid="{00000000-0005-0000-0000-0000D4840000}"/>
    <cellStyle name="Warning Text 2 2 2 2 2 2 2 2 2 2 2" xfId="28473" xr:uid="{00000000-0005-0000-0000-0000D5840000}"/>
    <cellStyle name="Warning Text 2 2 2 2 2 2 2 2 2 3" xfId="28472" xr:uid="{00000000-0005-0000-0000-0000D6840000}"/>
    <cellStyle name="Warning Text 2 2 2 2 2 2 2 2 3" xfId="10688" xr:uid="{00000000-0005-0000-0000-0000D7840000}"/>
    <cellStyle name="Warning Text 2 2 2 2 2 2 2 2 3 2" xfId="28474" xr:uid="{00000000-0005-0000-0000-0000D8840000}"/>
    <cellStyle name="Warning Text 2 2 2 2 2 2 2 2 4" xfId="28471" xr:uid="{00000000-0005-0000-0000-0000D9840000}"/>
    <cellStyle name="Warning Text 2 2 2 2 2 2 2 3" xfId="10689" xr:uid="{00000000-0005-0000-0000-0000DA840000}"/>
    <cellStyle name="Warning Text 2 2 2 2 2 2 2 3 2" xfId="10690" xr:uid="{00000000-0005-0000-0000-0000DB840000}"/>
    <cellStyle name="Warning Text 2 2 2 2 2 2 2 3 2 2" xfId="28476" xr:uid="{00000000-0005-0000-0000-0000DC840000}"/>
    <cellStyle name="Warning Text 2 2 2 2 2 2 2 3 3" xfId="28475" xr:uid="{00000000-0005-0000-0000-0000DD840000}"/>
    <cellStyle name="Warning Text 2 2 2 2 2 2 2 4" xfId="28470" xr:uid="{00000000-0005-0000-0000-0000DE840000}"/>
    <cellStyle name="Warning Text 2 2 2 2 2 2 3" xfId="10691" xr:uid="{00000000-0005-0000-0000-0000DF840000}"/>
    <cellStyle name="Warning Text 2 2 2 2 2 2 3 2" xfId="28477" xr:uid="{00000000-0005-0000-0000-0000E0840000}"/>
    <cellStyle name="Warning Text 2 2 2 2 2 2 4" xfId="10692" xr:uid="{00000000-0005-0000-0000-0000E1840000}"/>
    <cellStyle name="Warning Text 2 2 2 2 2 2 4 2" xfId="28478" xr:uid="{00000000-0005-0000-0000-0000E2840000}"/>
    <cellStyle name="Warning Text 2 2 2 2 2 2 5" xfId="10693" xr:uid="{00000000-0005-0000-0000-0000E3840000}"/>
    <cellStyle name="Warning Text 2 2 2 2 2 2 5 2" xfId="28479" xr:uid="{00000000-0005-0000-0000-0000E4840000}"/>
    <cellStyle name="Warning Text 2 2 2 2 2 2 6" xfId="10694" xr:uid="{00000000-0005-0000-0000-0000E5840000}"/>
    <cellStyle name="Warning Text 2 2 2 2 2 2 6 2" xfId="28480" xr:uid="{00000000-0005-0000-0000-0000E6840000}"/>
    <cellStyle name="Warning Text 2 2 2 2 2 2 7" xfId="10695" xr:uid="{00000000-0005-0000-0000-0000E7840000}"/>
    <cellStyle name="Warning Text 2 2 2 2 2 2 7 2" xfId="28481" xr:uid="{00000000-0005-0000-0000-0000E8840000}"/>
    <cellStyle name="Warning Text 2 2 2 2 2 2 8" xfId="10696" xr:uid="{00000000-0005-0000-0000-0000E9840000}"/>
    <cellStyle name="Warning Text 2 2 2 2 2 2 8 2" xfId="28482" xr:uid="{00000000-0005-0000-0000-0000EA840000}"/>
    <cellStyle name="Warning Text 2 2 2 2 2 2 9" xfId="10697" xr:uid="{00000000-0005-0000-0000-0000EB840000}"/>
    <cellStyle name="Warning Text 2 2 2 2 2 2 9 2" xfId="28483" xr:uid="{00000000-0005-0000-0000-0000EC840000}"/>
    <cellStyle name="Warning Text 2 2 2 2 2 3" xfId="10698" xr:uid="{00000000-0005-0000-0000-0000ED840000}"/>
    <cellStyle name="Warning Text 2 2 2 2 2 3 2" xfId="10699" xr:uid="{00000000-0005-0000-0000-0000EE840000}"/>
    <cellStyle name="Warning Text 2 2 2 2 2 3 2 2" xfId="28485" xr:uid="{00000000-0005-0000-0000-0000EF840000}"/>
    <cellStyle name="Warning Text 2 2 2 2 2 3 3" xfId="28484" xr:uid="{00000000-0005-0000-0000-0000F0840000}"/>
    <cellStyle name="Warning Text 2 2 2 2 2 4" xfId="10700" xr:uid="{00000000-0005-0000-0000-0000F1840000}"/>
    <cellStyle name="Warning Text 2 2 2 2 2 4 2" xfId="28486" xr:uid="{00000000-0005-0000-0000-0000F2840000}"/>
    <cellStyle name="Warning Text 2 2 2 2 2 5" xfId="10701" xr:uid="{00000000-0005-0000-0000-0000F3840000}"/>
    <cellStyle name="Warning Text 2 2 2 2 2 5 2" xfId="28487" xr:uid="{00000000-0005-0000-0000-0000F4840000}"/>
    <cellStyle name="Warning Text 2 2 2 2 2 6" xfId="10702" xr:uid="{00000000-0005-0000-0000-0000F5840000}"/>
    <cellStyle name="Warning Text 2 2 2 2 2 6 2" xfId="28488" xr:uid="{00000000-0005-0000-0000-0000F6840000}"/>
    <cellStyle name="Warning Text 2 2 2 2 2 7" xfId="10703" xr:uid="{00000000-0005-0000-0000-0000F7840000}"/>
    <cellStyle name="Warning Text 2 2 2 2 2 7 2" xfId="28489" xr:uid="{00000000-0005-0000-0000-0000F8840000}"/>
    <cellStyle name="Warning Text 2 2 2 2 2 8" xfId="10704" xr:uid="{00000000-0005-0000-0000-0000F9840000}"/>
    <cellStyle name="Warning Text 2 2 2 2 2 8 2" xfId="28490" xr:uid="{00000000-0005-0000-0000-0000FA840000}"/>
    <cellStyle name="Warning Text 2 2 2 2 2 9" xfId="10705" xr:uid="{00000000-0005-0000-0000-0000FB840000}"/>
    <cellStyle name="Warning Text 2 2 2 2 2 9 2" xfId="28491" xr:uid="{00000000-0005-0000-0000-0000FC840000}"/>
    <cellStyle name="Warning Text 2 2 2 2 20" xfId="10706" xr:uid="{00000000-0005-0000-0000-0000FD840000}"/>
    <cellStyle name="Warning Text 2 2 2 2 20 2" xfId="10707" xr:uid="{00000000-0005-0000-0000-0000FE840000}"/>
    <cellStyle name="Warning Text 2 2 2 2 20 2 2" xfId="28493" xr:uid="{00000000-0005-0000-0000-0000FF840000}"/>
    <cellStyle name="Warning Text 2 2 2 2 20 3" xfId="28492" xr:uid="{00000000-0005-0000-0000-000000850000}"/>
    <cellStyle name="Warning Text 2 2 2 2 21" xfId="10708" xr:uid="{00000000-0005-0000-0000-000001850000}"/>
    <cellStyle name="Warning Text 2 2 2 2 21 2" xfId="28494" xr:uid="{00000000-0005-0000-0000-000002850000}"/>
    <cellStyle name="Warning Text 2 2 2 2 22" xfId="10709" xr:uid="{00000000-0005-0000-0000-000003850000}"/>
    <cellStyle name="Warning Text 2 2 2 2 22 2" xfId="28495" xr:uid="{00000000-0005-0000-0000-000004850000}"/>
    <cellStyle name="Warning Text 2 2 2 2 23" xfId="10710" xr:uid="{00000000-0005-0000-0000-000005850000}"/>
    <cellStyle name="Warning Text 2 2 2 2 23 2" xfId="28496" xr:uid="{00000000-0005-0000-0000-000006850000}"/>
    <cellStyle name="Warning Text 2 2 2 2 24" xfId="10711" xr:uid="{00000000-0005-0000-0000-000007850000}"/>
    <cellStyle name="Warning Text 2 2 2 2 24 2" xfId="28497" xr:uid="{00000000-0005-0000-0000-000008850000}"/>
    <cellStyle name="Warning Text 2 2 2 2 25" xfId="10712" xr:uid="{00000000-0005-0000-0000-000009850000}"/>
    <cellStyle name="Warning Text 2 2 2 2 25 2" xfId="28498" xr:uid="{00000000-0005-0000-0000-00000A850000}"/>
    <cellStyle name="Warning Text 2 2 2 2 26" xfId="10713" xr:uid="{00000000-0005-0000-0000-00000B850000}"/>
    <cellStyle name="Warning Text 2 2 2 2 26 2" xfId="28499" xr:uid="{00000000-0005-0000-0000-00000C850000}"/>
    <cellStyle name="Warning Text 2 2 2 2 27" xfId="10714" xr:uid="{00000000-0005-0000-0000-00000D850000}"/>
    <cellStyle name="Warning Text 2 2 2 2 27 2" xfId="28500" xr:uid="{00000000-0005-0000-0000-00000E850000}"/>
    <cellStyle name="Warning Text 2 2 2 2 28" xfId="10715" xr:uid="{00000000-0005-0000-0000-00000F850000}"/>
    <cellStyle name="Warning Text 2 2 2 2 28 2" xfId="10716" xr:uid="{00000000-0005-0000-0000-000010850000}"/>
    <cellStyle name="Warning Text 2 2 2 2 28 2 2" xfId="28502" xr:uid="{00000000-0005-0000-0000-000011850000}"/>
    <cellStyle name="Warning Text 2 2 2 2 28 3" xfId="28501" xr:uid="{00000000-0005-0000-0000-000012850000}"/>
    <cellStyle name="Warning Text 2 2 2 2 29" xfId="28451" xr:uid="{00000000-0005-0000-0000-000013850000}"/>
    <cellStyle name="Warning Text 2 2 2 2 3" xfId="10717" xr:uid="{00000000-0005-0000-0000-000014850000}"/>
    <cellStyle name="Warning Text 2 2 2 2 3 2" xfId="28503" xr:uid="{00000000-0005-0000-0000-000015850000}"/>
    <cellStyle name="Warning Text 2 2 2 2 4" xfId="10718" xr:uid="{00000000-0005-0000-0000-000016850000}"/>
    <cellStyle name="Warning Text 2 2 2 2 4 2" xfId="28504" xr:uid="{00000000-0005-0000-0000-000017850000}"/>
    <cellStyle name="Warning Text 2 2 2 2 5" xfId="10719" xr:uid="{00000000-0005-0000-0000-000018850000}"/>
    <cellStyle name="Warning Text 2 2 2 2 5 2" xfId="28505" xr:uid="{00000000-0005-0000-0000-000019850000}"/>
    <cellStyle name="Warning Text 2 2 2 2 6" xfId="10720" xr:uid="{00000000-0005-0000-0000-00001A850000}"/>
    <cellStyle name="Warning Text 2 2 2 2 6 2" xfId="28506" xr:uid="{00000000-0005-0000-0000-00001B850000}"/>
    <cellStyle name="Warning Text 2 2 2 2 7" xfId="10721" xr:uid="{00000000-0005-0000-0000-00001C850000}"/>
    <cellStyle name="Warning Text 2 2 2 2 7 2" xfId="28507" xr:uid="{00000000-0005-0000-0000-00001D850000}"/>
    <cellStyle name="Warning Text 2 2 2 2 8" xfId="10722" xr:uid="{00000000-0005-0000-0000-00001E850000}"/>
    <cellStyle name="Warning Text 2 2 2 2 8 2" xfId="28508" xr:uid="{00000000-0005-0000-0000-00001F850000}"/>
    <cellStyle name="Warning Text 2 2 2 2 9" xfId="10723" xr:uid="{00000000-0005-0000-0000-000020850000}"/>
    <cellStyle name="Warning Text 2 2 2 2 9 2" xfId="28509" xr:uid="{00000000-0005-0000-0000-000021850000}"/>
    <cellStyle name="Warning Text 2 2 2 20" xfId="10724" xr:uid="{00000000-0005-0000-0000-000022850000}"/>
    <cellStyle name="Warning Text 2 2 2 20 2" xfId="10725" xr:uid="{00000000-0005-0000-0000-000023850000}"/>
    <cellStyle name="Warning Text 2 2 2 20 2 2" xfId="28511" xr:uid="{00000000-0005-0000-0000-000024850000}"/>
    <cellStyle name="Warning Text 2 2 2 20 3" xfId="28510" xr:uid="{00000000-0005-0000-0000-000025850000}"/>
    <cellStyle name="Warning Text 2 2 2 21" xfId="10726" xr:uid="{00000000-0005-0000-0000-000026850000}"/>
    <cellStyle name="Warning Text 2 2 2 21 2" xfId="28512" xr:uid="{00000000-0005-0000-0000-000027850000}"/>
    <cellStyle name="Warning Text 2 2 2 22" xfId="10727" xr:uid="{00000000-0005-0000-0000-000028850000}"/>
    <cellStyle name="Warning Text 2 2 2 22 2" xfId="28513" xr:uid="{00000000-0005-0000-0000-000029850000}"/>
    <cellStyle name="Warning Text 2 2 2 23" xfId="10728" xr:uid="{00000000-0005-0000-0000-00002A850000}"/>
    <cellStyle name="Warning Text 2 2 2 23 2" xfId="28514" xr:uid="{00000000-0005-0000-0000-00002B850000}"/>
    <cellStyle name="Warning Text 2 2 2 24" xfId="10729" xr:uid="{00000000-0005-0000-0000-00002C850000}"/>
    <cellStyle name="Warning Text 2 2 2 24 2" xfId="28515" xr:uid="{00000000-0005-0000-0000-00002D850000}"/>
    <cellStyle name="Warning Text 2 2 2 25" xfId="10730" xr:uid="{00000000-0005-0000-0000-00002E850000}"/>
    <cellStyle name="Warning Text 2 2 2 25 2" xfId="28516" xr:uid="{00000000-0005-0000-0000-00002F850000}"/>
    <cellStyle name="Warning Text 2 2 2 26" xfId="10731" xr:uid="{00000000-0005-0000-0000-000030850000}"/>
    <cellStyle name="Warning Text 2 2 2 26 2" xfId="28517" xr:uid="{00000000-0005-0000-0000-000031850000}"/>
    <cellStyle name="Warning Text 2 2 2 27" xfId="10732" xr:uid="{00000000-0005-0000-0000-000032850000}"/>
    <cellStyle name="Warning Text 2 2 2 27 2" xfId="28518" xr:uid="{00000000-0005-0000-0000-000033850000}"/>
    <cellStyle name="Warning Text 2 2 2 28" xfId="10733" xr:uid="{00000000-0005-0000-0000-000034850000}"/>
    <cellStyle name="Warning Text 2 2 2 28 2" xfId="10734" xr:uid="{00000000-0005-0000-0000-000035850000}"/>
    <cellStyle name="Warning Text 2 2 2 28 2 2" xfId="28520" xr:uid="{00000000-0005-0000-0000-000036850000}"/>
    <cellStyle name="Warning Text 2 2 2 28 3" xfId="28519" xr:uid="{00000000-0005-0000-0000-000037850000}"/>
    <cellStyle name="Warning Text 2 2 2 29" xfId="28440" xr:uid="{00000000-0005-0000-0000-000038850000}"/>
    <cellStyle name="Warning Text 2 2 2 3" xfId="10735" xr:uid="{00000000-0005-0000-0000-000039850000}"/>
    <cellStyle name="Warning Text 2 2 2 3 2" xfId="10736" xr:uid="{00000000-0005-0000-0000-00003A850000}"/>
    <cellStyle name="Warning Text 2 2 2 3 2 2" xfId="28522" xr:uid="{00000000-0005-0000-0000-00003B850000}"/>
    <cellStyle name="Warning Text 2 2 2 3 3" xfId="28521" xr:uid="{00000000-0005-0000-0000-00003C850000}"/>
    <cellStyle name="Warning Text 2 2 2 30" xfId="33075" xr:uid="{00000000-0005-0000-0000-00003D850000}"/>
    <cellStyle name="Warning Text 2 2 2 4" xfId="10737" xr:uid="{00000000-0005-0000-0000-00003E850000}"/>
    <cellStyle name="Warning Text 2 2 2 4 2" xfId="28523" xr:uid="{00000000-0005-0000-0000-00003F850000}"/>
    <cellStyle name="Warning Text 2 2 2 5" xfId="10738" xr:uid="{00000000-0005-0000-0000-000040850000}"/>
    <cellStyle name="Warning Text 2 2 2 5 2" xfId="28524" xr:uid="{00000000-0005-0000-0000-000041850000}"/>
    <cellStyle name="Warning Text 2 2 2 6" xfId="10739" xr:uid="{00000000-0005-0000-0000-000042850000}"/>
    <cellStyle name="Warning Text 2 2 2 6 2" xfId="28525" xr:uid="{00000000-0005-0000-0000-000043850000}"/>
    <cellStyle name="Warning Text 2 2 2 7" xfId="10740" xr:uid="{00000000-0005-0000-0000-000044850000}"/>
    <cellStyle name="Warning Text 2 2 2 7 2" xfId="28526" xr:uid="{00000000-0005-0000-0000-000045850000}"/>
    <cellStyle name="Warning Text 2 2 2 8" xfId="10741" xr:uid="{00000000-0005-0000-0000-000046850000}"/>
    <cellStyle name="Warning Text 2 2 2 8 2" xfId="28527" xr:uid="{00000000-0005-0000-0000-000047850000}"/>
    <cellStyle name="Warning Text 2 2 2 9" xfId="10742" xr:uid="{00000000-0005-0000-0000-000048850000}"/>
    <cellStyle name="Warning Text 2 2 2 9 2" xfId="28528" xr:uid="{00000000-0005-0000-0000-000049850000}"/>
    <cellStyle name="Warning Text 2 2 20" xfId="10743" xr:uid="{00000000-0005-0000-0000-00004A850000}"/>
    <cellStyle name="Warning Text 2 2 20 2" xfId="28529" xr:uid="{00000000-0005-0000-0000-00004B850000}"/>
    <cellStyle name="Warning Text 2 2 21" xfId="10744" xr:uid="{00000000-0005-0000-0000-00004C850000}"/>
    <cellStyle name="Warning Text 2 2 21 2" xfId="28530" xr:uid="{00000000-0005-0000-0000-00004D850000}"/>
    <cellStyle name="Warning Text 2 2 22" xfId="10745" xr:uid="{00000000-0005-0000-0000-00004E850000}"/>
    <cellStyle name="Warning Text 2 2 22 2" xfId="28531" xr:uid="{00000000-0005-0000-0000-00004F850000}"/>
    <cellStyle name="Warning Text 2 2 23" xfId="10746" xr:uid="{00000000-0005-0000-0000-000050850000}"/>
    <cellStyle name="Warning Text 2 2 23 2" xfId="28532" xr:uid="{00000000-0005-0000-0000-000051850000}"/>
    <cellStyle name="Warning Text 2 2 24" xfId="10747" xr:uid="{00000000-0005-0000-0000-000052850000}"/>
    <cellStyle name="Warning Text 2 2 24 2" xfId="28533" xr:uid="{00000000-0005-0000-0000-000053850000}"/>
    <cellStyle name="Warning Text 2 2 25" xfId="10748" xr:uid="{00000000-0005-0000-0000-000054850000}"/>
    <cellStyle name="Warning Text 2 2 25 2" xfId="28534" xr:uid="{00000000-0005-0000-0000-000055850000}"/>
    <cellStyle name="Warning Text 2 2 26" xfId="10749" xr:uid="{00000000-0005-0000-0000-000056850000}"/>
    <cellStyle name="Warning Text 2 2 26 2" xfId="28535" xr:uid="{00000000-0005-0000-0000-000057850000}"/>
    <cellStyle name="Warning Text 2 2 27" xfId="10750" xr:uid="{00000000-0005-0000-0000-000058850000}"/>
    <cellStyle name="Warning Text 2 2 27 2" xfId="28536" xr:uid="{00000000-0005-0000-0000-000059850000}"/>
    <cellStyle name="Warning Text 2 2 28" xfId="10751" xr:uid="{00000000-0005-0000-0000-00005A850000}"/>
    <cellStyle name="Warning Text 2 2 28 2" xfId="28537" xr:uid="{00000000-0005-0000-0000-00005B850000}"/>
    <cellStyle name="Warning Text 2 2 29" xfId="10752" xr:uid="{00000000-0005-0000-0000-00005C850000}"/>
    <cellStyle name="Warning Text 2 2 29 2" xfId="28538" xr:uid="{00000000-0005-0000-0000-00005D850000}"/>
    <cellStyle name="Warning Text 2 2 3" xfId="10753" xr:uid="{00000000-0005-0000-0000-00005E850000}"/>
    <cellStyle name="Warning Text 2 2 3 2" xfId="28539" xr:uid="{00000000-0005-0000-0000-00005F850000}"/>
    <cellStyle name="Warning Text 2 2 30" xfId="10754" xr:uid="{00000000-0005-0000-0000-000060850000}"/>
    <cellStyle name="Warning Text 2 2 30 2" xfId="28540" xr:uid="{00000000-0005-0000-0000-000061850000}"/>
    <cellStyle name="Warning Text 2 2 31" xfId="10755" xr:uid="{00000000-0005-0000-0000-000062850000}"/>
    <cellStyle name="Warning Text 2 2 31 2" xfId="10756" xr:uid="{00000000-0005-0000-0000-000063850000}"/>
    <cellStyle name="Warning Text 2 2 31 2 2" xfId="28542" xr:uid="{00000000-0005-0000-0000-000064850000}"/>
    <cellStyle name="Warning Text 2 2 31 3" xfId="28541" xr:uid="{00000000-0005-0000-0000-000065850000}"/>
    <cellStyle name="Warning Text 2 2 32" xfId="10757" xr:uid="{00000000-0005-0000-0000-000066850000}"/>
    <cellStyle name="Warning Text 2 2 32 2" xfId="28543" xr:uid="{00000000-0005-0000-0000-000067850000}"/>
    <cellStyle name="Warning Text 2 2 33" xfId="10758" xr:uid="{00000000-0005-0000-0000-000068850000}"/>
    <cellStyle name="Warning Text 2 2 33 2" xfId="28544" xr:uid="{00000000-0005-0000-0000-000069850000}"/>
    <cellStyle name="Warning Text 2 2 34" xfId="10759" xr:uid="{00000000-0005-0000-0000-00006A850000}"/>
    <cellStyle name="Warning Text 2 2 34 2" xfId="28545" xr:uid="{00000000-0005-0000-0000-00006B850000}"/>
    <cellStyle name="Warning Text 2 2 35" xfId="10760" xr:uid="{00000000-0005-0000-0000-00006C850000}"/>
    <cellStyle name="Warning Text 2 2 35 2" xfId="28546" xr:uid="{00000000-0005-0000-0000-00006D850000}"/>
    <cellStyle name="Warning Text 2 2 36" xfId="10761" xr:uid="{00000000-0005-0000-0000-00006E850000}"/>
    <cellStyle name="Warning Text 2 2 36 2" xfId="28547" xr:uid="{00000000-0005-0000-0000-00006F850000}"/>
    <cellStyle name="Warning Text 2 2 37" xfId="10762" xr:uid="{00000000-0005-0000-0000-000070850000}"/>
    <cellStyle name="Warning Text 2 2 37 2" xfId="28548" xr:uid="{00000000-0005-0000-0000-000071850000}"/>
    <cellStyle name="Warning Text 2 2 38" xfId="10763" xr:uid="{00000000-0005-0000-0000-000072850000}"/>
    <cellStyle name="Warning Text 2 2 38 2" xfId="28549" xr:uid="{00000000-0005-0000-0000-000073850000}"/>
    <cellStyle name="Warning Text 2 2 39" xfId="10764" xr:uid="{00000000-0005-0000-0000-000074850000}"/>
    <cellStyle name="Warning Text 2 2 39 2" xfId="10765" xr:uid="{00000000-0005-0000-0000-000075850000}"/>
    <cellStyle name="Warning Text 2 2 39 2 2" xfId="28551" xr:uid="{00000000-0005-0000-0000-000076850000}"/>
    <cellStyle name="Warning Text 2 2 39 3" xfId="28550" xr:uid="{00000000-0005-0000-0000-000077850000}"/>
    <cellStyle name="Warning Text 2 2 4" xfId="10766" xr:uid="{00000000-0005-0000-0000-000078850000}"/>
    <cellStyle name="Warning Text 2 2 4 2" xfId="28552" xr:uid="{00000000-0005-0000-0000-000079850000}"/>
    <cellStyle name="Warning Text 2 2 40" xfId="28428" xr:uid="{00000000-0005-0000-0000-00007A850000}"/>
    <cellStyle name="Warning Text 2 2 41" xfId="33076" xr:uid="{00000000-0005-0000-0000-00007B850000}"/>
    <cellStyle name="Warning Text 2 2 42" xfId="33077" xr:uid="{00000000-0005-0000-0000-00007C850000}"/>
    <cellStyle name="Warning Text 2 2 5" xfId="10767" xr:uid="{00000000-0005-0000-0000-00007D850000}"/>
    <cellStyle name="Warning Text 2 2 5 2" xfId="28553" xr:uid="{00000000-0005-0000-0000-00007E850000}"/>
    <cellStyle name="Warning Text 2 2 6" xfId="10768" xr:uid="{00000000-0005-0000-0000-00007F850000}"/>
    <cellStyle name="Warning Text 2 2 6 2" xfId="28554" xr:uid="{00000000-0005-0000-0000-000080850000}"/>
    <cellStyle name="Warning Text 2 2 7" xfId="10769" xr:uid="{00000000-0005-0000-0000-000081850000}"/>
    <cellStyle name="Warning Text 2 2 7 2" xfId="28555" xr:uid="{00000000-0005-0000-0000-000082850000}"/>
    <cellStyle name="Warning Text 2 2 8" xfId="10770" xr:uid="{00000000-0005-0000-0000-000083850000}"/>
    <cellStyle name="Warning Text 2 2 8 2" xfId="28556" xr:uid="{00000000-0005-0000-0000-000084850000}"/>
    <cellStyle name="Warning Text 2 2 9" xfId="10771" xr:uid="{00000000-0005-0000-0000-000085850000}"/>
    <cellStyle name="Warning Text 2 2 9 2" xfId="28557" xr:uid="{00000000-0005-0000-0000-000086850000}"/>
    <cellStyle name="Warning Text 2 2_Loan Classification" xfId="11511" xr:uid="{00000000-0005-0000-0000-000087850000}"/>
    <cellStyle name="Warning Text 2 20" xfId="10772" xr:uid="{00000000-0005-0000-0000-000088850000}"/>
    <cellStyle name="Warning Text 2 20 2" xfId="28558" xr:uid="{00000000-0005-0000-0000-000089850000}"/>
    <cellStyle name="Warning Text 2 21" xfId="10773" xr:uid="{00000000-0005-0000-0000-00008A850000}"/>
    <cellStyle name="Warning Text 2 21 2" xfId="28559" xr:uid="{00000000-0005-0000-0000-00008B850000}"/>
    <cellStyle name="Warning Text 2 22" xfId="10774" xr:uid="{00000000-0005-0000-0000-00008C850000}"/>
    <cellStyle name="Warning Text 2 22 2" xfId="28560" xr:uid="{00000000-0005-0000-0000-00008D850000}"/>
    <cellStyle name="Warning Text 2 23" xfId="10775" xr:uid="{00000000-0005-0000-0000-00008E850000}"/>
    <cellStyle name="Warning Text 2 23 2" xfId="28561" xr:uid="{00000000-0005-0000-0000-00008F850000}"/>
    <cellStyle name="Warning Text 2 24" xfId="10776" xr:uid="{00000000-0005-0000-0000-000090850000}"/>
    <cellStyle name="Warning Text 2 24 2" xfId="28562" xr:uid="{00000000-0005-0000-0000-000091850000}"/>
    <cellStyle name="Warning Text 2 25" xfId="10777" xr:uid="{00000000-0005-0000-0000-000092850000}"/>
    <cellStyle name="Warning Text 2 25 2" xfId="28563" xr:uid="{00000000-0005-0000-0000-000093850000}"/>
    <cellStyle name="Warning Text 2 26" xfId="10778" xr:uid="{00000000-0005-0000-0000-000094850000}"/>
    <cellStyle name="Warning Text 2 26 2" xfId="28564" xr:uid="{00000000-0005-0000-0000-000095850000}"/>
    <cellStyle name="Warning Text 2 27" xfId="10779" xr:uid="{00000000-0005-0000-0000-000096850000}"/>
    <cellStyle name="Warning Text 2 27 2" xfId="28565" xr:uid="{00000000-0005-0000-0000-000097850000}"/>
    <cellStyle name="Warning Text 2 28" xfId="10780" xr:uid="{00000000-0005-0000-0000-000098850000}"/>
    <cellStyle name="Warning Text 2 28 2" xfId="28566" xr:uid="{00000000-0005-0000-0000-000099850000}"/>
    <cellStyle name="Warning Text 2 29" xfId="10781" xr:uid="{00000000-0005-0000-0000-00009A850000}"/>
    <cellStyle name="Warning Text 2 29 2" xfId="28567" xr:uid="{00000000-0005-0000-0000-00009B850000}"/>
    <cellStyle name="Warning Text 2 3" xfId="10782" xr:uid="{00000000-0005-0000-0000-00009C850000}"/>
    <cellStyle name="Warning Text 2 3 2" xfId="10783" xr:uid="{00000000-0005-0000-0000-00009D850000}"/>
    <cellStyle name="Warning Text 2 3 2 2" xfId="28569" xr:uid="{00000000-0005-0000-0000-00009E850000}"/>
    <cellStyle name="Warning Text 2 3 2 3" xfId="33078" xr:uid="{00000000-0005-0000-0000-00009F850000}"/>
    <cellStyle name="Warning Text 2 3 3" xfId="28568" xr:uid="{00000000-0005-0000-0000-0000A0850000}"/>
    <cellStyle name="Warning Text 2 3 4" xfId="33079" xr:uid="{00000000-0005-0000-0000-0000A1850000}"/>
    <cellStyle name="Warning Text 2 3 5" xfId="33080" xr:uid="{00000000-0005-0000-0000-0000A2850000}"/>
    <cellStyle name="Warning Text 2 3_Loan Classification" xfId="11512" xr:uid="{00000000-0005-0000-0000-0000A3850000}"/>
    <cellStyle name="Warning Text 2 30" xfId="10784" xr:uid="{00000000-0005-0000-0000-0000A4850000}"/>
    <cellStyle name="Warning Text 2 30 2" xfId="28570" xr:uid="{00000000-0005-0000-0000-0000A5850000}"/>
    <cellStyle name="Warning Text 2 31" xfId="10785" xr:uid="{00000000-0005-0000-0000-0000A6850000}"/>
    <cellStyle name="Warning Text 2 31 2" xfId="10786" xr:uid="{00000000-0005-0000-0000-0000A7850000}"/>
    <cellStyle name="Warning Text 2 31 2 2" xfId="28572" xr:uid="{00000000-0005-0000-0000-0000A8850000}"/>
    <cellStyle name="Warning Text 2 31 3" xfId="28571" xr:uid="{00000000-0005-0000-0000-0000A9850000}"/>
    <cellStyle name="Warning Text 2 32" xfId="10787" xr:uid="{00000000-0005-0000-0000-0000AA850000}"/>
    <cellStyle name="Warning Text 2 32 2" xfId="28573" xr:uid="{00000000-0005-0000-0000-0000AB850000}"/>
    <cellStyle name="Warning Text 2 33" xfId="10788" xr:uid="{00000000-0005-0000-0000-0000AC850000}"/>
    <cellStyle name="Warning Text 2 33 2" xfId="28574" xr:uid="{00000000-0005-0000-0000-0000AD850000}"/>
    <cellStyle name="Warning Text 2 34" xfId="10789" xr:uid="{00000000-0005-0000-0000-0000AE850000}"/>
    <cellStyle name="Warning Text 2 34 2" xfId="28575" xr:uid="{00000000-0005-0000-0000-0000AF850000}"/>
    <cellStyle name="Warning Text 2 35" xfId="10790" xr:uid="{00000000-0005-0000-0000-0000B0850000}"/>
    <cellStyle name="Warning Text 2 35 2" xfId="28576" xr:uid="{00000000-0005-0000-0000-0000B1850000}"/>
    <cellStyle name="Warning Text 2 36" xfId="10791" xr:uid="{00000000-0005-0000-0000-0000B2850000}"/>
    <cellStyle name="Warning Text 2 36 2" xfId="28577" xr:uid="{00000000-0005-0000-0000-0000B3850000}"/>
    <cellStyle name="Warning Text 2 37" xfId="10792" xr:uid="{00000000-0005-0000-0000-0000B4850000}"/>
    <cellStyle name="Warning Text 2 37 2" xfId="28578" xr:uid="{00000000-0005-0000-0000-0000B5850000}"/>
    <cellStyle name="Warning Text 2 38" xfId="10793" xr:uid="{00000000-0005-0000-0000-0000B6850000}"/>
    <cellStyle name="Warning Text 2 38 2" xfId="28579" xr:uid="{00000000-0005-0000-0000-0000B7850000}"/>
    <cellStyle name="Warning Text 2 39" xfId="10794" xr:uid="{00000000-0005-0000-0000-0000B8850000}"/>
    <cellStyle name="Warning Text 2 39 2" xfId="10795" xr:uid="{00000000-0005-0000-0000-0000B9850000}"/>
    <cellStyle name="Warning Text 2 39 2 2" xfId="28581" xr:uid="{00000000-0005-0000-0000-0000BA850000}"/>
    <cellStyle name="Warning Text 2 39 3" xfId="28580" xr:uid="{00000000-0005-0000-0000-0000BB850000}"/>
    <cellStyle name="Warning Text 2 4" xfId="10796" xr:uid="{00000000-0005-0000-0000-0000BC850000}"/>
    <cellStyle name="Warning Text 2 4 2" xfId="28582" xr:uid="{00000000-0005-0000-0000-0000BD850000}"/>
    <cellStyle name="Warning Text 2 4 2 2" xfId="33081" xr:uid="{00000000-0005-0000-0000-0000BE850000}"/>
    <cellStyle name="Warning Text 2 4 3" xfId="33082" xr:uid="{00000000-0005-0000-0000-0000BF850000}"/>
    <cellStyle name="Warning Text 2 4 4" xfId="33083" xr:uid="{00000000-0005-0000-0000-0000C0850000}"/>
    <cellStyle name="Warning Text 2 4 5" xfId="33084" xr:uid="{00000000-0005-0000-0000-0000C1850000}"/>
    <cellStyle name="Warning Text 2 40" xfId="28416" xr:uid="{00000000-0005-0000-0000-0000C2850000}"/>
    <cellStyle name="Warning Text 2 41" xfId="33085" xr:uid="{00000000-0005-0000-0000-0000C3850000}"/>
    <cellStyle name="Warning Text 2 5" xfId="10797" xr:uid="{00000000-0005-0000-0000-0000C4850000}"/>
    <cellStyle name="Warning Text 2 5 2" xfId="28583" xr:uid="{00000000-0005-0000-0000-0000C5850000}"/>
    <cellStyle name="Warning Text 2 5 3" xfId="33086" xr:uid="{00000000-0005-0000-0000-0000C6850000}"/>
    <cellStyle name="Warning Text 2 5 4" xfId="33087" xr:uid="{00000000-0005-0000-0000-0000C7850000}"/>
    <cellStyle name="Warning Text 2 6" xfId="10798" xr:uid="{00000000-0005-0000-0000-0000C8850000}"/>
    <cellStyle name="Warning Text 2 6 2" xfId="28584" xr:uid="{00000000-0005-0000-0000-0000C9850000}"/>
    <cellStyle name="Warning Text 2 6 3" xfId="33088" xr:uid="{00000000-0005-0000-0000-0000CA850000}"/>
    <cellStyle name="Warning Text 2 7" xfId="10799" xr:uid="{00000000-0005-0000-0000-0000CB850000}"/>
    <cellStyle name="Warning Text 2 7 2" xfId="28585" xr:uid="{00000000-0005-0000-0000-0000CC850000}"/>
    <cellStyle name="Warning Text 2 8" xfId="10800" xr:uid="{00000000-0005-0000-0000-0000CD850000}"/>
    <cellStyle name="Warning Text 2 8 2" xfId="28586" xr:uid="{00000000-0005-0000-0000-0000CE850000}"/>
    <cellStyle name="Warning Text 2 9" xfId="10801" xr:uid="{00000000-0005-0000-0000-0000CF850000}"/>
    <cellStyle name="Warning Text 2 9 2" xfId="28587" xr:uid="{00000000-0005-0000-0000-0000D0850000}"/>
    <cellStyle name="Warning Text 2_Loan Classification" xfId="11510" xr:uid="{00000000-0005-0000-0000-0000D1850000}"/>
    <cellStyle name="Warning Text 20" xfId="10802" xr:uid="{00000000-0005-0000-0000-0000D2850000}"/>
    <cellStyle name="Warning Text 20 2" xfId="28588" xr:uid="{00000000-0005-0000-0000-0000D3850000}"/>
    <cellStyle name="Warning Text 21" xfId="10803" xr:uid="{00000000-0005-0000-0000-0000D4850000}"/>
    <cellStyle name="Warning Text 21 2" xfId="28589" xr:uid="{00000000-0005-0000-0000-0000D5850000}"/>
    <cellStyle name="Warning Text 22" xfId="10804" xr:uid="{00000000-0005-0000-0000-0000D6850000}"/>
    <cellStyle name="Warning Text 22 2" xfId="28590" xr:uid="{00000000-0005-0000-0000-0000D7850000}"/>
    <cellStyle name="Warning Text 23" xfId="10805" xr:uid="{00000000-0005-0000-0000-0000D8850000}"/>
    <cellStyle name="Warning Text 23 2" xfId="28591" xr:uid="{00000000-0005-0000-0000-0000D9850000}"/>
    <cellStyle name="Warning Text 24" xfId="10806" xr:uid="{00000000-0005-0000-0000-0000DA850000}"/>
    <cellStyle name="Warning Text 24 2" xfId="28592" xr:uid="{00000000-0005-0000-0000-0000DB850000}"/>
    <cellStyle name="Warning Text 25" xfId="10807" xr:uid="{00000000-0005-0000-0000-0000DC850000}"/>
    <cellStyle name="Warning Text 25 2" xfId="28593" xr:uid="{00000000-0005-0000-0000-0000DD850000}"/>
    <cellStyle name="Warning Text 26" xfId="10808" xr:uid="{00000000-0005-0000-0000-0000DE850000}"/>
    <cellStyle name="Warning Text 26 2" xfId="28594" xr:uid="{00000000-0005-0000-0000-0000DF850000}"/>
    <cellStyle name="Warning Text 27" xfId="10809" xr:uid="{00000000-0005-0000-0000-0000E0850000}"/>
    <cellStyle name="Warning Text 27 2" xfId="28595" xr:uid="{00000000-0005-0000-0000-0000E1850000}"/>
    <cellStyle name="Warning Text 28" xfId="10810" xr:uid="{00000000-0005-0000-0000-0000E2850000}"/>
    <cellStyle name="Warning Text 28 2" xfId="28596" xr:uid="{00000000-0005-0000-0000-0000E3850000}"/>
    <cellStyle name="Warning Text 29" xfId="10811" xr:uid="{00000000-0005-0000-0000-0000E4850000}"/>
    <cellStyle name="Warning Text 29 2" xfId="28597" xr:uid="{00000000-0005-0000-0000-0000E5850000}"/>
    <cellStyle name="Warning Text 3" xfId="10812" xr:uid="{00000000-0005-0000-0000-0000E6850000}"/>
    <cellStyle name="Warning Text 3 2" xfId="28598" xr:uid="{00000000-0005-0000-0000-0000E7850000}"/>
    <cellStyle name="Warning Text 3 2 2" xfId="33089" xr:uid="{00000000-0005-0000-0000-0000E8850000}"/>
    <cellStyle name="Warning Text 3 3" xfId="33090" xr:uid="{00000000-0005-0000-0000-0000E9850000}"/>
    <cellStyle name="Warning Text 3 4" xfId="33091" xr:uid="{00000000-0005-0000-0000-0000EA850000}"/>
    <cellStyle name="Warning Text 30" xfId="10813" xr:uid="{00000000-0005-0000-0000-0000EB850000}"/>
    <cellStyle name="Warning Text 30 2" xfId="28599" xr:uid="{00000000-0005-0000-0000-0000EC850000}"/>
    <cellStyle name="Warning Text 31" xfId="10814" xr:uid="{00000000-0005-0000-0000-0000ED850000}"/>
    <cellStyle name="Warning Text 31 2" xfId="28600" xr:uid="{00000000-0005-0000-0000-0000EE850000}"/>
    <cellStyle name="Warning Text 32" xfId="10815" xr:uid="{00000000-0005-0000-0000-0000EF850000}"/>
    <cellStyle name="Warning Text 32 2" xfId="28601" xr:uid="{00000000-0005-0000-0000-0000F0850000}"/>
    <cellStyle name="Warning Text 33" xfId="10816" xr:uid="{00000000-0005-0000-0000-0000F1850000}"/>
    <cellStyle name="Warning Text 33 2" xfId="28602" xr:uid="{00000000-0005-0000-0000-0000F2850000}"/>
    <cellStyle name="Warning Text 34" xfId="10817" xr:uid="{00000000-0005-0000-0000-0000F3850000}"/>
    <cellStyle name="Warning Text 34 2" xfId="28603" xr:uid="{00000000-0005-0000-0000-0000F4850000}"/>
    <cellStyle name="Warning Text 35" xfId="10818" xr:uid="{00000000-0005-0000-0000-0000F5850000}"/>
    <cellStyle name="Warning Text 35 2" xfId="28604" xr:uid="{00000000-0005-0000-0000-0000F6850000}"/>
    <cellStyle name="Warning Text 36" xfId="10819" xr:uid="{00000000-0005-0000-0000-0000F7850000}"/>
    <cellStyle name="Warning Text 36 2" xfId="28605" xr:uid="{00000000-0005-0000-0000-0000F8850000}"/>
    <cellStyle name="Warning Text 37" xfId="10820" xr:uid="{00000000-0005-0000-0000-0000F9850000}"/>
    <cellStyle name="Warning Text 37 2" xfId="28606" xr:uid="{00000000-0005-0000-0000-0000FA850000}"/>
    <cellStyle name="Warning Text 38" xfId="10821" xr:uid="{00000000-0005-0000-0000-0000FB850000}"/>
    <cellStyle name="Warning Text 38 2" xfId="28607" xr:uid="{00000000-0005-0000-0000-0000FC850000}"/>
    <cellStyle name="Warning Text 39" xfId="10822" xr:uid="{00000000-0005-0000-0000-0000FD850000}"/>
    <cellStyle name="Warning Text 39 2" xfId="28608" xr:uid="{00000000-0005-0000-0000-0000FE850000}"/>
    <cellStyle name="Warning Text 4" xfId="10823" xr:uid="{00000000-0005-0000-0000-0000FF850000}"/>
    <cellStyle name="Warning Text 4 2" xfId="28609" xr:uid="{00000000-0005-0000-0000-000000860000}"/>
    <cellStyle name="Warning Text 4 2 2" xfId="33092" xr:uid="{00000000-0005-0000-0000-000001860000}"/>
    <cellStyle name="Warning Text 4 3" xfId="33093" xr:uid="{00000000-0005-0000-0000-000002860000}"/>
    <cellStyle name="Warning Text 4 4" xfId="33094" xr:uid="{00000000-0005-0000-0000-000003860000}"/>
    <cellStyle name="Warning Text 40" xfId="10824" xr:uid="{00000000-0005-0000-0000-000004860000}"/>
    <cellStyle name="Warning Text 40 2" xfId="28610" xr:uid="{00000000-0005-0000-0000-000005860000}"/>
    <cellStyle name="Warning Text 41" xfId="10825" xr:uid="{00000000-0005-0000-0000-000006860000}"/>
    <cellStyle name="Warning Text 41 2" xfId="28611" xr:uid="{00000000-0005-0000-0000-000007860000}"/>
    <cellStyle name="Warning Text 42" xfId="10826" xr:uid="{00000000-0005-0000-0000-000008860000}"/>
    <cellStyle name="Warning Text 42 2" xfId="28612" xr:uid="{00000000-0005-0000-0000-000009860000}"/>
    <cellStyle name="Warning Text 43" xfId="11611" xr:uid="{00000000-0005-0000-0000-00000A860000}"/>
    <cellStyle name="Warning Text 43 2" xfId="28613" xr:uid="{00000000-0005-0000-0000-00000B860000}"/>
    <cellStyle name="Warning Text 44" xfId="11534" xr:uid="{00000000-0005-0000-0000-00000C860000}"/>
    <cellStyle name="Warning Text 45" xfId="28615" xr:uid="{00000000-0005-0000-0000-00000D860000}"/>
    <cellStyle name="Warning Text 46" xfId="33095" xr:uid="{00000000-0005-0000-0000-00000E860000}"/>
    <cellStyle name="Warning Text 47" xfId="643" xr:uid="{00000000-0005-0000-0000-00000F860000}"/>
    <cellStyle name="Warning Text 5" xfId="10827" xr:uid="{00000000-0005-0000-0000-000010860000}"/>
    <cellStyle name="Warning Text 5 2" xfId="28616" xr:uid="{00000000-0005-0000-0000-000011860000}"/>
    <cellStyle name="Warning Text 5 2 2" xfId="33096" xr:uid="{00000000-0005-0000-0000-000012860000}"/>
    <cellStyle name="Warning Text 5 3" xfId="33097" xr:uid="{00000000-0005-0000-0000-000013860000}"/>
    <cellStyle name="Warning Text 6" xfId="10828" xr:uid="{00000000-0005-0000-0000-000014860000}"/>
    <cellStyle name="Warning Text 6 2" xfId="28617" xr:uid="{00000000-0005-0000-0000-000015860000}"/>
    <cellStyle name="Warning Text 6 3" xfId="33098" xr:uid="{00000000-0005-0000-0000-000016860000}"/>
    <cellStyle name="Warning Text 7" xfId="10829" xr:uid="{00000000-0005-0000-0000-000017860000}"/>
    <cellStyle name="Warning Text 7 2" xfId="28618" xr:uid="{00000000-0005-0000-0000-000018860000}"/>
    <cellStyle name="Warning Text 7 3" xfId="33099" xr:uid="{00000000-0005-0000-0000-000019860000}"/>
    <cellStyle name="Warning Text 8" xfId="10830" xr:uid="{00000000-0005-0000-0000-00001A860000}"/>
    <cellStyle name="Warning Text 8 2" xfId="28619" xr:uid="{00000000-0005-0000-0000-00001B860000}"/>
    <cellStyle name="Warning Text 8 3" xfId="33100" xr:uid="{00000000-0005-0000-0000-00001C860000}"/>
    <cellStyle name="Warning Text 9" xfId="10831" xr:uid="{00000000-0005-0000-0000-00001D860000}"/>
    <cellStyle name="Warning Text 9 2" xfId="28620" xr:uid="{00000000-0005-0000-0000-00001E860000}"/>
    <cellStyle name="Warning Text 9 3" xfId="33101" xr:uid="{00000000-0005-0000-0000-00001F860000}"/>
    <cellStyle name="Years" xfId="644" xr:uid="{00000000-0005-0000-0000-000020860000}"/>
    <cellStyle name="Years 2" xfId="28621" xr:uid="{00000000-0005-0000-0000-000021860000}"/>
    <cellStyle name="Обычный_2002 Consolidation Template Send Out from Cinthia 13.03.02" xfId="645" xr:uid="{00000000-0005-0000-0000-000022860000}"/>
    <cellStyle name="Финансовый_2002 Consolidation Template Send Out from Cinthia 13.03.02" xfId="646" xr:uid="{00000000-0005-0000-0000-000023860000}"/>
  </cellStyles>
  <dxfs count="0"/>
  <tableStyles count="1" defaultTableStyle="TableStyleMedium2" defaultPivotStyle="PivotStyleLight16">
    <tableStyle name="Table Style 1" pivot="0" count="0" xr9:uid="{00000000-0011-0000-FFFF-FFFF00000000}"/>
  </tableStyles>
  <colors>
    <mruColors>
      <color rgb="FFFF0066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9" Type="http://schemas.openxmlformats.org/officeDocument/2006/relationships/externalLink" Target="externalLinks/externalLink14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9.xml"/><Relationship Id="rId42" Type="http://schemas.openxmlformats.org/officeDocument/2006/relationships/externalLink" Target="externalLinks/externalLink17.xml"/><Relationship Id="rId47" Type="http://schemas.openxmlformats.org/officeDocument/2006/relationships/externalLink" Target="externalLinks/externalLink22.xml"/><Relationship Id="rId50" Type="http://schemas.openxmlformats.org/officeDocument/2006/relationships/externalLink" Target="externalLinks/externalLink25.xml"/><Relationship Id="rId55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38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7.xml"/><Relationship Id="rId37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15.xml"/><Relationship Id="rId45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28.xml"/><Relationship Id="rId58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4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externalLink" Target="externalLinks/externalLink11.xml"/><Relationship Id="rId49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32.xml"/><Relationship Id="rId61" Type="http://schemas.openxmlformats.org/officeDocument/2006/relationships/externalLink" Target="externalLinks/externalLink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4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27.xml"/><Relationship Id="rId60" Type="http://schemas.openxmlformats.org/officeDocument/2006/relationships/externalLink" Target="externalLinks/externalLink35.xml"/><Relationship Id="rId65" Type="http://schemas.openxmlformats.org/officeDocument/2006/relationships/externalLink" Target="externalLinks/externalLink4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18.xml"/><Relationship Id="rId48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39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2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8.xml"/><Relationship Id="rId38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21.xml"/><Relationship Id="rId59" Type="http://schemas.openxmlformats.org/officeDocument/2006/relationships/externalLink" Target="externalLinks/externalLink34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16.xml"/><Relationship Id="rId54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37.xml"/><Relationship Id="rId7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qc-files-03\HO-Finance\Reports\Daily\2016\PROCREDIT%202016\MAR%202016\Daily%20Report%2029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wccluster\firmwide\Clients\Athi%20Water%20Services%20Board\Transactions\Valuation%20of%20Assets\Work%20Products\Other%20workings\Financial%20Model\Nairobi%20Areas%20WSS%20Projection%20Model%20v8.2%20fin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wccluster\firmwide\Clients\Equity%20Bank%20Ltd\Transactions\Project%20Karibu\Work%20Products\valuation%20review\E.%20Analysis\Project%20Karibu%20Valuation%20review%20model%20v3d%20140308_cw%20updated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1.1.105\HO-Finance\Reports\Monthly\2022\Apr%202022\All%20entities_30th%20April%202022%20vs%2030th%20April%202021.xlsx" TargetMode="External"/><Relationship Id="rId1" Type="http://schemas.openxmlformats.org/officeDocument/2006/relationships/externalLinkPath" Target="/Reports/Monthly/2022/Apr%202022/All%20entities_30th%20April%202022%20vs%2030th%20April%202021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1.1.105\HO-Finance\Reports\Annual\2022\Group\Equity%20Group%20Plc%20Consolidation%20Workings_2022.xlsx" TargetMode="External"/><Relationship Id="rId1" Type="http://schemas.openxmlformats.org/officeDocument/2006/relationships/externalLinkPath" Target="/Reports/Annual/2022/Group/Equity%20Group%20Plc%20Consolidation%20Workings_20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Loan%20Analysis%20-%20June\2.%20Loan%20Analysis\Loans_FSV%20Discounted%20Securities\FSV-%20NET%20LOANS%20DISCOUNTED%20SECURITIES%20-31_March_202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s/Monthly/2022/Jun%202022/Subsidiaries_MDS_June22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1.1.105\HO-Finance\Reports\Monthly\2023\Apr%202023\30th%20Apr%202023%20Mgt%20Accounts%20%20cbk%20Report.xlsx" TargetMode="External"/><Relationship Id="rId1" Type="http://schemas.openxmlformats.org/officeDocument/2006/relationships/externalLinkPath" Target="30th%20Apr%202023%20Mgt%20Accounts%20%20cbk%20Repor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s/Monthly/2022/Sep%202022/All%20entities_30th%20Sep%202022%20vs%2030th%20Sep%202021%20-%20Updat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Group%20Elimination%20and%20other%20workings/LIQUIDITY%20GROUP%2031%20March%202023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1.1.105\HO-Finance\Reports\Monthly\2023\Apr%202023\INTERCOMPANY\INTERCOMPANY%2030th%20Apr%202023.xlsx" TargetMode="External"/><Relationship Id="rId1" Type="http://schemas.openxmlformats.org/officeDocument/2006/relationships/externalLinkPath" Target="INTERCOMPANY/INTERCOMPANY%2030th%20Apr%202023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1.1.105\HO-Finance\Reports\Monthly\2023\Apr%202023\EGHL\EGH%20PLC%2031%20Apr%202023.xlsx" TargetMode="External"/><Relationship Id="rId1" Type="http://schemas.openxmlformats.org/officeDocument/2006/relationships/externalLinkPath" Target="EGHL/EGH%20PLC%2031%20Apr%202023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1.1.105\HO-Finance\Reports\Monthly\2023\Apr%202023\Subs%20Draft\Finserve\Finserve%20Financials%20as%20at%2030th%20April%202023.xlsx" TargetMode="External"/><Relationship Id="rId1" Type="http://schemas.openxmlformats.org/officeDocument/2006/relationships/externalLinkPath" Target="Subs%20Draft/Finserve/Finserve%20Financials%20as%20at%2030th%20April%202023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qc-files-03\HO-Finance\Reports\Monthly\2023\Mar%202023\Subs%20Final\Azenia\AZENIA%20TECHNOLOGY%20CBK%20FORMAT%20FINANCIALS%20Mar-23%20FINA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ENL,%20EIS%20and%20ECG/EISL,%20ECGL%20&amp;%20ENL%20-%2031st%20Apr%202023-%20FS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eqc-files-03\HO-Finance\Reports\Monthly\2023\Mar%202023\Subs%20Final\ELAK%20&amp;%20EGHIL\ELAK%20March%202023%202023%20Financials..xlsx" TargetMode="External"/><Relationship Id="rId1" Type="http://schemas.openxmlformats.org/officeDocument/2006/relationships/externalLinkPath" Target="file:///\\eqc-files-03\HO-Finance\Reports\Monthly\2023\Mar%202023\Subs%20Final\ELAK%20&amp;%20EGHIL\ELAK%20March%202023%202023%20Financials.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Subs%20Final/EIB/EIB%20Final%20-%20CBK%20Format%20Draft%20Financials%20-%2030%20April%202023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Subs%20Final/EIA/Final%20MANAGEMENT%20ACCOUNTS%20FOR%20APRIL%202023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1.1.105\HO-Finance\Reports\Monthly\2023\Apr%202023\Group%20Elimination%20and%20other%20workings\Group%20-%20interest%20income%20and%20expense%20-30.04.2023.xlsx" TargetMode="External"/><Relationship Id="rId1" Type="http://schemas.openxmlformats.org/officeDocument/2006/relationships/externalLinkPath" Target="Group%20Elimination%20and%20other%20workings/Group%20-%20interest%20income%20and%20expense%20-30.04.2023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1.1.105\HO-Finance\Reports\Monthly\2023\Apr%202023\Group%20Elimination%20and%20other%20workings\Amortization%20of%20Acquired%20Intangibles%20(Customer%20Relationships%20&amp;%20Core%20deposit%20intangibles).xlsx" TargetMode="External"/><Relationship Id="rId1" Type="http://schemas.openxmlformats.org/officeDocument/2006/relationships/externalLinkPath" Target="Group%20Elimination%20and%20other%20workings/Amortization%20of%20Acquired%20Intangibles%20(Customer%20Relationships%20&amp;%20Core%20deposit%20intangibles)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Group%20Elimination%20and%20other%20workings/Amortised%20and%20FVOCI%20split%20-%2031%20March%202023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s/Monthly/2022/Dec%202022/Revaluation_Analysis_Dec_22%20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1.1.105\HO-Finance\Reports\Monthly\2022\Dec%202022\All%20entities_31st%20Dec%202022%20vs%2031st%20Dec%202021%20-Audited.xlsx" TargetMode="External"/><Relationship Id="rId1" Type="http://schemas.openxmlformats.org/officeDocument/2006/relationships/externalLinkPath" Target="/Reports/Monthly/2022/Dec%202022/All%20entities_31st%20Dec%202022%20vs%2031st%20Dec%202021%20-Audited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6.2.36\cbk%20returns\OUTWARDS\Advances&amp;BillsToStaff_000006800440M0430042300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6.2.36\cbk%20returns\OUTWARDS\LiquidityStatement_000006800520D0430042300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1.1.105\HO-Finance\Reports\Monthly\2023\Apr%202023\Subs%20Final\EBCDC\CBK_Monthly%20Reporting_%20Template_04_2023_EBC_FINAL.xlsx" TargetMode="External"/><Relationship Id="rId1" Type="http://schemas.openxmlformats.org/officeDocument/2006/relationships/externalLinkPath" Target="Subs%20Final/EBCDC/CBK_Monthly%20Reporting_%20Template_04_2023_EBC_FINAL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1.1.105\HO-Finance\Reports\Monthly\2023\Apr%202023\Group%20Elimination%20and%20other%20workings\Monthly%20Average%20Rates%20-%20April_2023.xlsx" TargetMode="External"/><Relationship Id="rId1" Type="http://schemas.openxmlformats.org/officeDocument/2006/relationships/externalLinkPath" Target="Group%20Elimination%20and%20other%20workings/Monthly%20Average%20Rates%20-%20April_2023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BSAFRICA.com\ke\HO-Finance\Reports\Monthly\2020\December\All%20entities_31%20December%202020%20vs%2031%20December%202019b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qc-files-03\HO-Finance\2021\Dec%202021\All%20entities_31st%20Dec%202021%20vs%2031st%20Dec%202020%20with%20ESOP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1.1.105\HO-Finance\Reports\Monthly\2023\Apr%202023\Subs%20Final\Tanzania\Equity%20Tanzania%20%20Management%20Accounts%20-%20%2030%20April%202023.xlsb" TargetMode="External"/><Relationship Id="rId1" Type="http://schemas.openxmlformats.org/officeDocument/2006/relationships/externalLinkPath" Target="Subs%20Final/Tanzania/Equity%20Tanzania%20%20Management%20Accounts%20-%20%2030%20April%202023.xlsb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1.1.105\HO-Finance\Reports\Monthly\2023\Apr%202023\Subs%20Final\Rwanda\EQUITY%20RWANDA%20CBK%20FORMAT%20April-2023_Final.xlsx" TargetMode="External"/><Relationship Id="rId1" Type="http://schemas.openxmlformats.org/officeDocument/2006/relationships/externalLinkPath" Target="Subs%20Final/Rwanda/EQUITY%20RWANDA%20CBK%20FORMAT%20April-2023_Fin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s/Monthly/2021/Dec%202021/FSV-%20NET%20LOANS%20DISCOUNTED%20SECURITIES%20-31_December_2021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s/Monthly/2021/Dec%202021/Subs%20Final/EBRL/EQUITY%20RWANDA%20CBK%20FORMAT%2031%20Dec%2021%20-%20Draft%2011.01.22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s/Monthly/2022/Sep%202022/Subs_Draft%2027th%20September%202022/Finserve/Finserve%20Financials%20as%20at%2027th%20September%202022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s/Monthly/2023/Jan%202023/Subs%20Draft/Finserve/Finserve%20Financials%20as%20at%2031st%20January%202023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1.1.105\HO-Finance\Reports\Monthly\2023\Apr%202023\Subs%20Final\Uganda\Monthly%20Financial%20Statements(PL%20B_SHEET)%20CBK%20Format%20%2030%20Apr%202023.xlsx" TargetMode="External"/><Relationship Id="rId1" Type="http://schemas.openxmlformats.org/officeDocument/2006/relationships/externalLinkPath" Target="Subs%20Final/Uganda/Monthly%20Financial%20Statements(PL%20B_SHEET)%20CBK%20Format%20%2030%20Apr%202023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em.mwangi\AppData\Local\Microsoft\Windows\INetCache\Content.Outlook\4AC518WN\Monthly%20Financial%20Statements(PL%20B_SHEET)%20CBK%20Format%20%2030%20Apr%202023.xlsx" TargetMode="External"/><Relationship Id="rId1" Type="http://schemas.openxmlformats.org/officeDocument/2006/relationships/externalLinkPath" Target="file:///C:\Users\shem.mwangi\AppData\Local\Microsoft\Windows\INetCache\Content.Outlook\4AC518WN\Monthly%20Financial%20Statements(PL%20B_SHEET)%20CBK%20Format%20%2030%20Apr%202023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s/Monthly/2022/Dec%202022/Final_31_Dec_2022/EGHIL%20&amp;%20ELAK/CBK_Monthly%20Reporting_31%20Dec%202022_EGIHL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EQC-FILES-03\HO-Finance\Reports\Monthly\2022\Dec%202022\Subs_31_Dec_2022%20-%20Audited\EGHIL%20&amp;%20ELAK\ELAK%20December%202022%20Financials.xlsx" TargetMode="External"/><Relationship Id="rId1" Type="http://schemas.openxmlformats.org/officeDocument/2006/relationships/externalLinkPath" Target="/Reports/Monthly/2022/Dec%202022/Subs_31_Dec_2022%20-%20Audited/EGHIL%20&amp;%20ELAK/ELAK%20December%202022%20Financial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1.1.105\HO-Finance\Reports\Monthly\2023\Apr%202023\Subs%20Final\Sudan\Management%20%20Accounts%20Apr%202023%20Accounts.xlsx" TargetMode="External"/><Relationship Id="rId1" Type="http://schemas.openxmlformats.org/officeDocument/2006/relationships/externalLinkPath" Target="Subs%20Final/Sudan/Management%20%20Accounts%20Apr%202023%20Accounts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Group%20Elimination%20and%20other%20workings/Group%20RWA%20-%2030%20April%20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entaries"/>
      <sheetName val="LOAD"/>
      <sheetName val="Summary in Kes"/>
      <sheetName val="Summary-USD"/>
      <sheetName val="P&amp;L SUMMARY USD"/>
      <sheetName val="P&amp;L SUMMARY KES"/>
      <sheetName val="INCOME STATEMENT MOVT"/>
      <sheetName val="rates"/>
      <sheetName val="Month to Month Comparison(Kes)"/>
      <sheetName val="Month to Month Comparison(TZS)"/>
      <sheetName val="Advances-KES"/>
      <sheetName val="pl summary KES"/>
      <sheetName val="pl summary TZS"/>
      <sheetName val="DEPOSIT-USD"/>
      <sheetName val="Advances-USD"/>
      <sheetName val="DEPOSIT-KES "/>
      <sheetName val="Total accounts"/>
      <sheetName val="Liquidity"/>
      <sheetName val="Sheet2"/>
      <sheetName val="06"/>
      <sheetName val="P&amp;L"/>
      <sheetName val="pivot financle"/>
      <sheetName val="BAL SHEET ANALYSED KES"/>
      <sheetName val="BS DETAILED"/>
      <sheetName val="Sheet4"/>
      <sheetName val="Sheet9"/>
      <sheetName val="FINACLE P&amp;L-all"/>
      <sheetName val="Sheet3"/>
      <sheetName val="Sheet7"/>
      <sheetName val="bs"/>
      <sheetName val="Sheet1"/>
      <sheetName val="pivot finacle -all"/>
      <sheetName val="Sheet6"/>
      <sheetName val="check"/>
      <sheetName val="Sheet5"/>
      <sheetName val="FinacleBsheet"/>
      <sheetName val="Finacl P&amp;L"/>
      <sheetName val="INTEREST INCOME"/>
      <sheetName val="LAST YR P&amp;L"/>
      <sheetName val="DAILY PERFORMANCE SUMMARY"/>
      <sheetName val="Detailed P&amp;l"/>
      <sheetName val="Detailed balance sheet"/>
      <sheetName val="Summary_in_Kes"/>
      <sheetName val="P&amp;L_SUMMARY_USD"/>
      <sheetName val="P&amp;L_SUMMARY_KES"/>
      <sheetName val="INCOME_STATEMENT_MOVT"/>
      <sheetName val="Month_to_Month_Comparison(Kes)"/>
      <sheetName val="Month_to_Month_Comparison(TZS)"/>
      <sheetName val="pl_summary_KES"/>
      <sheetName val="pl_summary_TZS"/>
      <sheetName val="DEPOSIT-KES_"/>
      <sheetName val="Total_accounts"/>
      <sheetName val="pivot_financle"/>
      <sheetName val="BAL_SHEET_ANALYSED_KES"/>
      <sheetName val="BS_DETAILED"/>
      <sheetName val="FINACLE_P&amp;L-all"/>
      <sheetName val="pivot_finacle_-all"/>
      <sheetName val="Finacl_P&amp;L"/>
      <sheetName val="INTEREST_INCOME"/>
      <sheetName val="LAST_YR_P&amp;L"/>
      <sheetName val="DAILY_PERFORMANCE_SUMMARY"/>
      <sheetName val="Detailed_P&amp;l"/>
      <sheetName val="Detailed_balance_sheet"/>
      <sheetName val="Summary_in_Kes1"/>
      <sheetName val="P&amp;L_SUMMARY_USD1"/>
      <sheetName val="P&amp;L_SUMMARY_KES1"/>
      <sheetName val="INCOME_STATEMENT_MOVT1"/>
      <sheetName val="Month_to_Month_Comparison(Kes)1"/>
      <sheetName val="Month_to_Month_Comparison(TZS)1"/>
      <sheetName val="pl_summary_KES1"/>
      <sheetName val="pl_summary_TZS1"/>
      <sheetName val="DEPOSIT-KES_1"/>
      <sheetName val="Total_accounts1"/>
      <sheetName val="pivot_financle1"/>
      <sheetName val="BAL_SHEET_ANALYSED_KES1"/>
      <sheetName val="BS_DETAILED1"/>
      <sheetName val="FINACLE_P&amp;L-all1"/>
      <sheetName val="pivot_finacle_-all1"/>
      <sheetName val="Finacl_P&amp;L1"/>
      <sheetName val="INTEREST_INCOME1"/>
      <sheetName val="LAST_YR_P&amp;L1"/>
      <sheetName val="DAILY_PERFORMANCE_SUMMARY1"/>
      <sheetName val="Detailed_P&amp;l1"/>
      <sheetName val="Detailed_balance_sheet1"/>
      <sheetName val="Summary_in_Kes2"/>
      <sheetName val="P&amp;L_SUMMARY_USD2"/>
      <sheetName val="P&amp;L_SUMMARY_KES2"/>
      <sheetName val="INCOME_STATEMENT_MOVT2"/>
      <sheetName val="Month_to_Month_Comparison(Kes)2"/>
      <sheetName val="Month_to_Month_Comparison(TZS)2"/>
      <sheetName val="pl_summary_KES2"/>
      <sheetName val="pl_summary_TZS2"/>
      <sheetName val="DEPOSIT-KES_2"/>
      <sheetName val="Total_accounts2"/>
      <sheetName val="pivot_financle2"/>
      <sheetName val="BAL_SHEET_ANALYSED_KES2"/>
      <sheetName val="BS_DETAILED2"/>
      <sheetName val="FINACLE_P&amp;L-all2"/>
      <sheetName val="pivot_finacle_-all2"/>
      <sheetName val="Finacl_P&amp;L2"/>
      <sheetName val="INTEREST_INCOME2"/>
      <sheetName val="LAST_YR_P&amp;L2"/>
      <sheetName val="DAILY_PERFORMANCE_SUMMARY2"/>
      <sheetName val="Detailed_P&amp;l2"/>
      <sheetName val="Detailed_balance_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"/>
      <sheetName val="1.NTBA"/>
      <sheetName val="2.TBA"/>
      <sheetName val="3.KPI"/>
      <sheetName val="4.NWSC"/>
      <sheetName val="5.WSSOps"/>
      <sheetName val="6.A"/>
      <sheetName val="6.B"/>
      <sheetName val="6.C"/>
      <sheetName val="6.D"/>
      <sheetName val="6.E"/>
      <sheetName val="6.F"/>
      <sheetName val="6.G"/>
      <sheetName val="6.H"/>
      <sheetName val="7.Opex"/>
      <sheetName val="8.Demand"/>
      <sheetName val="9.Leased"/>
      <sheetName val="10.Co-asts"/>
      <sheetName val="11.Rev"/>
      <sheetName val="12.Works"/>
      <sheetName val="13.Finance"/>
      <sheetName val="14.Ex-loans"/>
      <sheetName val="15.H-NWSC"/>
      <sheetName val="16.H-NCC"/>
      <sheetName val="17.H-AWSB"/>
      <sheetName val="18.Tax"/>
      <sheetName val="19.AO"/>
      <sheetName val="20.LFee"/>
      <sheetName val="21.Capex"/>
      <sheetName val="Spare"/>
      <sheetName val="1_NTBA"/>
      <sheetName val="6_A"/>
      <sheetName val="1_NTBA1"/>
      <sheetName val="2_TBA"/>
      <sheetName val="3_KPI"/>
      <sheetName val="4_NWSC"/>
      <sheetName val="5_WSSOps"/>
      <sheetName val="6_A1"/>
      <sheetName val="6_B"/>
      <sheetName val="6_C"/>
      <sheetName val="6_D"/>
      <sheetName val="6_E"/>
      <sheetName val="6_F"/>
      <sheetName val="6_G"/>
      <sheetName val="6_H"/>
      <sheetName val="7_Opex"/>
      <sheetName val="8_Demand"/>
      <sheetName val="9_Leased"/>
      <sheetName val="10_Co-asts"/>
      <sheetName val="11_Rev"/>
      <sheetName val="12_Works"/>
      <sheetName val="13_Finance"/>
      <sheetName val="14_Ex-loans"/>
      <sheetName val="15_H-NWSC"/>
      <sheetName val="16_H-NCC"/>
      <sheetName val="17_H-AWSB"/>
      <sheetName val="18_Tax"/>
      <sheetName val="19_AO"/>
      <sheetName val="20_LFee"/>
      <sheetName val="21_Capex"/>
      <sheetName val="1_NTBA2"/>
      <sheetName val="2_TBA1"/>
      <sheetName val="3_KPI1"/>
      <sheetName val="4_NWSC1"/>
      <sheetName val="5_WSSOps1"/>
      <sheetName val="6_A2"/>
      <sheetName val="6_B1"/>
      <sheetName val="6_C1"/>
      <sheetName val="6_D1"/>
      <sheetName val="6_E1"/>
      <sheetName val="6_F1"/>
      <sheetName val="6_G1"/>
      <sheetName val="6_H1"/>
      <sheetName val="7_Opex1"/>
      <sheetName val="8_Demand1"/>
      <sheetName val="9_Leased1"/>
      <sheetName val="10_Co-asts1"/>
      <sheetName val="11_Rev1"/>
      <sheetName val="12_Works1"/>
      <sheetName val="13_Finance1"/>
      <sheetName val="14_Ex-loans1"/>
      <sheetName val="15_H-NWSC1"/>
      <sheetName val="16_H-NCC1"/>
      <sheetName val="17_H-AWSB1"/>
      <sheetName val="18_Tax1"/>
      <sheetName val="19_AO1"/>
      <sheetName val="20_LFee1"/>
      <sheetName val="21_Capex1"/>
      <sheetName val="1_NTBA3"/>
      <sheetName val="2_TBA2"/>
      <sheetName val="3_KPI2"/>
      <sheetName val="4_NWSC2"/>
      <sheetName val="5_WSSOps2"/>
      <sheetName val="6_A3"/>
      <sheetName val="6_B2"/>
      <sheetName val="6_C2"/>
      <sheetName val="6_D2"/>
      <sheetName val="6_E2"/>
      <sheetName val="6_F2"/>
      <sheetName val="6_G2"/>
      <sheetName val="6_H2"/>
      <sheetName val="7_Opex2"/>
      <sheetName val="8_Demand2"/>
      <sheetName val="9_Leased2"/>
      <sheetName val="10_Co-asts2"/>
      <sheetName val="11_Rev2"/>
      <sheetName val="12_Works2"/>
      <sheetName val="13_Finance2"/>
      <sheetName val="14_Ex-loans2"/>
      <sheetName val="15_H-NWSC2"/>
      <sheetName val="16_H-NCC2"/>
      <sheetName val="17_H-AWSB2"/>
      <sheetName val="18_Tax2"/>
      <sheetName val="19_AO2"/>
      <sheetName val="20_LFee2"/>
      <sheetName val="21_Capex2"/>
      <sheetName val="Summary"/>
      <sheetName val="1_NTBA4"/>
      <sheetName val="2_TBA3"/>
      <sheetName val="3_KPI3"/>
      <sheetName val="4_NWSC3"/>
      <sheetName val="5_WSSOps3"/>
      <sheetName val="6_A4"/>
      <sheetName val="6_B3"/>
      <sheetName val="6_C3"/>
      <sheetName val="6_D3"/>
      <sheetName val="6_E3"/>
      <sheetName val="6_F3"/>
      <sheetName val="6_G3"/>
      <sheetName val="6_H3"/>
      <sheetName val="7_Opex3"/>
      <sheetName val="8_Demand3"/>
      <sheetName val="9_Leased3"/>
      <sheetName val="10_Co-asts3"/>
      <sheetName val="11_Rev3"/>
      <sheetName val="12_Works3"/>
      <sheetName val="13_Finance3"/>
      <sheetName val="14_Ex-loans3"/>
      <sheetName val="15_H-NWSC3"/>
      <sheetName val="16_H-NCC3"/>
      <sheetName val="17_H-AWSB3"/>
      <sheetName val="18_Tax3"/>
      <sheetName val="19_AO3"/>
      <sheetName val="20_LFee3"/>
      <sheetName val="21_Capex3"/>
      <sheetName val="Capital Req"/>
      <sheetName val="NSFR and Balance Sheet"/>
      <sheetName val="PIIGS Exposure"/>
      <sheetName val="Ratings"/>
      <sheetName val="Retained Earnings"/>
      <sheetName val="Monthly (C)"/>
      <sheetName val="REGIONS"/>
      <sheetName val="INSTITUTIONS"/>
      <sheetName val="OTHER_STATIC_DATA"/>
      <sheetName val="16-1"/>
    </sheetNames>
    <sheetDataSet>
      <sheetData sheetId="0"/>
      <sheetData sheetId="1">
        <row r="13">
          <cell r="D13">
            <v>2007</v>
          </cell>
        </row>
      </sheetData>
      <sheetData sheetId="2"/>
      <sheetData sheetId="3"/>
      <sheetData sheetId="4"/>
      <sheetData sheetId="5"/>
      <sheetData sheetId="6">
        <row r="43">
          <cell r="F43">
            <v>20</v>
          </cell>
        </row>
      </sheetData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3">
          <cell r="D13">
            <v>2007</v>
          </cell>
        </row>
      </sheetData>
      <sheetData sheetId="33"/>
      <sheetData sheetId="34"/>
      <sheetData sheetId="35"/>
      <sheetData sheetId="36"/>
      <sheetData sheetId="37">
        <row r="43">
          <cell r="F43">
            <v>20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>
        <row r="13">
          <cell r="D13">
            <v>2007</v>
          </cell>
        </row>
      </sheetData>
      <sheetData sheetId="61"/>
      <sheetData sheetId="62"/>
      <sheetData sheetId="63"/>
      <sheetData sheetId="64"/>
      <sheetData sheetId="65">
        <row r="43">
          <cell r="F43">
            <v>20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>
        <row r="13">
          <cell r="D13">
            <v>2007</v>
          </cell>
        </row>
      </sheetData>
      <sheetData sheetId="89"/>
      <sheetData sheetId="90"/>
      <sheetData sheetId="91"/>
      <sheetData sheetId="92"/>
      <sheetData sheetId="93">
        <row r="43">
          <cell r="F43">
            <v>20</v>
          </cell>
        </row>
      </sheetData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>
        <row r="13">
          <cell r="D13">
            <v>2007</v>
          </cell>
        </row>
      </sheetData>
      <sheetData sheetId="118"/>
      <sheetData sheetId="119"/>
      <sheetData sheetId="120"/>
      <sheetData sheetId="121"/>
      <sheetData sheetId="122">
        <row r="43">
          <cell r="F43">
            <v>20</v>
          </cell>
        </row>
      </sheetData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 Info"/>
      <sheetName val="Index"/>
      <sheetName val="Model Info"/>
      <sheetName val="Data table"/>
      <sheetName val="NTBA"/>
      <sheetName val="TBA"/>
      <sheetName val="Loan loss ratios"/>
      <sheetName val="Sheet (2)"/>
      <sheetName val="Int bearing liabi"/>
      <sheetName val="Growth in int earning assets"/>
      <sheetName val="Growth in cash &amp;bank"/>
      <sheetName val="Growth in operating assets"/>
      <sheetName val="Depreciation"/>
      <sheetName val="Capital expenditure"/>
      <sheetName val="Inputs- MDI Sector"/>
      <sheetName val="Inputs -IncomeStatement"/>
      <sheetName val="Inputs- BalanceSheet"/>
      <sheetName val="Financial statements"/>
      <sheetName val="Translated financial staments"/>
      <sheetName val="DCF valuation"/>
      <sheetName val="MCM Valuation"/>
      <sheetName val="Summary valn range"/>
      <sheetName val="Comparative- Kenyan Banks"/>
      <sheetName val="Comparative- Uganda Banks"/>
      <sheetName val="Cost of funds"/>
      <sheetName val="yield on loans and advances"/>
      <sheetName val="Share price multiples- UG Banks"/>
      <sheetName val="Karibu Valuation multiples"/>
      <sheetName val="EBL Share price multiples"/>
      <sheetName val="Valuation ranges"/>
      <sheetName val="DCF Waterfall "/>
      <sheetName val="Karibu valuation overview"/>
      <sheetName val="Sheet"/>
      <sheetName val="Growth in liquid assets"/>
      <sheetName val="Growth in loans"/>
      <sheetName val="Growth in liabilities"/>
      <sheetName val="Yields and cost of funds"/>
      <sheetName val="Other income growth"/>
      <sheetName val="Cost to income ratio"/>
      <sheetName val="Inputs_ MDI Sector"/>
      <sheetName val="Inputs _IncomeStatement"/>
      <sheetName val="Inputs"/>
      <sheetName val="values"/>
      <sheetName val="Base_Info"/>
      <sheetName val="Model_Info"/>
      <sheetName val="Data_table"/>
      <sheetName val="Loan_loss_ratios"/>
      <sheetName val="Sheet_(2)"/>
      <sheetName val="Int_bearing_liabi"/>
      <sheetName val="Growth_in_int_earning_assets"/>
      <sheetName val="Growth_in_cash_&amp;bank"/>
      <sheetName val="Growth_in_operating_assets"/>
      <sheetName val="Capital_expenditure"/>
      <sheetName val="Inputs-_MDI_Sector"/>
      <sheetName val="Inputs_-IncomeStatement"/>
      <sheetName val="Inputs-_BalanceSheet"/>
      <sheetName val="Financial_statements"/>
      <sheetName val="Translated_financial_staments"/>
      <sheetName val="DCF_valuation"/>
      <sheetName val="MCM_Valuation"/>
      <sheetName val="Summary_valn_range"/>
      <sheetName val="Comparative-_Kenyan_Banks"/>
      <sheetName val="Comparative-_Uganda_Banks"/>
      <sheetName val="Cost_of_funds"/>
      <sheetName val="yield_on_loans_and_advances"/>
      <sheetName val="Share_price_multiples-_UG_Banks"/>
      <sheetName val="Karibu_Valuation_multiples"/>
      <sheetName val="EBL_Share_price_multiples"/>
      <sheetName val="Valuation_ranges"/>
      <sheetName val="DCF_Waterfall_"/>
      <sheetName val="Karibu_valuation_overview"/>
      <sheetName val="Growth_in_liquid_assets"/>
      <sheetName val="Growth_in_loans"/>
      <sheetName val="Growth_in_liabilities"/>
      <sheetName val="Yields_and_cost_of_funds"/>
      <sheetName val="Other_income_growth"/>
      <sheetName val="Cost_to_income_ratio"/>
      <sheetName val="Inputs__MDI_Sector"/>
      <sheetName val="Inputs__IncomeStatement"/>
      <sheetName val="Base_Info1"/>
      <sheetName val="Model_Info1"/>
      <sheetName val="Data_table1"/>
      <sheetName val="Loan_loss_ratios1"/>
      <sheetName val="Sheet_(2)1"/>
      <sheetName val="Int_bearing_liabi1"/>
      <sheetName val="Growth_in_int_earning_assets1"/>
      <sheetName val="Growth_in_cash_&amp;bank1"/>
      <sheetName val="Growth_in_operating_assets1"/>
      <sheetName val="Capital_expenditure1"/>
      <sheetName val="Inputs-_MDI_Sector1"/>
      <sheetName val="Inputs_-IncomeStatement1"/>
      <sheetName val="Inputs-_BalanceSheet1"/>
      <sheetName val="Financial_statements1"/>
      <sheetName val="Translated_financial_staments1"/>
      <sheetName val="DCF_valuation1"/>
      <sheetName val="MCM_Valuation1"/>
      <sheetName val="Summary_valn_range1"/>
      <sheetName val="Comparative-_Kenyan_Banks1"/>
      <sheetName val="Comparative-_Uganda_Banks1"/>
      <sheetName val="Cost_of_funds1"/>
      <sheetName val="yield_on_loans_and_advances1"/>
      <sheetName val="Share_price_multiples-_UG_Bank1"/>
      <sheetName val="Karibu_Valuation_multiples1"/>
      <sheetName val="EBL_Share_price_multiples1"/>
      <sheetName val="Valuation_ranges1"/>
      <sheetName val="DCF_Waterfall_1"/>
      <sheetName val="Karibu_valuation_overview1"/>
      <sheetName val="Growth_in_liquid_assets1"/>
      <sheetName val="Growth_in_loans1"/>
      <sheetName val="Growth_in_liabilities1"/>
      <sheetName val="Yields_and_cost_of_funds1"/>
      <sheetName val="Other_income_growth1"/>
      <sheetName val="Cost_to_income_ratio1"/>
      <sheetName val="Inputs__MDI_Sector1"/>
      <sheetName val="Inputs__IncomeStatement1"/>
      <sheetName val="Base_Info2"/>
      <sheetName val="Model_Info2"/>
      <sheetName val="Data_table2"/>
      <sheetName val="Loan_loss_ratios2"/>
      <sheetName val="Sheet_(2)2"/>
      <sheetName val="Int_bearing_liabi2"/>
      <sheetName val="Growth_in_int_earning_assets2"/>
      <sheetName val="Growth_in_cash_&amp;bank2"/>
      <sheetName val="Growth_in_operating_assets2"/>
      <sheetName val="Capital_expenditure2"/>
      <sheetName val="Inputs-_MDI_Sector2"/>
      <sheetName val="Inputs_-IncomeStatement2"/>
      <sheetName val="Inputs-_BalanceSheet2"/>
      <sheetName val="Financial_statements2"/>
      <sheetName val="Translated_financial_staments2"/>
      <sheetName val="DCF_valuation2"/>
      <sheetName val="MCM_Valuation2"/>
      <sheetName val="Summary_valn_range2"/>
      <sheetName val="Comparative-_Kenyan_Banks2"/>
      <sheetName val="Comparative-_Uganda_Banks2"/>
      <sheetName val="Cost_of_funds2"/>
      <sheetName val="yield_on_loans_and_advances2"/>
      <sheetName val="Share_price_multiples-_UG_Bank2"/>
      <sheetName val="Karibu_Valuation_multiples2"/>
      <sheetName val="EBL_Share_price_multiples2"/>
      <sheetName val="Valuation_ranges2"/>
      <sheetName val="DCF_Waterfall_2"/>
      <sheetName val="Karibu_valuation_overview2"/>
      <sheetName val="Growth_in_liquid_assets2"/>
      <sheetName val="Growth_in_loans2"/>
      <sheetName val="Growth_in_liabilities2"/>
      <sheetName val="Yields_and_cost_of_funds2"/>
      <sheetName val="Other_income_growth2"/>
      <sheetName val="Cost_to_income_ratio2"/>
      <sheetName val="Inputs__MDI_Sector2"/>
      <sheetName val="Inputs__IncomeStatement2"/>
      <sheetName val="Base_Info3"/>
      <sheetName val="Model_Info3"/>
      <sheetName val="Data_table3"/>
      <sheetName val="Loan_loss_ratios3"/>
      <sheetName val="Sheet_(2)3"/>
      <sheetName val="Int_bearing_liabi3"/>
      <sheetName val="Growth_in_int_earning_assets3"/>
      <sheetName val="Growth_in_cash_&amp;bank3"/>
      <sheetName val="Growth_in_operating_assets3"/>
      <sheetName val="Capital_expenditure3"/>
      <sheetName val="Inputs-_MDI_Sector3"/>
      <sheetName val="Inputs_-IncomeStatement3"/>
      <sheetName val="Inputs-_BalanceSheet3"/>
      <sheetName val="Financial_statements3"/>
      <sheetName val="Translated_financial_staments3"/>
      <sheetName val="DCF_valuation3"/>
      <sheetName val="MCM_Valuation3"/>
      <sheetName val="Summary_valn_range3"/>
      <sheetName val="Comparative-_Kenyan_Banks3"/>
      <sheetName val="Comparative-_Uganda_Banks3"/>
      <sheetName val="Cost_of_funds3"/>
      <sheetName val="yield_on_loans_and_advances3"/>
      <sheetName val="Share_price_multiples-_UG_Bank3"/>
      <sheetName val="Karibu_Valuation_multiples3"/>
      <sheetName val="EBL_Share_price_multiples3"/>
      <sheetName val="Valuation_ranges3"/>
      <sheetName val="DCF_Waterfall_3"/>
      <sheetName val="Karibu_valuation_overview3"/>
      <sheetName val="Growth_in_liquid_assets3"/>
      <sheetName val="Growth_in_loans3"/>
      <sheetName val="Growth_in_liabilities3"/>
      <sheetName val="Yields_and_cost_of_funds3"/>
      <sheetName val="Other_income_growth3"/>
      <sheetName val="Cost_to_income_ratio3"/>
      <sheetName val="Inputs__MDI_Sector3"/>
      <sheetName val="Inputs__IncomeStatement3"/>
      <sheetName val="Pillar_2_Risks"/>
      <sheetName val="Cover"/>
      <sheetName val="Covid-19 Assumptions"/>
      <sheetName val="3. staf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 refreshError="1"/>
      <sheetData sheetId="188" refreshError="1"/>
      <sheetData sheetId="189" refreshError="1"/>
      <sheetData sheetId="19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val rates"/>
      <sheetName val="Summary"/>
      <sheetName val="DB"/>
      <sheetName val="GROUP CAR - Apr 2022"/>
      <sheetName val="GROUP"/>
      <sheetName val="Intercompany 2022"/>
      <sheetName val="BCDC PPA Adjustments"/>
      <sheetName val="Consolidation  JVs"/>
      <sheetName val="NOSTRO BALANCES"/>
      <sheetName val="R_parties workings"/>
      <sheetName val="EGH Plc"/>
      <sheetName val="EBKL"/>
      <sheetName val="E_BCDC"/>
      <sheetName val="EBSSL"/>
      <sheetName val="EBTL"/>
      <sheetName val="EBRL"/>
      <sheetName val="FinAL&amp;Azenia"/>
      <sheetName val="EBUL"/>
      <sheetName val="EIAL"/>
      <sheetName val="EIBL"/>
      <sheetName val="Others"/>
      <sheetName val="EIGHL&amp;ELAK"/>
    </sheetNames>
    <sheetDataSet>
      <sheetData sheetId="0"/>
      <sheetData sheetId="1"/>
      <sheetData sheetId="2"/>
      <sheetData sheetId="3"/>
      <sheetData sheetId="4">
        <row r="7">
          <cell r="G7">
            <v>51326497.912142262</v>
          </cell>
        </row>
        <row r="8">
          <cell r="G8">
            <v>18663910.922759995</v>
          </cell>
        </row>
        <row r="9">
          <cell r="G9">
            <v>13029855.779376861</v>
          </cell>
        </row>
        <row r="10">
          <cell r="G10">
            <v>145384982.3522034</v>
          </cell>
        </row>
        <row r="11">
          <cell r="G11">
            <v>45182119.444461174</v>
          </cell>
        </row>
        <row r="12">
          <cell r="G12">
            <v>48735824.982770577</v>
          </cell>
        </row>
        <row r="13">
          <cell r="G13">
            <v>231267489.65046114</v>
          </cell>
        </row>
        <row r="14">
          <cell r="G14">
            <v>292550.64920588501</v>
          </cell>
        </row>
        <row r="15">
          <cell r="G15">
            <v>635906804.43111026</v>
          </cell>
        </row>
        <row r="16">
          <cell r="G16">
            <v>68350.11756150001</v>
          </cell>
        </row>
        <row r="17">
          <cell r="G17">
            <v>0</v>
          </cell>
        </row>
        <row r="18">
          <cell r="G18">
            <v>0</v>
          </cell>
        </row>
        <row r="19">
          <cell r="G19">
            <v>0</v>
          </cell>
        </row>
        <row r="20">
          <cell r="G20">
            <v>0</v>
          </cell>
        </row>
        <row r="21">
          <cell r="G21">
            <v>5861503.8186226645</v>
          </cell>
        </row>
        <row r="22">
          <cell r="G22">
            <v>16269094.479551628</v>
          </cell>
        </row>
        <row r="23">
          <cell r="G23">
            <v>0</v>
          </cell>
        </row>
        <row r="24">
          <cell r="G24">
            <v>11809095.471937925</v>
          </cell>
        </row>
        <row r="25">
          <cell r="G25">
            <v>24576632.464754909</v>
          </cell>
        </row>
        <row r="26">
          <cell r="G26">
            <v>0</v>
          </cell>
        </row>
        <row r="27">
          <cell r="G27">
            <v>43030236.226544902</v>
          </cell>
        </row>
        <row r="31">
          <cell r="G31">
            <v>5000000</v>
          </cell>
        </row>
        <row r="32">
          <cell r="G32">
            <v>893193092.64979911</v>
          </cell>
        </row>
        <row r="33">
          <cell r="G33">
            <v>0</v>
          </cell>
        </row>
        <row r="34">
          <cell r="G34">
            <v>-1.4901161193847656E-8</v>
          </cell>
        </row>
        <row r="35">
          <cell r="G35">
            <v>51385433.277479306</v>
          </cell>
        </row>
        <row r="36">
          <cell r="G36">
            <v>126330950.15880898</v>
          </cell>
        </row>
        <row r="37">
          <cell r="G37">
            <v>0</v>
          </cell>
        </row>
        <row r="38">
          <cell r="G38">
            <v>1753386.9536234825</v>
          </cell>
        </row>
        <row r="39">
          <cell r="G39">
            <v>0</v>
          </cell>
        </row>
        <row r="40">
          <cell r="G40">
            <v>915969.81720401999</v>
          </cell>
        </row>
        <row r="41">
          <cell r="G41">
            <v>1298879.1521999999</v>
          </cell>
        </row>
        <row r="42">
          <cell r="G42">
            <v>42305915.011220306</v>
          </cell>
        </row>
        <row r="46">
          <cell r="G46">
            <v>1886836.8895063819</v>
          </cell>
        </row>
        <row r="47">
          <cell r="G47">
            <v>15325263.640507141</v>
          </cell>
        </row>
        <row r="48">
          <cell r="G48">
            <v>-27459262.269399989</v>
          </cell>
        </row>
        <row r="49">
          <cell r="G49">
            <v>161244965.55593145</v>
          </cell>
        </row>
        <row r="50">
          <cell r="G50">
            <v>91910.151759782777</v>
          </cell>
        </row>
        <row r="51">
          <cell r="G51">
            <v>11321024.405999999</v>
          </cell>
        </row>
        <row r="52">
          <cell r="G52">
            <v>0</v>
          </cell>
        </row>
        <row r="53">
          <cell r="G53">
            <v>6810583.7729021423</v>
          </cell>
        </row>
        <row r="63">
          <cell r="G63">
            <v>23474285.581485875</v>
          </cell>
        </row>
        <row r="64">
          <cell r="G64">
            <v>12542151.797843253</v>
          </cell>
        </row>
        <row r="65">
          <cell r="G65">
            <v>228398.02376469201</v>
          </cell>
        </row>
        <row r="66">
          <cell r="G66">
            <v>76393.414939054463</v>
          </cell>
        </row>
        <row r="70">
          <cell r="G70">
            <v>6857627.9036664367</v>
          </cell>
        </row>
        <row r="71">
          <cell r="G71">
            <v>733369.31549161032</v>
          </cell>
        </row>
        <row r="72">
          <cell r="G72">
            <v>2355222.5201406837</v>
          </cell>
        </row>
        <row r="77">
          <cell r="G77">
            <v>2627420.8965877211</v>
          </cell>
        </row>
        <row r="78">
          <cell r="G78">
            <v>8267855.7132276967</v>
          </cell>
        </row>
        <row r="79">
          <cell r="G79">
            <v>2895689.0171695626</v>
          </cell>
        </row>
        <row r="80">
          <cell r="G80">
            <v>0</v>
          </cell>
        </row>
        <row r="81">
          <cell r="G81">
            <v>2149338.6143050375</v>
          </cell>
        </row>
        <row r="86">
          <cell r="G86">
            <v>2753804.1693480751</v>
          </cell>
        </row>
        <row r="87">
          <cell r="G87">
            <v>6944907.4552955609</v>
          </cell>
        </row>
        <row r="88">
          <cell r="G88">
            <v>48462.891369723839</v>
          </cell>
        </row>
        <row r="89">
          <cell r="G89">
            <v>120927.75414145623</v>
          </cell>
        </row>
        <row r="90">
          <cell r="G90">
            <v>1642259.8652588972</v>
          </cell>
        </row>
        <row r="91">
          <cell r="G91">
            <v>672165.39779860922</v>
          </cell>
        </row>
        <row r="92">
          <cell r="G92">
            <v>10227502.258792296</v>
          </cell>
        </row>
        <row r="95">
          <cell r="G95">
            <v>0</v>
          </cell>
        </row>
        <row r="97">
          <cell r="G97">
            <v>-4527461.9687013235</v>
          </cell>
        </row>
        <row r="98">
          <cell r="G98">
            <v>21357.165479945863</v>
          </cell>
        </row>
        <row r="100">
          <cell r="G100">
            <v>-432811.96751021134</v>
          </cell>
        </row>
        <row r="111">
          <cell r="G111">
            <v>58614203.743879303</v>
          </cell>
        </row>
        <row r="112">
          <cell r="G112">
            <v>10877721.714304535</v>
          </cell>
        </row>
        <row r="114">
          <cell r="G114">
            <v>27328619.72906461</v>
          </cell>
        </row>
        <row r="116">
          <cell r="G116">
            <v>20407862.300510161</v>
          </cell>
        </row>
        <row r="120">
          <cell r="G120">
            <v>7230622.0592626072</v>
          </cell>
        </row>
        <row r="121">
          <cell r="G121">
            <v>11457585.39049384</v>
          </cell>
        </row>
        <row r="125">
          <cell r="G125">
            <v>103002055.44525266</v>
          </cell>
        </row>
        <row r="126">
          <cell r="G126">
            <v>26943539.536317699</v>
          </cell>
        </row>
        <row r="127">
          <cell r="G127">
            <v>1830251.9875975291</v>
          </cell>
        </row>
      </sheetData>
      <sheetData sheetId="5"/>
      <sheetData sheetId="6"/>
      <sheetData sheetId="7"/>
      <sheetData sheetId="8"/>
      <sheetData sheetId="9"/>
      <sheetData sheetId="10">
        <row r="7">
          <cell r="B7">
            <v>18282376.298840001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52535.509140000002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81234820.236220002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9572.9935000000005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113861.24834300001</v>
          </cell>
        </row>
        <row r="26">
          <cell r="B26">
            <v>0</v>
          </cell>
        </row>
        <row r="27">
          <cell r="B27">
            <v>298286.00566999998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11646516.351159999</v>
          </cell>
        </row>
        <row r="37">
          <cell r="B37">
            <v>0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1447099.5364399999</v>
          </cell>
        </row>
        <row r="46">
          <cell r="B46">
            <v>1886837.3448800002</v>
          </cell>
        </row>
        <row r="47">
          <cell r="B47">
            <v>15325263.83735</v>
          </cell>
        </row>
        <row r="48">
          <cell r="B48">
            <v>0</v>
          </cell>
        </row>
        <row r="49">
          <cell r="B49">
            <v>58364710.815883011</v>
          </cell>
        </row>
        <row r="50">
          <cell r="B50">
            <v>0</v>
          </cell>
        </row>
        <row r="51">
          <cell r="B51">
            <v>11321024.405999999</v>
          </cell>
        </row>
        <row r="52">
          <cell r="B52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305638.37805</v>
          </cell>
        </row>
        <row r="65">
          <cell r="B65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206023.92402999999</v>
          </cell>
        </row>
        <row r="76">
          <cell r="B76">
            <v>0</v>
          </cell>
        </row>
        <row r="77">
          <cell r="B77">
            <v>0</v>
          </cell>
        </row>
        <row r="78">
          <cell r="B78">
            <v>0</v>
          </cell>
        </row>
        <row r="79">
          <cell r="B79">
            <v>0</v>
          </cell>
        </row>
        <row r="80">
          <cell r="B80">
            <v>-50987.589030000003</v>
          </cell>
        </row>
        <row r="85">
          <cell r="B85">
            <v>0</v>
          </cell>
        </row>
        <row r="86">
          <cell r="B86">
            <v>4349.8215999999993</v>
          </cell>
        </row>
        <row r="87">
          <cell r="B87">
            <v>8913.19</v>
          </cell>
        </row>
        <row r="88">
          <cell r="B88">
            <v>1084.1354099999999</v>
          </cell>
        </row>
        <row r="89">
          <cell r="B89">
            <v>900.1857</v>
          </cell>
        </row>
        <row r="90">
          <cell r="B90">
            <v>0</v>
          </cell>
        </row>
        <row r="91">
          <cell r="B91">
            <v>35191.488289999994</v>
          </cell>
        </row>
        <row r="96">
          <cell r="B96">
            <v>0</v>
          </cell>
        </row>
        <row r="97">
          <cell r="B97">
            <v>543.58680299999833</v>
          </cell>
        </row>
      </sheetData>
      <sheetData sheetId="11">
        <row r="6">
          <cell r="B6">
            <v>11100672.447230002</v>
          </cell>
        </row>
        <row r="7">
          <cell r="B7">
            <v>18663910.922759995</v>
          </cell>
        </row>
        <row r="8">
          <cell r="B8">
            <v>12575910.266656861</v>
          </cell>
        </row>
        <row r="9">
          <cell r="B9">
            <v>94099554.530509993</v>
          </cell>
        </row>
        <row r="10">
          <cell r="B10">
            <v>1514360</v>
          </cell>
        </row>
        <row r="11">
          <cell r="B11">
            <v>20695579.557232045</v>
          </cell>
        </row>
        <row r="12">
          <cell r="B12">
            <v>231249508.12940308</v>
          </cell>
        </row>
        <row r="13">
          <cell r="B13">
            <v>0</v>
          </cell>
        </row>
        <row r="14">
          <cell r="B14">
            <v>408560526.96954215</v>
          </cell>
        </row>
        <row r="15">
          <cell r="B15">
            <v>0</v>
          </cell>
        </row>
        <row r="16">
          <cell r="B16">
            <v>561889.5201467023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4607914.4434200078</v>
          </cell>
        </row>
        <row r="22">
          <cell r="B22">
            <v>0</v>
          </cell>
        </row>
        <row r="23">
          <cell r="B23">
            <v>9757932.3204200007</v>
          </cell>
        </row>
        <row r="24">
          <cell r="B24">
            <v>20918926.06289579</v>
          </cell>
        </row>
        <row r="25">
          <cell r="B25">
            <v>0</v>
          </cell>
        </row>
        <row r="26">
          <cell r="B26">
            <v>24517344.966855418</v>
          </cell>
        </row>
        <row r="30">
          <cell r="B30">
            <v>5000000</v>
          </cell>
        </row>
        <row r="31">
          <cell r="B31">
            <v>490554590.5740577</v>
          </cell>
        </row>
        <row r="32">
          <cell r="B32">
            <v>0</v>
          </cell>
        </row>
        <row r="33">
          <cell r="B33">
            <v>101334768.97597656</v>
          </cell>
        </row>
        <row r="34">
          <cell r="B34">
            <v>53824164.224341758</v>
          </cell>
        </row>
        <row r="35">
          <cell r="B35">
            <v>94373417.226229995</v>
          </cell>
        </row>
        <row r="36">
          <cell r="B36">
            <v>0</v>
          </cell>
        </row>
        <row r="37">
          <cell r="B37">
            <v>664452.94661005691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15212493.354590006</v>
          </cell>
        </row>
        <row r="45">
          <cell r="B45">
            <v>30000000</v>
          </cell>
        </row>
        <row r="46">
          <cell r="B46">
            <v>9964131.6999900006</v>
          </cell>
        </row>
        <row r="47">
          <cell r="B47">
            <v>-20105999.435674556</v>
          </cell>
        </row>
        <row r="48">
          <cell r="B48">
            <v>78002010.570950285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62">
          <cell r="B62">
            <v>14383394.028129999</v>
          </cell>
        </row>
        <row r="63">
          <cell r="B63">
            <v>10827822.417640001</v>
          </cell>
        </row>
        <row r="64">
          <cell r="B64">
            <v>140576.25322000001</v>
          </cell>
        </row>
        <row r="65">
          <cell r="B65">
            <v>17077.885829999999</v>
          </cell>
        </row>
        <row r="69">
          <cell r="B69">
            <v>5111072.34516</v>
          </cell>
        </row>
        <row r="70">
          <cell r="B70">
            <v>131753.03044</v>
          </cell>
        </row>
        <row r="71">
          <cell r="B71">
            <v>1832769.9992800001</v>
          </cell>
        </row>
        <row r="76">
          <cell r="B76">
            <v>2290992.3332699998</v>
          </cell>
        </row>
        <row r="77">
          <cell r="B77">
            <v>3394975.9434400001</v>
          </cell>
        </row>
        <row r="78">
          <cell r="B78">
            <v>1435960.2466699998</v>
          </cell>
        </row>
        <row r="79">
          <cell r="B79">
            <v>0</v>
          </cell>
        </row>
        <row r="80">
          <cell r="B80">
            <v>556192.07978999999</v>
          </cell>
        </row>
        <row r="85">
          <cell r="B85">
            <v>1500459.92976</v>
          </cell>
        </row>
        <row r="86">
          <cell r="B86">
            <v>3792647.99921</v>
          </cell>
        </row>
        <row r="87">
          <cell r="B87">
            <v>9929.4</v>
          </cell>
        </row>
        <row r="88">
          <cell r="B88">
            <v>58442.02706</v>
          </cell>
        </row>
        <row r="89">
          <cell r="B89">
            <v>793720.16876000003</v>
          </cell>
        </row>
        <row r="90">
          <cell r="B90">
            <v>319018.6568</v>
          </cell>
        </row>
        <row r="91">
          <cell r="B91">
            <v>5172512.9896999989</v>
          </cell>
        </row>
        <row r="96">
          <cell r="B96">
            <v>-3138311.8244400569</v>
          </cell>
        </row>
        <row r="97">
          <cell r="B97">
            <v>58093.404470345602</v>
          </cell>
        </row>
        <row r="105">
          <cell r="B105">
            <v>38221171.567846403</v>
          </cell>
        </row>
        <row r="106">
          <cell r="B106">
            <v>7527201.1373899998</v>
          </cell>
        </row>
        <row r="108">
          <cell r="B108">
            <v>19342613.822250001</v>
          </cell>
        </row>
        <row r="110">
          <cell r="B110">
            <v>11351356.608206403</v>
          </cell>
        </row>
        <row r="114">
          <cell r="B114">
            <v>5599798.3554299986</v>
          </cell>
        </row>
        <row r="115">
          <cell r="B115">
            <v>7143583.973179982</v>
          </cell>
        </row>
        <row r="116">
          <cell r="B116">
            <v>12743382.328609981</v>
          </cell>
        </row>
        <row r="119">
          <cell r="B119">
            <v>65173684.452665284</v>
          </cell>
        </row>
        <row r="120">
          <cell r="B120">
            <v>26943539.536317699</v>
          </cell>
        </row>
        <row r="125">
          <cell r="B125">
            <v>91424992.922119364</v>
          </cell>
        </row>
        <row r="126">
          <cell r="B126">
            <v>1000000</v>
          </cell>
        </row>
        <row r="128">
          <cell r="B128">
            <v>38051170.547945209</v>
          </cell>
        </row>
        <row r="129">
          <cell r="B129">
            <v>129476163.47006458</v>
          </cell>
        </row>
        <row r="130">
          <cell r="B130">
            <v>717025526.9283613</v>
          </cell>
        </row>
        <row r="132">
          <cell r="B132">
            <v>0.15446297766126832</v>
          </cell>
        </row>
        <row r="135">
          <cell r="B135">
            <v>0.1275059108617394</v>
          </cell>
        </row>
        <row r="136">
          <cell r="B136">
            <v>0.105</v>
          </cell>
        </row>
        <row r="137">
          <cell r="B137">
            <v>2.2505910861739406E-2</v>
          </cell>
        </row>
        <row r="138">
          <cell r="B138">
            <v>0.18057399438025959</v>
          </cell>
        </row>
        <row r="139">
          <cell r="B139">
            <v>0.14499999999999999</v>
          </cell>
        </row>
        <row r="140">
          <cell r="B140">
            <v>3.5573994380259599E-2</v>
          </cell>
        </row>
        <row r="143">
          <cell r="B143">
            <v>0.66876520139299023</v>
          </cell>
        </row>
        <row r="144">
          <cell r="B144">
            <v>0.2</v>
          </cell>
        </row>
        <row r="145">
          <cell r="B145">
            <v>0.46876520139299022</v>
          </cell>
        </row>
      </sheetData>
      <sheetData sheetId="12">
        <row r="1">
          <cell r="C1">
            <v>115.85</v>
          </cell>
        </row>
        <row r="6">
          <cell r="B6">
            <v>243713.83756000001</v>
          </cell>
          <cell r="C6">
            <v>28234248.081326</v>
          </cell>
        </row>
        <row r="7">
          <cell r="B7">
            <v>0</v>
          </cell>
          <cell r="C7">
            <v>0</v>
          </cell>
        </row>
        <row r="8">
          <cell r="B8">
            <v>0</v>
          </cell>
          <cell r="C8">
            <v>0</v>
          </cell>
        </row>
        <row r="9">
          <cell r="B9">
            <v>124285</v>
          </cell>
          <cell r="C9">
            <v>14398417.25</v>
          </cell>
        </row>
        <row r="10">
          <cell r="B10">
            <v>318927.30414454732</v>
          </cell>
          <cell r="C10">
            <v>36947728.185145803</v>
          </cell>
        </row>
        <row r="11">
          <cell r="B11">
            <v>868408.88134999992</v>
          </cell>
          <cell r="C11">
            <v>100605168.90439749</v>
          </cell>
        </row>
        <row r="12">
          <cell r="B12">
            <v>0</v>
          </cell>
          <cell r="C12">
            <v>0</v>
          </cell>
        </row>
        <row r="13">
          <cell r="B13">
            <v>22.280427897421447</v>
          </cell>
          <cell r="C13">
            <v>2581.1875719162745</v>
          </cell>
        </row>
        <row r="14">
          <cell r="B14">
            <v>1109677.7507761312</v>
          </cell>
          <cell r="C14">
            <v>128556167.42741479</v>
          </cell>
        </row>
        <row r="15">
          <cell r="B15">
            <v>92.608989999999991</v>
          </cell>
          <cell r="C15">
            <v>10728.751491499999</v>
          </cell>
        </row>
        <row r="16">
          <cell r="B16">
            <v>0</v>
          </cell>
          <cell r="C16">
            <v>0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0</v>
          </cell>
          <cell r="C19">
            <v>0</v>
          </cell>
        </row>
        <row r="20">
          <cell r="B20">
            <v>50595.630717502499</v>
          </cell>
          <cell r="C20">
            <v>5861503.8186226645</v>
          </cell>
        </row>
        <row r="21">
          <cell r="B21">
            <v>90717.440897134598</v>
          </cell>
          <cell r="C21">
            <v>10509615.527933042</v>
          </cell>
        </row>
        <row r="22">
          <cell r="B22">
            <v>0</v>
          </cell>
          <cell r="C22">
            <v>0</v>
          </cell>
        </row>
        <row r="23">
          <cell r="B23">
            <v>2156.8935017153067</v>
          </cell>
          <cell r="C23">
            <v>249876.11217371825</v>
          </cell>
        </row>
        <row r="24">
          <cell r="B24">
            <v>13080.831234162544</v>
          </cell>
          <cell r="C24">
            <v>1515414.2984777307</v>
          </cell>
        </row>
        <row r="25">
          <cell r="B25">
            <v>0</v>
          </cell>
          <cell r="C25">
            <v>0</v>
          </cell>
        </row>
        <row r="26">
          <cell r="B26">
            <v>87160.914359662056</v>
          </cell>
          <cell r="C26">
            <v>10097591.928566849</v>
          </cell>
        </row>
        <row r="30">
          <cell r="B30">
            <v>0</v>
          </cell>
          <cell r="C30">
            <v>0</v>
          </cell>
        </row>
        <row r="31">
          <cell r="B31">
            <v>2393658.027556045</v>
          </cell>
          <cell r="C31">
            <v>277305282.4923678</v>
          </cell>
        </row>
        <row r="32">
          <cell r="B32">
            <v>0</v>
          </cell>
          <cell r="C32">
            <v>0</v>
          </cell>
        </row>
        <row r="33">
          <cell r="B33">
            <v>0</v>
          </cell>
          <cell r="C33">
            <v>0</v>
          </cell>
        </row>
        <row r="34">
          <cell r="B34">
            <v>0</v>
          </cell>
          <cell r="C34">
            <v>0</v>
          </cell>
        </row>
        <row r="35">
          <cell r="B35">
            <v>65949.404819999996</v>
          </cell>
          <cell r="C35">
            <v>7640238.548396999</v>
          </cell>
        </row>
        <row r="36">
          <cell r="B36">
            <v>3482.9024900000004</v>
          </cell>
          <cell r="C36">
            <v>403494.25346650003</v>
          </cell>
        </row>
        <row r="37">
          <cell r="B37">
            <v>3047.4405773609938</v>
          </cell>
          <cell r="C37">
            <v>353045.99088727112</v>
          </cell>
        </row>
        <row r="38">
          <cell r="B38">
            <v>0</v>
          </cell>
          <cell r="C38">
            <v>0</v>
          </cell>
        </row>
        <row r="39">
          <cell r="B39">
            <v>7489.622588796753</v>
          </cell>
          <cell r="C39">
            <v>867672.77691210376</v>
          </cell>
        </row>
        <row r="40">
          <cell r="B40">
            <v>11211.732</v>
          </cell>
          <cell r="C40">
            <v>1298879.1521999999</v>
          </cell>
        </row>
        <row r="41">
          <cell r="B41">
            <v>157046.72922199551</v>
          </cell>
          <cell r="C41">
            <v>18193863.58036818</v>
          </cell>
        </row>
        <row r="45">
          <cell r="C45">
            <v>974732.47997750004</v>
          </cell>
        </row>
        <row r="47">
          <cell r="B47">
            <v>-30557.006283457715</v>
          </cell>
          <cell r="C47">
            <v>-3268563.5896376371</v>
          </cell>
        </row>
        <row r="48">
          <cell r="B48">
            <v>256372.57357801357</v>
          </cell>
          <cell r="C48">
            <v>29700762.649012871</v>
          </cell>
        </row>
        <row r="49">
          <cell r="B49">
            <v>0</v>
          </cell>
          <cell r="C49">
            <v>0</v>
          </cell>
        </row>
        <row r="50">
          <cell r="B50">
            <v>0</v>
          </cell>
          <cell r="C50">
            <v>0</v>
          </cell>
        </row>
        <row r="51">
          <cell r="B51">
            <v>0</v>
          </cell>
          <cell r="C51">
            <v>0</v>
          </cell>
        </row>
        <row r="56">
          <cell r="C56">
            <v>114.24</v>
          </cell>
        </row>
        <row r="60">
          <cell r="B60">
            <v>37751.747639999994</v>
          </cell>
          <cell r="C60">
            <v>4312759.6503935987</v>
          </cell>
        </row>
        <row r="61">
          <cell r="B61">
            <v>4092.0833199999997</v>
          </cell>
          <cell r="C61">
            <v>467479.59847679996</v>
          </cell>
        </row>
        <row r="62">
          <cell r="B62">
            <v>6894.1227899999994</v>
          </cell>
          <cell r="C62">
            <v>787584.5875295999</v>
          </cell>
        </row>
        <row r="63">
          <cell r="B63">
            <v>0</v>
          </cell>
          <cell r="C63">
            <v>0</v>
          </cell>
        </row>
        <row r="67">
          <cell r="B67">
            <v>11710.562907811569</v>
          </cell>
          <cell r="C67">
            <v>1337814.7065883935</v>
          </cell>
        </row>
        <row r="68">
          <cell r="B68">
            <v>5081.9588700000004</v>
          </cell>
          <cell r="C68">
            <v>580562.98130880005</v>
          </cell>
        </row>
        <row r="69">
          <cell r="B69">
            <v>179.17220262034874</v>
          </cell>
          <cell r="C69">
            <v>20468.632427348639</v>
          </cell>
        </row>
        <row r="74">
          <cell r="B74">
            <v>1522.68778</v>
          </cell>
          <cell r="C74">
            <v>173951.8519872</v>
          </cell>
        </row>
        <row r="75">
          <cell r="B75">
            <v>28909.909369999994</v>
          </cell>
          <cell r="C75">
            <v>3302668.0464287992</v>
          </cell>
        </row>
        <row r="76">
          <cell r="B76">
            <v>7217.6829174945569</v>
          </cell>
          <cell r="C76">
            <v>824548.09649457817</v>
          </cell>
        </row>
        <row r="77">
          <cell r="B77">
            <v>0</v>
          </cell>
          <cell r="C77">
            <v>0</v>
          </cell>
        </row>
        <row r="78">
          <cell r="B78">
            <v>4552.8618458983656</v>
          </cell>
          <cell r="C78">
            <v>520118.93727542926</v>
          </cell>
        </row>
        <row r="83">
          <cell r="B83">
            <v>4749.2391703431795</v>
          </cell>
          <cell r="C83">
            <v>542553.08282000478</v>
          </cell>
        </row>
        <row r="84">
          <cell r="B84">
            <v>13911.367680000003</v>
          </cell>
          <cell r="C84">
            <v>1589234.6437632004</v>
          </cell>
        </row>
        <row r="85">
          <cell r="B85">
            <v>65.041020000000003</v>
          </cell>
          <cell r="C85">
            <v>7430.2861247999999</v>
          </cell>
        </row>
        <row r="86">
          <cell r="B86">
            <v>45.34061000000019</v>
          </cell>
          <cell r="C86">
            <v>5179.7112864000219</v>
          </cell>
        </row>
        <row r="87">
          <cell r="B87">
            <v>3096.8096394374215</v>
          </cell>
          <cell r="C87">
            <v>353779.53320933104</v>
          </cell>
        </row>
        <row r="88">
          <cell r="B88">
            <v>1138.3138533587285</v>
          </cell>
          <cell r="C88">
            <v>130040.97460770114</v>
          </cell>
        </row>
        <row r="89">
          <cell r="B89">
            <v>29497.394938025725</v>
          </cell>
          <cell r="C89">
            <v>3369782.3977200589</v>
          </cell>
        </row>
        <row r="94">
          <cell r="B94">
            <v>-4294.9198540092384</v>
          </cell>
          <cell r="C94">
            <v>-490651.64412201539</v>
          </cell>
        </row>
        <row r="95">
          <cell r="B95">
            <v>-326.32900729516575</v>
          </cell>
          <cell r="C95">
            <v>-37279.825793399737</v>
          </cell>
        </row>
        <row r="97">
          <cell r="B97">
            <v>-3788.6201637798613</v>
          </cell>
          <cell r="C97">
            <v>-432811.96751021134</v>
          </cell>
        </row>
        <row r="106">
          <cell r="B106">
            <v>82102.458236715596</v>
          </cell>
        </row>
        <row r="109">
          <cell r="B109">
            <v>0</v>
          </cell>
        </row>
        <row r="115">
          <cell r="B115">
            <v>33208.0036072652</v>
          </cell>
        </row>
        <row r="120">
          <cell r="B120">
            <v>168432.80883557099</v>
          </cell>
        </row>
        <row r="123">
          <cell r="B123">
            <v>190510.44682101748</v>
          </cell>
        </row>
        <row r="126">
          <cell r="B126">
            <v>35047.604189807811</v>
          </cell>
        </row>
        <row r="128">
          <cell r="B128">
            <v>2192382.070061367</v>
          </cell>
        </row>
        <row r="141">
          <cell r="B141">
            <v>1.4033703289987824</v>
          </cell>
        </row>
        <row r="143">
          <cell r="B143">
            <v>0.40337032899878245</v>
          </cell>
        </row>
      </sheetData>
      <sheetData sheetId="13">
        <row r="6">
          <cell r="C6">
            <v>0.27009999999805001</v>
          </cell>
        </row>
        <row r="7">
          <cell r="B7">
            <v>4930277.934928257</v>
          </cell>
        </row>
        <row r="8">
          <cell r="C8">
            <v>0</v>
          </cell>
        </row>
        <row r="9">
          <cell r="C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B12">
            <v>43982564.499645486</v>
          </cell>
          <cell r="C12">
            <v>11879690.67126848</v>
          </cell>
        </row>
        <row r="13">
          <cell r="C13">
            <v>0</v>
          </cell>
        </row>
        <row r="14">
          <cell r="B14">
            <v>66103.482561208424</v>
          </cell>
          <cell r="C14">
            <v>17854.550639653495</v>
          </cell>
        </row>
        <row r="15">
          <cell r="B15">
            <v>1101134.9537273294</v>
          </cell>
          <cell r="C15">
            <v>297416.55099960446</v>
          </cell>
        </row>
        <row r="16">
          <cell r="C16">
            <v>0</v>
          </cell>
        </row>
        <row r="17">
          <cell r="B17">
            <v>14332.323648503421</v>
          </cell>
          <cell r="C17">
            <v>3871.1606174328263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0</v>
          </cell>
        </row>
        <row r="21">
          <cell r="C21">
            <v>0</v>
          </cell>
        </row>
        <row r="22">
          <cell r="B22">
            <v>367477.86150150828</v>
          </cell>
          <cell r="C22">
            <v>99255.770390840815</v>
          </cell>
        </row>
        <row r="23">
          <cell r="B23">
            <v>0</v>
          </cell>
          <cell r="C23">
            <v>0</v>
          </cell>
        </row>
        <row r="24">
          <cell r="B24">
            <v>0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C26">
            <v>0</v>
          </cell>
        </row>
        <row r="27">
          <cell r="B27">
            <v>1815105.5381417072</v>
          </cell>
          <cell r="C27">
            <v>490260.00584853569</v>
          </cell>
        </row>
        <row r="31">
          <cell r="C31">
            <v>0</v>
          </cell>
        </row>
        <row r="32">
          <cell r="B32">
            <v>34449218.098727748</v>
          </cell>
          <cell r="C32">
            <v>9304733.8083991893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B36">
            <v>0</v>
          </cell>
          <cell r="C36">
            <v>0</v>
          </cell>
        </row>
        <row r="37">
          <cell r="B37">
            <v>740050.65058778331</v>
          </cell>
          <cell r="C37">
            <v>199887.68072231719</v>
          </cell>
        </row>
        <row r="38">
          <cell r="B38">
            <v>0</v>
          </cell>
          <cell r="C38">
            <v>0</v>
          </cell>
        </row>
        <row r="39">
          <cell r="C39">
            <v>0</v>
          </cell>
        </row>
        <row r="40">
          <cell r="B40">
            <v>152973.2082748127</v>
          </cell>
          <cell r="C40">
            <v>41318.063554728615</v>
          </cell>
        </row>
        <row r="41">
          <cell r="C41">
            <v>0</v>
          </cell>
        </row>
        <row r="42">
          <cell r="B42">
            <v>1338786.387281057</v>
          </cell>
          <cell r="C42">
            <v>361606.20320200286</v>
          </cell>
        </row>
        <row r="46">
          <cell r="B46">
            <v>24224822.819274604</v>
          </cell>
        </row>
        <row r="47">
          <cell r="B47">
            <v>434983.54207503161</v>
          </cell>
          <cell r="C47">
            <v>105162.3640342</v>
          </cell>
        </row>
        <row r="48">
          <cell r="B48">
            <v>0</v>
          </cell>
          <cell r="C48">
            <v>949174.01121445699</v>
          </cell>
        </row>
        <row r="49">
          <cell r="B49">
            <v>-9063838.1120670605</v>
          </cell>
          <cell r="C49">
            <v>-2448142.6740516387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62">
          <cell r="B62">
            <v>53796.85750654513</v>
          </cell>
          <cell r="C62">
            <v>14530.531212412936</v>
          </cell>
        </row>
        <row r="63">
          <cell r="B63">
            <v>0</v>
          </cell>
          <cell r="C63">
            <v>0</v>
          </cell>
        </row>
        <row r="64">
          <cell r="B64">
            <v>22481.007569188885</v>
          </cell>
          <cell r="C64">
            <v>6072.1201443940799</v>
          </cell>
        </row>
        <row r="65">
          <cell r="B65">
            <v>0</v>
          </cell>
          <cell r="C65">
            <v>0</v>
          </cell>
        </row>
        <row r="69">
          <cell r="B69">
            <v>439.00161017949461</v>
          </cell>
          <cell r="C69">
            <v>118.57433490862545</v>
          </cell>
        </row>
        <row r="70">
          <cell r="B70">
            <v>0</v>
          </cell>
          <cell r="C70">
            <v>0</v>
          </cell>
        </row>
        <row r="71">
          <cell r="B71">
            <v>31937.47839</v>
          </cell>
          <cell r="C71">
            <v>8626.3129130767229</v>
          </cell>
        </row>
        <row r="76">
          <cell r="B76">
            <v>19058.261921954341</v>
          </cell>
          <cell r="C76">
            <v>5147.6365450827043</v>
          </cell>
        </row>
        <row r="77">
          <cell r="B77">
            <v>1154165.4950186992</v>
          </cell>
          <cell r="C77">
            <v>311740.10020230006</v>
          </cell>
        </row>
        <row r="78">
          <cell r="B78">
            <v>15749.865057695753</v>
          </cell>
          <cell r="C78">
            <v>4254.0385520529107</v>
          </cell>
        </row>
        <row r="79">
          <cell r="B79">
            <v>0</v>
          </cell>
          <cell r="C79">
            <v>0</v>
          </cell>
        </row>
        <row r="80">
          <cell r="B80">
            <v>23369.682817185836</v>
          </cell>
          <cell r="C80">
            <v>6312.1513288763235</v>
          </cell>
        </row>
        <row r="85">
          <cell r="B85">
            <v>0</v>
          </cell>
          <cell r="C85">
            <v>0</v>
          </cell>
        </row>
        <row r="86">
          <cell r="B86">
            <v>263619.72050772805</v>
          </cell>
          <cell r="C86">
            <v>71203.686508623286</v>
          </cell>
        </row>
        <row r="87">
          <cell r="B87">
            <v>8173.5341055756062</v>
          </cell>
          <cell r="C87">
            <v>2207.6715619000329</v>
          </cell>
        </row>
        <row r="88">
          <cell r="B88">
            <v>18398.064874478554</v>
          </cell>
          <cell r="C88">
            <v>4969.3173225607816</v>
          </cell>
        </row>
        <row r="89">
          <cell r="B89">
            <v>254477.18044381664</v>
          </cell>
          <cell r="C89">
            <v>68734.286437378643</v>
          </cell>
        </row>
        <row r="90">
          <cell r="B90">
            <v>0</v>
          </cell>
          <cell r="C90">
            <v>0</v>
          </cell>
        </row>
        <row r="91">
          <cell r="B91">
            <v>819659.75731553417</v>
          </cell>
          <cell r="C91">
            <v>221390.10044932744</v>
          </cell>
        </row>
        <row r="94">
          <cell r="C94">
            <v>0</v>
          </cell>
        </row>
        <row r="95">
          <cell r="C95">
            <v>0</v>
          </cell>
        </row>
        <row r="97">
          <cell r="B97">
            <v>21616.713471208699</v>
          </cell>
          <cell r="C97">
            <v>5838.6743085313174</v>
          </cell>
        </row>
        <row r="98">
          <cell r="B98">
            <v>0</v>
          </cell>
          <cell r="C98">
            <v>0</v>
          </cell>
        </row>
        <row r="107">
          <cell r="B107">
            <v>6589.0932699999994</v>
          </cell>
          <cell r="C107">
            <v>1779.7140922141512</v>
          </cell>
        </row>
        <row r="108">
          <cell r="B108">
            <v>6551.6149287148482</v>
          </cell>
          <cell r="C108">
            <v>1769.5911922331049</v>
          </cell>
        </row>
        <row r="109">
          <cell r="B109">
            <v>37.478341285151146</v>
          </cell>
          <cell r="C109">
            <v>10.122899981046203</v>
          </cell>
        </row>
        <row r="110">
          <cell r="B110">
            <v>31099.791273964274</v>
          </cell>
          <cell r="C110">
            <v>8400.0536230371054</v>
          </cell>
        </row>
        <row r="111">
          <cell r="B111">
            <v>-31062.312932679124</v>
          </cell>
          <cell r="C111">
            <v>-8389.9307230560589</v>
          </cell>
        </row>
        <row r="122">
          <cell r="B122">
            <v>0</v>
          </cell>
          <cell r="C122">
            <v>0</v>
          </cell>
        </row>
        <row r="126">
          <cell r="B126">
            <v>15595968.249282574</v>
          </cell>
          <cell r="C126">
            <v>4212471.0241008112</v>
          </cell>
        </row>
        <row r="127">
          <cell r="B127">
            <v>5000000</v>
          </cell>
          <cell r="C127">
            <v>75297.219320016113</v>
          </cell>
        </row>
        <row r="129">
          <cell r="B129">
            <v>0</v>
          </cell>
          <cell r="C129">
            <v>0</v>
          </cell>
        </row>
        <row r="130">
          <cell r="B130">
            <v>15595968.249282574</v>
          </cell>
          <cell r="C130">
            <v>4212471.0241008112</v>
          </cell>
        </row>
        <row r="131">
          <cell r="B131">
            <v>8598679.1121437531</v>
          </cell>
          <cell r="C131">
            <v>2322503.2281732606</v>
          </cell>
        </row>
        <row r="133">
          <cell r="B133">
            <v>0.45272343205544491</v>
          </cell>
          <cell r="C133">
            <v>0.45272343205544485</v>
          </cell>
        </row>
        <row r="134">
          <cell r="B134">
            <v>0.08</v>
          </cell>
          <cell r="C134">
            <v>0.08</v>
          </cell>
        </row>
        <row r="136">
          <cell r="B136">
            <v>1.8137632589704018</v>
          </cell>
          <cell r="C136">
            <v>1.8137632589704018</v>
          </cell>
        </row>
        <row r="137">
          <cell r="B137">
            <v>0.105</v>
          </cell>
          <cell r="C137">
            <v>0.08</v>
          </cell>
        </row>
        <row r="139">
          <cell r="B139">
            <v>1.8137632589704018</v>
          </cell>
          <cell r="C139">
            <v>1.8137632589704018</v>
          </cell>
        </row>
        <row r="140">
          <cell r="B140">
            <v>0.12</v>
          </cell>
          <cell r="C140">
            <v>0.12</v>
          </cell>
        </row>
        <row r="144">
          <cell r="B144">
            <v>1.3610689492068906</v>
          </cell>
        </row>
        <row r="145">
          <cell r="B145">
            <v>0.2</v>
          </cell>
          <cell r="C145">
            <v>0.2</v>
          </cell>
        </row>
        <row r="146">
          <cell r="B146">
            <v>1.1610689492068906</v>
          </cell>
        </row>
      </sheetData>
      <sheetData sheetId="14">
        <row r="6">
          <cell r="C6">
            <v>20.059999999999999</v>
          </cell>
        </row>
        <row r="7">
          <cell r="C7">
            <v>1458928.2230832505</v>
          </cell>
        </row>
        <row r="8">
          <cell r="C8">
            <v>0</v>
          </cell>
        </row>
        <row r="10">
          <cell r="C10">
            <v>6940688.895506979</v>
          </cell>
        </row>
        <row r="11">
          <cell r="C11">
            <v>0</v>
          </cell>
        </row>
        <row r="12">
          <cell r="C12">
            <v>5057353.8105892325</v>
          </cell>
        </row>
        <row r="13">
          <cell r="C13">
            <v>0</v>
          </cell>
        </row>
        <row r="14">
          <cell r="C14">
            <v>151042.85560717847</v>
          </cell>
        </row>
        <row r="15">
          <cell r="C15">
            <v>20126969.9242009</v>
          </cell>
        </row>
        <row r="16">
          <cell r="C16">
            <v>0</v>
          </cell>
        </row>
        <row r="17">
          <cell r="C17">
            <v>92958.435765204398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0</v>
          </cell>
        </row>
        <row r="21">
          <cell r="C21">
            <v>0</v>
          </cell>
        </row>
        <row r="22">
          <cell r="C22">
            <v>423189.87240428728</v>
          </cell>
        </row>
        <row r="23">
          <cell r="C23">
            <v>0</v>
          </cell>
        </row>
        <row r="24">
          <cell r="C24">
            <v>139171.59449800599</v>
          </cell>
        </row>
        <row r="25">
          <cell r="C25">
            <v>1667962.3772617148</v>
          </cell>
        </row>
        <row r="26">
          <cell r="C26">
            <v>0</v>
          </cell>
        </row>
        <row r="27">
          <cell r="C27">
            <v>640563.6745992027</v>
          </cell>
        </row>
        <row r="31">
          <cell r="C31">
            <v>0</v>
          </cell>
        </row>
        <row r="32">
          <cell r="C32">
            <v>26990398.543072782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5290.4400259222339</v>
          </cell>
        </row>
        <row r="36">
          <cell r="C36">
            <v>3544328.8085742779</v>
          </cell>
        </row>
        <row r="37">
          <cell r="C37">
            <v>38010.405437686939</v>
          </cell>
        </row>
        <row r="38">
          <cell r="C38">
            <v>0</v>
          </cell>
        </row>
        <row r="39">
          <cell r="C39">
            <v>0</v>
          </cell>
        </row>
        <row r="40">
          <cell r="C40">
            <v>0</v>
          </cell>
        </row>
        <row r="41">
          <cell r="C41">
            <v>0</v>
          </cell>
        </row>
        <row r="42">
          <cell r="C42">
            <v>966535.82638036006</v>
          </cell>
        </row>
        <row r="46">
          <cell r="C46">
            <v>6211628.3271718994</v>
          </cell>
        </row>
        <row r="47">
          <cell r="C47">
            <v>0</v>
          </cell>
        </row>
        <row r="48">
          <cell r="C48">
            <v>497578.0063071698</v>
          </cell>
        </row>
        <row r="49">
          <cell r="C49">
            <v>-1554940.6934621136</v>
          </cell>
        </row>
        <row r="50">
          <cell r="C50">
            <v>7.9760717846460624E-6</v>
          </cell>
        </row>
        <row r="51">
          <cell r="C51">
            <v>0</v>
          </cell>
        </row>
        <row r="62">
          <cell r="C62">
            <v>955533.01450011716</v>
          </cell>
        </row>
        <row r="63">
          <cell r="C63">
            <v>215964.19123173557</v>
          </cell>
        </row>
        <row r="64">
          <cell r="C64">
            <v>8192.3675203649818</v>
          </cell>
        </row>
        <row r="65">
          <cell r="C65">
            <v>53040.082510518187</v>
          </cell>
        </row>
        <row r="69">
          <cell r="C69">
            <v>412233.25832897786</v>
          </cell>
        </row>
        <row r="70">
          <cell r="C70">
            <v>97.700955887738289</v>
          </cell>
        </row>
        <row r="71">
          <cell r="C71">
            <v>86766.051439876508</v>
          </cell>
        </row>
        <row r="76">
          <cell r="C76">
            <v>16312.852794366572</v>
          </cell>
        </row>
        <row r="77">
          <cell r="C77">
            <v>222481.61596810466</v>
          </cell>
        </row>
        <row r="78">
          <cell r="C78">
            <v>193366.7818918835</v>
          </cell>
        </row>
        <row r="79">
          <cell r="C79">
            <v>0</v>
          </cell>
        </row>
        <row r="80">
          <cell r="C80">
            <v>90057.564391461361</v>
          </cell>
        </row>
        <row r="85">
          <cell r="C85">
            <v>241745.16306227495</v>
          </cell>
        </row>
        <row r="86">
          <cell r="C86">
            <v>301789.69643901696</v>
          </cell>
        </row>
        <row r="87">
          <cell r="C87">
            <v>7421.4474358024945</v>
          </cell>
        </row>
        <row r="88">
          <cell r="C88">
            <v>8472.6304543364586</v>
          </cell>
        </row>
        <row r="89">
          <cell r="C89">
            <v>109242.80320535878</v>
          </cell>
        </row>
        <row r="90">
          <cell r="C90">
            <v>9421.2602095497732</v>
          </cell>
        </row>
        <row r="91">
          <cell r="C91">
            <v>382775.01657342887</v>
          </cell>
        </row>
        <row r="94">
          <cell r="C94">
            <v>0</v>
          </cell>
        </row>
        <row r="95">
          <cell r="C95">
            <v>0</v>
          </cell>
        </row>
        <row r="97">
          <cell r="C97">
            <v>-55542.874257847943</v>
          </cell>
        </row>
        <row r="98">
          <cell r="C98">
            <v>0</v>
          </cell>
        </row>
        <row r="107">
          <cell r="C107">
            <v>6422616.2858665502</v>
          </cell>
        </row>
        <row r="108">
          <cell r="C108">
            <v>769675.90439381858</v>
          </cell>
        </row>
        <row r="109">
          <cell r="C109">
            <v>5652940.3814727319</v>
          </cell>
        </row>
        <row r="110">
          <cell r="C110">
            <v>3430354.9684257233</v>
          </cell>
        </row>
        <row r="111">
          <cell r="C111">
            <v>2222585.4130470087</v>
          </cell>
        </row>
        <row r="116">
          <cell r="C116">
            <v>0</v>
          </cell>
        </row>
        <row r="117">
          <cell r="C117">
            <v>484341.65532751754</v>
          </cell>
        </row>
        <row r="118">
          <cell r="C118">
            <v>484341.65532751754</v>
          </cell>
        </row>
        <row r="121">
          <cell r="C121">
            <v>11513306.20845115</v>
          </cell>
        </row>
        <row r="122">
          <cell r="C122">
            <v>0</v>
          </cell>
        </row>
        <row r="123">
          <cell r="C123">
            <v>11513306.20845115</v>
          </cell>
        </row>
        <row r="126">
          <cell r="C126">
            <v>2863115.5766044366</v>
          </cell>
        </row>
        <row r="127">
          <cell r="C127">
            <v>747756.72981056839</v>
          </cell>
        </row>
        <row r="128">
          <cell r="C128">
            <v>2115358.8467938681</v>
          </cell>
        </row>
        <row r="129">
          <cell r="C129">
            <v>447117.59968843474</v>
          </cell>
        </row>
        <row r="130">
          <cell r="C130">
            <v>3310233.1762928716</v>
          </cell>
        </row>
        <row r="131">
          <cell r="C131">
            <v>23176385.773675486</v>
          </cell>
        </row>
        <row r="133">
          <cell r="C133">
            <v>0.10607904036820047</v>
          </cell>
        </row>
        <row r="136">
          <cell r="C136">
            <v>0.12353589574162419</v>
          </cell>
        </row>
        <row r="137">
          <cell r="C137">
            <v>0.125</v>
          </cell>
        </row>
        <row r="139">
          <cell r="C139">
            <v>0.14282784246941321</v>
          </cell>
        </row>
        <row r="140">
          <cell r="C140">
            <v>0.14499999999999999</v>
          </cell>
        </row>
        <row r="144">
          <cell r="C144">
            <v>0.29520000000000002</v>
          </cell>
        </row>
        <row r="145">
          <cell r="C145">
            <v>0.2</v>
          </cell>
        </row>
        <row r="146">
          <cell r="C146">
            <v>9.5200000000000007E-2</v>
          </cell>
        </row>
      </sheetData>
      <sheetData sheetId="15">
        <row r="7">
          <cell r="C7">
            <v>8.8058999999999994</v>
          </cell>
        </row>
        <row r="8">
          <cell r="C8">
            <v>2412441.9133649031</v>
          </cell>
        </row>
        <row r="9">
          <cell r="C9">
            <v>0</v>
          </cell>
        </row>
        <row r="10">
          <cell r="C10">
            <v>0</v>
          </cell>
        </row>
        <row r="11">
          <cell r="C11">
            <v>12534542.10997967</v>
          </cell>
        </row>
        <row r="12">
          <cell r="C12">
            <v>6618525.5682553742</v>
          </cell>
        </row>
        <row r="13">
          <cell r="C13">
            <v>8222509.1483369106</v>
          </cell>
        </row>
        <row r="14">
          <cell r="C14">
            <v>0</v>
          </cell>
        </row>
        <row r="15">
          <cell r="C15">
            <v>0</v>
          </cell>
        </row>
        <row r="16">
          <cell r="C16">
            <v>27741309.522457685</v>
          </cell>
        </row>
        <row r="17">
          <cell r="C17">
            <v>0</v>
          </cell>
        </row>
        <row r="18">
          <cell r="C18">
            <v>61704.247953076927</v>
          </cell>
        </row>
        <row r="19">
          <cell r="C19">
            <v>0</v>
          </cell>
        </row>
        <row r="20">
          <cell r="C20">
            <v>0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730440.68214719673</v>
          </cell>
        </row>
        <row r="24">
          <cell r="C24">
            <v>0</v>
          </cell>
        </row>
        <row r="25">
          <cell r="C25">
            <v>25677.638386763418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937120.35365493572</v>
          </cell>
        </row>
        <row r="32">
          <cell r="C32">
            <v>0</v>
          </cell>
        </row>
        <row r="33">
          <cell r="C33">
            <v>41922710.132672414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7628220.2832464604</v>
          </cell>
        </row>
        <row r="38">
          <cell r="C38">
            <v>200879.62711363976</v>
          </cell>
        </row>
        <row r="39">
          <cell r="C39">
            <v>166113.80280493764</v>
          </cell>
        </row>
        <row r="40">
          <cell r="C40">
            <v>0</v>
          </cell>
        </row>
        <row r="41">
          <cell r="C41">
            <v>6978.9767371875678</v>
          </cell>
        </row>
        <row r="42">
          <cell r="C42">
            <v>0</v>
          </cell>
        </row>
        <row r="43">
          <cell r="C43">
            <v>1773735.1688663284</v>
          </cell>
        </row>
        <row r="48">
          <cell r="C48">
            <v>434037</v>
          </cell>
        </row>
        <row r="49">
          <cell r="C49">
            <v>-970150.39815576398</v>
          </cell>
        </row>
        <row r="50">
          <cell r="C50">
            <v>5749031.5912819821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61">
          <cell r="C61">
            <v>8.8893284313725491</v>
          </cell>
        </row>
        <row r="62">
          <cell r="C62">
            <v>1291931.844465191</v>
          </cell>
        </row>
        <row r="63">
          <cell r="C63">
            <v>365158.53109938494</v>
          </cell>
        </row>
        <row r="64">
          <cell r="C64">
            <v>65218.744148761754</v>
          </cell>
        </row>
        <row r="65">
          <cell r="C65">
            <v>0</v>
          </cell>
        </row>
        <row r="69">
          <cell r="C69">
            <v>283880.84754906053</v>
          </cell>
        </row>
        <row r="70">
          <cell r="C70">
            <v>343.64744463922648</v>
          </cell>
        </row>
        <row r="71">
          <cell r="C71">
            <v>124401.17828442674</v>
          </cell>
        </row>
        <row r="76">
          <cell r="C76">
            <v>52655.137110028918</v>
          </cell>
        </row>
        <row r="77">
          <cell r="C77">
            <v>490541.84840560646</v>
          </cell>
        </row>
        <row r="78">
          <cell r="C78">
            <v>104251.4066146288</v>
          </cell>
        </row>
        <row r="79">
          <cell r="C79">
            <v>0</v>
          </cell>
        </row>
        <row r="80">
          <cell r="C80">
            <v>14538.050590402789</v>
          </cell>
        </row>
        <row r="85">
          <cell r="C85">
            <v>156244.90096666911</v>
          </cell>
        </row>
        <row r="86">
          <cell r="C86">
            <v>287056.56871156924</v>
          </cell>
        </row>
        <row r="87">
          <cell r="C87">
            <v>7094.3971174954768</v>
          </cell>
        </row>
        <row r="88">
          <cell r="C88">
            <v>4800.5931246046848</v>
          </cell>
        </row>
        <row r="89">
          <cell r="C89">
            <v>71557.14879372326</v>
          </cell>
        </row>
        <row r="90">
          <cell r="C90">
            <v>3916.340397226681</v>
          </cell>
        </row>
        <row r="91">
          <cell r="C91">
            <v>363032.09030738001</v>
          </cell>
        </row>
        <row r="94">
          <cell r="C94">
            <v>0</v>
          </cell>
        </row>
        <row r="95">
          <cell r="C95">
            <v>0</v>
          </cell>
        </row>
        <row r="97">
          <cell r="C97">
            <v>-271750.45209990168</v>
          </cell>
        </row>
        <row r="98">
          <cell r="C98">
            <v>0</v>
          </cell>
        </row>
        <row r="118">
          <cell r="C118">
            <v>690345.74602823111</v>
          </cell>
        </row>
        <row r="121">
          <cell r="C121">
            <v>1684691.6683405447</v>
          </cell>
        </row>
        <row r="126">
          <cell r="C126">
            <v>7700137.4716975009</v>
          </cell>
        </row>
        <row r="127">
          <cell r="C127">
            <v>623177.20667048881</v>
          </cell>
        </row>
        <row r="130">
          <cell r="C130">
            <v>7725815.1100842645</v>
          </cell>
        </row>
        <row r="131">
          <cell r="C131">
            <v>36696020.015324913</v>
          </cell>
        </row>
        <row r="133">
          <cell r="C133">
            <v>0.18367461090489967</v>
          </cell>
        </row>
        <row r="136">
          <cell r="C136">
            <v>0.20983576607168258</v>
          </cell>
        </row>
        <row r="139">
          <cell r="C139">
            <v>0.21053550512719976</v>
          </cell>
        </row>
      </sheetData>
      <sheetData sheetId="16">
        <row r="6">
          <cell r="B6">
            <v>885066.89708999987</v>
          </cell>
        </row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101505.69106000001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100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16072.539040000021</v>
          </cell>
        </row>
        <row r="22">
          <cell r="B22">
            <v>0</v>
          </cell>
        </row>
        <row r="23">
          <cell r="B23">
            <v>174491.32197999998</v>
          </cell>
        </row>
        <row r="24">
          <cell r="B24">
            <v>77857.471720000001</v>
          </cell>
        </row>
        <row r="25">
          <cell r="B25">
            <v>0</v>
          </cell>
        </row>
        <row r="26">
          <cell r="B26">
            <v>2456064.8743084497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46081.721044200021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2617263.511905184</v>
          </cell>
        </row>
        <row r="45">
          <cell r="B45">
            <v>1000600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47213.562249066134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16212.690929999999</v>
          </cell>
        </row>
        <row r="68">
          <cell r="B68">
            <v>0</v>
          </cell>
        </row>
        <row r="69">
          <cell r="B69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74.75412</v>
          </cell>
        </row>
        <row r="79">
          <cell r="B79">
            <v>1447824.91792625</v>
          </cell>
        </row>
        <row r="84">
          <cell r="B84">
            <v>0</v>
          </cell>
        </row>
        <row r="85">
          <cell r="B85">
            <v>164981.84323</v>
          </cell>
        </row>
        <row r="86">
          <cell r="B86">
            <v>1143.5</v>
          </cell>
        </row>
        <row r="87">
          <cell r="B87">
            <v>5210.2</v>
          </cell>
        </row>
        <row r="88">
          <cell r="B88">
            <v>3462.5174200000001</v>
          </cell>
        </row>
        <row r="89">
          <cell r="B89">
            <v>14241.51101</v>
          </cell>
        </row>
        <row r="90">
          <cell r="B90">
            <v>1160693.3542131835</v>
          </cell>
        </row>
        <row r="95">
          <cell r="B95">
            <v>-43655.633904000009</v>
          </cell>
        </row>
        <row r="96">
          <cell r="B96">
            <v>0</v>
          </cell>
        </row>
      </sheetData>
      <sheetData sheetId="17">
        <row r="7">
          <cell r="C7">
            <v>30.76</v>
          </cell>
        </row>
        <row r="8">
          <cell r="C8">
            <v>6788539.1769236019</v>
          </cell>
        </row>
        <row r="9">
          <cell r="C9">
            <v>0</v>
          </cell>
        </row>
        <row r="10">
          <cell r="C10">
            <v>0</v>
          </cell>
        </row>
        <row r="11">
          <cell r="C11">
            <v>17411779.566206761</v>
          </cell>
        </row>
        <row r="12">
          <cell r="C12">
            <v>0</v>
          </cell>
        </row>
        <row r="13">
          <cell r="C13">
            <v>7898584.680978219</v>
          </cell>
        </row>
        <row r="14">
          <cell r="C14">
            <v>0</v>
          </cell>
        </row>
        <row r="15">
          <cell r="C15">
            <v>0</v>
          </cell>
        </row>
        <row r="16">
          <cell r="C16">
            <v>50624414.036495142</v>
          </cell>
        </row>
        <row r="17">
          <cell r="C17">
            <v>0</v>
          </cell>
        </row>
        <row r="18">
          <cell r="C18">
            <v>280866.75011085824</v>
          </cell>
        </row>
        <row r="19">
          <cell r="C19">
            <v>0</v>
          </cell>
        </row>
        <row r="20">
          <cell r="C20">
            <v>0</v>
          </cell>
        </row>
        <row r="21">
          <cell r="C21">
            <v>0</v>
          </cell>
        </row>
        <row r="22">
          <cell r="C22">
            <v>0</v>
          </cell>
        </row>
        <row r="23">
          <cell r="C23">
            <v>2090598.6147662548</v>
          </cell>
        </row>
        <row r="24">
          <cell r="C24">
            <v>0</v>
          </cell>
        </row>
        <row r="25">
          <cell r="C25">
            <v>23808.64433842654</v>
          </cell>
        </row>
        <row r="26">
          <cell r="C26">
            <v>213872.83960215768</v>
          </cell>
        </row>
        <row r="27">
          <cell r="C27">
            <v>0</v>
          </cell>
        </row>
        <row r="28">
          <cell r="C28">
            <v>4148492.1117464257</v>
          </cell>
        </row>
        <row r="32">
          <cell r="C32">
            <v>0</v>
          </cell>
        </row>
        <row r="33">
          <cell r="C33">
            <v>69737483.84619309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975292.58777633286</v>
          </cell>
        </row>
        <row r="37">
          <cell r="C37">
            <v>1598228.9412012354</v>
          </cell>
        </row>
        <row r="38">
          <cell r="C38">
            <v>137917.02512938881</v>
          </cell>
        </row>
        <row r="39">
          <cell r="C39">
            <v>517892.84651679231</v>
          </cell>
        </row>
        <row r="40">
          <cell r="C40">
            <v>0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2616728.5077542271</v>
          </cell>
        </row>
        <row r="47">
          <cell r="C47">
            <v>2834551.7760437736</v>
          </cell>
        </row>
        <row r="48">
          <cell r="C48">
            <v>1608835.1362717575</v>
          </cell>
        </row>
        <row r="49">
          <cell r="C49">
            <v>-47805.856115192102</v>
          </cell>
        </row>
        <row r="50">
          <cell r="C50">
            <v>9451989.8787321225</v>
          </cell>
        </row>
        <row r="51">
          <cell r="C51">
            <v>49841.731664336803</v>
          </cell>
        </row>
        <row r="52">
          <cell r="C52">
            <v>0</v>
          </cell>
        </row>
        <row r="62">
          <cell r="C62">
            <v>31.024705882352929</v>
          </cell>
        </row>
        <row r="63">
          <cell r="C63">
            <v>2516136.5127845565</v>
          </cell>
        </row>
        <row r="64">
          <cell r="C64">
            <v>660899.15776519687</v>
          </cell>
        </row>
        <row r="65">
          <cell r="C65">
            <v>7855.4766073906976</v>
          </cell>
        </row>
        <row r="66">
          <cell r="C66">
            <v>6275.446598536274</v>
          </cell>
        </row>
        <row r="70">
          <cell r="C70">
            <v>828918.24093578197</v>
          </cell>
        </row>
        <row r="71">
          <cell r="C71">
            <v>38757.924738102469</v>
          </cell>
        </row>
        <row r="72">
          <cell r="C72">
            <v>76166.421765955049</v>
          </cell>
        </row>
        <row r="77">
          <cell r="C77">
            <v>88361.0848810436</v>
          </cell>
        </row>
        <row r="78">
          <cell r="C78">
            <v>545448.15878288681</v>
          </cell>
        </row>
        <row r="79">
          <cell r="C79">
            <v>333233.69282641925</v>
          </cell>
        </row>
        <row r="80">
          <cell r="C80">
            <v>0</v>
          </cell>
        </row>
        <row r="81">
          <cell r="C81">
            <v>467306.14020088367</v>
          </cell>
        </row>
        <row r="86">
          <cell r="C86">
            <v>312801.09273912641</v>
          </cell>
        </row>
        <row r="87">
          <cell r="C87">
            <v>703911.96960555192</v>
          </cell>
        </row>
        <row r="88">
          <cell r="C88">
            <v>2836.4491297258364</v>
          </cell>
        </row>
        <row r="89">
          <cell r="C89">
            <v>18149.317373554291</v>
          </cell>
        </row>
        <row r="90">
          <cell r="C90">
            <v>240661.86541310538</v>
          </cell>
        </row>
        <row r="91">
          <cell r="C91">
            <v>3822.7970485760884</v>
          </cell>
        </row>
        <row r="92">
          <cell r="C92">
            <v>848521.91557258018</v>
          </cell>
        </row>
        <row r="95">
          <cell r="C95">
            <v>0</v>
          </cell>
        </row>
        <row r="96">
          <cell r="C96">
            <v>0</v>
          </cell>
        </row>
        <row r="98">
          <cell r="C98">
            <v>-421108.28609265969</v>
          </cell>
        </row>
        <row r="99">
          <cell r="C99">
            <v>0</v>
          </cell>
        </row>
        <row r="108">
          <cell r="C108">
            <v>4008708.567579974</v>
          </cell>
        </row>
        <row r="109">
          <cell r="C109">
            <v>504381.17124089703</v>
          </cell>
        </row>
        <row r="111">
          <cell r="C111">
            <v>1618049.1831206435</v>
          </cell>
        </row>
        <row r="113">
          <cell r="C113">
            <v>0</v>
          </cell>
        </row>
        <row r="117">
          <cell r="C117">
            <v>440952.63329551375</v>
          </cell>
        </row>
        <row r="118">
          <cell r="C118">
            <v>440952.63329551375</v>
          </cell>
        </row>
        <row r="122">
          <cell r="C122">
            <v>5065000.6504509095</v>
          </cell>
        </row>
        <row r="123">
          <cell r="C123">
            <v>0</v>
          </cell>
        </row>
        <row r="124">
          <cell r="C124">
            <v>1830251.9875975291</v>
          </cell>
        </row>
        <row r="128">
          <cell r="C128">
            <v>12904512.147782108</v>
          </cell>
        </row>
        <row r="129">
          <cell r="C129">
            <v>706214.68926553673</v>
          </cell>
        </row>
        <row r="130">
          <cell r="C130">
            <v>12091768.324635165</v>
          </cell>
        </row>
        <row r="131">
          <cell r="C131">
            <v>629395.44683728868</v>
          </cell>
        </row>
        <row r="133">
          <cell r="C133">
            <v>65210581.80191765</v>
          </cell>
        </row>
        <row r="136">
          <cell r="B136">
            <v>0.1</v>
          </cell>
        </row>
        <row r="139">
          <cell r="B139">
            <v>0.1</v>
          </cell>
        </row>
        <row r="142">
          <cell r="B142">
            <v>0.12</v>
          </cell>
        </row>
        <row r="146">
          <cell r="C146">
            <v>0.30489754480338999</v>
          </cell>
        </row>
        <row r="147">
          <cell r="B147">
            <v>0.2</v>
          </cell>
        </row>
      </sheetData>
      <sheetData sheetId="18">
        <row r="8">
          <cell r="B8">
            <v>561713.35627999995</v>
          </cell>
        </row>
        <row r="9">
          <cell r="B9">
            <v>0</v>
          </cell>
        </row>
        <row r="10">
          <cell r="B10">
            <v>105502.17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11872.685819999997</v>
          </cell>
        </row>
        <row r="26">
          <cell r="B26">
            <v>12722.98</v>
          </cell>
        </row>
        <row r="27">
          <cell r="B27">
            <v>0</v>
          </cell>
        </row>
        <row r="28">
          <cell r="B28">
            <v>733957.73670000001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0</v>
          </cell>
        </row>
        <row r="43">
          <cell r="B43">
            <v>948162.18782999972</v>
          </cell>
        </row>
        <row r="47">
          <cell r="B47">
            <v>100000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377606.74097000004</v>
          </cell>
        </row>
        <row r="51">
          <cell r="B51">
            <v>0</v>
          </cell>
        </row>
        <row r="52">
          <cell r="B52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5987.1566300000004</v>
          </cell>
        </row>
        <row r="65">
          <cell r="B65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6">
          <cell r="B76">
            <v>0</v>
          </cell>
        </row>
        <row r="77">
          <cell r="B77">
            <v>0</v>
          </cell>
        </row>
        <row r="78">
          <cell r="B78">
            <v>0</v>
          </cell>
        </row>
        <row r="79">
          <cell r="B79">
            <v>0</v>
          </cell>
        </row>
        <row r="80">
          <cell r="B80">
            <v>459889.24792000005</v>
          </cell>
        </row>
        <row r="85">
          <cell r="B85">
            <v>0</v>
          </cell>
        </row>
        <row r="86">
          <cell r="B86">
            <v>65422.002270000005</v>
          </cell>
        </row>
        <row r="87">
          <cell r="B87">
            <v>0</v>
          </cell>
        </row>
        <row r="88">
          <cell r="B88">
            <v>14240.162</v>
          </cell>
        </row>
        <row r="89">
          <cell r="B89">
            <v>0</v>
          </cell>
        </row>
        <row r="90">
          <cell r="B90">
            <v>1793.4556499999999</v>
          </cell>
        </row>
        <row r="91">
          <cell r="B91">
            <v>31249.635529999985</v>
          </cell>
        </row>
        <row r="94">
          <cell r="B94">
            <v>0</v>
          </cell>
        </row>
        <row r="96">
          <cell r="B96">
            <v>-105951.34473000001</v>
          </cell>
        </row>
        <row r="97">
          <cell r="B97">
            <v>0</v>
          </cell>
        </row>
      </sheetData>
      <sheetData sheetId="19">
        <row r="6">
          <cell r="B6">
            <v>366401.55932999996</v>
          </cell>
        </row>
        <row r="7">
          <cell r="B7">
            <v>0</v>
          </cell>
        </row>
        <row r="8">
          <cell r="B8">
            <v>326576.663</v>
          </cell>
        </row>
        <row r="9">
          <cell r="B9">
            <v>0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60313.777999999998</v>
          </cell>
        </row>
        <row r="14">
          <cell r="B14">
            <v>0</v>
          </cell>
        </row>
        <row r="15">
          <cell r="B15">
            <v>13028.42858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1168.7939100000001</v>
          </cell>
        </row>
        <row r="22">
          <cell r="B22">
            <v>0</v>
          </cell>
        </row>
        <row r="23">
          <cell r="B23">
            <v>3794.0454</v>
          </cell>
        </row>
        <row r="24">
          <cell r="B24">
            <v>49323.847000000002</v>
          </cell>
        </row>
        <row r="25">
          <cell r="B25">
            <v>0</v>
          </cell>
        </row>
        <row r="26">
          <cell r="B26">
            <v>15292.376639999999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440380.07178999996</v>
          </cell>
        </row>
        <row r="45">
          <cell r="B45">
            <v>420000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-24480.579829999995</v>
          </cell>
        </row>
        <row r="49">
          <cell r="B49">
            <v>0</v>
          </cell>
        </row>
        <row r="51">
          <cell r="B51">
            <v>0</v>
          </cell>
        </row>
        <row r="61">
          <cell r="B61">
            <v>0</v>
          </cell>
        </row>
        <row r="62">
          <cell r="B62">
            <v>2795.0030000000002</v>
          </cell>
        </row>
        <row r="63">
          <cell r="B63">
            <v>627.28767000000005</v>
          </cell>
        </row>
        <row r="64">
          <cell r="B64">
            <v>0</v>
          </cell>
        </row>
        <row r="65">
          <cell r="B65">
            <v>3422.2906700000003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3422.2906700000003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0</v>
          </cell>
        </row>
        <row r="78">
          <cell r="B78">
            <v>0</v>
          </cell>
        </row>
        <row r="79">
          <cell r="B79">
            <v>56659.150550000006</v>
          </cell>
        </row>
        <row r="80">
          <cell r="B80">
            <v>56659.150550000006</v>
          </cell>
        </row>
        <row r="81">
          <cell r="B81">
            <v>60081.441220000008</v>
          </cell>
        </row>
        <row r="84">
          <cell r="B84">
            <v>0</v>
          </cell>
        </row>
        <row r="85">
          <cell r="B85">
            <v>17646.933470000004</v>
          </cell>
        </row>
        <row r="86">
          <cell r="B86">
            <v>1486.55</v>
          </cell>
        </row>
        <row r="87">
          <cell r="B87">
            <v>379.66010999999997</v>
          </cell>
        </row>
        <row r="88">
          <cell r="B88">
            <v>201.35632000000001</v>
          </cell>
        </row>
        <row r="89">
          <cell r="B89">
            <v>134.84652</v>
          </cell>
        </row>
        <row r="90">
          <cell r="B90">
            <v>19215.791760000007</v>
          </cell>
        </row>
        <row r="91">
          <cell r="B91">
            <v>39065.138180000009</v>
          </cell>
        </row>
        <row r="92">
          <cell r="B92">
            <v>21016.303039999999</v>
          </cell>
        </row>
        <row r="93">
          <cell r="B93">
            <v>0</v>
          </cell>
        </row>
        <row r="94">
          <cell r="B94">
            <v>21016.303039999999</v>
          </cell>
        </row>
        <row r="95">
          <cell r="B95">
            <v>0</v>
          </cell>
        </row>
        <row r="96">
          <cell r="B96">
            <v>0</v>
          </cell>
        </row>
        <row r="97">
          <cell r="B97">
            <v>21016.303039999999</v>
          </cell>
        </row>
      </sheetData>
      <sheetData sheetId="20">
        <row r="8">
          <cell r="B8">
            <v>60333.538403499988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17981.521058044378</v>
          </cell>
        </row>
        <row r="15">
          <cell r="B15">
            <v>8222.7682471367934</v>
          </cell>
        </row>
        <row r="16">
          <cell r="B16">
            <v>0</v>
          </cell>
        </row>
        <row r="17">
          <cell r="B17">
            <v>44592.937490000011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6691.3394545217197</v>
          </cell>
        </row>
        <row r="27">
          <cell r="B27">
            <v>0</v>
          </cell>
        </row>
        <row r="28">
          <cell r="B28">
            <v>421423.21660036349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0</v>
          </cell>
        </row>
        <row r="43">
          <cell r="B43">
            <v>67091.658809999994</v>
          </cell>
        </row>
        <row r="47">
          <cell r="B47">
            <v>420600</v>
          </cell>
        </row>
        <row r="48">
          <cell r="B48">
            <v>0</v>
          </cell>
        </row>
        <row r="49">
          <cell r="B49">
            <v>147.22353611598805</v>
          </cell>
        </row>
        <row r="50">
          <cell r="B50">
            <v>71406.437963755045</v>
          </cell>
        </row>
        <row r="51">
          <cell r="B51">
            <v>0</v>
          </cell>
        </row>
        <row r="52">
          <cell r="B52">
            <v>0</v>
          </cell>
        </row>
        <row r="62">
          <cell r="B62">
            <v>0</v>
          </cell>
        </row>
        <row r="63">
          <cell r="B63">
            <v>1200</v>
          </cell>
        </row>
        <row r="64">
          <cell r="B64">
            <v>1334.3461772022936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6">
          <cell r="B76">
            <v>0</v>
          </cell>
        </row>
        <row r="77">
          <cell r="B77">
            <v>0</v>
          </cell>
        </row>
        <row r="78">
          <cell r="B78">
            <v>0</v>
          </cell>
        </row>
        <row r="79">
          <cell r="B79">
            <v>0</v>
          </cell>
        </row>
        <row r="80">
          <cell r="B80">
            <v>-4660.6219029999938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0</v>
          </cell>
        </row>
        <row r="88">
          <cell r="B88">
            <v>0</v>
          </cell>
        </row>
        <row r="89">
          <cell r="B89">
            <v>0</v>
          </cell>
        </row>
        <row r="91">
          <cell r="B91">
            <v>998.52</v>
          </cell>
        </row>
        <row r="96">
          <cell r="B96">
            <v>-528.93760314936253</v>
          </cell>
        </row>
        <row r="97">
          <cell r="B97">
            <v>0</v>
          </cell>
        </row>
      </sheetData>
      <sheetData sheetId="2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_parties workings"/>
      <sheetName val="Cover"/>
      <sheetName val="Consolidation  JVs"/>
      <sheetName val="Rates"/>
      <sheetName val="SOFP consolidated"/>
      <sheetName val="SOCE Consolidated"/>
      <sheetName val="SOCI Consolidated"/>
      <sheetName val="Note 22a-Loans"/>
      <sheetName val="Note 22b"/>
      <sheetName val="Note 11-Cash and bank balances"/>
      <sheetName val="LIQUIDITY RISK"/>
      <sheetName val="Libor transition"/>
      <sheetName val="Operating segments"/>
      <sheetName val="Recon"/>
      <sheetName val="Note 17b"/>
      <sheetName val="Notes P&amp;L-BS"/>
      <sheetName val="Deferred tax note"/>
      <sheetName val="Deferred tax workings"/>
      <sheetName val="SOCF Consolidated"/>
      <sheetName val="B-funds"/>
      <sheetName val="Translation workings"/>
      <sheetName val="Credit Risk"/>
      <sheetName val="INTEREST RATE RISK"/>
      <sheetName val="Fair Value Note"/>
      <sheetName val="Note 12_Derivative FA or FL"/>
      <sheetName val="Sheet1"/>
      <sheetName val="Employee benefits obligation"/>
      <sheetName val="Note 26 - Investment property"/>
      <sheetName val="Note 23 - Related parties"/>
      <sheetName val="Intercompany Cash"/>
      <sheetName val="Foreign Currency Risk"/>
      <sheetName val="Commitments and contigencies"/>
      <sheetName val="Regulatory Capital"/>
    </sheetNames>
    <sheetDataSet>
      <sheetData sheetId="0"/>
      <sheetData sheetId="1"/>
      <sheetData sheetId="2"/>
      <sheetData sheetId="3"/>
      <sheetData sheetId="4">
        <row r="2">
          <cell r="P2">
            <v>30.133709932665209</v>
          </cell>
        </row>
      </sheetData>
      <sheetData sheetId="5"/>
      <sheetData sheetId="6">
        <row r="1">
          <cell r="O1">
            <v>31.284223474716125</v>
          </cell>
        </row>
        <row r="8">
          <cell r="K8">
            <v>128527650.45452945</v>
          </cell>
        </row>
        <row r="9">
          <cell r="K9">
            <v>-33635366.030474871</v>
          </cell>
        </row>
        <row r="13">
          <cell r="K13">
            <v>28126783.95179309</v>
          </cell>
        </row>
        <row r="18">
          <cell r="K18">
            <v>12969689.584822867</v>
          </cell>
        </row>
        <row r="20">
          <cell r="K20">
            <v>6951236.7869264334</v>
          </cell>
        </row>
        <row r="21">
          <cell r="K21">
            <v>-13737471.638551889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55">
          <cell r="F55">
            <v>24769.13398556535</v>
          </cell>
        </row>
      </sheetData>
      <sheetData sheetId="16"/>
      <sheetData sheetId="17"/>
      <sheetData sheetId="18"/>
      <sheetData sheetId="19"/>
      <sheetData sheetId="20"/>
      <sheetData sheetId="21">
        <row r="95">
          <cell r="I95">
            <v>706588156.14186454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0_March_2023"/>
    </sheetNames>
    <sheetDataSet>
      <sheetData sheetId="0">
        <row r="6">
          <cell r="C6">
            <v>80286324.502621979</v>
          </cell>
          <cell r="F6">
            <v>53523706.538079605</v>
          </cell>
          <cell r="G6">
            <v>7859508.0801767474</v>
          </cell>
          <cell r="H6">
            <v>2136841.9534316259</v>
          </cell>
          <cell r="I6">
            <v>4846810.8363422109</v>
          </cell>
          <cell r="J6">
            <v>11919088.2343449</v>
          </cell>
          <cell r="K6">
            <v>368.86024687589713</v>
          </cell>
        </row>
        <row r="7">
          <cell r="C7">
            <v>15439092.542990513</v>
          </cell>
          <cell r="F7">
            <v>12140036.300449999</v>
          </cell>
          <cell r="G7">
            <v>546408.00495547487</v>
          </cell>
          <cell r="H7">
            <v>511961.29161274381</v>
          </cell>
          <cell r="I7">
            <v>667652.94564697635</v>
          </cell>
          <cell r="J7">
            <v>1572976.5148533545</v>
          </cell>
          <cell r="K7">
            <v>57.485471964591333</v>
          </cell>
        </row>
        <row r="9">
          <cell r="C9">
            <v>34377207.899119347</v>
          </cell>
          <cell r="F9">
            <v>23219285.001959998</v>
          </cell>
          <cell r="G9">
            <v>4571174.3732583765</v>
          </cell>
          <cell r="H9">
            <v>1129654.7145031975</v>
          </cell>
          <cell r="I9">
            <v>1903875.5908417196</v>
          </cell>
          <cell r="J9">
            <v>3552906.8437811462</v>
          </cell>
          <cell r="K9">
            <v>311.37477491130579</v>
          </cell>
        </row>
        <row r="11">
          <cell r="C11">
            <v>22264668.511720866</v>
          </cell>
          <cell r="F11">
            <v>11982650.108203501</v>
          </cell>
          <cell r="G11">
            <v>2741925.7019628957</v>
          </cell>
          <cell r="H11">
            <v>495225.94731568452</v>
          </cell>
          <cell r="I11">
            <v>2275282.2998535149</v>
          </cell>
          <cell r="J11">
            <v>4769584.4543852713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bsidiaries_MDS"/>
    </sheetNames>
    <sheetDataSet>
      <sheetData sheetId="0">
        <row r="5">
          <cell r="H5">
            <v>31903709.07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at of Equity"/>
      <sheetName val="JOURNALS "/>
      <sheetName val="CASH FLOW-Kenya"/>
      <sheetName val="CASHFLOW COMPANY"/>
      <sheetName val="CASH FLOW-GROUP"/>
      <sheetName val="Consol Journals"/>
      <sheetName val="INVESTMENT IN SUBS"/>
      <sheetName val="average rates"/>
      <sheetName val="GROUP SUMMARY"/>
      <sheetName val="stress testing"/>
      <sheetName val="NPA"/>
      <sheetName val="recharge"/>
      <sheetName val="interco placements"/>
      <sheetName val="tax"/>
      <sheetName val="CASH FLOW STATEMENT"/>
      <sheetName val="Retained Earnings"/>
      <sheetName val="b sheet group"/>
      <sheetName val="p&amp;l mgt Group"/>
      <sheetName val="P&amp;L MGT"/>
      <sheetName val="Balancesheet MGT"/>
      <sheetName val="conso jvs"/>
      <sheetName val="Sheet4"/>
      <sheetName val="unposted jvs"/>
      <sheetName val="inter co loans"/>
      <sheetName val="Rates"/>
      <sheetName val="Provisions credit"/>
      <sheetName val="Finacle tb"/>
      <sheetName val="Adv &amp; Dep"/>
      <sheetName val="CBK_MATURITY "/>
      <sheetName val="Balance Sheet oracle"/>
      <sheetName val="Reclass Journals"/>
      <sheetName val="XXGL_Daily_Detailed_Balance_Sh_"/>
      <sheetName val="Balance Sheet"/>
      <sheetName val="CBK-Format PUBLISHED"/>
      <sheetName val="Borrowings &amp; Placements"/>
      <sheetName val="Revised table a"/>
      <sheetName val="Table AII"/>
      <sheetName val="Revised table b"/>
      <sheetName val="revised table c1F inal"/>
      <sheetName val="revised table c11_iv"/>
      <sheetName val="revised table f"/>
      <sheetName val="Table F(NEW)"/>
      <sheetName val="revised table d"/>
      <sheetName val="revised table e"/>
      <sheetName val="Table G NEW"/>
      <sheetName val="Tables H_I_J"/>
      <sheetName val="CRR"/>
      <sheetName val="Surbodinated debt"/>
      <sheetName val="Interco"/>
      <sheetName val="Bank Balances breakdown"/>
      <sheetName val="BORROWED FUNDS"/>
      <sheetName val="CBK PR5_2_2"/>
      <sheetName val="CBK PR5_2_1"/>
      <sheetName val="CBK PR5_2"/>
      <sheetName val="COUNTRY RISK"/>
      <sheetName val="revised table c1"/>
      <sheetName val="Sheet1"/>
      <sheetName val="type accounts"/>
      <sheetName val="CBK_PR21"/>
      <sheetName val="Fixed Deposit Rates"/>
      <sheetName val="ORACLE PL"/>
      <sheetName val="CBK DPF1"/>
      <sheetName val="CBK DPF1_1"/>
      <sheetName val="ORACLE P&amp;L"/>
      <sheetName val="CBK PD1-2"/>
      <sheetName val="INTEREST BREAKDOWN TB"/>
      <sheetName val="INT BREAKDOWN"/>
      <sheetName val="oracle profit and loss"/>
      <sheetName val="Published Summary"/>
      <sheetName val="AFS vs HTM"/>
      <sheetName val="Sheet2"/>
      <sheetName val="Diff"/>
      <sheetName val="Ratios"/>
      <sheetName val="IFC"/>
      <sheetName val="Bank JV'S"/>
      <sheetName val="CBK PR3"/>
      <sheetName val="Bank Interest Rate Risk"/>
      <sheetName val="AUDIT JOURNALS"/>
      <sheetName val="CMA PL"/>
      <sheetName val="CMA BS"/>
      <sheetName val="key indicators(Hellios)"/>
      <sheetName val="currency risk analysis"/>
      <sheetName val="Blue Orchard"/>
      <sheetName val="blue orchards credit"/>
      <sheetName val="BLUE ORCHARD CAR"/>
      <sheetName val="Adv &amp; dep Branchwise"/>
      <sheetName val="Sheet3"/>
      <sheetName val="EXC RATES"/>
      <sheetName val="top twenty loans"/>
      <sheetName val="pr412"/>
      <sheetName val="UPDATED FORM A"/>
      <sheetName val="FORM A copy"/>
      <sheetName val="FORM A"/>
      <sheetName val="FORMA11"/>
      <sheetName val="FORMS B-C"/>
      <sheetName val="FORM C1"/>
      <sheetName val="FORMS C3 - D"/>
      <sheetName val="FORM C2"/>
      <sheetName val="PR6"/>
      <sheetName val="Alco"/>
      <sheetName val="table G"/>
      <sheetName val="ORACLE PL Mapped"/>
      <sheetName val="FORM A (2)"/>
      <sheetName val="FORMS C3 - D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1">
          <cell r="B1" t="str">
            <v>ORACLE</v>
          </cell>
        </row>
        <row r="2">
          <cell r="A2" t="str">
            <v>AED</v>
          </cell>
          <cell r="B2">
            <v>37.040000002007325</v>
          </cell>
        </row>
        <row r="3">
          <cell r="A3" t="str">
            <v>AUD</v>
          </cell>
          <cell r="B3">
            <v>89.569999992053198</v>
          </cell>
        </row>
        <row r="4">
          <cell r="A4" t="str">
            <v>CAD</v>
          </cell>
          <cell r="B4">
            <v>99.669999984021985</v>
          </cell>
        </row>
        <row r="5">
          <cell r="A5" t="str">
            <v>EUR</v>
          </cell>
          <cell r="B5">
            <v>149.65000000004832</v>
          </cell>
        </row>
        <row r="7">
          <cell r="A7" t="str">
            <v>YEN</v>
          </cell>
        </row>
        <row r="8">
          <cell r="A8" t="str">
            <v>GBP</v>
          </cell>
          <cell r="B8">
            <v>170.05442000000002</v>
          </cell>
        </row>
        <row r="9">
          <cell r="A9" t="str">
            <v>JPY</v>
          </cell>
          <cell r="B9">
            <v>1.0000368593282905</v>
          </cell>
        </row>
        <row r="10">
          <cell r="A10" t="str">
            <v>UGX</v>
          </cell>
          <cell r="B10">
            <v>3.6392772992675598E-2</v>
          </cell>
        </row>
        <row r="11">
          <cell r="A11" t="str">
            <v>NOK</v>
          </cell>
          <cell r="B11">
            <v>12.660000016949295</v>
          </cell>
        </row>
        <row r="12">
          <cell r="A12" t="str">
            <v>SSP</v>
          </cell>
          <cell r="B12">
            <v>0.15419999998653791</v>
          </cell>
        </row>
        <row r="13">
          <cell r="A13" t="str">
            <v>SSP</v>
          </cell>
          <cell r="B13">
            <v>0.15419999998653791</v>
          </cell>
        </row>
        <row r="14">
          <cell r="A14" t="str">
            <v>SEK</v>
          </cell>
          <cell r="B14" t="e">
            <v>#DIV/0!</v>
          </cell>
        </row>
        <row r="15">
          <cell r="A15" t="str">
            <v>TZS</v>
          </cell>
          <cell r="B15">
            <v>5.7870370325945067E-2</v>
          </cell>
        </row>
        <row r="16">
          <cell r="A16" t="str">
            <v>USD</v>
          </cell>
          <cell r="B16">
            <v>136</v>
          </cell>
        </row>
        <row r="17">
          <cell r="A17" t="str">
            <v>ZAR</v>
          </cell>
          <cell r="B17">
            <v>7.4102999738279305</v>
          </cell>
        </row>
        <row r="18">
          <cell r="A18" t="str">
            <v>KES</v>
          </cell>
          <cell r="B18">
            <v>1</v>
          </cell>
        </row>
        <row r="19">
          <cell r="A19" t="str">
            <v>DKK</v>
          </cell>
          <cell r="B19">
            <v>20.079999949378969</v>
          </cell>
        </row>
        <row r="20">
          <cell r="A20" t="str">
            <v>CHF</v>
          </cell>
          <cell r="B20">
            <v>152.23999997843418</v>
          </cell>
        </row>
        <row r="21">
          <cell r="A21" t="str">
            <v>RWF</v>
          </cell>
          <cell r="B21">
            <v>0.12191584036941759</v>
          </cell>
        </row>
        <row r="22">
          <cell r="A22" t="str">
            <v>CNY</v>
          </cell>
          <cell r="B22">
            <v>19.640000012270164</v>
          </cell>
        </row>
        <row r="23">
          <cell r="A23" t="str">
            <v>KES</v>
          </cell>
          <cell r="B23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8">
          <cell r="BI8">
            <v>14615114.24942686</v>
          </cell>
        </row>
        <row r="9">
          <cell r="BI9">
            <v>21630882.795777068</v>
          </cell>
        </row>
        <row r="10">
          <cell r="BI10">
            <v>9198987.2325044721</v>
          </cell>
        </row>
        <row r="11">
          <cell r="BI11">
            <v>100312180.56528001</v>
          </cell>
        </row>
        <row r="12">
          <cell r="BI12">
            <v>1136000</v>
          </cell>
        </row>
        <row r="13">
          <cell r="BI13">
            <v>26189285.99249807</v>
          </cell>
        </row>
        <row r="14">
          <cell r="BI14">
            <v>206434604.82797548</v>
          </cell>
        </row>
        <row r="15">
          <cell r="BI15">
            <v>0</v>
          </cell>
        </row>
        <row r="16">
          <cell r="BI16">
            <v>451007472.804892</v>
          </cell>
        </row>
        <row r="18">
          <cell r="BI18">
            <v>3250122.5250665736</v>
          </cell>
        </row>
        <row r="19">
          <cell r="BI19">
            <v>0</v>
          </cell>
        </row>
        <row r="20">
          <cell r="BI20">
            <v>100000</v>
          </cell>
        </row>
        <row r="21">
          <cell r="BI21">
            <v>0</v>
          </cell>
        </row>
        <row r="23">
          <cell r="BI23">
            <v>5559216.4954399951</v>
          </cell>
        </row>
        <row r="25">
          <cell r="BI25">
            <v>12305284.253320005</v>
          </cell>
        </row>
        <row r="26">
          <cell r="BI26">
            <v>29322034.973667674</v>
          </cell>
        </row>
        <row r="27">
          <cell r="BI27">
            <v>0</v>
          </cell>
        </row>
        <row r="28">
          <cell r="BI28">
            <v>29233974.798607964</v>
          </cell>
        </row>
        <row r="32">
          <cell r="BI32">
            <v>0</v>
          </cell>
        </row>
        <row r="33">
          <cell r="BI33">
            <v>552549008.54595459</v>
          </cell>
        </row>
        <row r="34">
          <cell r="BI34">
            <v>0</v>
          </cell>
        </row>
        <row r="35">
          <cell r="BI35">
            <v>110486369.57815465</v>
          </cell>
        </row>
        <row r="36">
          <cell r="BI36">
            <v>44499099.008443296</v>
          </cell>
        </row>
        <row r="37">
          <cell r="BI37">
            <v>89768148.239049941</v>
          </cell>
        </row>
        <row r="38">
          <cell r="BI38">
            <v>0</v>
          </cell>
        </row>
        <row r="39">
          <cell r="BI39">
            <v>1138975.7284503412</v>
          </cell>
        </row>
        <row r="40">
          <cell r="BI40">
            <v>-7.9289999997854466E-2</v>
          </cell>
        </row>
        <row r="41">
          <cell r="BI41">
            <v>0</v>
          </cell>
        </row>
        <row r="42">
          <cell r="BI42">
            <v>0</v>
          </cell>
        </row>
        <row r="43">
          <cell r="BI43">
            <v>17405308.605199266</v>
          </cell>
        </row>
        <row r="47">
          <cell r="BI47">
            <v>30000000</v>
          </cell>
        </row>
        <row r="48">
          <cell r="BI48">
            <v>9964131.6999900006</v>
          </cell>
        </row>
        <row r="49">
          <cell r="BI49">
            <v>-37109849.201535866</v>
          </cell>
        </row>
        <row r="50">
          <cell r="BI50">
            <v>91593969.390039846</v>
          </cell>
        </row>
        <row r="51">
          <cell r="BI51">
            <v>0</v>
          </cell>
        </row>
        <row r="52">
          <cell r="BI52">
            <v>0</v>
          </cell>
        </row>
        <row r="53">
          <cell r="BI53">
            <v>0</v>
          </cell>
        </row>
        <row r="62">
          <cell r="BI62">
            <v>16097974.300349999</v>
          </cell>
        </row>
        <row r="63">
          <cell r="BI63">
            <v>11586646.884539999</v>
          </cell>
        </row>
        <row r="64">
          <cell r="BI64">
            <v>486986.49008999998</v>
          </cell>
        </row>
        <row r="65">
          <cell r="BI65">
            <v>29700.743520000004</v>
          </cell>
        </row>
        <row r="69">
          <cell r="BI69">
            <v>6997386.2515800018</v>
          </cell>
        </row>
        <row r="70">
          <cell r="BI70">
            <v>821067.76247999992</v>
          </cell>
        </row>
        <row r="71">
          <cell r="BI71">
            <v>2967514.20481</v>
          </cell>
        </row>
        <row r="76">
          <cell r="BI76">
            <v>2244177.2393399999</v>
          </cell>
        </row>
        <row r="77">
          <cell r="BI77">
            <v>4198425.5624299981</v>
          </cell>
        </row>
        <row r="78">
          <cell r="BI78">
            <v>1961355.9329600004</v>
          </cell>
        </row>
        <row r="79">
          <cell r="BI79">
            <v>0</v>
          </cell>
        </row>
        <row r="80">
          <cell r="BI80">
            <v>2420304.5049199997</v>
          </cell>
        </row>
        <row r="85">
          <cell r="BI85">
            <v>2505982.1462999997</v>
          </cell>
        </row>
        <row r="86">
          <cell r="BI86">
            <v>5144186.0217700005</v>
          </cell>
        </row>
        <row r="87">
          <cell r="BI87">
            <v>26376.43851</v>
          </cell>
        </row>
        <row r="88">
          <cell r="BI88">
            <v>78821.837050000002</v>
          </cell>
        </row>
        <row r="89">
          <cell r="BI89">
            <v>750901.85733999999</v>
          </cell>
        </row>
        <row r="90">
          <cell r="BI90">
            <v>345580.66983999999</v>
          </cell>
        </row>
        <row r="91">
          <cell r="BI91">
            <v>7124667.0533099994</v>
          </cell>
        </row>
        <row r="97">
          <cell r="BI97">
            <v>-3787022.8724103412</v>
          </cell>
        </row>
        <row r="98">
          <cell r="BI98">
            <v>966512.76692354167</v>
          </cell>
        </row>
        <row r="126">
          <cell r="BI126">
            <v>143639065.34599915</v>
          </cell>
        </row>
        <row r="127">
          <cell r="BI127">
            <v>12409656.180270001</v>
          </cell>
        </row>
        <row r="128">
          <cell r="AD128">
            <v>0</v>
          </cell>
        </row>
        <row r="132">
          <cell r="BI132">
            <v>125376187.82420757</v>
          </cell>
        </row>
        <row r="133">
          <cell r="AY133">
            <v>1000000</v>
          </cell>
        </row>
        <row r="135">
          <cell r="BI135">
            <v>39229479.452054791</v>
          </cell>
        </row>
        <row r="137">
          <cell r="BI137">
            <v>818250190.96557868</v>
          </cell>
        </row>
        <row r="139">
          <cell r="BI139">
            <v>0.18909426549594949</v>
          </cell>
        </row>
        <row r="142">
          <cell r="BI142">
            <v>0.15322475840336439</v>
          </cell>
        </row>
        <row r="145">
          <cell r="BI145">
            <v>0.20116789350457584</v>
          </cell>
        </row>
      </sheetData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>
        <row r="399">
          <cell r="G399">
            <v>481688765.75</v>
          </cell>
        </row>
      </sheetData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>
        <row r="19">
          <cell r="D19">
            <v>1460622.3493456882</v>
          </cell>
        </row>
        <row r="80">
          <cell r="D80">
            <v>0.15322475840336439</v>
          </cell>
        </row>
        <row r="83">
          <cell r="C83">
            <v>0.18909426549594949</v>
          </cell>
        </row>
        <row r="86">
          <cell r="C86">
            <v>0.20116789350457584</v>
          </cell>
        </row>
      </sheetData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al rates"/>
      <sheetName val="Summary"/>
      <sheetName val="DB"/>
      <sheetName val="GROUP CAR - July 2022"/>
      <sheetName val="GROUP"/>
      <sheetName val="Intercompany 2022"/>
      <sheetName val="BCDC PPA Adjustments"/>
      <sheetName val="Consolidation  JVs"/>
      <sheetName val="NOSTRO BALANCES"/>
      <sheetName val="R_parties workings"/>
      <sheetName val="EGH Plc"/>
      <sheetName val="EBKL"/>
      <sheetName val="E_BCDC"/>
      <sheetName val="EBSSL"/>
      <sheetName val="EBTL"/>
      <sheetName val="EBRL"/>
      <sheetName val="FinAL&amp;Azenia"/>
      <sheetName val="EBUL"/>
      <sheetName val="EIAL"/>
      <sheetName val="EIBL"/>
      <sheetName val="Others"/>
      <sheetName val="EIGHL&amp;ELA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4">
          <cell r="B24">
            <v>29460462.775842018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BK PR5_2"/>
      <sheetName val="September 2022"/>
      <sheetName val="LIQUIDITY 2015 (2)"/>
      <sheetName val="Ratio"/>
    </sheetNames>
    <sheetDataSet>
      <sheetData sheetId="0"/>
      <sheetData sheetId="1">
        <row r="91">
          <cell r="C91">
            <v>0.51538492801086733</v>
          </cell>
        </row>
      </sheetData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33202"/>
      <sheetName val="DEFAULT REVERSALS IN 33202"/>
      <sheetName val="33202KES"/>
      <sheetName val="DATA 13105"/>
      <sheetName val="SUBs Code"/>
      <sheetName val="Sheet1"/>
      <sheetName val="pivot"/>
      <sheetName val="codes"/>
      <sheetName val="mapped accounts"/>
      <sheetName val="SUMMARY"/>
      <sheetName val="FINACLE"/>
      <sheetName val="ORACLE BS"/>
      <sheetName val="FINACLE TB"/>
      <sheetName val="13110 MAPPED FINACLE AC"/>
      <sheetName val="accounts"/>
      <sheetName val="FINACLE ACCOUNTS"/>
      <sheetName val="33203"/>
      <sheetName val="FINACLE ACCOUNTS 332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9">
          <cell r="G9">
            <v>-259315038.08787078</v>
          </cell>
        </row>
        <row r="10">
          <cell r="G10">
            <v>-20508064.190000117</v>
          </cell>
        </row>
        <row r="11">
          <cell r="G11">
            <v>-158718543.54375553</v>
          </cell>
        </row>
        <row r="12">
          <cell r="G12">
            <v>-479647214.83788377</v>
          </cell>
        </row>
        <row r="13">
          <cell r="C13">
            <v>-285762858.92001379</v>
          </cell>
          <cell r="G13">
            <v>-760497789.38001287</v>
          </cell>
        </row>
        <row r="16">
          <cell r="G16">
            <v>-2189826.7252676748</v>
          </cell>
        </row>
        <row r="17">
          <cell r="G17">
            <v>-45346499.600000001</v>
          </cell>
        </row>
        <row r="18">
          <cell r="G18">
            <v>-2225903052.9116635</v>
          </cell>
        </row>
        <row r="19">
          <cell r="G19">
            <v>-1231299.9402822703</v>
          </cell>
        </row>
        <row r="24">
          <cell r="G24">
            <v>-133072.40999999535</v>
          </cell>
        </row>
        <row r="25">
          <cell r="G25">
            <v>2079158887.28</v>
          </cell>
        </row>
        <row r="26">
          <cell r="G26">
            <v>-120097375.00000003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GH PLC 2022 CBK FORMAT"/>
      <sheetName val="P&amp;L "/>
      <sheetName val="BSHEET "/>
      <sheetName val="CASH RECON"/>
      <sheetName val="JV"/>
    </sheetNames>
    <sheetDataSet>
      <sheetData sheetId="0">
        <row r="7">
          <cell r="B7">
            <v>14773106.155630002</v>
          </cell>
        </row>
        <row r="11">
          <cell r="B11">
            <v>0</v>
          </cell>
        </row>
        <row r="14">
          <cell r="B14">
            <v>165702.64564999999</v>
          </cell>
        </row>
        <row r="17">
          <cell r="B17">
            <v>103246.62084</v>
          </cell>
        </row>
        <row r="19">
          <cell r="B19">
            <v>93339182.712720007</v>
          </cell>
        </row>
        <row r="22">
          <cell r="B22">
            <v>8850.6281200000012</v>
          </cell>
        </row>
        <row r="25">
          <cell r="B25">
            <v>753300.16311982798</v>
          </cell>
        </row>
        <row r="27">
          <cell r="B27">
            <v>1706882.6278900001</v>
          </cell>
        </row>
        <row r="36">
          <cell r="B36">
            <v>13711889.087680001</v>
          </cell>
        </row>
        <row r="37">
          <cell r="B37">
            <v>1280668.9767</v>
          </cell>
        </row>
        <row r="39">
          <cell r="B39">
            <v>0</v>
          </cell>
        </row>
        <row r="42">
          <cell r="B42">
            <v>16415.89026</v>
          </cell>
        </row>
        <row r="46">
          <cell r="B46">
            <v>1886837.3448800002</v>
          </cell>
        </row>
        <row r="47">
          <cell r="B47">
            <v>15325263.83735</v>
          </cell>
        </row>
        <row r="49">
          <cell r="B49">
            <v>78629196.417099833</v>
          </cell>
        </row>
        <row r="64">
          <cell r="B64">
            <v>366668.01299999998</v>
          </cell>
        </row>
        <row r="71">
          <cell r="B71">
            <v>-406855.48992000002</v>
          </cell>
        </row>
        <row r="79">
          <cell r="B79">
            <v>0</v>
          </cell>
        </row>
        <row r="80">
          <cell r="B80">
            <v>-1329921.5751</v>
          </cell>
        </row>
        <row r="86">
          <cell r="B86">
            <v>4701.4614299999994</v>
          </cell>
        </row>
        <row r="87">
          <cell r="B87">
            <v>23949.64286</v>
          </cell>
        </row>
        <row r="88">
          <cell r="B88">
            <v>584.33096</v>
          </cell>
        </row>
        <row r="89">
          <cell r="B89">
            <v>973.45431000000008</v>
          </cell>
        </row>
        <row r="90">
          <cell r="B90">
            <v>0</v>
          </cell>
        </row>
        <row r="91">
          <cell r="B91">
            <v>47790.293140000009</v>
          </cell>
        </row>
        <row r="97">
          <cell r="B97">
            <v>434432.470416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nL"/>
      <sheetName val="BS"/>
      <sheetName val="TB"/>
      <sheetName val="PnL pivot"/>
      <sheetName val="BS pivot"/>
      <sheetName val="Previous month TB"/>
    </sheetNames>
    <sheetDataSet>
      <sheetData sheetId="0"/>
      <sheetData sheetId="1"/>
      <sheetData sheetId="2"/>
      <sheetData sheetId="3">
        <row r="19">
          <cell r="B19">
            <v>26422925.079999998</v>
          </cell>
        </row>
        <row r="20">
          <cell r="B20">
            <v>671440533.28999996</v>
          </cell>
        </row>
        <row r="21">
          <cell r="B21">
            <v>0</v>
          </cell>
        </row>
        <row r="22">
          <cell r="B22">
            <v>-59117860.350000001</v>
          </cell>
        </row>
        <row r="23">
          <cell r="B23">
            <v>-2746507.14</v>
          </cell>
        </row>
        <row r="24">
          <cell r="B24">
            <v>-5038641.96</v>
          </cell>
        </row>
        <row r="25">
          <cell r="B25">
            <v>-1716580.72</v>
          </cell>
        </row>
        <row r="26">
          <cell r="B26">
            <v>-5387109.04</v>
          </cell>
        </row>
        <row r="27">
          <cell r="B27">
            <v>-385754786.83999997</v>
          </cell>
        </row>
      </sheetData>
      <sheetData sheetId="4">
        <row r="23">
          <cell r="B23">
            <v>-1292214106.3900001</v>
          </cell>
        </row>
        <row r="24">
          <cell r="B24">
            <v>-2200337064.2399998</v>
          </cell>
        </row>
        <row r="25">
          <cell r="B25">
            <v>-100000</v>
          </cell>
        </row>
        <row r="26">
          <cell r="B26">
            <v>-9938164.5199999977</v>
          </cell>
        </row>
        <row r="27">
          <cell r="B27">
            <v>-212558386.15999997</v>
          </cell>
        </row>
        <row r="28">
          <cell r="B28">
            <v>-47329747.289999999</v>
          </cell>
        </row>
        <row r="29">
          <cell r="B29">
            <v>-103825470.33000001</v>
          </cell>
        </row>
        <row r="30">
          <cell r="B30">
            <v>2182990305.5999999</v>
          </cell>
        </row>
        <row r="31">
          <cell r="B31">
            <v>467427028.57999992</v>
          </cell>
        </row>
        <row r="32">
          <cell r="B32">
            <v>1000500000</v>
          </cell>
        </row>
        <row r="33">
          <cell r="B33">
            <v>272032302.50999975</v>
          </cell>
        </row>
        <row r="34">
          <cell r="B34">
            <v>-56646697.759999998</v>
          </cell>
        </row>
      </sheetData>
      <sheetData sheetId="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ard paper workings"/>
      <sheetName val="Azenia 2023 CBK FORMAT"/>
      <sheetName val="TB"/>
      <sheetName val="Revenue"/>
      <sheetName val="Oracle Disbursement to finserve"/>
      <sheetName val="Staff Cost adjustments"/>
      <sheetName val="Booked Accruals-utilised"/>
      <sheetName val="Oracle BS"/>
      <sheetName val="11101 Cash"/>
      <sheetName val="Oracle P&amp;L"/>
      <sheetName val="Ap Accrual Adjustment"/>
      <sheetName val="Revised Manual Prepayment "/>
      <sheetName val="WHT tax prof"/>
      <sheetName val="Prepayments 23"/>
      <sheetName val="33202"/>
      <sheetName val="Accrued Exp"/>
      <sheetName val="Summary"/>
      <sheetName val="IFRS 16"/>
    </sheetNames>
    <sheetDataSet>
      <sheetData sheetId="0"/>
      <sheetData sheetId="1"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73493.169096896556</v>
          </cell>
        </row>
        <row r="12">
          <cell r="E12">
            <v>0</v>
          </cell>
        </row>
        <row r="13">
          <cell r="E13">
            <v>0</v>
          </cell>
        </row>
        <row r="14">
          <cell r="E14">
            <v>175496.94130793106</v>
          </cell>
        </row>
        <row r="15">
          <cell r="E15">
            <v>0</v>
          </cell>
        </row>
        <row r="16">
          <cell r="E16">
            <v>0</v>
          </cell>
        </row>
        <row r="17">
          <cell r="B17">
            <v>1538197.25562</v>
          </cell>
          <cell r="E17">
            <v>2335383.0130149848</v>
          </cell>
        </row>
        <row r="18">
          <cell r="E18">
            <v>0</v>
          </cell>
        </row>
        <row r="19">
          <cell r="E19">
            <v>0</v>
          </cell>
        </row>
        <row r="20">
          <cell r="E20">
            <v>0</v>
          </cell>
        </row>
        <row r="21">
          <cell r="E21">
            <v>0</v>
          </cell>
        </row>
        <row r="22">
          <cell r="E22">
            <v>2291.0603812499994</v>
          </cell>
        </row>
        <row r="23">
          <cell r="E23">
            <v>0</v>
          </cell>
        </row>
        <row r="24">
          <cell r="E24">
            <v>0</v>
          </cell>
        </row>
        <row r="25">
          <cell r="E25">
            <v>22494.474396367379</v>
          </cell>
        </row>
        <row r="26">
          <cell r="E26">
            <v>0</v>
          </cell>
        </row>
        <row r="27">
          <cell r="E27">
            <v>19975.623988864852</v>
          </cell>
        </row>
        <row r="31">
          <cell r="E31">
            <v>0</v>
          </cell>
        </row>
        <row r="32">
          <cell r="E32">
            <v>0</v>
          </cell>
        </row>
        <row r="33">
          <cell r="E33">
            <v>0</v>
          </cell>
        </row>
        <row r="34">
          <cell r="E34">
            <v>0</v>
          </cell>
        </row>
        <row r="35">
          <cell r="E35">
            <v>0</v>
          </cell>
        </row>
        <row r="36">
          <cell r="E36">
            <v>0</v>
          </cell>
        </row>
        <row r="37">
          <cell r="B37">
            <v>1558966.6154500004</v>
          </cell>
          <cell r="E37">
            <v>2098271.2105799997</v>
          </cell>
        </row>
        <row r="38">
          <cell r="E38">
            <v>59437.104112427784</v>
          </cell>
        </row>
        <row r="39">
          <cell r="E39"/>
        </row>
        <row r="40">
          <cell r="E40">
            <v>0</v>
          </cell>
        </row>
        <row r="41">
          <cell r="E41">
            <v>0</v>
          </cell>
        </row>
        <row r="42">
          <cell r="E42">
            <v>559084.92496337253</v>
          </cell>
        </row>
        <row r="46">
          <cell r="E46">
            <v>100</v>
          </cell>
        </row>
        <row r="47">
          <cell r="E47">
            <v>0</v>
          </cell>
        </row>
        <row r="48">
          <cell r="E48"/>
        </row>
        <row r="49">
          <cell r="E49">
            <v>-87769.317869492472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-621.22142243908434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-4.0653499999999996</v>
          </cell>
        </row>
        <row r="79">
          <cell r="E79">
            <v>0</v>
          </cell>
        </row>
        <row r="80">
          <cell r="E80">
            <v>556089.97939739819</v>
          </cell>
        </row>
        <row r="85">
          <cell r="E85"/>
        </row>
        <row r="86">
          <cell r="E86">
            <v>16218.7668885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1191.9980965122102</v>
          </cell>
        </row>
        <row r="90">
          <cell r="E90">
            <v>0</v>
          </cell>
        </row>
        <row r="91">
          <cell r="E91">
            <v>568736.68391791568</v>
          </cell>
        </row>
      </sheetData>
      <sheetData sheetId="2">
        <row r="49">
          <cell r="I49">
            <v>0</v>
          </cell>
        </row>
        <row r="50">
          <cell r="I50">
            <v>-5352155.5093333321</v>
          </cell>
        </row>
        <row r="56">
          <cell r="I56">
            <v>-304072.33333333331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L, ECGL &amp; EISL"/>
      <sheetName val="EISL, ECGL &amp; ENL - 31st Apr 202"/>
    </sheetNames>
    <sheetDataSet>
      <sheetData sheetId="0">
        <row r="8">
          <cell r="B8">
            <v>69053.968838000001</v>
          </cell>
        </row>
        <row r="12">
          <cell r="B12">
            <v>0</v>
          </cell>
        </row>
        <row r="14">
          <cell r="B14">
            <v>17426.318247468807</v>
          </cell>
        </row>
        <row r="15">
          <cell r="B15">
            <v>7568.1881984307602</v>
          </cell>
        </row>
        <row r="16">
          <cell r="B16">
            <v>0</v>
          </cell>
        </row>
        <row r="17">
          <cell r="B17">
            <v>42725.868910000005</v>
          </cell>
        </row>
        <row r="18">
          <cell r="B18">
            <v>420000</v>
          </cell>
        </row>
        <row r="26">
          <cell r="B26">
            <v>6857.9002976943902</v>
          </cell>
        </row>
        <row r="28">
          <cell r="B28">
            <v>1477.9342627048675</v>
          </cell>
        </row>
        <row r="38">
          <cell r="B38">
            <v>66457.895510000002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0</v>
          </cell>
        </row>
        <row r="43">
          <cell r="B43">
            <v>2399.5246699999993</v>
          </cell>
        </row>
        <row r="47">
          <cell r="B47">
            <v>420600</v>
          </cell>
        </row>
        <row r="48">
          <cell r="B48">
            <v>0</v>
          </cell>
        </row>
        <row r="49">
          <cell r="B49">
            <v>-241.41843128691147</v>
          </cell>
        </row>
        <row r="50">
          <cell r="B50">
            <v>75894.176008526585</v>
          </cell>
        </row>
        <row r="51">
          <cell r="B51">
            <v>0</v>
          </cell>
        </row>
        <row r="62">
          <cell r="B62">
            <v>0</v>
          </cell>
        </row>
        <row r="63">
          <cell r="B63">
            <v>1200</v>
          </cell>
        </row>
        <row r="64">
          <cell r="B64">
            <v>1385.9997688397295</v>
          </cell>
        </row>
        <row r="65">
          <cell r="B65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6">
          <cell r="B76">
            <v>0</v>
          </cell>
        </row>
        <row r="77">
          <cell r="B77">
            <v>0</v>
          </cell>
        </row>
        <row r="78">
          <cell r="B78">
            <v>0</v>
          </cell>
        </row>
        <row r="79">
          <cell r="B79">
            <v>0</v>
          </cell>
        </row>
        <row r="80">
          <cell r="B80">
            <v>1178.6418160000053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0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998.51999999999964</v>
          </cell>
        </row>
        <row r="96">
          <cell r="B96">
            <v>-570.12861288205454</v>
          </cell>
        </row>
        <row r="97">
          <cell r="B97">
            <v>0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3"/>
      <sheetName val="P&amp;L 2023"/>
      <sheetName val="BS 2023"/>
      <sheetName val="Overall Summary March 2023"/>
      <sheetName val="TB"/>
      <sheetName val="Group Life Feb"/>
      <sheetName val="Accrued expenses"/>
      <sheetName val="ELAK"/>
      <sheetName val="Overall Summary  Feb 2023"/>
      <sheetName val="Budget 2023"/>
      <sheetName val="Re-insurance 2023"/>
      <sheetName val="Product UPR"/>
      <sheetName val="Sheet5"/>
      <sheetName val="Other opex"/>
      <sheetName val="Workings"/>
      <sheetName val="BS Jan 2022"/>
      <sheetName val="P&amp;L Jan 2022"/>
      <sheetName val="Bank exp"/>
      <sheetName val="Intercompany"/>
      <sheetName val="Bank"/>
      <sheetName val="Intercompany receivable"/>
      <sheetName val="Group life 2023"/>
      <sheetName val="Sheet1"/>
      <sheetName val="Notes"/>
      <sheetName val="FS"/>
      <sheetName val="SCoE"/>
      <sheetName val="Cashflow"/>
      <sheetName val="Income Statements"/>
      <sheetName val="Combined"/>
      <sheetName val="Premium debtors recon"/>
      <sheetName val="Defferd tax"/>
      <sheetName val="Receivable from subsidiaries"/>
      <sheetName val="ELAK_ECL"/>
      <sheetName val="Other assets"/>
      <sheetName val="Other liabilities"/>
      <sheetName val="Adjustments"/>
      <sheetName val="Reserves - Dec"/>
      <sheetName val="Reinsurance breakdown"/>
      <sheetName val="Actual v Budget"/>
      <sheetName val="Sheet2"/>
      <sheetName val="Reinsuarance"/>
      <sheetName val="Revenue account"/>
      <sheetName val="Sheet4"/>
      <sheetName val="Group Credit - Dec"/>
      <sheetName val="TC"/>
      <sheetName val="Excess Management expenses"/>
      <sheetName val="Group Life - Dec"/>
      <sheetName val="59-5A"/>
      <sheetName val="2020 Form 70-1"/>
      <sheetName val="Premiu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B8">
            <v>0</v>
          </cell>
        </row>
        <row r="9">
          <cell r="B9">
            <v>3644340.223972877</v>
          </cell>
        </row>
        <row r="10">
          <cell r="B10">
            <v>0</v>
          </cell>
        </row>
        <row r="11">
          <cell r="B11">
            <v>291218.77483999991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260779.09707425925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2676.5536314155256</v>
          </cell>
        </row>
        <row r="23">
          <cell r="B23">
            <v>0</v>
          </cell>
        </row>
        <row r="24">
          <cell r="B24">
            <v>28278.279899999998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2090321.081842924</v>
          </cell>
        </row>
        <row r="31">
          <cell r="B31">
            <v>0</v>
          </cell>
        </row>
        <row r="37">
          <cell r="B37">
            <v>130494.64341427237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123524.04359999999</v>
          </cell>
        </row>
        <row r="41">
          <cell r="B41">
            <v>0</v>
          </cell>
        </row>
        <row r="42">
          <cell r="B42">
            <v>5016477.6510823341</v>
          </cell>
        </row>
        <row r="46">
          <cell r="B46">
            <v>600000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447117.67316486844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62">
          <cell r="B62">
            <v>0</v>
          </cell>
        </row>
        <row r="63">
          <cell r="B63">
            <v>84785.693150684921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343.38195194312573</v>
          </cell>
        </row>
        <row r="76">
          <cell r="B76">
            <v>0</v>
          </cell>
        </row>
        <row r="77">
          <cell r="B77">
            <v>280620.98011555185</v>
          </cell>
        </row>
        <row r="78">
          <cell r="B78">
            <v>0</v>
          </cell>
        </row>
        <row r="79">
          <cell r="B79">
            <v>0</v>
          </cell>
        </row>
        <row r="80">
          <cell r="B80">
            <v>0</v>
          </cell>
        </row>
        <row r="85">
          <cell r="B85">
            <v>0</v>
          </cell>
        </row>
        <row r="86">
          <cell r="B86">
            <v>56022.736079999995</v>
          </cell>
        </row>
        <row r="87">
          <cell r="B87">
            <v>3059.9</v>
          </cell>
        </row>
        <row r="88">
          <cell r="B88">
            <v>0</v>
          </cell>
        </row>
        <row r="89">
          <cell r="B89">
            <v>2026.8021000000001</v>
          </cell>
        </row>
        <row r="90">
          <cell r="B90">
            <v>0</v>
          </cell>
        </row>
        <row r="91">
          <cell r="B91">
            <v>123924.56957622537</v>
          </cell>
        </row>
        <row r="96">
          <cell r="B96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formance Summary"/>
      <sheetName val="EIB Performance  30.04.2023"/>
      <sheetName val="TB"/>
      <sheetName val="Tax Journal"/>
      <sheetName val="Cash Summary"/>
    </sheetNames>
    <sheetDataSet>
      <sheetData sheetId="0"/>
      <sheetData sheetId="1">
        <row r="7">
          <cell r="B7">
            <v>306083.23533999996</v>
          </cell>
        </row>
        <row r="8">
          <cell r="B8"/>
          <cell r="D8"/>
        </row>
        <row r="9">
          <cell r="B9">
            <v>307047.94121000002</v>
          </cell>
        </row>
        <row r="10">
          <cell r="B10"/>
        </row>
        <row r="11">
          <cell r="B11"/>
        </row>
        <row r="12">
          <cell r="B12"/>
        </row>
        <row r="13">
          <cell r="B13">
            <v>964.26488999999992</v>
          </cell>
        </row>
        <row r="14">
          <cell r="B14">
            <v>50498.697507217017</v>
          </cell>
        </row>
        <row r="15">
          <cell r="B15">
            <v>4268.0901299999996</v>
          </cell>
        </row>
        <row r="16">
          <cell r="B16">
            <v>12822.23784</v>
          </cell>
        </row>
        <row r="17">
          <cell r="B17"/>
        </row>
        <row r="18">
          <cell r="B18"/>
        </row>
        <row r="19">
          <cell r="B19"/>
        </row>
        <row r="20">
          <cell r="B20"/>
        </row>
        <row r="21">
          <cell r="B21"/>
        </row>
        <row r="22">
          <cell r="B22">
            <v>1542.5687400000002</v>
          </cell>
        </row>
        <row r="23">
          <cell r="B23"/>
        </row>
        <row r="24">
          <cell r="B24">
            <v>3389.5058399999998</v>
          </cell>
        </row>
        <row r="25">
          <cell r="B25">
            <v>23816.187265949655</v>
          </cell>
        </row>
        <row r="26">
          <cell r="B26"/>
        </row>
        <row r="27">
          <cell r="B27">
            <v>8243.9116799999993</v>
          </cell>
        </row>
        <row r="31">
          <cell r="B31"/>
        </row>
        <row r="32">
          <cell r="B32"/>
        </row>
        <row r="33">
          <cell r="B33"/>
        </row>
        <row r="34">
          <cell r="B34"/>
        </row>
        <row r="35">
          <cell r="B35"/>
        </row>
        <row r="36">
          <cell r="B36"/>
        </row>
        <row r="37">
          <cell r="B37">
            <v>158934.03972</v>
          </cell>
        </row>
        <row r="38">
          <cell r="B38"/>
        </row>
        <row r="39">
          <cell r="B39"/>
        </row>
        <row r="40">
          <cell r="B40"/>
        </row>
        <row r="41">
          <cell r="B41"/>
        </row>
        <row r="42">
          <cell r="B42">
            <v>92802.690099999978</v>
          </cell>
        </row>
        <row r="46">
          <cell r="B46">
            <v>420000</v>
          </cell>
        </row>
        <row r="47">
          <cell r="B47"/>
        </row>
        <row r="48">
          <cell r="B48">
            <v>-19729.246930000001</v>
          </cell>
        </row>
        <row r="49">
          <cell r="B49">
            <v>66669.157663166668</v>
          </cell>
        </row>
        <row r="50">
          <cell r="B50"/>
        </row>
        <row r="51">
          <cell r="B51">
            <v>0</v>
          </cell>
        </row>
        <row r="52">
          <cell r="B52"/>
        </row>
        <row r="62">
          <cell r="B62"/>
        </row>
        <row r="63">
          <cell r="B63">
            <v>13423.49093</v>
          </cell>
        </row>
        <row r="64">
          <cell r="B64">
            <v>4066.3612499999999</v>
          </cell>
        </row>
        <row r="65">
          <cell r="B65"/>
        </row>
        <row r="68">
          <cell r="B68"/>
        </row>
        <row r="69">
          <cell r="B69"/>
        </row>
        <row r="70">
          <cell r="B70"/>
        </row>
        <row r="71">
          <cell r="B71"/>
        </row>
        <row r="76">
          <cell r="B76"/>
        </row>
        <row r="77">
          <cell r="B77"/>
        </row>
        <row r="78">
          <cell r="B78"/>
        </row>
        <row r="79">
          <cell r="B79"/>
        </row>
        <row r="80">
          <cell r="B80">
            <v>95619.424870000003</v>
          </cell>
        </row>
        <row r="86">
          <cell r="B86">
            <v>21524.339120000001</v>
          </cell>
        </row>
        <row r="87">
          <cell r="B87">
            <v>1664.25</v>
          </cell>
        </row>
        <row r="88">
          <cell r="B88">
            <v>1465.70542</v>
          </cell>
        </row>
        <row r="89">
          <cell r="B89">
            <v>346.1139</v>
          </cell>
        </row>
        <row r="90">
          <cell r="B90">
            <v>134.84652</v>
          </cell>
        </row>
        <row r="91">
          <cell r="B91">
            <v>19420.322770000006</v>
          </cell>
        </row>
        <row r="92">
          <cell r="B92">
            <v>0</v>
          </cell>
        </row>
        <row r="97">
          <cell r="B97">
            <v>-16667.35103683333</v>
          </cell>
        </row>
      </sheetData>
      <sheetData sheetId="2"/>
      <sheetData sheetId="3"/>
      <sheetData sheetId="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B"/>
      <sheetName val="STMT OF COMP. INCOME"/>
      <sheetName val="Revenue-Pie chart"/>
      <sheetName val="Commision-pie chart"/>
      <sheetName val="Sheet7"/>
      <sheetName val="Sheet5"/>
      <sheetName val="TB 2"/>
      <sheetName val="TB.."/>
      <sheetName val="STMT OF COMP. INCOME 2022"/>
      <sheetName val="STMT OF FIN.POSTN"/>
      <sheetName val="STMT OF FIN.POSTN (3)"/>
      <sheetName val="STMT OF FIN.POSTN (2)"/>
      <sheetName val="STMT OF COMP. INCOME (3)"/>
      <sheetName val="STMT OF COMP. INCOME (2)"/>
      <sheetName val="STMT OF COMP. INCOME "/>
      <sheetName val="Performance YTD 2016"/>
      <sheetName val="Ratios"/>
      <sheetName val="Raw TB"/>
      <sheetName val="Reconstructed TB"/>
      <sheetName val="Sheet1"/>
      <sheetName val="Sheet3"/>
      <sheetName val="Excise "/>
      <sheetName val="Sheet2"/>
      <sheetName val="Workings"/>
      <sheetName val="Journals"/>
      <sheetName val="commission YTD-2016"/>
      <sheetName val="Premium YTD-Sep 2016"/>
      <sheetName val="Turnover"/>
      <sheetName val="Commission"/>
      <sheetName val="Sheet4"/>
      <sheetName val="Revenue"/>
      <sheetName val="Revenue 1"/>
      <sheetName val="Commission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2">
          <cell r="M22">
            <v>388719000.85999995</v>
          </cell>
        </row>
        <row r="31">
          <cell r="M31">
            <v>2206894.38</v>
          </cell>
        </row>
        <row r="38">
          <cell r="M38">
            <v>8485429.6500000004</v>
          </cell>
        </row>
        <row r="40">
          <cell r="M40">
            <v>73431509.280000001</v>
          </cell>
        </row>
        <row r="51">
          <cell r="M51">
            <v>122095549.74000002</v>
          </cell>
        </row>
      </sheetData>
      <sheetData sheetId="9">
        <row r="7">
          <cell r="J7">
            <v>214098816.03</v>
          </cell>
        </row>
        <row r="8">
          <cell r="J8">
            <v>285105885.37</v>
          </cell>
        </row>
        <row r="9">
          <cell r="J9">
            <v>102343600</v>
          </cell>
        </row>
        <row r="10">
          <cell r="J10">
            <v>15112293</v>
          </cell>
        </row>
        <row r="11">
          <cell r="J11">
            <v>5539752.2300000004</v>
          </cell>
        </row>
        <row r="12">
          <cell r="J12">
            <v>34039060.734000012</v>
          </cell>
        </row>
        <row r="13">
          <cell r="J13">
            <v>16314699.290000007</v>
          </cell>
        </row>
        <row r="17">
          <cell r="J17">
            <v>-2936526.2300000042</v>
          </cell>
        </row>
        <row r="18">
          <cell r="D18"/>
          <cell r="J18">
            <v>257502343.02000001</v>
          </cell>
        </row>
        <row r="19">
          <cell r="J19">
            <v>0</v>
          </cell>
        </row>
        <row r="20">
          <cell r="J20"/>
        </row>
        <row r="24">
          <cell r="J24">
            <v>100000000</v>
          </cell>
        </row>
        <row r="25">
          <cell r="J25">
            <v>317988290.56399995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EBUL"/>
      <sheetName val="EBRL"/>
      <sheetName val="EBTL"/>
      <sheetName val="EBCDC"/>
      <sheetName val="EBSS"/>
    </sheetNames>
    <sheetDataSet>
      <sheetData sheetId="0">
        <row r="17">
          <cell r="F17">
            <v>534446828.58860236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1"/>
      <sheetName val="2022"/>
      <sheetName val="Amortization of Acquired Intang"/>
    </sheetNames>
    <sheetDataSet>
      <sheetData sheetId="0" refreshError="1"/>
      <sheetData sheetId="1">
        <row r="26">
          <cell r="C26">
            <v>26468.930041152271</v>
          </cell>
        </row>
      </sheetData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mortised and FVOCI split"/>
      <sheetName val="Sheet1"/>
      <sheetName val="Analysis"/>
    </sheetNames>
    <sheetDataSet>
      <sheetData sheetId="0">
        <row r="26">
          <cell r="I26">
            <v>-7816743.2442654651</v>
          </cell>
        </row>
      </sheetData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3">
          <cell r="F13">
            <v>-29660906.343957506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val rates"/>
      <sheetName val="Summary"/>
      <sheetName val="DB"/>
      <sheetName val="GROUP"/>
      <sheetName val="GROUP CAR - Dec 2022"/>
      <sheetName val="Intercompany 2022"/>
      <sheetName val="BCDC PPA Adjustments"/>
      <sheetName val="Consolidation  JVs"/>
      <sheetName val="JV summary"/>
      <sheetName val="NOSTRO BALANCES"/>
      <sheetName val="SOCE"/>
      <sheetName val="R_parties workings"/>
      <sheetName val="EGH Plc"/>
      <sheetName val="EBKL"/>
      <sheetName val="NCI comp"/>
      <sheetName val="E_BCDC"/>
      <sheetName val="EBSSL"/>
      <sheetName val="EBTL"/>
      <sheetName val="EBRL"/>
      <sheetName val="FinAL&amp;Azenia"/>
      <sheetName val="EBUL"/>
      <sheetName val="EIAL"/>
      <sheetName val="EIBL"/>
      <sheetName val="Others"/>
      <sheetName val="EIGHL&amp;ELAK"/>
    </sheetNames>
    <sheetDataSet>
      <sheetData sheetId="0"/>
      <sheetData sheetId="1"/>
      <sheetData sheetId="2"/>
      <sheetData sheetId="3">
        <row r="15">
          <cell r="G15">
            <v>706588156.199368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9">
          <cell r="B49">
            <v>79642872.181403831</v>
          </cell>
        </row>
      </sheetData>
      <sheetData sheetId="13">
        <row r="14">
          <cell r="B14">
            <v>429821382.72230476</v>
          </cell>
        </row>
      </sheetData>
      <sheetData sheetId="14"/>
      <sheetData sheetId="15">
        <row r="14">
          <cell r="C14">
            <v>170714910.50792542</v>
          </cell>
        </row>
        <row r="52">
          <cell r="C52">
            <v>44561753.664686926</v>
          </cell>
        </row>
      </sheetData>
      <sheetData sheetId="16">
        <row r="15">
          <cell r="C15">
            <v>455057.31918342924</v>
          </cell>
        </row>
      </sheetData>
      <sheetData sheetId="17">
        <row r="15">
          <cell r="C15">
            <v>22845156.857595894</v>
          </cell>
        </row>
      </sheetData>
      <sheetData sheetId="18">
        <row r="16">
          <cell r="C16">
            <v>27865144.200079489</v>
          </cell>
        </row>
      </sheetData>
      <sheetData sheetId="19"/>
      <sheetData sheetId="20">
        <row r="16">
          <cell r="C16">
            <v>54886504.592278913</v>
          </cell>
        </row>
      </sheetData>
      <sheetData sheetId="21"/>
      <sheetData sheetId="22"/>
      <sheetData sheetId="23"/>
      <sheetData sheetId="24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BK-PR4-4"/>
      <sheetName val="Advances&amp;BillsToStaff_000006800"/>
    </sheetNames>
    <sheetDataSet>
      <sheetData sheetId="0">
        <row r="14">
          <cell r="K14">
            <v>15006795.457230022</v>
          </cell>
        </row>
        <row r="16">
          <cell r="K16">
            <v>8446310.6924700234</v>
          </cell>
        </row>
      </sheetData>
      <sheetData sheetId="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BK PR5-2"/>
      <sheetName val="CBK PR5-2-1"/>
      <sheetName val="CBK PR5-2-2"/>
    </sheetNames>
    <sheetDataSet>
      <sheetData sheetId="0">
        <row r="91">
          <cell r="C91">
            <v>0.60050407419067608</v>
          </cell>
        </row>
      </sheetData>
      <sheetData sheetId="1"/>
      <sheetData sheetId="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Account Descriptions"/>
      <sheetName val="CBK-Format _Consolidated"/>
      <sheetName val="CBK-Format _Bank E BCDC"/>
      <sheetName val="Loans and deposits-E BCDC"/>
      <sheetName val="CBK-Format _IAG"/>
      <sheetName val="CBK Matadi Vangu"/>
      <sheetName val="CBK Des Aviateurs"/>
      <sheetName val="RP"/>
      <sheetName val="Ratios-E BCDC"/>
      <sheetName val="CBK_ Disclosures-E BCDC"/>
      <sheetName val="Other liabilities-E BCDC"/>
      <sheetName val="Other assets-E BCDC  "/>
      <sheetName val="Sheet1"/>
      <sheetName val="Other fees income - E BCDC"/>
      <sheetName val="Other operating expenses"/>
      <sheetName val="Others Informations"/>
      <sheetName val="IFRS_Trans"/>
    </sheetNames>
    <sheetDataSet>
      <sheetData sheetId="0" refreshError="1"/>
      <sheetData sheetId="1" refreshError="1"/>
      <sheetData sheetId="2">
        <row r="7">
          <cell r="K7">
            <v>239018.59146999984</v>
          </cell>
        </row>
        <row r="8">
          <cell r="K8">
            <v>358742.11789999995</v>
          </cell>
        </row>
        <row r="9">
          <cell r="K9">
            <v>54242.45678</v>
          </cell>
        </row>
        <row r="10">
          <cell r="K10">
            <v>102756.53150000003</v>
          </cell>
        </row>
        <row r="11">
          <cell r="K11">
            <v>56342.999459999999</v>
          </cell>
        </row>
        <row r="12">
          <cell r="K12">
            <v>879618.3283099999</v>
          </cell>
        </row>
        <row r="13">
          <cell r="K13">
            <v>0</v>
          </cell>
        </row>
        <row r="14">
          <cell r="K14">
            <v>1.3590498100875104</v>
          </cell>
        </row>
        <row r="15">
          <cell r="K15">
            <v>1482016.3909731084</v>
          </cell>
        </row>
        <row r="16">
          <cell r="K16">
            <v>0</v>
          </cell>
        </row>
        <row r="17">
          <cell r="K17">
            <v>0</v>
          </cell>
        </row>
        <row r="18">
          <cell r="K18">
            <v>0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49246.800779654186</v>
          </cell>
        </row>
        <row r="22">
          <cell r="K22">
            <v>102863.18648030552</v>
          </cell>
        </row>
        <row r="23">
          <cell r="K23">
            <v>0</v>
          </cell>
        </row>
        <row r="24">
          <cell r="K24">
            <v>1407.477418265622</v>
          </cell>
        </row>
        <row r="25">
          <cell r="K25">
            <v>18323.770687936201</v>
          </cell>
        </row>
        <row r="26">
          <cell r="K26">
            <v>0</v>
          </cell>
        </row>
        <row r="27">
          <cell r="K27">
            <v>106419.90137938231</v>
          </cell>
        </row>
        <row r="32">
          <cell r="K32">
            <v>2726283.5412322856</v>
          </cell>
        </row>
        <row r="33">
          <cell r="K33">
            <v>57333.648110000002</v>
          </cell>
        </row>
        <row r="34">
          <cell r="K34">
            <v>0</v>
          </cell>
        </row>
        <row r="35">
          <cell r="K35">
            <v>0</v>
          </cell>
        </row>
        <row r="36">
          <cell r="K36">
            <v>10838.456049999999</v>
          </cell>
        </row>
        <row r="37">
          <cell r="K37">
            <v>3091.8841299999999</v>
          </cell>
        </row>
        <row r="38">
          <cell r="K38">
            <v>14630.747281213247</v>
          </cell>
        </row>
        <row r="39">
          <cell r="K39">
            <v>1314.6685</v>
          </cell>
        </row>
        <row r="40">
          <cell r="K40">
            <v>7567.5951597902376</v>
          </cell>
        </row>
        <row r="41">
          <cell r="K41">
            <v>14200.804757207245</v>
          </cell>
        </row>
        <row r="42">
          <cell r="K42">
            <v>234264.66036767873</v>
          </cell>
        </row>
        <row r="46">
          <cell r="K46">
            <v>10014.734710000001</v>
          </cell>
        </row>
        <row r="47">
          <cell r="K47">
            <v>100414.10371</v>
          </cell>
        </row>
        <row r="48">
          <cell r="K48">
            <v>-47445.957699358012</v>
          </cell>
        </row>
        <row r="49">
          <cell r="K49">
            <v>318491.02589089674</v>
          </cell>
        </row>
        <row r="50">
          <cell r="K50">
            <v>0</v>
          </cell>
        </row>
        <row r="51">
          <cell r="K51">
            <v>0</v>
          </cell>
        </row>
        <row r="52">
          <cell r="K52">
            <v>0</v>
          </cell>
        </row>
        <row r="61">
          <cell r="K61">
            <v>51261.546299999987</v>
          </cell>
        </row>
        <row r="62">
          <cell r="K62">
            <v>5283.9470100000008</v>
          </cell>
        </row>
        <row r="63">
          <cell r="K63">
            <v>9899.6584899999998</v>
          </cell>
        </row>
        <row r="64">
          <cell r="K64">
            <v>0</v>
          </cell>
        </row>
        <row r="68">
          <cell r="K68">
            <v>14116.497702770308</v>
          </cell>
        </row>
        <row r="69">
          <cell r="K69">
            <v>197.28124</v>
          </cell>
        </row>
        <row r="70">
          <cell r="K70">
            <v>145.22896059999999</v>
          </cell>
        </row>
        <row r="75">
          <cell r="K75">
            <v>1485.4536500000002</v>
          </cell>
        </row>
        <row r="76">
          <cell r="K76">
            <v>40622.32557999999</v>
          </cell>
        </row>
        <row r="77">
          <cell r="K77">
            <v>27631.106137659906</v>
          </cell>
        </row>
        <row r="78">
          <cell r="K78">
            <v>0</v>
          </cell>
        </row>
        <row r="79">
          <cell r="K79">
            <v>2695.4514112024813</v>
          </cell>
        </row>
        <row r="84">
          <cell r="K84">
            <v>12659.150736891508</v>
          </cell>
        </row>
        <row r="85">
          <cell r="K85">
            <v>16049.608420000004</v>
          </cell>
        </row>
        <row r="86">
          <cell r="K86">
            <v>46.289470000000001</v>
          </cell>
        </row>
        <row r="87">
          <cell r="K87">
            <v>60.464570000000478</v>
          </cell>
        </row>
        <row r="88">
          <cell r="K88">
            <v>4023.0152555684131</v>
          </cell>
        </row>
        <row r="89">
          <cell r="K89">
            <v>266.43067106827999</v>
          </cell>
        </row>
        <row r="90">
          <cell r="K90">
            <v>45218.011750058657</v>
          </cell>
        </row>
        <row r="95">
          <cell r="K95">
            <v>15113.747891327468</v>
          </cell>
        </row>
        <row r="96">
          <cell r="K96">
            <v>-696.75331925715943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7">
          <cell r="B7">
            <v>98422.605312588013</v>
          </cell>
        </row>
        <row r="10">
          <cell r="B10">
            <v>52121.923999999999</v>
          </cell>
        </row>
        <row r="16">
          <cell r="B16">
            <v>11815.4690430521</v>
          </cell>
        </row>
        <row r="17">
          <cell r="B17">
            <v>33694.093649853494</v>
          </cell>
        </row>
        <row r="21">
          <cell r="B21">
            <v>159145.306722262</v>
          </cell>
        </row>
        <row r="26">
          <cell r="B26">
            <v>286931.1850652647</v>
          </cell>
        </row>
        <row r="27">
          <cell r="B27">
            <v>30000</v>
          </cell>
        </row>
        <row r="29">
          <cell r="B29">
            <v>40799.155468038014</v>
          </cell>
        </row>
        <row r="31">
          <cell r="B31">
            <v>2447746.8735957141</v>
          </cell>
        </row>
        <row r="43">
          <cell r="B43">
            <v>1.3442995584413668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SD"/>
      <sheetName val="SSP"/>
      <sheetName val="UGX"/>
      <sheetName val="RWF"/>
      <sheetName val="TZS"/>
    </sheetNames>
    <sheetDataSet>
      <sheetData sheetId="0">
        <row r="3">
          <cell r="I3">
            <v>128.57241379310344</v>
          </cell>
        </row>
      </sheetData>
      <sheetData sheetId="1">
        <row r="3">
          <cell r="I3">
            <v>0.16561206896551722</v>
          </cell>
        </row>
      </sheetData>
      <sheetData sheetId="2">
        <row r="3">
          <cell r="I3">
            <v>28.93137931034483</v>
          </cell>
        </row>
      </sheetData>
      <sheetData sheetId="3">
        <row r="3">
          <cell r="J3">
            <v>8.5077413793103407</v>
          </cell>
        </row>
      </sheetData>
      <sheetData sheetId="4">
        <row r="3">
          <cell r="I3">
            <v>18.234482758620693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al rates"/>
      <sheetName val="Summary"/>
      <sheetName val="GROUP CAR - 31 Dec 2020"/>
      <sheetName val="GROUP"/>
      <sheetName val="EGH Plc"/>
      <sheetName val="BCDC PPA Adjustments"/>
      <sheetName val="Check"/>
      <sheetName val="Consolidation  JVs"/>
      <sheetName val="NOSTRO BALANCES"/>
      <sheetName val="R_parties workings"/>
      <sheetName val="EBKL"/>
      <sheetName val="BCDC"/>
      <sheetName val="EBCL"/>
      <sheetName val="EBSSL"/>
      <sheetName val="EBRL"/>
      <sheetName val="EBTL"/>
      <sheetName val="EBUL"/>
      <sheetName val="EIAL"/>
      <sheetName val="EIBL"/>
      <sheetName val="FinAL"/>
      <sheetName val="Others"/>
      <sheetName val="EBSSL Rates"/>
      <sheetName val="BCDC Rates"/>
    </sheetNames>
    <sheetDataSet>
      <sheetData sheetId="0"/>
      <sheetData sheetId="1"/>
      <sheetData sheetId="2"/>
      <sheetData sheetId="3">
        <row r="7">
          <cell r="G7">
            <v>44484007.857037842</v>
          </cell>
        </row>
      </sheetData>
      <sheetData sheetId="4">
        <row r="7">
          <cell r="B7">
            <v>8818037.9457900003</v>
          </cell>
        </row>
      </sheetData>
      <sheetData sheetId="5"/>
      <sheetData sheetId="6"/>
      <sheetData sheetId="7">
        <row r="27">
          <cell r="C27">
            <v>382518.21487026528</v>
          </cell>
        </row>
      </sheetData>
      <sheetData sheetId="8"/>
      <sheetData sheetId="9"/>
      <sheetData sheetId="10">
        <row r="6">
          <cell r="B6">
            <v>13027021.54817</v>
          </cell>
        </row>
      </sheetData>
      <sheetData sheetId="11">
        <row r="1">
          <cell r="C1">
            <v>109.25</v>
          </cell>
        </row>
        <row r="94">
          <cell r="B94">
            <v>0</v>
          </cell>
          <cell r="C94">
            <v>0</v>
          </cell>
        </row>
      </sheetData>
      <sheetData sheetId="12">
        <row r="1">
          <cell r="C1">
            <v>109.25</v>
          </cell>
        </row>
        <row r="94">
          <cell r="B94">
            <v>0</v>
          </cell>
          <cell r="C94">
            <v>0</v>
          </cell>
        </row>
        <row r="144">
          <cell r="B144">
            <v>1</v>
          </cell>
        </row>
      </sheetData>
      <sheetData sheetId="13">
        <row r="6">
          <cell r="C6">
            <v>0.20496488340514724</v>
          </cell>
        </row>
      </sheetData>
      <sheetData sheetId="14">
        <row r="7">
          <cell r="C7">
            <v>8.901461117949923</v>
          </cell>
        </row>
      </sheetData>
      <sheetData sheetId="15">
        <row r="6">
          <cell r="C6">
            <v>21.249466666918018</v>
          </cell>
        </row>
      </sheetData>
      <sheetData sheetId="16">
        <row r="7">
          <cell r="C7">
            <v>33.501214124775544</v>
          </cell>
        </row>
      </sheetData>
      <sheetData sheetId="17">
        <row r="8">
          <cell r="B8">
            <v>407716.28441999998</v>
          </cell>
        </row>
      </sheetData>
      <sheetData sheetId="18">
        <row r="6">
          <cell r="B6">
            <v>42879</v>
          </cell>
        </row>
      </sheetData>
      <sheetData sheetId="19">
        <row r="2">
          <cell r="B2">
            <v>44196</v>
          </cell>
        </row>
      </sheetData>
      <sheetData sheetId="20">
        <row r="4">
          <cell r="B4" t="str">
            <v>Current year</v>
          </cell>
        </row>
      </sheetData>
      <sheetData sheetId="21"/>
      <sheetData sheetId="2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al rates"/>
      <sheetName val="Summary"/>
      <sheetName val="DB"/>
      <sheetName val="GROUP CAR - Dec 2021"/>
      <sheetName val="GROUP"/>
      <sheetName val="Intercompany 2021"/>
      <sheetName val="Intercompany"/>
      <sheetName val="EGH Plc"/>
      <sheetName val="BCDC PPA Adjustments"/>
      <sheetName val="Consolidation  JVs"/>
      <sheetName val="NOSTRO BALANCES"/>
      <sheetName val="R_parties workings"/>
      <sheetName val="EBKL"/>
      <sheetName val="E_BCDC"/>
      <sheetName val="EBSSL"/>
      <sheetName val="EBTL"/>
      <sheetName val="EBRL"/>
      <sheetName val="FinAL&amp;Azenia"/>
      <sheetName val="EBUL"/>
      <sheetName val="EIAL"/>
      <sheetName val="EIBL"/>
      <sheetName val="Others"/>
      <sheetName val="EIGHL&amp;EL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46">
          <cell r="E46">
            <v>5606277.3229037998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Performance Paper"/>
      <sheetName val="CBK-Format PUBLISHED"/>
      <sheetName val="BS MAPPING"/>
      <sheetName val="PL MAPPING"/>
      <sheetName val="Other Performance indicators"/>
      <sheetName val="Quarterly Performance"/>
      <sheetName val="PPE"/>
      <sheetName val="PL"/>
      <sheetName val="other asset"/>
      <sheetName val="Graphs "/>
      <sheetName val="Budget BS"/>
      <sheetName val="BUDGET PL"/>
    </sheetNames>
    <sheetDataSet>
      <sheetData sheetId="0" refreshError="1"/>
      <sheetData sheetId="1" refreshError="1"/>
      <sheetData sheetId="2">
        <row r="7">
          <cell r="C7">
            <v>35876618.274380006</v>
          </cell>
        </row>
        <row r="8">
          <cell r="C8">
            <v>69165632.883829996</v>
          </cell>
        </row>
        <row r="9">
          <cell r="C9">
            <v>147267022.03258002</v>
          </cell>
        </row>
        <row r="10">
          <cell r="C10">
            <v>10590370.803680003</v>
          </cell>
        </row>
        <row r="11">
          <cell r="C11">
            <v>21046061.145109996</v>
          </cell>
        </row>
        <row r="12">
          <cell r="C12">
            <v>19354551.518439993</v>
          </cell>
        </row>
        <row r="13">
          <cell r="C13">
            <v>0</v>
          </cell>
        </row>
        <row r="14">
          <cell r="C14">
            <v>7901088.8631699998</v>
          </cell>
        </row>
        <row r="15">
          <cell r="C15">
            <v>438611640.69359004</v>
          </cell>
        </row>
        <row r="16">
          <cell r="C16">
            <v>0</v>
          </cell>
        </row>
        <row r="17">
          <cell r="C17">
            <v>3414141.2448800001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0</v>
          </cell>
        </row>
        <row r="21">
          <cell r="C21">
            <v>0</v>
          </cell>
        </row>
        <row r="22">
          <cell r="C22">
            <v>7619162.0123300068</v>
          </cell>
        </row>
        <row r="23">
          <cell r="C23">
            <v>0</v>
          </cell>
        </row>
        <row r="24">
          <cell r="C24">
            <v>2851070.2975699995</v>
          </cell>
        </row>
        <row r="25">
          <cell r="C25">
            <v>33429321.52781</v>
          </cell>
        </row>
        <row r="26">
          <cell r="C26">
            <v>0</v>
          </cell>
        </row>
        <row r="27">
          <cell r="C27">
            <v>19626160.791980002</v>
          </cell>
        </row>
        <row r="31">
          <cell r="C31">
            <v>0</v>
          </cell>
        </row>
        <row r="32">
          <cell r="C32">
            <v>604517411.63006997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6009794.5203799997</v>
          </cell>
        </row>
        <row r="36">
          <cell r="C36">
            <v>58973381.805480003</v>
          </cell>
        </row>
        <row r="37">
          <cell r="C37">
            <v>737317.80757999991</v>
          </cell>
        </row>
        <row r="38">
          <cell r="C38">
            <v>0</v>
          </cell>
        </row>
        <row r="39">
          <cell r="C39">
            <v>0</v>
          </cell>
        </row>
        <row r="40">
          <cell r="C40">
            <v>0</v>
          </cell>
        </row>
        <row r="41">
          <cell r="C41">
            <v>0</v>
          </cell>
        </row>
        <row r="42">
          <cell r="C42">
            <v>23116387.919690046</v>
          </cell>
        </row>
        <row r="46">
          <cell r="C46">
            <v>148537500</v>
          </cell>
        </row>
        <row r="47">
          <cell r="C47">
            <v>400000</v>
          </cell>
        </row>
        <row r="48">
          <cell r="C48">
            <v>-6207564.8405599995</v>
          </cell>
        </row>
        <row r="49">
          <cell r="C49">
            <v>-19331386.753449999</v>
          </cell>
        </row>
        <row r="50">
          <cell r="C50">
            <v>1.6000000000000001E-4</v>
          </cell>
        </row>
        <row r="61">
          <cell r="C61">
            <v>18560014.270810001</v>
          </cell>
        </row>
        <row r="62">
          <cell r="C62">
            <v>4927853.2181599997</v>
          </cell>
        </row>
        <row r="63">
          <cell r="C63">
            <v>338305.86757999996</v>
          </cell>
        </row>
        <row r="64">
          <cell r="C64">
            <v>834546.08419000008</v>
          </cell>
        </row>
        <row r="68">
          <cell r="C68">
            <v>8787207.1345799994</v>
          </cell>
        </row>
        <row r="69">
          <cell r="C69">
            <v>0</v>
          </cell>
        </row>
        <row r="70">
          <cell r="C70">
            <v>1813972.99884</v>
          </cell>
        </row>
        <row r="75">
          <cell r="C75">
            <v>500891.24312</v>
          </cell>
        </row>
        <row r="76">
          <cell r="C76">
            <v>6606254.9822399998</v>
          </cell>
        </row>
        <row r="77">
          <cell r="C77">
            <v>4362188.6025200002</v>
          </cell>
        </row>
        <row r="78">
          <cell r="C78">
            <v>0</v>
          </cell>
        </row>
        <row r="79">
          <cell r="C79">
            <v>2102782.4051800002</v>
          </cell>
        </row>
        <row r="80">
          <cell r="C80">
            <v>13572117.233059999</v>
          </cell>
        </row>
        <row r="84">
          <cell r="C84">
            <v>2490000</v>
          </cell>
        </row>
        <row r="85">
          <cell r="C85">
            <v>6916361.0366199994</v>
          </cell>
        </row>
        <row r="86">
          <cell r="C86">
            <v>226204.42630000002</v>
          </cell>
        </row>
        <row r="87">
          <cell r="C87">
            <v>194199.76965999999</v>
          </cell>
        </row>
        <row r="88">
          <cell r="C88">
            <v>2019793.2836899997</v>
          </cell>
        </row>
        <row r="89">
          <cell r="C89">
            <v>216154.25438999999</v>
          </cell>
        </row>
        <row r="90">
          <cell r="C90">
            <v>8602104.2138100006</v>
          </cell>
        </row>
        <row r="95">
          <cell r="C95">
            <v>-484118.13900000002</v>
          </cell>
        </row>
        <row r="105">
          <cell r="C105">
            <v>85137906.14384979</v>
          </cell>
        </row>
        <row r="106">
          <cell r="C106">
            <v>11258114.476200001</v>
          </cell>
        </row>
        <row r="107">
          <cell r="C107">
            <v>73879791.667649791</v>
          </cell>
        </row>
        <row r="108">
          <cell r="C108">
            <v>27101401.92278</v>
          </cell>
        </row>
        <row r="109">
          <cell r="C109">
            <v>46778389.744869791</v>
          </cell>
        </row>
        <row r="115">
          <cell r="C115">
            <v>9143959.2841599993</v>
          </cell>
        </row>
        <row r="119">
          <cell r="C119">
            <v>321057187.48767006</v>
          </cell>
        </row>
        <row r="120">
          <cell r="C120">
            <v>102582434.79549992</v>
          </cell>
        </row>
        <row r="124">
          <cell r="C124">
            <v>90525666.939734995</v>
          </cell>
        </row>
        <row r="125">
          <cell r="C125">
            <v>15000000</v>
          </cell>
        </row>
        <row r="129">
          <cell r="C129">
            <v>511654018.14715338</v>
          </cell>
        </row>
        <row r="142">
          <cell r="C142">
            <v>0.30717771914215836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BK-Format PUBLISHED RWANDA"/>
      <sheetName val="T.B SUMMARY"/>
      <sheetName val="Detailled others"/>
      <sheetName val="T.B CBK &amp; Masterfile"/>
      <sheetName val="Ratio"/>
      <sheetName val="EBR RATIOS"/>
      <sheetName val="weighted assets"/>
      <sheetName val="ADDITIONAL DISCLOSURES"/>
      <sheetName val="RELATED PARTIES TRANSACTIONS"/>
      <sheetName val="OFF BALANCE SHEET."/>
      <sheetName val="INVESTMENTS"/>
      <sheetName val="DEPOSIT SPLIT BY ACC TYPE &amp;CCY "/>
      <sheetName val="LOAN SPLIT BY SECTOR &amp; CCY "/>
    </sheetNames>
    <sheetDataSet>
      <sheetData sheetId="0">
        <row r="7">
          <cell r="D7">
            <v>24034523.722910002</v>
          </cell>
        </row>
        <row r="8">
          <cell r="D8">
            <v>88564419.657989994</v>
          </cell>
        </row>
        <row r="9">
          <cell r="D9">
            <v>111516228.24315998</v>
          </cell>
        </row>
        <row r="10">
          <cell r="D10">
            <v>44251221.162200004</v>
          </cell>
        </row>
        <row r="11">
          <cell r="D11">
            <v>39821308.453039996</v>
          </cell>
        </row>
        <row r="12">
          <cell r="D12">
            <v>39910713.817489997</v>
          </cell>
        </row>
        <row r="13">
          <cell r="D13">
            <v>0</v>
          </cell>
        </row>
        <row r="14">
          <cell r="D14">
            <v>0</v>
          </cell>
        </row>
        <row r="15">
          <cell r="D15">
            <v>241923077.4871999</v>
          </cell>
        </row>
        <row r="17">
          <cell r="D17">
            <v>822190.88774999999</v>
          </cell>
        </row>
        <row r="18">
          <cell r="D18">
            <v>0</v>
          </cell>
        </row>
        <row r="19">
          <cell r="D19">
            <v>0</v>
          </cell>
        </row>
        <row r="20">
          <cell r="D20">
            <v>0</v>
          </cell>
        </row>
        <row r="21">
          <cell r="D21">
            <v>0</v>
          </cell>
        </row>
        <row r="22">
          <cell r="D22">
            <v>3077953.669990004</v>
          </cell>
        </row>
        <row r="23">
          <cell r="D23">
            <v>0</v>
          </cell>
        </row>
        <row r="24">
          <cell r="D24">
            <v>424857.39109000005</v>
          </cell>
        </row>
        <row r="25">
          <cell r="D25">
            <v>4221324.8917500004</v>
          </cell>
        </row>
        <row r="26">
          <cell r="D26">
            <v>0</v>
          </cell>
        </row>
        <row r="27">
          <cell r="D27">
            <v>11171728.351530001</v>
          </cell>
        </row>
        <row r="31">
          <cell r="D31">
            <v>0</v>
          </cell>
        </row>
        <row r="32">
          <cell r="D32">
            <v>464997905.64238995</v>
          </cell>
        </row>
        <row r="33">
          <cell r="D33">
            <v>0</v>
          </cell>
        </row>
        <row r="34">
          <cell r="D34">
            <v>0</v>
          </cell>
        </row>
        <row r="35">
          <cell r="D35">
            <v>0</v>
          </cell>
        </row>
        <row r="36">
          <cell r="D36">
            <v>33486317.88538</v>
          </cell>
        </row>
        <row r="37">
          <cell r="D37">
            <v>4380174.8824699996</v>
          </cell>
        </row>
        <row r="38">
          <cell r="D38">
            <v>3296718.1072499999</v>
          </cell>
        </row>
        <row r="39">
          <cell r="D39">
            <v>13979580.311000001</v>
          </cell>
        </row>
        <row r="40">
          <cell r="D40">
            <v>0</v>
          </cell>
        </row>
        <row r="41">
          <cell r="D41">
            <v>0</v>
          </cell>
        </row>
        <row r="42">
          <cell r="D42">
            <v>18253823.270429999</v>
          </cell>
        </row>
        <row r="46">
          <cell r="D46">
            <v>18174999.999779999</v>
          </cell>
        </row>
        <row r="47">
          <cell r="D47">
            <v>2112689.855</v>
          </cell>
        </row>
        <row r="48">
          <cell r="D48">
            <v>-12381522.718210001</v>
          </cell>
        </row>
        <row r="49">
          <cell r="D49">
            <v>63438860.500149995</v>
          </cell>
        </row>
        <row r="50">
          <cell r="D50">
            <v>0</v>
          </cell>
        </row>
        <row r="51">
          <cell r="D51">
            <v>0</v>
          </cell>
        </row>
        <row r="52">
          <cell r="D52">
            <v>0</v>
          </cell>
        </row>
        <row r="61">
          <cell r="D61">
            <v>12693903.92268</v>
          </cell>
        </row>
        <row r="62">
          <cell r="D62">
            <v>5568206.641520001</v>
          </cell>
        </row>
        <row r="63">
          <cell r="D63">
            <v>634672.70335999993</v>
          </cell>
        </row>
        <row r="64">
          <cell r="D64">
            <v>0</v>
          </cell>
        </row>
        <row r="68">
          <cell r="D68">
            <v>2922630.7762700003</v>
          </cell>
        </row>
        <row r="69">
          <cell r="D69">
            <v>656695.21</v>
          </cell>
        </row>
        <row r="70">
          <cell r="D70">
            <v>71688.864269999991</v>
          </cell>
        </row>
        <row r="75">
          <cell r="D75">
            <v>747265.23637000006</v>
          </cell>
        </row>
        <row r="76">
          <cell r="D76">
            <v>5288772.6349300006</v>
          </cell>
        </row>
        <row r="77">
          <cell r="D77">
            <v>1605407.2034899998</v>
          </cell>
        </row>
        <row r="78">
          <cell r="D78">
            <v>0</v>
          </cell>
        </row>
        <row r="79">
          <cell r="D79">
            <v>239773.17778000003</v>
          </cell>
        </row>
        <row r="84">
          <cell r="D84">
            <v>1186828.8357200001</v>
          </cell>
        </row>
        <row r="85">
          <cell r="D85">
            <v>3301209.4417500002</v>
          </cell>
        </row>
        <row r="86">
          <cell r="D86">
            <v>38742.519999999997</v>
          </cell>
        </row>
        <row r="87">
          <cell r="D87">
            <v>17460.413960000002</v>
          </cell>
        </row>
        <row r="88">
          <cell r="D88">
            <v>589211.13607000001</v>
          </cell>
        </row>
        <row r="89">
          <cell r="D89">
            <v>42050.795960000003</v>
          </cell>
        </row>
        <row r="90">
          <cell r="D90">
            <v>3985143.8204799984</v>
          </cell>
        </row>
        <row r="95">
          <cell r="D95">
            <v>-4189901.9118300001</v>
          </cell>
        </row>
        <row r="96">
          <cell r="D9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10">
          <cell r="D10">
            <v>0.15142713830520962</v>
          </cell>
        </row>
      </sheetData>
      <sheetData sheetId="6" refreshError="1"/>
      <sheetData sheetId="7">
        <row r="8">
          <cell r="B8">
            <v>17894111.19889966</v>
          </cell>
        </row>
        <row r="9">
          <cell r="B9">
            <v>3224732.5247499999</v>
          </cell>
        </row>
        <row r="11">
          <cell r="B11">
            <v>13006942.405409999</v>
          </cell>
        </row>
        <row r="17">
          <cell r="B17">
            <v>124664.9868</v>
          </cell>
        </row>
        <row r="19">
          <cell r="B19">
            <v>6715940.0236299997</v>
          </cell>
        </row>
        <row r="24">
          <cell r="B24">
            <v>15898913.449070519</v>
          </cell>
        </row>
        <row r="25">
          <cell r="B25">
            <v>69424539.735678926</v>
          </cell>
        </row>
        <row r="29">
          <cell r="B29">
            <v>70413302.169342995</v>
          </cell>
        </row>
        <row r="30">
          <cell r="B30">
            <v>5000000</v>
          </cell>
        </row>
        <row r="33">
          <cell r="B33">
            <v>71600131.005062997</v>
          </cell>
        </row>
        <row r="34">
          <cell r="B34">
            <v>83147687.939378381</v>
          </cell>
        </row>
        <row r="38">
          <cell r="B38">
            <v>0.8468461831516011</v>
          </cell>
        </row>
        <row r="41">
          <cell r="B41">
            <v>0.86111992743881804</v>
          </cell>
        </row>
        <row r="46">
          <cell r="B46">
            <v>2.76</v>
          </cell>
        </row>
        <row r="47">
          <cell r="B47">
            <v>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1_Dec_2021"/>
    </sheetNames>
    <sheetDataSet>
      <sheetData sheetId="0">
        <row r="6">
          <cell r="B6">
            <v>35470101.612690501</v>
          </cell>
          <cell r="H6">
            <v>2311967.056992793</v>
          </cell>
        </row>
        <row r="7">
          <cell r="H7">
            <v>362635.93164951552</v>
          </cell>
        </row>
        <row r="9">
          <cell r="H9">
            <v>659619.93463825237</v>
          </cell>
        </row>
        <row r="11">
          <cell r="H11">
            <v>1289711.19070503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BK-Format PUBLISHED RWANDA"/>
      <sheetName val="T.B SUMMARY"/>
      <sheetName val="T.B CBK &amp; Masterfile"/>
      <sheetName val="Sheet1"/>
      <sheetName val="Detailled others"/>
      <sheetName val="EBR RATIOS"/>
      <sheetName val="weighted assets"/>
      <sheetName val="Ratio"/>
      <sheetName val="ADDITIONAL DISCLOSURES"/>
      <sheetName val="RELATED PARTIES TRANSACTIONS"/>
      <sheetName val="OFF BALANCE SHEET."/>
      <sheetName val="INVESTMENTS"/>
      <sheetName val="RATES"/>
      <sheetName val="DEPOSIT SPLIT BY ACC TYPE &amp;CCY "/>
      <sheetName val="LOAN SPLIT BY SECTOR &amp; CCY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5">
          <cell r="B45">
            <v>2.83</v>
          </cell>
        </row>
      </sheetData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L"/>
      <sheetName val="BS"/>
      <sheetName val="TB"/>
      <sheetName val="PnL pivot"/>
      <sheetName val="BS pivot"/>
      <sheetName val="Previous month TB"/>
    </sheetNames>
    <sheetDataSet>
      <sheetData sheetId="0">
        <row r="152">
          <cell r="N152"/>
        </row>
      </sheetData>
      <sheetData sheetId="1"/>
      <sheetData sheetId="2"/>
      <sheetData sheetId="3">
        <row r="18">
          <cell r="B18">
            <v>0</v>
          </cell>
        </row>
      </sheetData>
      <sheetData sheetId="4">
        <row r="24">
          <cell r="B24">
            <v>-2616802623.1000004</v>
          </cell>
        </row>
      </sheetData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L"/>
      <sheetName val="BS"/>
      <sheetName val="TB"/>
      <sheetName val="PnL pivot"/>
      <sheetName val="BS pivot"/>
      <sheetName val="Previous month TB"/>
    </sheetNames>
    <sheetDataSet>
      <sheetData sheetId="0">
        <row r="152">
          <cell r="N152"/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ganda Apr 2023"/>
      <sheetName val="Sheet2"/>
      <sheetName val="Sheet1"/>
    </sheetNames>
    <sheetDataSet>
      <sheetData sheetId="0">
        <row r="7">
          <cell r="B7">
            <v>580357603.34844995</v>
          </cell>
        </row>
        <row r="8">
          <cell r="B8">
            <v>132776980.94908002</v>
          </cell>
        </row>
        <row r="9">
          <cell r="B9">
            <v>757333252.9812001</v>
          </cell>
        </row>
        <row r="11">
          <cell r="B11">
            <v>23685000</v>
          </cell>
        </row>
        <row r="12">
          <cell r="B12">
            <v>168035993.8328</v>
          </cell>
        </row>
        <row r="13">
          <cell r="B13">
            <v>0</v>
          </cell>
        </row>
        <row r="14">
          <cell r="B14">
            <v>7960083.0630000001</v>
          </cell>
        </row>
        <row r="15">
          <cell r="B15">
            <v>1718800760.3682415</v>
          </cell>
        </row>
        <row r="16">
          <cell r="B16">
            <v>0</v>
          </cell>
        </row>
        <row r="17">
          <cell r="B17">
            <v>17819420.128989998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69386016.165429965</v>
          </cell>
        </row>
        <row r="23">
          <cell r="B23">
            <v>245799.2268</v>
          </cell>
        </row>
        <row r="24">
          <cell r="B24">
            <v>508894.35594999982</v>
          </cell>
        </row>
        <row r="25">
          <cell r="B25">
            <v>15404144.877139999</v>
          </cell>
        </row>
        <row r="26">
          <cell r="B26">
            <v>0</v>
          </cell>
        </row>
        <row r="27">
          <cell r="B27">
            <v>115453617.78421004</v>
          </cell>
        </row>
        <row r="31">
          <cell r="B31">
            <v>0</v>
          </cell>
        </row>
        <row r="32">
          <cell r="B32">
            <v>2868621819.1551399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72127082.191780806</v>
          </cell>
        </row>
        <row r="36">
          <cell r="B36">
            <v>42287166.705969185</v>
          </cell>
        </row>
        <row r="37">
          <cell r="B37">
            <v>67106406.256329998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97302862.757339731</v>
          </cell>
        </row>
        <row r="46">
          <cell r="B46">
            <v>120000000</v>
          </cell>
        </row>
        <row r="47">
          <cell r="B47">
            <v>36789445.074000001</v>
          </cell>
        </row>
        <row r="48">
          <cell r="B48">
            <v>4170628.2145449999</v>
          </cell>
        </row>
        <row r="52">
          <cell r="B52">
            <v>0</v>
          </cell>
        </row>
      </sheetData>
      <sheetData sheetId="1">
        <row r="8">
          <cell r="F8">
            <v>43843707.915607452</v>
          </cell>
        </row>
      </sheetData>
      <sheetData sheetId="2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ganda Apr 2023"/>
      <sheetName val="Sheet2"/>
      <sheetName val="Sheet1"/>
    </sheetNames>
    <sheetDataSet>
      <sheetData sheetId="0">
        <row r="49">
          <cell r="B49">
            <v>-9037235.6673349999</v>
          </cell>
        </row>
        <row r="50">
          <cell r="B50">
            <v>268687087.01631999</v>
          </cell>
        </row>
        <row r="51">
          <cell r="B51">
            <v>39712305.377171554</v>
          </cell>
        </row>
        <row r="52">
          <cell r="B52">
            <v>0</v>
          </cell>
        </row>
        <row r="62">
          <cell r="B62">
            <v>86662594.337709993</v>
          </cell>
        </row>
        <row r="63">
          <cell r="B63">
            <v>29950997.985379998</v>
          </cell>
        </row>
        <row r="64">
          <cell r="B64">
            <v>468874.91499999998</v>
          </cell>
        </row>
        <row r="65">
          <cell r="B65">
            <v>1250</v>
          </cell>
        </row>
        <row r="69">
          <cell r="B69">
            <v>32237136.374809999</v>
          </cell>
        </row>
        <row r="70">
          <cell r="B70">
            <v>10135990.70958</v>
          </cell>
        </row>
        <row r="71">
          <cell r="B71">
            <v>5011160.3120900001</v>
          </cell>
        </row>
        <row r="76">
          <cell r="B76">
            <v>6835229.2456499999</v>
          </cell>
        </row>
        <row r="77">
          <cell r="B77">
            <v>25340323.179740004</v>
          </cell>
        </row>
        <row r="78">
          <cell r="B78">
            <v>9144338.8774800003</v>
          </cell>
        </row>
        <row r="79">
          <cell r="B79">
            <v>0</v>
          </cell>
        </row>
        <row r="80">
          <cell r="B80">
            <v>10559186.823729999</v>
          </cell>
        </row>
        <row r="85">
          <cell r="B85">
            <v>5335163.3322800007</v>
          </cell>
        </row>
        <row r="86">
          <cell r="B86">
            <v>25722494.930419996</v>
          </cell>
        </row>
        <row r="87">
          <cell r="B87">
            <v>205240</v>
          </cell>
        </row>
        <row r="88">
          <cell r="B88">
            <v>569216.43348000001</v>
          </cell>
        </row>
        <row r="89">
          <cell r="B89">
            <v>8512719.4853400011</v>
          </cell>
        </row>
        <row r="90">
          <cell r="B90">
            <v>112772.74076</v>
          </cell>
        </row>
        <row r="91">
          <cell r="B91">
            <v>42274249.176169999</v>
          </cell>
        </row>
        <row r="96">
          <cell r="B96">
            <v>6137370.4807399996</v>
          </cell>
        </row>
        <row r="97">
          <cell r="B97">
            <v>0</v>
          </cell>
        </row>
        <row r="104">
          <cell r="B104">
            <v>228500026.50479001</v>
          </cell>
        </row>
        <row r="105">
          <cell r="B105">
            <v>42402012.948739998</v>
          </cell>
        </row>
        <row r="107">
          <cell r="B107">
            <v>130190661.63291149</v>
          </cell>
        </row>
        <row r="109">
          <cell r="B109">
            <v>0</v>
          </cell>
        </row>
        <row r="113">
          <cell r="B113">
            <v>0</v>
          </cell>
        </row>
        <row r="114">
          <cell r="B114">
            <v>14392012.30102</v>
          </cell>
        </row>
        <row r="118">
          <cell r="B118">
            <v>124225309.30964999</v>
          </cell>
        </row>
        <row r="119">
          <cell r="B119">
            <v>102401821.42359999</v>
          </cell>
        </row>
        <row r="123">
          <cell r="B123">
            <v>383761067.47957999</v>
          </cell>
        </row>
        <row r="124">
          <cell r="B124">
            <v>25000000</v>
          </cell>
        </row>
        <row r="126">
          <cell r="B126">
            <v>19732253.668074999</v>
          </cell>
        </row>
        <row r="128">
          <cell r="B128">
            <v>2218717641.1903167</v>
          </cell>
        </row>
        <row r="130">
          <cell r="B130">
            <v>0.13377889860455863</v>
          </cell>
        </row>
        <row r="131">
          <cell r="B131">
            <v>0.125</v>
          </cell>
        </row>
        <row r="133">
          <cell r="B133">
            <v>0.17296525720762582</v>
          </cell>
        </row>
        <row r="134">
          <cell r="B134">
            <v>0.125</v>
          </cell>
        </row>
        <row r="136">
          <cell r="B136">
            <v>0.18185879701717494</v>
          </cell>
        </row>
        <row r="137">
          <cell r="B137">
            <v>0.14499999999999999</v>
          </cell>
        </row>
        <row r="141">
          <cell r="B141">
            <v>0.33154046244303187</v>
          </cell>
        </row>
      </sheetData>
      <sheetData sheetId="1" refreshError="1"/>
      <sheetData sheetId="2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GHIL"/>
      <sheetName val="CBK_Monthly Reporting_31 Dec 20"/>
    </sheetNames>
    <sheetDataSet>
      <sheetData sheetId="0"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600000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0</v>
          </cell>
        </row>
        <row r="46">
          <cell r="B46">
            <v>600000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6">
          <cell r="B76">
            <v>0</v>
          </cell>
        </row>
        <row r="77">
          <cell r="B77">
            <v>0</v>
          </cell>
        </row>
        <row r="78">
          <cell r="B78">
            <v>0</v>
          </cell>
        </row>
        <row r="79">
          <cell r="B79">
            <v>0</v>
          </cell>
        </row>
        <row r="80">
          <cell r="B80">
            <v>0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0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4">
          <cell r="B94">
            <v>0</v>
          </cell>
        </row>
        <row r="96">
          <cell r="B96">
            <v>0</v>
          </cell>
        </row>
        <row r="97">
          <cell r="B97">
            <v>0</v>
          </cell>
        </row>
      </sheetData>
      <sheetData sheetId="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LAK"/>
      <sheetName val="P&amp;L"/>
      <sheetName val="BS"/>
      <sheetName val="TB"/>
      <sheetName val="Sheet1"/>
      <sheetName val="Notes"/>
      <sheetName val="FS"/>
      <sheetName val="SCoE"/>
      <sheetName val="Cashflow"/>
      <sheetName val="Income Statements"/>
      <sheetName val="Combined"/>
      <sheetName val="Premium debtors recon"/>
      <sheetName val="Defferd tax"/>
      <sheetName val="Receivable from subsidiaries"/>
      <sheetName val="Workings"/>
      <sheetName val="ELAK_ECL"/>
      <sheetName val="Other assets"/>
      <sheetName val="Other liabilities"/>
      <sheetName val="Adjustments"/>
      <sheetName val="Reserves - Dec"/>
      <sheetName val="Reinsurance breakdown"/>
      <sheetName val="Actual v Budget"/>
      <sheetName val="Sheet2"/>
      <sheetName val="Reinsuarance"/>
      <sheetName val="Revenue account"/>
      <sheetName val="Sheet4"/>
      <sheetName val="Group Credit - Dec"/>
      <sheetName val="TC"/>
      <sheetName val="Excess Management expenses"/>
      <sheetName val="Group Life - Dec"/>
      <sheetName val="59-5A"/>
      <sheetName val="2020 Form 70-1"/>
      <sheetName val="Premiums"/>
    </sheetNames>
    <sheetDataSet>
      <sheetData sheetId="0">
        <row r="8">
          <cell r="B8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</sheetData>
      <sheetData sheetId="1">
        <row r="27">
          <cell r="H27">
            <v>-5447939.0999999996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9">
          <cell r="D9">
            <v>-118076104.5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UB-Format "/>
      <sheetName val="TB ERP"/>
      <sheetName val="Top 50 Depositors"/>
      <sheetName val="PPE Historical"/>
      <sheetName val="SOCE"/>
      <sheetName val="Additional Disclosures"/>
      <sheetName val="Ratios"/>
      <sheetName val="RWA"/>
      <sheetName val="Loss on Monetray items"/>
      <sheetName val="MoM on Monetary items"/>
      <sheetName val="P&amp;L MoM"/>
      <sheetName val="WIP"/>
      <sheetName val="PPE Restated"/>
      <sheetName val="Pivot Restated Reg"/>
      <sheetName val="Asset register"/>
      <sheetName val="P &amp;L"/>
      <sheetName val="BS"/>
      <sheetName val="BS &amp; P&amp;L"/>
      <sheetName val="Guarantees"/>
      <sheetName val="CPI"/>
      <sheetName val="Capital"/>
      <sheetName val="IFRS 16"/>
    </sheetNames>
    <sheetDataSet>
      <sheetData sheetId="0">
        <row r="3">
          <cell r="OQ3">
            <v>0.15420000000124448</v>
          </cell>
        </row>
        <row r="8">
          <cell r="LO8">
            <v>13143695.957557317</v>
          </cell>
        </row>
        <row r="9">
          <cell r="LO9">
            <v>26031992.823999941</v>
          </cell>
        </row>
        <row r="13">
          <cell r="LO13">
            <v>70183464.514559999</v>
          </cell>
        </row>
        <row r="15">
          <cell r="LO15">
            <v>0</v>
          </cell>
        </row>
        <row r="16">
          <cell r="LO16">
            <v>3370127.2462026766</v>
          </cell>
        </row>
        <row r="18">
          <cell r="LO18">
            <v>0</v>
          </cell>
        </row>
        <row r="19">
          <cell r="LO19">
            <v>193517.70254815815</v>
          </cell>
        </row>
        <row r="24">
          <cell r="LO24">
            <v>421493.73651886481</v>
          </cell>
        </row>
        <row r="26">
          <cell r="LO26">
            <v>0</v>
          </cell>
        </row>
        <row r="27">
          <cell r="LO27">
            <v>0</v>
          </cell>
        </row>
        <row r="30">
          <cell r="LO30">
            <v>4015198.6632397524</v>
          </cell>
        </row>
        <row r="35">
          <cell r="LO35">
            <v>78174339.417654231</v>
          </cell>
        </row>
        <row r="40">
          <cell r="LO40">
            <v>3315446.8311139713</v>
          </cell>
        </row>
        <row r="41">
          <cell r="LO41">
            <v>172539.8618119997</v>
          </cell>
        </row>
        <row r="43">
          <cell r="LO43">
            <v>5359050.0404411275</v>
          </cell>
        </row>
        <row r="45">
          <cell r="LO45">
            <v>3106123.8182635689</v>
          </cell>
        </row>
        <row r="49">
          <cell r="LO49">
            <v>24530496.889608078</v>
          </cell>
        </row>
        <row r="50">
          <cell r="LO50">
            <v>440472.25878622785</v>
          </cell>
        </row>
        <row r="51">
          <cell r="LO51">
            <v>4285517.3814574871</v>
          </cell>
        </row>
        <row r="52">
          <cell r="LO52">
            <v>-2024495.8545199947</v>
          </cell>
        </row>
        <row r="63">
          <cell r="OQ63">
            <v>0.16898666666860901</v>
          </cell>
        </row>
        <row r="64">
          <cell r="LO64">
            <v>124208.70476208064</v>
          </cell>
        </row>
        <row r="65">
          <cell r="LO65">
            <v>0</v>
          </cell>
        </row>
        <row r="66">
          <cell r="LO66">
            <v>189026.6116395756</v>
          </cell>
        </row>
        <row r="67">
          <cell r="LO67">
            <v>0</v>
          </cell>
        </row>
        <row r="71">
          <cell r="LO71">
            <v>954.2478095018879</v>
          </cell>
        </row>
        <row r="72">
          <cell r="LO72">
            <v>0</v>
          </cell>
        </row>
        <row r="73">
          <cell r="LO73">
            <v>43718.150247802754</v>
          </cell>
        </row>
        <row r="78">
          <cell r="LO78">
            <v>48994.842492614996</v>
          </cell>
        </row>
        <row r="79">
          <cell r="LO79">
            <v>2027694.4558841262</v>
          </cell>
        </row>
        <row r="80">
          <cell r="LO80">
            <v>88930.54952615581</v>
          </cell>
        </row>
        <row r="81">
          <cell r="LO81">
            <v>0</v>
          </cell>
        </row>
        <row r="82">
          <cell r="LO82">
            <v>5262581.6204873547</v>
          </cell>
        </row>
        <row r="87">
          <cell r="LO87">
            <v>-0.18240000000000001</v>
          </cell>
        </row>
        <row r="88">
          <cell r="LO88">
            <v>425142.87267699814</v>
          </cell>
        </row>
        <row r="89">
          <cell r="LO89">
            <v>37450.757387746416</v>
          </cell>
        </row>
        <row r="90">
          <cell r="LO90">
            <v>20242.907290498399</v>
          </cell>
        </row>
        <row r="91">
          <cell r="LO91">
            <v>338411.51520925143</v>
          </cell>
        </row>
        <row r="92">
          <cell r="LO92">
            <v>0</v>
          </cell>
        </row>
        <row r="93">
          <cell r="LO93">
            <v>751247.87649433664</v>
          </cell>
        </row>
        <row r="96">
          <cell r="LO96">
            <v>0</v>
          </cell>
        </row>
        <row r="98">
          <cell r="LO98">
            <v>-243065.20039199971</v>
          </cell>
        </row>
        <row r="99">
          <cell r="LO99">
            <v>-1595686.0582262864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7">
          <cell r="B7">
            <v>6589.0932699999994</v>
          </cell>
        </row>
        <row r="8">
          <cell r="B8">
            <v>1222.647962553423</v>
          </cell>
        </row>
        <row r="10">
          <cell r="B10">
            <v>79.363476129054661</v>
          </cell>
        </row>
        <row r="16">
          <cell r="B16">
            <v>0</v>
          </cell>
        </row>
        <row r="18">
          <cell r="B18">
            <v>1867.08312</v>
          </cell>
        </row>
        <row r="23">
          <cell r="B23">
            <v>208192.80721</v>
          </cell>
        </row>
        <row r="24">
          <cell r="B24">
            <v>0</v>
          </cell>
        </row>
        <row r="28">
          <cell r="B28">
            <v>27231990.675331801</v>
          </cell>
        </row>
        <row r="29">
          <cell r="B29">
            <v>5000000</v>
          </cell>
        </row>
        <row r="33">
          <cell r="B33">
            <v>22037030.251421452</v>
          </cell>
        </row>
        <row r="45">
          <cell r="B45">
            <v>1.3491628490723171</v>
          </cell>
        </row>
        <row r="46">
          <cell r="B46">
            <v>0.2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oup RWA"/>
      <sheetName val="Group RWA - 30 April  2023"/>
    </sheetNames>
    <sheetDataSet>
      <sheetData sheetId="0">
        <row r="10">
          <cell r="S10">
            <v>1369441605.6504142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G20"/>
  <sheetViews>
    <sheetView workbookViewId="0">
      <selection activeCell="C13" sqref="C13"/>
    </sheetView>
  </sheetViews>
  <sheetFormatPr defaultColWidth="9.140625" defaultRowHeight="12.75"/>
  <cols>
    <col min="1" max="2" width="9.140625" style="441"/>
    <col min="3" max="3" width="11.85546875" style="441" bestFit="1" customWidth="1"/>
    <col min="4" max="6" width="9.140625" style="441"/>
    <col min="7" max="7" width="11.7109375" style="783" bestFit="1" customWidth="1"/>
    <col min="8" max="16384" width="9.140625" style="441"/>
  </cols>
  <sheetData>
    <row r="1" spans="1:3" ht="15.75">
      <c r="A1" s="1533">
        <v>44651</v>
      </c>
      <c r="B1" s="1534"/>
      <c r="C1" s="1535"/>
    </row>
    <row r="2" spans="1:3" ht="15.75">
      <c r="A2" s="434" t="s">
        <v>235</v>
      </c>
      <c r="B2" s="405" t="s">
        <v>236</v>
      </c>
      <c r="C2" s="1473">
        <v>136</v>
      </c>
    </row>
    <row r="3" spans="1:3" ht="15.75">
      <c r="A3" s="434" t="s">
        <v>238</v>
      </c>
      <c r="B3" s="405" t="s">
        <v>236</v>
      </c>
      <c r="C3" s="1473">
        <v>7.4102765000251836</v>
      </c>
    </row>
    <row r="4" spans="1:3" ht="15.75">
      <c r="A4" s="434" t="s">
        <v>237</v>
      </c>
      <c r="B4" s="405" t="s">
        <v>236</v>
      </c>
      <c r="C4" s="1473">
        <v>170.05442000000002</v>
      </c>
    </row>
    <row r="5" spans="1:3" ht="15.75">
      <c r="A5" s="434" t="s">
        <v>239</v>
      </c>
      <c r="B5" s="405" t="s">
        <v>236</v>
      </c>
      <c r="C5" s="1473">
        <v>149.65442000000002</v>
      </c>
    </row>
    <row r="6" spans="1:3" ht="15.75">
      <c r="A6" s="434" t="s">
        <v>411</v>
      </c>
      <c r="B6" s="405" t="s">
        <v>236</v>
      </c>
      <c r="C6" s="1473">
        <v>100.00368593282904</v>
      </c>
    </row>
    <row r="7" spans="1:3" ht="15.75">
      <c r="A7" s="434" t="s">
        <v>412</v>
      </c>
      <c r="B7" s="405" t="s">
        <v>236</v>
      </c>
      <c r="C7" s="1473">
        <v>152.23598883412092</v>
      </c>
    </row>
    <row r="8" spans="1:3" ht="15.75">
      <c r="A8" s="434" t="s">
        <v>413</v>
      </c>
      <c r="B8" s="405" t="s">
        <v>236</v>
      </c>
      <c r="C8" s="1473">
        <v>99.673864082309095</v>
      </c>
    </row>
    <row r="9" spans="1:3" ht="15.75">
      <c r="A9" s="434" t="s">
        <v>414</v>
      </c>
      <c r="B9" s="405" t="s">
        <v>236</v>
      </c>
      <c r="C9" s="1473">
        <v>89.569610000000011</v>
      </c>
    </row>
    <row r="10" spans="1:3" ht="15.75">
      <c r="A10" s="434" t="s">
        <v>415</v>
      </c>
      <c r="B10" s="405" t="s">
        <v>236</v>
      </c>
      <c r="C10" s="1473">
        <v>13.182255422711108</v>
      </c>
    </row>
    <row r="11" spans="1:3" ht="15.75">
      <c r="A11" s="434" t="s">
        <v>416</v>
      </c>
      <c r="B11" s="405" t="s">
        <v>236</v>
      </c>
      <c r="C11" s="1473">
        <v>12.660291118157382</v>
      </c>
    </row>
    <row r="12" spans="1:3" ht="15.75">
      <c r="A12" s="434" t="s">
        <v>417</v>
      </c>
      <c r="B12" s="405" t="s">
        <v>236</v>
      </c>
      <c r="C12" s="1473">
        <v>20.078247305346856</v>
      </c>
    </row>
    <row r="13" spans="1:3" ht="15.75">
      <c r="A13" s="434" t="s">
        <v>344</v>
      </c>
      <c r="B13" s="405" t="s">
        <v>236</v>
      </c>
      <c r="C13" s="1473">
        <v>27.477983065518526</v>
      </c>
    </row>
    <row r="14" spans="1:3" ht="15.75">
      <c r="A14" s="434" t="s">
        <v>516</v>
      </c>
      <c r="B14" s="405" t="s">
        <v>236</v>
      </c>
      <c r="C14" s="1473">
        <v>0.15418627877974841</v>
      </c>
    </row>
    <row r="15" spans="1:3" ht="15.75">
      <c r="A15" s="434" t="s">
        <v>240</v>
      </c>
      <c r="B15" s="405" t="s">
        <v>236</v>
      </c>
      <c r="C15" s="1473">
        <v>0.15418627877974841</v>
      </c>
    </row>
    <row r="16" spans="1:3" ht="15.75">
      <c r="A16" s="434" t="s">
        <v>241</v>
      </c>
      <c r="B16" s="405" t="s">
        <v>236</v>
      </c>
      <c r="C16" s="1473">
        <v>8.2023795838989972</v>
      </c>
    </row>
    <row r="17" spans="1:3" ht="15.75">
      <c r="A17" s="405" t="s">
        <v>242</v>
      </c>
      <c r="B17" s="405" t="s">
        <v>236</v>
      </c>
      <c r="C17" s="1473">
        <v>17.283111095972693</v>
      </c>
    </row>
    <row r="18" spans="1:3" ht="15.75">
      <c r="A18" s="434" t="s">
        <v>513</v>
      </c>
      <c r="B18" s="405" t="s">
        <v>236</v>
      </c>
      <c r="C18" s="1473">
        <v>37.036032825259298</v>
      </c>
    </row>
    <row r="19" spans="1:3" ht="15.75">
      <c r="A19" s="695" t="s">
        <v>418</v>
      </c>
      <c r="B19" s="696" t="s">
        <v>236</v>
      </c>
      <c r="C19" s="1474">
        <v>19.635586825697043</v>
      </c>
    </row>
    <row r="20" spans="1:3" ht="16.5" thickBot="1">
      <c r="A20" s="489" t="s">
        <v>236</v>
      </c>
      <c r="B20" s="490" t="s">
        <v>236</v>
      </c>
      <c r="C20" s="777">
        <v>1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X136"/>
  <sheetViews>
    <sheetView workbookViewId="0">
      <selection activeCell="B77" sqref="B77"/>
    </sheetView>
  </sheetViews>
  <sheetFormatPr defaultColWidth="9.140625" defaultRowHeight="15"/>
  <cols>
    <col min="1" max="1" width="23.85546875" customWidth="1"/>
    <col min="2" max="3" width="15" customWidth="1"/>
    <col min="4" max="4" width="19.5703125" customWidth="1"/>
    <col min="5" max="7" width="15" customWidth="1"/>
    <col min="8" max="8" width="15" style="5" customWidth="1"/>
    <col min="9" max="9" width="14.28515625" style="5" customWidth="1"/>
    <col min="10" max="10" width="15" customWidth="1"/>
    <col min="11" max="13" width="15.42578125" customWidth="1"/>
    <col min="14" max="14" width="15" style="5" customWidth="1"/>
    <col min="15" max="15" width="15" style="627" bestFit="1" customWidth="1"/>
    <col min="16" max="16" width="14.85546875" style="368" customWidth="1"/>
    <col min="17" max="17" width="28.7109375" style="366" customWidth="1"/>
    <col min="18" max="18" width="14.5703125" bestFit="1" customWidth="1"/>
  </cols>
  <sheetData>
    <row r="1" spans="1:18" ht="30">
      <c r="A1" s="246"/>
      <c r="B1" s="406" t="s">
        <v>167</v>
      </c>
      <c r="C1" s="407" t="s">
        <v>158</v>
      </c>
      <c r="D1" s="407" t="s">
        <v>642</v>
      </c>
      <c r="E1" s="407" t="s">
        <v>162</v>
      </c>
      <c r="F1" s="407" t="s">
        <v>161</v>
      </c>
      <c r="G1" s="407" t="s">
        <v>160</v>
      </c>
      <c r="H1" s="407" t="s">
        <v>159</v>
      </c>
      <c r="I1" s="407" t="s">
        <v>474</v>
      </c>
      <c r="J1" s="407" t="s">
        <v>163</v>
      </c>
      <c r="K1" s="407" t="s">
        <v>164</v>
      </c>
      <c r="L1" s="621" t="s">
        <v>704</v>
      </c>
      <c r="M1" s="621" t="s">
        <v>705</v>
      </c>
      <c r="N1" s="408" t="s">
        <v>706</v>
      </c>
      <c r="O1" s="626" t="s">
        <v>171</v>
      </c>
      <c r="P1" s="409" t="s">
        <v>281</v>
      </c>
      <c r="Q1" s="666" t="s">
        <v>282</v>
      </c>
    </row>
    <row r="2" spans="1:18">
      <c r="A2" s="247" t="s">
        <v>422</v>
      </c>
      <c r="B2" s="6">
        <f>GROUP!G67</f>
        <v>43985951.051003374</v>
      </c>
      <c r="C2" s="6">
        <f>EBKL!B66</f>
        <v>28201308.418499999</v>
      </c>
      <c r="D2" s="6">
        <f>E_BCDC!C64</f>
        <v>8543013.5517751705</v>
      </c>
      <c r="E2" s="6">
        <f>EBSSL!C66</f>
        <v>52932.592001602956</v>
      </c>
      <c r="F2" s="6">
        <f>EBRL!C66</f>
        <v>2221128.0791297187</v>
      </c>
      <c r="G2" s="6">
        <f>EBTL!C66</f>
        <v>1352422.2083613083</v>
      </c>
      <c r="H2" s="6">
        <f>EBUL!C67</f>
        <v>4046945.5666852714</v>
      </c>
      <c r="I2" s="6">
        <f>'EGH Plc'!B66</f>
        <v>366668.01299999998</v>
      </c>
      <c r="J2" s="433">
        <f>EIAL!B66</f>
        <v>6075.89</v>
      </c>
      <c r="K2" s="614">
        <f>EIBL!B65</f>
        <v>17489.852180000002</v>
      </c>
      <c r="L2" s="614">
        <f>Others!B66</f>
        <v>2585.9997688397298</v>
      </c>
      <c r="M2" s="614">
        <f>'EIGHL&amp;ELAK'!B66</f>
        <v>84785.693150684921</v>
      </c>
      <c r="N2" s="248">
        <f>'FinAL&amp;Azenia'!B65</f>
        <v>26422.925079999997</v>
      </c>
      <c r="O2" s="627">
        <f>SUM(C2:N2)</f>
        <v>44921778.789632589</v>
      </c>
      <c r="P2" s="367">
        <f>B2-O2</f>
        <v>-935827.73862921447</v>
      </c>
      <c r="Q2" s="366" t="s">
        <v>102</v>
      </c>
    </row>
    <row r="3" spans="1:18">
      <c r="A3" s="249" t="s">
        <v>166</v>
      </c>
      <c r="B3" s="1215">
        <f>GROUP!J67</f>
        <v>0.21102596146650987</v>
      </c>
      <c r="C3" s="1215">
        <f>EBKL!E66</f>
        <v>0.11165013531878906</v>
      </c>
      <c r="D3" s="1215">
        <f>(E_BCDC!C64-E_BCDC!E64)/E_BCDC!E64</f>
        <v>0.53435413956969724</v>
      </c>
      <c r="E3" s="1215">
        <f>EBSSL!G66</f>
        <v>1.5692126263212374</v>
      </c>
      <c r="F3" s="1215">
        <f>EBRL!F66</f>
        <v>0.2896222017911656</v>
      </c>
      <c r="G3" s="1215">
        <f>EBTL!F66</f>
        <v>9.7095540809809047E-2</v>
      </c>
      <c r="H3" s="1215">
        <f>EBUL!F67</f>
        <v>0.26817119939903422</v>
      </c>
      <c r="I3" s="1215">
        <f>'EGH Plc'!E64</f>
        <v>0.19967922660555415</v>
      </c>
      <c r="J3" s="1215">
        <f>EIAL!E66</f>
        <v>1.4820619449870634E-2</v>
      </c>
      <c r="K3" s="1215">
        <v>0</v>
      </c>
      <c r="L3" s="1215">
        <v>0</v>
      </c>
      <c r="M3" s="1215"/>
      <c r="N3" s="1216">
        <f>'FinAL&amp;Azenia'!I65</f>
        <v>0.62976801285386619</v>
      </c>
      <c r="P3" s="664"/>
      <c r="Q3" s="366">
        <f>GROUP!D65</f>
        <v>935827.73862922285</v>
      </c>
    </row>
    <row r="4" spans="1:18" s="3" customFormat="1">
      <c r="A4" s="251" t="s">
        <v>170</v>
      </c>
      <c r="B4" s="1215"/>
      <c r="C4" s="1217">
        <f t="shared" ref="C4:L4" si="0">C2/$O$2</f>
        <v>0.62778699282069672</v>
      </c>
      <c r="D4" s="1217">
        <f t="shared" si="0"/>
        <v>0.19017531767345766</v>
      </c>
      <c r="E4" s="1217">
        <f t="shared" si="0"/>
        <v>1.1783280499528921E-3</v>
      </c>
      <c r="F4" s="1217">
        <f t="shared" si="0"/>
        <v>4.9444348353416684E-2</v>
      </c>
      <c r="G4" s="1217">
        <f t="shared" si="0"/>
        <v>3.0106158856590765E-2</v>
      </c>
      <c r="H4" s="1217">
        <f t="shared" si="0"/>
        <v>9.0088720342909892E-2</v>
      </c>
      <c r="I4" s="1217">
        <f t="shared" si="0"/>
        <v>8.1623662926861348E-3</v>
      </c>
      <c r="J4" s="1217">
        <f t="shared" si="0"/>
        <v>1.3525488446157087E-4</v>
      </c>
      <c r="K4" s="1217">
        <f t="shared" si="0"/>
        <v>3.8934015195401058E-4</v>
      </c>
      <c r="L4" s="1217">
        <f t="shared" si="0"/>
        <v>5.7566726842004475E-5</v>
      </c>
      <c r="M4" s="1217"/>
      <c r="N4" s="1216">
        <f>N2/SUM($C$2:$N$2)</f>
        <v>5.8819854849777439E-4</v>
      </c>
      <c r="O4" s="628"/>
      <c r="P4" s="665"/>
      <c r="Q4" s="667">
        <f>P2+Q3</f>
        <v>8.3819031715393066E-9</v>
      </c>
    </row>
    <row r="5" spans="1:18" s="3" customFormat="1">
      <c r="A5" s="251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250"/>
      <c r="O5" s="628"/>
      <c r="P5" s="316"/>
      <c r="Q5" s="667"/>
    </row>
    <row r="6" spans="1:18">
      <c r="A6" s="387" t="s">
        <v>402</v>
      </c>
      <c r="B6" s="15">
        <f>GROUP!G73</f>
        <v>14772876.783064049</v>
      </c>
      <c r="C6" s="15">
        <f>EBKL!B72</f>
        <v>10785968.218870003</v>
      </c>
      <c r="D6" s="15">
        <f>E_BCDC!C70</f>
        <v>1859029.5471898802</v>
      </c>
      <c r="E6" s="15">
        <f>EBSSL!C72</f>
        <v>7549.0396397971563</v>
      </c>
      <c r="F6" s="15">
        <f>EBRL!C72</f>
        <v>429140.31912380026</v>
      </c>
      <c r="G6" s="15">
        <f>EBTL!C72</f>
        <v>581380.90746819205</v>
      </c>
      <c r="H6" s="15">
        <f>EBUL!C73</f>
        <v>1637816.3961072215</v>
      </c>
      <c r="I6" s="15">
        <f>'EGH Plc'!B72</f>
        <v>406855.48992000002</v>
      </c>
      <c r="J6" s="622">
        <v>0</v>
      </c>
      <c r="K6" s="622">
        <v>0</v>
      </c>
      <c r="L6" s="622">
        <f>Others!B72</f>
        <v>0</v>
      </c>
      <c r="M6" s="622">
        <f>'EIGHL&amp;ELAK'!B72</f>
        <v>343.38195194312573</v>
      </c>
      <c r="N6" s="623">
        <f>'FinAL&amp;Azenia'!B70</f>
        <v>621.22142243908434</v>
      </c>
      <c r="O6" s="627">
        <f>SUM(C6:N6)</f>
        <v>15708704.521693276</v>
      </c>
      <c r="P6" s="367">
        <f>B6-O6</f>
        <v>-935827.7386292275</v>
      </c>
      <c r="Q6" s="366" t="s">
        <v>102</v>
      </c>
      <c r="R6" s="457"/>
    </row>
    <row r="7" spans="1:18">
      <c r="A7" s="249" t="s">
        <v>166</v>
      </c>
      <c r="B7" s="1218">
        <f>GROUP!J73</f>
        <v>0.48527552882172964</v>
      </c>
      <c r="C7" s="1217">
        <f>EBKL!E72</f>
        <v>0.52439019579365498</v>
      </c>
      <c r="D7" s="1218">
        <f>(E_BCDC!C68-E_BCDC!E68)/E_BCDC!E68</f>
        <v>-0.95630977854338084</v>
      </c>
      <c r="E7" s="1217">
        <f>EBSSL!G72</f>
        <v>-0.13674820203813293</v>
      </c>
      <c r="F7" s="1217">
        <f>EBRL!F72</f>
        <v>5.0204006226771465E-2</v>
      </c>
      <c r="G7" s="1217">
        <f>EBTL!F72</f>
        <v>0.16486553711064103</v>
      </c>
      <c r="H7" s="1217">
        <f>EBUL!F73</f>
        <v>0.7352643522367186</v>
      </c>
      <c r="I7" s="1217">
        <f>'EGH Plc'!E72</f>
        <v>0</v>
      </c>
      <c r="J7" s="1217">
        <v>0</v>
      </c>
      <c r="K7" s="1217">
        <v>0</v>
      </c>
      <c r="L7" s="1217">
        <v>0</v>
      </c>
      <c r="M7" s="8"/>
      <c r="N7" s="250">
        <v>0</v>
      </c>
      <c r="Q7" s="366">
        <f>GROUP!F73</f>
        <v>935827.73862922296</v>
      </c>
    </row>
    <row r="8" spans="1:18" s="3" customFormat="1">
      <c r="A8" s="251" t="s">
        <v>170</v>
      </c>
      <c r="B8" s="1218"/>
      <c r="C8" s="1217">
        <f t="shared" ref="C8:L8" si="1">C6/$O$6</f>
        <v>0.6866236616759126</v>
      </c>
      <c r="D8" s="1217">
        <f t="shared" si="1"/>
        <v>0.11834391210443948</v>
      </c>
      <c r="E8" s="1217">
        <f t="shared" si="1"/>
        <v>4.8056411204196669E-4</v>
      </c>
      <c r="F8" s="1217">
        <f t="shared" si="1"/>
        <v>2.7318632069956477E-2</v>
      </c>
      <c r="G8" s="1217">
        <f t="shared" si="1"/>
        <v>3.7010111601839701E-2</v>
      </c>
      <c r="H8" s="1217">
        <f t="shared" si="1"/>
        <v>0.10426171005033823</v>
      </c>
      <c r="I8" s="1217">
        <f t="shared" si="1"/>
        <v>2.5900002725122502E-2</v>
      </c>
      <c r="J8" s="1217">
        <f t="shared" si="1"/>
        <v>0</v>
      </c>
      <c r="K8" s="1217">
        <f t="shared" si="1"/>
        <v>0</v>
      </c>
      <c r="L8" s="1217">
        <f t="shared" si="1"/>
        <v>0</v>
      </c>
      <c r="M8" s="8"/>
      <c r="N8" s="250">
        <f>N6/O6</f>
        <v>3.9546317876257404E-5</v>
      </c>
      <c r="O8" s="628"/>
      <c r="P8" s="316"/>
      <c r="Q8" s="667">
        <f>P6+Q7</f>
        <v>-4.5401975512504578E-9</v>
      </c>
    </row>
    <row r="9" spans="1:18" s="3" customFormat="1">
      <c r="A9" s="251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250"/>
      <c r="O9" s="628"/>
      <c r="P9" s="316"/>
      <c r="Q9" s="667"/>
    </row>
    <row r="10" spans="1:18">
      <c r="A10" s="387" t="s">
        <v>177</v>
      </c>
      <c r="B10" s="15">
        <f>GROUP!G74</f>
        <v>29213074.267939325</v>
      </c>
      <c r="C10" s="15">
        <f>EBKL!B73</f>
        <v>17415340.199629996</v>
      </c>
      <c r="D10" s="15">
        <f>E_BCDC!C71</f>
        <v>6683984.0045852903</v>
      </c>
      <c r="E10" s="15">
        <f>EBSSL!C73</f>
        <v>45383.5523618058</v>
      </c>
      <c r="F10" s="15">
        <f>EBRL!C73</f>
        <v>1791987.7600059183</v>
      </c>
      <c r="G10" s="15">
        <f>EBTL!C73</f>
        <v>771041.30089311628</v>
      </c>
      <c r="H10" s="15">
        <f>EBUL!C74</f>
        <v>2409129.17057805</v>
      </c>
      <c r="I10" s="15">
        <f>'EGH Plc'!B73</f>
        <v>-40187.476920000045</v>
      </c>
      <c r="J10" s="663">
        <f>EIAL!B73</f>
        <v>6075.89</v>
      </c>
      <c r="K10" s="663">
        <f>EIBL!B72</f>
        <v>17489.852180000002</v>
      </c>
      <c r="L10" s="663">
        <f>Others!B73</f>
        <v>2585.9997688397298</v>
      </c>
      <c r="M10" s="663">
        <f>'EIGHL&amp;ELAK'!B73</f>
        <v>84442.311198741794</v>
      </c>
      <c r="N10" s="454">
        <f>'FinAL&amp;Azenia'!B72</f>
        <v>25801.703657560913</v>
      </c>
      <c r="O10" s="627">
        <f>SUM(C10:N10)</f>
        <v>29213074.267939318</v>
      </c>
      <c r="P10" s="367">
        <f>B10-O10</f>
        <v>0</v>
      </c>
    </row>
    <row r="11" spans="1:18">
      <c r="A11" s="249" t="s">
        <v>166</v>
      </c>
      <c r="B11" s="1218">
        <f>GROUP!J74</f>
        <v>0.1076043303239459</v>
      </c>
      <c r="C11" s="1217">
        <f>EBKL!E73</f>
        <v>-4.7992226664417048E-2</v>
      </c>
      <c r="D11" s="1218">
        <f>(E_BCDC!C71-E_BCDC!E71)/E_BCDC!E71</f>
        <v>0.84183670881864803</v>
      </c>
      <c r="E11" s="1217">
        <f>EBSSL!G73</f>
        <v>2.827327980663942</v>
      </c>
      <c r="F11" s="1217">
        <f>EBRL!F73</f>
        <v>0.36409404021084796</v>
      </c>
      <c r="G11" s="1217">
        <f>EBTL!F73</f>
        <v>5.099099134715477E-2</v>
      </c>
      <c r="H11" s="1217">
        <f>EBUL!F74</f>
        <v>7.1999036991317183E-2</v>
      </c>
      <c r="I11" s="1217">
        <f>'EGH Plc'!E73</f>
        <v>-1.1314870114689122</v>
      </c>
      <c r="J11" s="1217">
        <f>EIAL!E66</f>
        <v>1.4820619449870634E-2</v>
      </c>
      <c r="K11" s="1217">
        <v>0</v>
      </c>
      <c r="L11" s="1217">
        <v>0</v>
      </c>
      <c r="M11" s="1217"/>
      <c r="N11" s="1219">
        <f>'FinAL&amp;Azenia'!I72</f>
        <v>0.62976801285386619</v>
      </c>
      <c r="O11" s="627">
        <f>GROUP!B74</f>
        <v>29213074.267939322</v>
      </c>
      <c r="P11" s="367"/>
      <c r="R11" s="457"/>
    </row>
    <row r="12" spans="1:18" s="3" customFormat="1">
      <c r="A12" s="249" t="s">
        <v>170</v>
      </c>
      <c r="B12" s="1218"/>
      <c r="C12" s="1217">
        <f t="shared" ref="C12:L12" si="2">C10/$O$10</f>
        <v>0.59614883527485962</v>
      </c>
      <c r="D12" s="1217">
        <f t="shared" si="2"/>
        <v>0.22880111635223582</v>
      </c>
      <c r="E12" s="1217">
        <f t="shared" si="2"/>
        <v>1.5535356513851474E-3</v>
      </c>
      <c r="F12" s="1217">
        <f t="shared" si="2"/>
        <v>6.1341978032506628E-2</v>
      </c>
      <c r="G12" s="1217">
        <f t="shared" si="2"/>
        <v>2.6393706250194847E-2</v>
      </c>
      <c r="H12" s="1217">
        <f t="shared" si="2"/>
        <v>8.2467498917839471E-2</v>
      </c>
      <c r="I12" s="1217">
        <f t="shared" si="2"/>
        <v>-1.3756675025505577E-3</v>
      </c>
      <c r="J12" s="1217">
        <f t="shared" si="2"/>
        <v>2.0798529946805874E-4</v>
      </c>
      <c r="K12" s="1217">
        <f t="shared" si="2"/>
        <v>5.986994733791067E-4</v>
      </c>
      <c r="L12" s="1217">
        <f t="shared" si="2"/>
        <v>8.8522000290733031E-5</v>
      </c>
      <c r="M12" s="1217"/>
      <c r="N12" s="1219">
        <f>N10/O10</f>
        <v>8.8322452546111152E-4</v>
      </c>
      <c r="O12" s="628"/>
      <c r="P12" s="665"/>
      <c r="Q12" s="667"/>
    </row>
    <row r="13" spans="1:18" s="3" customFormat="1">
      <c r="A13" s="251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250"/>
      <c r="O13" s="628"/>
      <c r="P13" s="316"/>
      <c r="Q13" s="667"/>
    </row>
    <row r="14" spans="1:18">
      <c r="A14" s="252" t="s">
        <v>178</v>
      </c>
      <c r="B14" s="9">
        <f>GROUP!G82</f>
        <v>23827279.639204372</v>
      </c>
      <c r="C14" s="378">
        <f>EBKL!B81</f>
        <v>10824263.239649998</v>
      </c>
      <c r="D14" s="15">
        <f>E_BCDC!C79</f>
        <v>9313057.5211609043</v>
      </c>
      <c r="E14" s="15">
        <f>EBSSL!C81</f>
        <v>1255267.0054861354</v>
      </c>
      <c r="F14" s="15">
        <f>EBRL!C81</f>
        <v>926358.46591858589</v>
      </c>
      <c r="G14" s="15">
        <f>EBTL!C81</f>
        <v>744310.51391592273</v>
      </c>
      <c r="H14" s="15">
        <f>EBUL!C82</f>
        <v>1793176.7984546071</v>
      </c>
      <c r="I14" s="15">
        <f>'EGH Plc'!B80</f>
        <v>-1329921.5751</v>
      </c>
      <c r="J14" s="15">
        <f>EIAL!B81</f>
        <v>382643.11085999996</v>
      </c>
      <c r="K14" s="15">
        <f>EIBL!B80</f>
        <v>95619.424870000003</v>
      </c>
      <c r="L14" s="15">
        <f>Others!B81</f>
        <v>1178.6418160000053</v>
      </c>
      <c r="M14" s="15">
        <f>'EIGHL&amp;ELAK'!B81</f>
        <v>280620.98011555185</v>
      </c>
      <c r="N14" s="254">
        <f>'FinAL&amp;Azenia'!B80</f>
        <v>1227526.4473373981</v>
      </c>
      <c r="O14" s="627">
        <f>SUM(C14:N14)</f>
        <v>25514100.574485105</v>
      </c>
      <c r="P14" s="367">
        <f>B14-O14</f>
        <v>-1686820.9352807328</v>
      </c>
      <c r="Q14" s="366" t="s">
        <v>475</v>
      </c>
    </row>
    <row r="15" spans="1:18">
      <c r="A15" s="249" t="s">
        <v>166</v>
      </c>
      <c r="B15" s="1218">
        <f>GROUP!J82</f>
        <v>0.49478198649965499</v>
      </c>
      <c r="C15" s="1218">
        <f>EBKL!E81</f>
        <v>0.40975426137238286</v>
      </c>
      <c r="D15" s="1218">
        <f>(E_BCDC!C75-E_BCDC!E75)/E_BCDC!E75</f>
        <v>0.58142155986809008</v>
      </c>
      <c r="E15" s="1218">
        <f>EBSSL!G81</f>
        <v>2.8334156454045818</v>
      </c>
      <c r="F15" s="1218">
        <f>EBRL!F81</f>
        <v>0.39936168799981597</v>
      </c>
      <c r="G15" s="1218">
        <f>EBTL!F81</f>
        <v>0.42528475127925403</v>
      </c>
      <c r="H15" s="1218">
        <f>EBUL!F82</f>
        <v>0.25016763882270565</v>
      </c>
      <c r="I15" s="1218">
        <f>'EGH Plc'!E80</f>
        <v>25.083241047493004</v>
      </c>
      <c r="J15" s="1218">
        <f>EIAL!E81</f>
        <v>-0.1679668255115141</v>
      </c>
      <c r="K15" s="1217">
        <f>EIBL!E81</f>
        <v>0.88259926448548642</v>
      </c>
      <c r="L15" s="1218">
        <v>0</v>
      </c>
      <c r="M15" s="7"/>
      <c r="N15" s="1219">
        <f>'FinAL&amp;Azenia'!I80</f>
        <v>-0.5362418998481403</v>
      </c>
      <c r="P15" s="664"/>
      <c r="Q15" s="366">
        <f>GROUP!D81</f>
        <v>1686820.9352807349</v>
      </c>
    </row>
    <row r="16" spans="1:18">
      <c r="A16" s="251" t="s">
        <v>170</v>
      </c>
      <c r="B16" s="1218"/>
      <c r="C16" s="1217">
        <f t="shared" ref="C16:L16" si="3">C14/$O$14</f>
        <v>0.42424631854256301</v>
      </c>
      <c r="D16" s="1217">
        <f t="shared" si="3"/>
        <v>0.36501610135041374</v>
      </c>
      <c r="E16" s="1217">
        <f t="shared" si="3"/>
        <v>4.919895184317967E-2</v>
      </c>
      <c r="F16" s="1217">
        <f t="shared" si="3"/>
        <v>3.6307706133484996E-2</v>
      </c>
      <c r="G16" s="1217">
        <f t="shared" si="3"/>
        <v>2.9172516261860959E-2</v>
      </c>
      <c r="H16" s="1217">
        <f t="shared" si="3"/>
        <v>7.0281795480881648E-2</v>
      </c>
      <c r="I16" s="1217">
        <f t="shared" si="3"/>
        <v>-5.2124964045566359E-2</v>
      </c>
      <c r="J16" s="1217">
        <f t="shared" si="3"/>
        <v>1.4997319217384248E-2</v>
      </c>
      <c r="K16" s="1217">
        <f t="shared" si="3"/>
        <v>3.7477090203846888E-3</v>
      </c>
      <c r="L16" s="1217">
        <f t="shared" si="3"/>
        <v>4.6195703139098067E-5</v>
      </c>
      <c r="M16" s="8"/>
      <c r="N16" s="1219">
        <f>N14/O14</f>
        <v>4.8111688035162907E-2</v>
      </c>
      <c r="P16" s="367"/>
      <c r="Q16" s="366">
        <f>P14+Q15</f>
        <v>2.0954757928848267E-9</v>
      </c>
    </row>
    <row r="17" spans="1:17">
      <c r="A17" s="252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253"/>
    </row>
    <row r="18" spans="1:17">
      <c r="A18" s="252" t="s">
        <v>179</v>
      </c>
      <c r="B18" s="9">
        <f>GROUP!G83</f>
        <v>53040353.907143697</v>
      </c>
      <c r="C18" s="15">
        <f>EBKL!B82</f>
        <v>28239603.439279996</v>
      </c>
      <c r="D18" s="15">
        <f>E_BCDC!C80</f>
        <v>15997041.525746195</v>
      </c>
      <c r="E18" s="15">
        <f>EBSSL!C82</f>
        <v>1300650.5578479411</v>
      </c>
      <c r="F18" s="15">
        <f>EBRL!C82</f>
        <v>2718346.225924504</v>
      </c>
      <c r="G18" s="15">
        <f>EBTL!C82</f>
        <v>1515351.814809039</v>
      </c>
      <c r="H18" s="15">
        <f>EBUL!C83</f>
        <v>4202305.9690326573</v>
      </c>
      <c r="I18" s="15">
        <f>'EGH Plc'!B82</f>
        <v>-1370109.0520200001</v>
      </c>
      <c r="J18" s="15">
        <f>EIAL!B82</f>
        <v>388719.00085999997</v>
      </c>
      <c r="K18" s="15">
        <f>EIBL!B81</f>
        <v>113109.27705</v>
      </c>
      <c r="L18" s="15">
        <f>Others!B82</f>
        <v>3764.6415848397351</v>
      </c>
      <c r="M18" s="15">
        <f>'EIGHL&amp;ELAK'!B82</f>
        <v>365063.29131429363</v>
      </c>
      <c r="N18" s="254">
        <f>'FinAL&amp;Azenia'!B81</f>
        <v>1253328.1509949591</v>
      </c>
      <c r="O18" s="627">
        <f>SUM(C18:N18)</f>
        <v>54727174.842424437</v>
      </c>
      <c r="P18" s="367">
        <f>B18-O18</f>
        <v>-1686820.9352807403</v>
      </c>
      <c r="Q18" s="366" t="s">
        <v>102</v>
      </c>
    </row>
    <row r="19" spans="1:17">
      <c r="A19" s="249" t="s">
        <v>166</v>
      </c>
      <c r="B19" s="1218">
        <f>GROUP!J83</f>
        <v>0.25345530366294855</v>
      </c>
      <c r="C19" s="1218">
        <f>EBKL!E82</f>
        <v>8.7334837237551893E-2</v>
      </c>
      <c r="D19" s="1218">
        <f>(E_BCDC!C79-E_BCDC!E79)/E_BCDC!E79</f>
        <v>0.93165386174979137</v>
      </c>
      <c r="E19" s="1218">
        <f>EBSSL!G82</f>
        <v>2.8332029026832464</v>
      </c>
      <c r="F19" s="1218">
        <f>EBRL!F82</f>
        <v>0.37591114833761047</v>
      </c>
      <c r="G19" s="1218">
        <f>EBTL!F82</f>
        <v>0.2066329999790831</v>
      </c>
      <c r="H19" s="1218">
        <f>EBUL!F83</f>
        <v>0.1414120358563577</v>
      </c>
      <c r="I19" s="1218">
        <f>'EGH Plc'!E82</f>
        <v>-6.3803448137456709</v>
      </c>
      <c r="J19" s="1218">
        <f>EIAL!E82</f>
        <v>-0.1679668255115141</v>
      </c>
      <c r="K19" s="1218">
        <f>EIBL!E81</f>
        <v>0.88259926448548642</v>
      </c>
      <c r="L19" s="1218">
        <v>0</v>
      </c>
      <c r="M19" s="1218"/>
      <c r="N19" s="1219">
        <f>'FinAL&amp;Azenia'!I81</f>
        <v>-0.52332955509579315</v>
      </c>
      <c r="Q19" s="366">
        <f>GROUP!D81+GROUP!D80</f>
        <v>1686820.9352807349</v>
      </c>
    </row>
    <row r="20" spans="1:17">
      <c r="A20" s="251" t="s">
        <v>170</v>
      </c>
      <c r="B20" s="1218"/>
      <c r="C20" s="1217">
        <f t="shared" ref="C20:L20" si="4">C18/$O$18</f>
        <v>0.51600696583717476</v>
      </c>
      <c r="D20" s="1217">
        <f t="shared" si="4"/>
        <v>0.29230526830238107</v>
      </c>
      <c r="E20" s="1217">
        <f t="shared" si="4"/>
        <v>2.3766082601429636E-2</v>
      </c>
      <c r="F20" s="1217">
        <f t="shared" si="4"/>
        <v>4.9670867055560952E-2</v>
      </c>
      <c r="G20" s="1217">
        <f t="shared" si="4"/>
        <v>2.7689202287020674E-2</v>
      </c>
      <c r="H20" s="1217">
        <f t="shared" si="4"/>
        <v>7.6786459033054907E-2</v>
      </c>
      <c r="I20" s="1217">
        <f t="shared" si="4"/>
        <v>-2.5035260014151017E-2</v>
      </c>
      <c r="J20" s="1217">
        <f t="shared" si="4"/>
        <v>7.1028515902608865E-3</v>
      </c>
      <c r="K20" s="1217">
        <f t="shared" si="4"/>
        <v>2.0667845065212068E-3</v>
      </c>
      <c r="L20" s="1217">
        <f t="shared" si="4"/>
        <v>6.8789254984918198E-5</v>
      </c>
      <c r="M20" s="1217"/>
      <c r="N20" s="1219">
        <f>N18/O18</f>
        <v>2.2901385913006798E-2</v>
      </c>
      <c r="Q20" s="366">
        <f>P18+Q19</f>
        <v>-5.3551048040390015E-9</v>
      </c>
    </row>
    <row r="21" spans="1:17" ht="12.75" customHeight="1">
      <c r="A21" s="251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250"/>
    </row>
    <row r="22" spans="1:17">
      <c r="A22" s="252" t="s">
        <v>275</v>
      </c>
      <c r="B22" s="9">
        <f>GROUP!G86</f>
        <v>4594061.5175675135</v>
      </c>
      <c r="C22" s="378">
        <f>EBKL!B85</f>
        <v>2505982.1462999997</v>
      </c>
      <c r="D22" s="15">
        <f>E_BCDC!C83</f>
        <v>1627617.5668128852</v>
      </c>
      <c r="E22" s="15">
        <f>EBSSL!C85</f>
        <v>-3.0823168000354284E-2</v>
      </c>
      <c r="F22" s="15">
        <f>EBRL!C85</f>
        <v>139499.87227000165</v>
      </c>
      <c r="G22" s="15">
        <f>EBTL!C85</f>
        <v>136554.46293494702</v>
      </c>
      <c r="H22" s="378">
        <f>EBUL!C86</f>
        <v>184407.50007284776</v>
      </c>
      <c r="I22" s="378">
        <f>'EGH Plc'!B85</f>
        <v>0</v>
      </c>
      <c r="J22" s="378">
        <f>EIAL!B85</f>
        <v>0</v>
      </c>
      <c r="K22" s="378">
        <f>EIBL!B84</f>
        <v>0</v>
      </c>
      <c r="L22" s="378">
        <v>0</v>
      </c>
      <c r="M22" s="378">
        <f>'EIGHL&amp;ELAK'!B85</f>
        <v>0</v>
      </c>
      <c r="N22" s="624">
        <f>'FinAL&amp;Azenia'!F84</f>
        <v>0</v>
      </c>
      <c r="O22" s="627">
        <f>SUM(C22:N22)</f>
        <v>4594061.5175675135</v>
      </c>
      <c r="P22" s="367">
        <f>B22-O22</f>
        <v>0</v>
      </c>
    </row>
    <row r="23" spans="1:17">
      <c r="A23" s="249" t="s">
        <v>166</v>
      </c>
      <c r="B23" s="1220">
        <f>GROUP!J86</f>
        <v>0.66826006318927678</v>
      </c>
      <c r="C23" s="1220">
        <f>EBKL!E85</f>
        <v>0.67014266532318123</v>
      </c>
      <c r="D23" s="1218">
        <f>(E_BCDC!C83-E_BCDC!E83)/E_BCDC!E83</f>
        <v>1.9999231749879431</v>
      </c>
      <c r="E23" s="1220">
        <f>EBSSL!G85</f>
        <v>0</v>
      </c>
      <c r="F23" s="1220">
        <f>EBRL!F85</f>
        <v>-0.10717168107930504</v>
      </c>
      <c r="G23" s="1220">
        <f>EBTL!F85</f>
        <v>-0.4351305266870229</v>
      </c>
      <c r="H23" s="1220">
        <f>EBUL!F86</f>
        <v>-0.41046401578065417</v>
      </c>
      <c r="I23" s="1220">
        <f>'EGH Plc'!E85</f>
        <v>0</v>
      </c>
      <c r="J23" s="1217">
        <v>0</v>
      </c>
      <c r="K23" s="1217">
        <v>0</v>
      </c>
      <c r="L23" s="1217">
        <v>0</v>
      </c>
      <c r="M23" s="1217"/>
      <c r="N23" s="1219">
        <v>0</v>
      </c>
    </row>
    <row r="24" spans="1:17">
      <c r="A24" s="251" t="s">
        <v>170</v>
      </c>
      <c r="B24" s="1220"/>
      <c r="C24" s="1220">
        <f t="shared" ref="C24:L24" si="5">C22/$O$22</f>
        <v>0.54548293198017073</v>
      </c>
      <c r="D24" s="1220">
        <f t="shared" si="5"/>
        <v>0.35428728165457485</v>
      </c>
      <c r="E24" s="1220">
        <f t="shared" si="5"/>
        <v>-6.7093502954820436E-9</v>
      </c>
      <c r="F24" s="1220">
        <f t="shared" si="5"/>
        <v>3.0365259963663859E-2</v>
      </c>
      <c r="G24" s="1220">
        <f t="shared" si="5"/>
        <v>2.9724125898786518E-2</v>
      </c>
      <c r="H24" s="1220">
        <f t="shared" si="5"/>
        <v>4.0140407212154346E-2</v>
      </c>
      <c r="I24" s="1220">
        <f t="shared" si="5"/>
        <v>0</v>
      </c>
      <c r="J24" s="1220">
        <f t="shared" si="5"/>
        <v>0</v>
      </c>
      <c r="K24" s="1220">
        <f t="shared" si="5"/>
        <v>0</v>
      </c>
      <c r="L24" s="1220">
        <f t="shared" si="5"/>
        <v>0</v>
      </c>
      <c r="M24" s="1220"/>
      <c r="N24" s="1219">
        <f>N22/O22</f>
        <v>0</v>
      </c>
    </row>
    <row r="25" spans="1:17">
      <c r="A25" s="256"/>
      <c r="B25" s="245"/>
      <c r="C25" s="245"/>
      <c r="D25" s="245"/>
      <c r="E25" s="245"/>
      <c r="F25" s="245"/>
      <c r="G25" s="245"/>
      <c r="H25" s="245"/>
      <c r="I25" s="245"/>
      <c r="J25" s="244"/>
      <c r="K25" s="244"/>
      <c r="L25" s="244"/>
      <c r="M25" s="244"/>
      <c r="N25" s="255"/>
    </row>
    <row r="26" spans="1:17">
      <c r="A26" s="252" t="s">
        <v>423</v>
      </c>
      <c r="B26" s="15">
        <f>GROUP!G87</f>
        <v>9152884.4865257014</v>
      </c>
      <c r="C26" s="15">
        <f>EBKL!B86</f>
        <v>5144186.0217700005</v>
      </c>
      <c r="D26" s="15">
        <f>E_BCDC!C84</f>
        <v>2063536.8949935175</v>
      </c>
      <c r="E26" s="15">
        <f>EBSSL!C86</f>
        <v>71843.47691160276</v>
      </c>
      <c r="F26" s="15">
        <f>EBRL!C86</f>
        <v>388024.18815622304</v>
      </c>
      <c r="G26" s="15">
        <f>EBTL!C86</f>
        <v>379301.19149391062</v>
      </c>
      <c r="H26" s="15">
        <f>EBUL!C87</f>
        <v>889086.36724494328</v>
      </c>
      <c r="I26" s="15">
        <f>'EGH Plc'!B86</f>
        <v>4701.4614299999994</v>
      </c>
      <c r="J26" s="15">
        <f>EIAL!B86</f>
        <v>73431.509279999998</v>
      </c>
      <c r="K26" s="15">
        <f>EIBL!B85</f>
        <v>21524.339120000001</v>
      </c>
      <c r="L26" s="15">
        <f>Others!B86</f>
        <v>0</v>
      </c>
      <c r="M26" s="15">
        <f>'EIGHL&amp;ELAK'!B86</f>
        <v>56022.736079999995</v>
      </c>
      <c r="N26" s="254">
        <f>'FinAL&amp;Azenia'!B85</f>
        <v>75336.627238500005</v>
      </c>
      <c r="O26" s="627">
        <f>SUM(C26:N26)</f>
        <v>9166994.8137186989</v>
      </c>
      <c r="P26" s="367">
        <f>B26-O26</f>
        <v>-14110.32719299756</v>
      </c>
      <c r="Q26" s="366" t="s">
        <v>102</v>
      </c>
    </row>
    <row r="27" spans="1:17">
      <c r="A27" s="249" t="s">
        <v>166</v>
      </c>
      <c r="B27" s="1220">
        <f>GROUP!J87</f>
        <v>0.31792749513840335</v>
      </c>
      <c r="C27" s="1220">
        <f>EBKL!E86</f>
        <v>0.35635735845813338</v>
      </c>
      <c r="D27" s="1218">
        <f>(E_BCDC!C87-E_BCDC!E87)/E_BCDC!E87</f>
        <v>0.46206530785616168</v>
      </c>
      <c r="E27" s="1220">
        <f>EBSSL!G86</f>
        <v>8.9853550335766714E-3</v>
      </c>
      <c r="F27" s="1220">
        <f>EBRL!F86</f>
        <v>0.35173422401667725</v>
      </c>
      <c r="G27" s="1220">
        <f>EBTL!F86</f>
        <v>0.25683943477691429</v>
      </c>
      <c r="H27" s="1220">
        <f>EBUL!F87</f>
        <v>0.26306470927487813</v>
      </c>
      <c r="I27" s="1220">
        <f>'EGH Plc'!E86</f>
        <v>8.0840057900305642E-2</v>
      </c>
      <c r="J27" s="1217">
        <f>EIAL!E86</f>
        <v>0.12242833805276002</v>
      </c>
      <c r="K27" s="1217">
        <f>EIBL!E85</f>
        <v>0.21972121426034913</v>
      </c>
      <c r="L27" s="1217"/>
      <c r="M27" s="1217"/>
      <c r="N27" s="1219">
        <f>'FinAL&amp;Azenia'!I85</f>
        <v>-0.64167050632605538</v>
      </c>
      <c r="Q27" s="366">
        <f>GROUP!F87</f>
        <v>14110.327192995001</v>
      </c>
    </row>
    <row r="28" spans="1:17">
      <c r="A28" s="251" t="s">
        <v>170</v>
      </c>
      <c r="B28" s="1220"/>
      <c r="C28" s="1220">
        <f t="shared" ref="C28:N28" si="6">C26/$O$26</f>
        <v>0.56116384118288831</v>
      </c>
      <c r="D28" s="1220">
        <f t="shared" si="6"/>
        <v>0.22510505753808971</v>
      </c>
      <c r="E28" s="1220">
        <f t="shared" si="6"/>
        <v>7.8371896539187209E-3</v>
      </c>
      <c r="F28" s="1220">
        <f t="shared" si="6"/>
        <v>4.2328396169214855E-2</v>
      </c>
      <c r="G28" s="1220">
        <f t="shared" si="6"/>
        <v>4.1376830597337565E-2</v>
      </c>
      <c r="H28" s="1220">
        <f t="shared" si="6"/>
        <v>9.6987768108518752E-2</v>
      </c>
      <c r="I28" s="1220">
        <f t="shared" si="6"/>
        <v>5.1286834186533117E-4</v>
      </c>
      <c r="J28" s="1220">
        <f t="shared" si="6"/>
        <v>8.0104233472574251E-3</v>
      </c>
      <c r="K28" s="1220">
        <f t="shared" si="6"/>
        <v>2.3480256678871624E-3</v>
      </c>
      <c r="L28" s="1220">
        <f t="shared" si="6"/>
        <v>0</v>
      </c>
      <c r="M28" s="1220"/>
      <c r="N28" s="1219">
        <f t="shared" si="6"/>
        <v>8.2182469576350531E-3</v>
      </c>
      <c r="Q28" s="366">
        <f>P26+Q27</f>
        <v>-2.5593180907890201E-9</v>
      </c>
    </row>
    <row r="29" spans="1:17">
      <c r="A29" s="256"/>
      <c r="B29" s="245"/>
      <c r="C29" s="245"/>
      <c r="D29" s="245"/>
      <c r="E29" s="245"/>
      <c r="F29" s="245"/>
      <c r="G29" s="245"/>
      <c r="H29" s="245"/>
      <c r="I29" s="245"/>
      <c r="J29" s="244"/>
      <c r="K29" s="244"/>
      <c r="L29" s="244"/>
      <c r="M29" s="244"/>
      <c r="N29" s="255"/>
    </row>
    <row r="30" spans="1:17">
      <c r="A30" s="252" t="s">
        <v>424</v>
      </c>
      <c r="B30" s="15">
        <f>SUM(GROUP!G88:G92)</f>
        <v>17508866.57500872</v>
      </c>
      <c r="C30" s="15">
        <f>C34-C26-C22</f>
        <v>8326347.8560499996</v>
      </c>
      <c r="D30" s="15">
        <f t="shared" ref="D30:N30" si="7">D34-D26-D22</f>
        <v>6379018.958857595</v>
      </c>
      <c r="E30" s="15">
        <f>E34-E26-E22</f>
        <v>193887.36849000654</v>
      </c>
      <c r="F30" s="15">
        <f t="shared" si="7"/>
        <v>549218.46799823293</v>
      </c>
      <c r="G30" s="15">
        <f t="shared" si="7"/>
        <v>617426.66884956486</v>
      </c>
      <c r="H30" s="15">
        <f>H34-H26-H22</f>
        <v>1786095.2041534069</v>
      </c>
      <c r="I30" s="15">
        <f>I34-I26-I22</f>
        <v>73297.721270000009</v>
      </c>
      <c r="J30" s="15">
        <f t="shared" si="7"/>
        <v>48664.040460000033</v>
      </c>
      <c r="K30" s="15">
        <f t="shared" si="7"/>
        <v>23031.238610000004</v>
      </c>
      <c r="L30" s="15">
        <f>Others!B91</f>
        <v>998.51999999999964</v>
      </c>
      <c r="M30" s="15">
        <f t="shared" si="7"/>
        <v>129011.27167622535</v>
      </c>
      <c r="N30" s="454">
        <f t="shared" si="7"/>
        <v>970572.30771442782</v>
      </c>
      <c r="O30" s="627">
        <f>SUM(C30:N30)</f>
        <v>19097569.624129459</v>
      </c>
      <c r="P30" s="367">
        <f>B30-O30</f>
        <v>-1588703.0491207391</v>
      </c>
      <c r="Q30" s="366" t="s">
        <v>102</v>
      </c>
    </row>
    <row r="31" spans="1:17">
      <c r="A31" s="249" t="s">
        <v>166</v>
      </c>
      <c r="B31" s="1220">
        <f>(((SUM(GROUP!G88:G92)-SUM(GROUP!H88:H92))/SUM(GROUP!H88:H92)))</f>
        <v>0.37742335959825657</v>
      </c>
      <c r="C31" s="1220">
        <f>EBKL!E91</f>
        <v>0.37740921434075003</v>
      </c>
      <c r="D31" s="1220">
        <f>E_BCDC!G89</f>
        <v>0.72527131768611297</v>
      </c>
      <c r="E31" s="1220">
        <f>EBSSL!M87</f>
        <v>0</v>
      </c>
      <c r="F31" s="1220">
        <f>EBRL!N87</f>
        <v>0.21940002943324977</v>
      </c>
      <c r="G31" s="1220">
        <f>EBTL!L87</f>
        <v>0</v>
      </c>
      <c r="H31" s="1220">
        <f>EBUL!M88</f>
        <v>0</v>
      </c>
      <c r="I31" s="1220">
        <f>'EGH Plc'!E91</f>
        <v>0.34970499880446781</v>
      </c>
      <c r="J31" s="1217">
        <f>EIAL!J87</f>
        <v>0</v>
      </c>
      <c r="K31" s="1217">
        <f>EIBL!N86</f>
        <v>0</v>
      </c>
      <c r="L31" s="1217">
        <v>0</v>
      </c>
      <c r="M31" s="1217"/>
      <c r="N31" s="1219">
        <f>'FinAL&amp;Azenia'!L87</f>
        <v>0</v>
      </c>
      <c r="Q31" s="366">
        <f>GROUP!F92-GROUP!D91</f>
        <v>1588703.0491207396</v>
      </c>
    </row>
    <row r="32" spans="1:17">
      <c r="A32" s="251" t="s">
        <v>170</v>
      </c>
      <c r="B32" s="1220"/>
      <c r="C32" s="1220">
        <f t="shared" ref="C32:N32" si="8">C30/$O$30</f>
        <v>0.43598992017967558</v>
      </c>
      <c r="D32" s="1220">
        <f t="shared" si="8"/>
        <v>0.3340225528382319</v>
      </c>
      <c r="E32" s="1220">
        <f t="shared" si="8"/>
        <v>1.0152462973353064E-2</v>
      </c>
      <c r="F32" s="1220">
        <f t="shared" si="8"/>
        <v>2.8758552989083207E-2</v>
      </c>
      <c r="G32" s="1220">
        <f t="shared" si="8"/>
        <v>3.2330117444339966E-2</v>
      </c>
      <c r="H32" s="1220">
        <f t="shared" si="8"/>
        <v>9.3524738451363235E-2</v>
      </c>
      <c r="I32" s="1220">
        <f t="shared" si="8"/>
        <v>3.8380654037459072E-3</v>
      </c>
      <c r="J32" s="1220">
        <f t="shared" si="8"/>
        <v>2.5481797641158399E-3</v>
      </c>
      <c r="K32" s="1220">
        <f t="shared" si="8"/>
        <v>1.2059774653681806E-3</v>
      </c>
      <c r="L32" s="1220">
        <f t="shared" si="8"/>
        <v>5.228518705010434E-5</v>
      </c>
      <c r="M32" s="1220"/>
      <c r="N32" s="1219">
        <f t="shared" si="8"/>
        <v>5.082177087539589E-2</v>
      </c>
      <c r="Q32" s="366">
        <f>P30+Q31</f>
        <v>0</v>
      </c>
    </row>
    <row r="33" spans="1:18">
      <c r="A33" s="252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253"/>
    </row>
    <row r="34" spans="1:18">
      <c r="A34" s="252" t="s">
        <v>180</v>
      </c>
      <c r="B34" s="9">
        <f>GROUP!G93</f>
        <v>31255812.579101939</v>
      </c>
      <c r="C34" s="15">
        <f>EBKL!B92</f>
        <v>15976516.024119999</v>
      </c>
      <c r="D34" s="15">
        <f>E_BCDC!C90</f>
        <v>10070173.420663998</v>
      </c>
      <c r="E34" s="15">
        <f>EBSSL!C92</f>
        <v>265730.81457844132</v>
      </c>
      <c r="F34" s="15">
        <f>EBRL!C92</f>
        <v>1076742.5284244576</v>
      </c>
      <c r="G34" s="15">
        <f>EBTL!C92</f>
        <v>1133282.3232784225</v>
      </c>
      <c r="H34" s="15">
        <f>EBUL!C93</f>
        <v>2859589.071471198</v>
      </c>
      <c r="I34" s="15">
        <f>'EGH Plc'!B92</f>
        <v>77999.182700000005</v>
      </c>
      <c r="J34" s="15">
        <f>EIAL!B92</f>
        <v>122095.54974000003</v>
      </c>
      <c r="K34" s="15">
        <f>EIBL!B91</f>
        <v>44555.577730000005</v>
      </c>
      <c r="L34" s="15">
        <f>Others!B91</f>
        <v>998.51999999999964</v>
      </c>
      <c r="M34" s="15">
        <f>'EIGHL&amp;ELAK'!B92</f>
        <v>185034.00775622536</v>
      </c>
      <c r="N34" s="254">
        <f>'FinAL&amp;Azenia'!B91</f>
        <v>1045908.9349529279</v>
      </c>
      <c r="O34" s="627">
        <f>SUM(C34:N34)</f>
        <v>32858625.955415674</v>
      </c>
      <c r="P34" s="367">
        <f>B34-O34</f>
        <v>-1602813.3763137348</v>
      </c>
      <c r="Q34" s="366" t="s">
        <v>102</v>
      </c>
    </row>
    <row r="35" spans="1:18">
      <c r="A35" s="249" t="s">
        <v>166</v>
      </c>
      <c r="B35" s="1218">
        <f>GROUP!J93</f>
        <v>0.39472427610307309</v>
      </c>
      <c r="C35" s="1218">
        <f>EBKL!E92</f>
        <v>0.37175966278875061</v>
      </c>
      <c r="D35" s="1218">
        <f>E_BCDC!G90</f>
        <v>0.67892170118871431</v>
      </c>
      <c r="E35" s="1218">
        <f>EBSSL!G92</f>
        <v>-0.27889507695098298</v>
      </c>
      <c r="F35" s="1218">
        <f>EBRL!F92</f>
        <v>0.20481153777477398</v>
      </c>
      <c r="G35" s="1218">
        <f>EBTL!F92</f>
        <v>6.8259486300199679E-2</v>
      </c>
      <c r="H35" s="1218">
        <f>EBUL!F93</f>
        <v>0.34208561269646642</v>
      </c>
      <c r="I35" s="1218">
        <f>'EGH Plc'!E92</f>
        <v>0.54641169546766388</v>
      </c>
      <c r="J35" s="1218">
        <f>EIAL!E92</f>
        <v>8.3317270809664223E-2</v>
      </c>
      <c r="K35" s="1218">
        <f>EIBL!E91</f>
        <v>0.14054576038363814</v>
      </c>
      <c r="L35" s="1218">
        <v>0</v>
      </c>
      <c r="M35" s="1218"/>
      <c r="N35" s="1219">
        <f>'FinAL&amp;Azenia'!I91</f>
        <v>-0.65936854822403757</v>
      </c>
      <c r="Q35" s="366">
        <f>GROUP!F92+GROUP!F87-GROUP!D91</f>
        <v>1602813.3763137346</v>
      </c>
    </row>
    <row r="36" spans="1:18">
      <c r="A36" s="251" t="s">
        <v>170</v>
      </c>
      <c r="B36" s="1218"/>
      <c r="C36" s="1217">
        <f t="shared" ref="C36:N36" si="9">C34/$O$34</f>
        <v>0.48621984515718286</v>
      </c>
      <c r="D36" s="1217">
        <f t="shared" si="9"/>
        <v>0.30646970552961472</v>
      </c>
      <c r="E36" s="1217">
        <f t="shared" si="9"/>
        <v>8.087094540684658E-3</v>
      </c>
      <c r="F36" s="1217">
        <f t="shared" si="9"/>
        <v>3.2768945660887921E-2</v>
      </c>
      <c r="G36" s="1217">
        <f t="shared" si="9"/>
        <v>3.4489644357500522E-2</v>
      </c>
      <c r="H36" s="1217">
        <f t="shared" si="9"/>
        <v>8.7027043533446591E-2</v>
      </c>
      <c r="I36" s="1217">
        <f t="shared" si="9"/>
        <v>2.3737810219402792E-3</v>
      </c>
      <c r="J36" s="1217">
        <f t="shared" si="9"/>
        <v>3.7157837916188506E-3</v>
      </c>
      <c r="K36" s="1217">
        <f t="shared" si="9"/>
        <v>1.3559781163842754E-3</v>
      </c>
      <c r="L36" s="1217">
        <f t="shared" si="9"/>
        <v>3.038836746718638E-5</v>
      </c>
      <c r="M36" s="1217"/>
      <c r="N36" s="1221">
        <f t="shared" si="9"/>
        <v>3.1830574302530869E-2</v>
      </c>
      <c r="Q36" s="366">
        <f>P34+Q35</f>
        <v>0</v>
      </c>
    </row>
    <row r="37" spans="1:18">
      <c r="A37" s="252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253"/>
    </row>
    <row r="38" spans="1:18">
      <c r="A38" s="252" t="s">
        <v>165</v>
      </c>
      <c r="B38" s="9">
        <f>GROUP!G96</f>
        <v>21784541.328041758</v>
      </c>
      <c r="C38" s="15">
        <f>EBKL!B93</f>
        <v>12263087.415159997</v>
      </c>
      <c r="D38" s="15">
        <f>E_BCDC!C91</f>
        <v>5926868.1050821971</v>
      </c>
      <c r="E38" s="15">
        <f>EBSSL!C96</f>
        <v>1034919.7432694997</v>
      </c>
      <c r="F38" s="15">
        <f>EBRL!C96</f>
        <v>1641603.6975000463</v>
      </c>
      <c r="G38" s="15">
        <f>EBTL!C96</f>
        <v>382069.49153061653</v>
      </c>
      <c r="H38" s="15">
        <f>EBUL!C97</f>
        <v>1342716.8975614593</v>
      </c>
      <c r="I38" s="15">
        <f>'EGH Plc'!B93</f>
        <v>-1448108.2347200001</v>
      </c>
      <c r="J38" s="15">
        <f>EIAL!B93</f>
        <v>266623.45111999993</v>
      </c>
      <c r="K38" s="15">
        <f>EIBL!B92</f>
        <v>68553.69932</v>
      </c>
      <c r="L38" s="15">
        <f>Others!B93</f>
        <v>2766.1215848397355</v>
      </c>
      <c r="M38" s="15">
        <f>'EIGHL&amp;ELAK'!B93</f>
        <v>180029.28355806827</v>
      </c>
      <c r="N38" s="254">
        <f>'FinAL&amp;Azenia'!B92</f>
        <v>207419.21604203118</v>
      </c>
      <c r="O38" s="627">
        <f>SUM(C38:N38)</f>
        <v>21868548.887008753</v>
      </c>
      <c r="P38" s="367">
        <f>B38-O38</f>
        <v>-84007.558966994286</v>
      </c>
      <c r="Q38" s="366" t="s">
        <v>647</v>
      </c>
    </row>
    <row r="39" spans="1:18">
      <c r="A39" s="249" t="s">
        <v>166</v>
      </c>
      <c r="B39" s="1218">
        <f>GROUP!J96</f>
        <v>9.4409999102845504E-2</v>
      </c>
      <c r="C39" s="1218">
        <f>EBKL!E95</f>
        <v>-0.14391800982491074</v>
      </c>
      <c r="D39" s="1218">
        <f>E_BCDC!G91</f>
        <v>1.4168966078664962</v>
      </c>
      <c r="E39" s="1218">
        <f>EBSSL!G96</f>
        <v>-36.450504295377712</v>
      </c>
      <c r="F39" s="1218">
        <f>EBRL!F96</f>
        <v>0.51723888828929798</v>
      </c>
      <c r="G39" s="1218">
        <f>EBTL!F96</f>
        <v>-0.95949710514931452</v>
      </c>
      <c r="H39" s="1218">
        <f>EBUL!F97</f>
        <v>-0.13427151433852985</v>
      </c>
      <c r="I39" s="1218">
        <f>'EGH Plc'!E93</f>
        <v>-8.0912016017502761</v>
      </c>
      <c r="J39" s="1218">
        <f>EIAL!E95</f>
        <v>-0.24505879996300101</v>
      </c>
      <c r="K39" s="1218">
        <f>EIBL!E94</f>
        <v>2.2619295215491908</v>
      </c>
      <c r="L39" s="1218">
        <v>0</v>
      </c>
      <c r="M39" s="1218"/>
      <c r="N39" s="1219">
        <f>'FinAL&amp;Azenia'!I97</f>
        <v>1.3591454208742468</v>
      </c>
      <c r="P39" s="385"/>
    </row>
    <row r="40" spans="1:18" s="3" customFormat="1">
      <c r="A40" s="251" t="s">
        <v>170</v>
      </c>
      <c r="B40" s="1218"/>
      <c r="C40" s="1217">
        <f t="shared" ref="C40:L40" si="10">C38/$O$38</f>
        <v>0.56076365553660568</v>
      </c>
      <c r="D40" s="1217">
        <f t="shared" si="10"/>
        <v>0.27102246864688478</v>
      </c>
      <c r="E40" s="1217">
        <f t="shared" si="10"/>
        <v>4.7324573231482453E-2</v>
      </c>
      <c r="F40" s="1217">
        <f t="shared" si="10"/>
        <v>7.5066878281771068E-2</v>
      </c>
      <c r="G40" s="1217">
        <f t="shared" si="10"/>
        <v>1.7471186291541686E-2</v>
      </c>
      <c r="H40" s="1217">
        <f t="shared" si="10"/>
        <v>6.1399451079221574E-2</v>
      </c>
      <c r="I40" s="1217">
        <f t="shared" si="10"/>
        <v>-6.621876203136022E-2</v>
      </c>
      <c r="J40" s="1217">
        <f t="shared" si="10"/>
        <v>1.2192096169599551E-2</v>
      </c>
      <c r="K40" s="1217">
        <f t="shared" si="10"/>
        <v>3.1348078774776438E-3</v>
      </c>
      <c r="L40" s="1217">
        <f t="shared" si="10"/>
        <v>1.2648857494531701E-4</v>
      </c>
      <c r="M40" s="1217"/>
      <c r="N40" s="1219">
        <f>N38/O38</f>
        <v>9.4848184538321514E-3</v>
      </c>
      <c r="O40" s="628"/>
      <c r="P40" s="316"/>
      <c r="Q40" s="667"/>
    </row>
    <row r="41" spans="1:18">
      <c r="A41" s="252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253"/>
    </row>
    <row r="42" spans="1:18">
      <c r="A42" s="252" t="s">
        <v>539</v>
      </c>
      <c r="B42" s="9">
        <f>SUM(GROUP!G97:G98)</f>
        <v>-5450251.1103933537</v>
      </c>
      <c r="C42" s="15">
        <f>EBKL!B96+EBKL!B97</f>
        <v>-2820510.1054867995</v>
      </c>
      <c r="D42" s="15">
        <f>E_BCDC!C94+E_BCDC!C95</f>
        <v>-1853627.79177315</v>
      </c>
      <c r="E42" s="15">
        <f>EBSSL!C97+EBSSL!C98</f>
        <v>-310724.44602661359</v>
      </c>
      <c r="F42" s="15">
        <f>EBRL!C97+EBRL!C98</f>
        <v>-492481.10926588182</v>
      </c>
      <c r="G42" s="15">
        <f>EBTL!C97+EBTL!C98</f>
        <v>-26549.595368759452</v>
      </c>
      <c r="H42" s="15">
        <f>EBUL!C98+EBUL!C99</f>
        <v>-212135.42620643374</v>
      </c>
      <c r="I42" s="15">
        <f>'EGH Plc'!B96+'EGH Plc'!B97</f>
        <v>434432.470416</v>
      </c>
      <c r="J42" s="15">
        <f>EIAL!B96+EIAL!B97</f>
        <v>-79987.035335999972</v>
      </c>
      <c r="K42" s="15">
        <f>EIBL!B95+EIBL!B96</f>
        <v>-16667.35103683333</v>
      </c>
      <c r="L42" s="15">
        <f>Others!B96+Others!B97</f>
        <v>-570.12861288205454</v>
      </c>
      <c r="M42" s="15">
        <f>'EIGHL&amp;ELAK'!B96</f>
        <v>0</v>
      </c>
      <c r="N42" s="254">
        <f>'FinAL&amp;Azenia'!B95+'FinAL&amp;Azenia'!B96</f>
        <v>-71430.591695999974</v>
      </c>
      <c r="O42" s="627">
        <f>SUM(C42:N42)</f>
        <v>-5450251.1103933547</v>
      </c>
      <c r="P42" s="367">
        <f>B42-O42</f>
        <v>0</v>
      </c>
    </row>
    <row r="43" spans="1:18">
      <c r="A43" s="249" t="s">
        <v>166</v>
      </c>
      <c r="B43" s="1222">
        <f>(SUM(GROUP!G97:G98)-SUM(GROUP!H97:H98))/SUM(GROUP!H97:H98)</f>
        <v>0.20952604264708041</v>
      </c>
      <c r="C43" s="1222">
        <f>(SUM(EBKL!B96:B97)-SUM(EBKL!C96:C97))/SUM(EBKL!C96:C97)</f>
        <v>-8.4314902085893553E-2</v>
      </c>
      <c r="D43" s="1222">
        <f>(SUM(E_BCDC!C94:C95)-SUM(E_BCDC!E94:E95))/(SUM(E_BCDC!E94:E95))</f>
        <v>2.5111144104937275</v>
      </c>
      <c r="E43" s="1222">
        <f>(SUM(EBSSL!C97:C98)-SUM(EBSSL!E97:E98))/SUM(EBSSL!E97:E98)</f>
        <v>-54.218321421455414</v>
      </c>
      <c r="F43" s="1222">
        <f>(SUM(EBRL!C97:C98)-SUM(EBRL!D97:D98))/SUM(EBRL!D97:D98)</f>
        <v>0.81225497680068071</v>
      </c>
      <c r="G43" s="1222">
        <f>(SUM(EBTL!C97:C98)-SUM(EBTL!D97:D98))/SUM(EBTL!D97:D98)</f>
        <v>-0.5219981730598301</v>
      </c>
      <c r="H43" s="1222">
        <f>(SUM(EBUL!C98:C99)-SUM(EBUL!D98:D99))/SUM(EBUL!D98:D99)</f>
        <v>-0.49624494883542625</v>
      </c>
      <c r="I43" s="1222">
        <f>(SUM('EGH Plc'!B96:B97)-SUM('EGH Plc'!C96:C97))/SUM('EGH Plc'!C96:C97)</f>
        <v>798.19613209594661</v>
      </c>
      <c r="J43" s="1222">
        <f>(SUM(EIAL!B96:B97)-SUM(EIAL!C96:C97))/SUM(EIAL!C96:C97)</f>
        <v>-0.24505879996300106</v>
      </c>
      <c r="K43" s="1222" t="e">
        <f>(SUM(EIBL!B95:B96)-SUM(EIBL!C95:C96))/SUM(EIBL!C95:C96)</f>
        <v>#DIV/0!</v>
      </c>
      <c r="L43" s="1222">
        <f>(SUM(Others!B96:B97)-SUM(Others!C96:C97))/SUM(Others!C96:C97)</f>
        <v>7.7874988443694379E-2</v>
      </c>
      <c r="M43" s="1222"/>
      <c r="N43" s="1219">
        <f>(SUM('FinAL&amp;Azenia'!F95:F96)-SUM('FinAL&amp;Azenia'!G95:G96))/SUM('FinAL&amp;Azenia'!G95:G96)</f>
        <v>0.63622848434815749</v>
      </c>
      <c r="P43" s="367"/>
    </row>
    <row r="44" spans="1:18">
      <c r="A44" s="251" t="s">
        <v>170</v>
      </c>
      <c r="B44" s="1223"/>
      <c r="C44" s="1217">
        <f t="shared" ref="C44:L44" si="11">C42/$O$42</f>
        <v>0.51750094598544805</v>
      </c>
      <c r="D44" s="1217">
        <f t="shared" si="11"/>
        <v>0.34009952096305712</v>
      </c>
      <c r="E44" s="1217">
        <f t="shared" si="11"/>
        <v>5.7011033020859844E-2</v>
      </c>
      <c r="F44" s="1217">
        <f t="shared" si="11"/>
        <v>9.0359342953344871E-2</v>
      </c>
      <c r="G44" s="1217">
        <f t="shared" si="11"/>
        <v>4.8712609439463643E-3</v>
      </c>
      <c r="H44" s="1217">
        <f t="shared" si="11"/>
        <v>3.8922138064776894E-2</v>
      </c>
      <c r="I44" s="1217">
        <f t="shared" si="11"/>
        <v>-7.9708707290120848E-2</v>
      </c>
      <c r="J44" s="1217">
        <f t="shared" si="11"/>
        <v>1.4675844051197699E-2</v>
      </c>
      <c r="K44" s="1217">
        <f t="shared" si="11"/>
        <v>3.0580886456863482E-3</v>
      </c>
      <c r="L44" s="1217">
        <f t="shared" si="11"/>
        <v>1.0460593490726473E-4</v>
      </c>
      <c r="M44" s="1217"/>
      <c r="N44" s="1219">
        <f>N42/O42</f>
        <v>1.3105926726896203E-2</v>
      </c>
      <c r="P44" s="367"/>
    </row>
    <row r="45" spans="1:18">
      <c r="A45" s="252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253"/>
    </row>
    <row r="46" spans="1:18">
      <c r="A46" s="252" t="s">
        <v>176</v>
      </c>
      <c r="B46" s="9">
        <f>GROUP!G99</f>
        <v>16334290.217648406</v>
      </c>
      <c r="C46" s="15">
        <f>EBKL!B98</f>
        <v>9442577.3096731957</v>
      </c>
      <c r="D46" s="15">
        <f>E_BCDC!C96</f>
        <v>4073240.3133090474</v>
      </c>
      <c r="E46" s="15">
        <f>EBSSL!C99</f>
        <v>724195.29724288615</v>
      </c>
      <c r="F46" s="15">
        <f>EBRL!C99</f>
        <v>1149122.5882341645</v>
      </c>
      <c r="G46" s="15">
        <f>EBTL!C99</f>
        <v>355519.89616185706</v>
      </c>
      <c r="H46" s="15">
        <f>EBUL!C100</f>
        <v>1130581.4713550257</v>
      </c>
      <c r="I46" s="15">
        <f>'EGH Plc'!B98</f>
        <v>-1013675.7643040001</v>
      </c>
      <c r="J46" s="15">
        <f>EIAL!B98</f>
        <v>186636.41578399995</v>
      </c>
      <c r="K46" s="15">
        <f>EIBL!B97</f>
        <v>51886.34828316667</v>
      </c>
      <c r="L46" s="15">
        <f>Others!B98</f>
        <v>2195.9929719576812</v>
      </c>
      <c r="M46" s="15">
        <f>'EIGHL&amp;ELAK'!B98</f>
        <v>180029.28355806827</v>
      </c>
      <c r="N46" s="254">
        <f>'FinAL&amp;Azenia'!B97</f>
        <v>135988.62434603123</v>
      </c>
      <c r="O46" s="627">
        <f>SUM(C46:N46)</f>
        <v>16418297.776615398</v>
      </c>
      <c r="P46" s="367">
        <f>B46-O46</f>
        <v>-84007.558966992423</v>
      </c>
      <c r="Q46" s="366" t="str">
        <f>Q38</f>
        <v>amortization of acquired intangibles</v>
      </c>
      <c r="R46" s="375"/>
    </row>
    <row r="47" spans="1:18">
      <c r="A47" s="249" t="s">
        <v>166</v>
      </c>
      <c r="B47" s="1218">
        <f>GROUP!J101</f>
        <v>5.1830865164087948E-2</v>
      </c>
      <c r="C47" s="1218">
        <f>EBKL!E98</f>
        <v>-0.16024523365816692</v>
      </c>
      <c r="D47" s="1218">
        <f>E_BCDC!G96</f>
        <v>1.1167031338522628</v>
      </c>
      <c r="E47" s="1218">
        <f>EBSSL!G99</f>
        <v>-32.008550013858255</v>
      </c>
      <c r="F47" s="1218">
        <f>EBRL!F99</f>
        <v>0.41828920433595351</v>
      </c>
      <c r="G47" s="1218">
        <f>EBTL!F99</f>
        <v>-1.5496159412104153</v>
      </c>
      <c r="H47" s="1218">
        <f>EBUL!F100</f>
        <v>6.390895444173451E-4</v>
      </c>
      <c r="I47" s="1218">
        <f>'EGH Plc'!E98</f>
        <v>-5.9506630732449111</v>
      </c>
      <c r="J47" s="1218">
        <f>EIAL!E98</f>
        <v>-0.49011759992600207</v>
      </c>
      <c r="K47" s="1218">
        <f>EIBL!E97</f>
        <v>1.4688618252416803</v>
      </c>
      <c r="L47" s="1218">
        <v>0</v>
      </c>
      <c r="M47" s="1218"/>
      <c r="N47" s="1219">
        <f>'FinAL&amp;Azenia'!I97</f>
        <v>1.3591454208742468</v>
      </c>
      <c r="Q47" s="366">
        <f>GROUP!D91+GROUP!D80</f>
        <v>26468.930041152271</v>
      </c>
      <c r="R47" s="375"/>
    </row>
    <row r="48" spans="1:18">
      <c r="A48" s="251" t="s">
        <v>170</v>
      </c>
      <c r="B48" s="1218"/>
      <c r="C48" s="1217">
        <f t="shared" ref="C48:L48" si="12">C46/$O$46</f>
        <v>0.5751252315037354</v>
      </c>
      <c r="D48" s="1217">
        <f t="shared" si="12"/>
        <v>0.24809151160058557</v>
      </c>
      <c r="E48" s="1217">
        <f t="shared" si="12"/>
        <v>4.4109036581999286E-2</v>
      </c>
      <c r="F48" s="1217">
        <f t="shared" si="12"/>
        <v>6.9990360990459147E-2</v>
      </c>
      <c r="G48" s="1217">
        <f t="shared" si="12"/>
        <v>2.165388282019251E-2</v>
      </c>
      <c r="H48" s="1217">
        <f t="shared" si="12"/>
        <v>6.8861065059089996E-2</v>
      </c>
      <c r="I48" s="1217">
        <f t="shared" si="12"/>
        <v>-6.1740612705159952E-2</v>
      </c>
      <c r="J48" s="1217">
        <f t="shared" si="12"/>
        <v>1.1367586233563532E-2</v>
      </c>
      <c r="K48" s="1217">
        <f t="shared" si="12"/>
        <v>3.1602757477738322E-3</v>
      </c>
      <c r="L48" s="1217">
        <f t="shared" si="12"/>
        <v>1.3375278008938521E-4</v>
      </c>
      <c r="M48" s="1217"/>
      <c r="N48" s="1219">
        <f>N46/O46</f>
        <v>8.2827480775577115E-3</v>
      </c>
      <c r="Q48" s="366">
        <f>P46+Q47</f>
        <v>-57538.628925840152</v>
      </c>
      <c r="R48" t="s">
        <v>708</v>
      </c>
    </row>
    <row r="49" spans="1:17">
      <c r="A49" s="251"/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250"/>
    </row>
    <row r="50" spans="1:17">
      <c r="A50" s="256" t="s">
        <v>540</v>
      </c>
      <c r="B50" s="1224">
        <f t="shared" ref="B50:H50" si="13">-B42/B38</f>
        <v>0.25018893114713486</v>
      </c>
      <c r="C50" s="1224">
        <f t="shared" si="13"/>
        <v>0.23</v>
      </c>
      <c r="D50" s="1224">
        <f t="shared" si="13"/>
        <v>0.31274996489017415</v>
      </c>
      <c r="E50" s="1224">
        <f>E42/E38</f>
        <v>-0.30024013750571471</v>
      </c>
      <c r="F50" s="1224">
        <f t="shared" si="13"/>
        <v>0.30000000000966609</v>
      </c>
      <c r="G50" s="1224">
        <f t="shared" si="13"/>
        <v>6.9488917480426307E-2</v>
      </c>
      <c r="H50" s="1224">
        <f t="shared" si="13"/>
        <v>0.15798968985323564</v>
      </c>
      <c r="I50" s="1224">
        <f>-I42/(I38+P46)</f>
        <v>0.28355067691753949</v>
      </c>
      <c r="J50" s="1224">
        <f>-J42/J38</f>
        <v>0.3</v>
      </c>
      <c r="K50" s="1224">
        <f>-K42/K38</f>
        <v>0.2431283971858651</v>
      </c>
      <c r="L50" s="1224">
        <f>-L42/L38</f>
        <v>0.20611119048662022</v>
      </c>
      <c r="M50" s="1224"/>
      <c r="N50" s="1225">
        <f>-N42/N38</f>
        <v>0.34437788869824559</v>
      </c>
    </row>
    <row r="51" spans="1:17">
      <c r="A51" s="251"/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257"/>
    </row>
    <row r="52" spans="1:17">
      <c r="A52" s="258" t="s">
        <v>425</v>
      </c>
      <c r="B52" s="615">
        <f>GROUP!G9+GROUP!G10+GROUP!G13+GROUP!G16</f>
        <v>397116444.85448623</v>
      </c>
      <c r="C52" s="615">
        <f>EBKL!B8+EBKL!B12+EBKL!B15+EBKL!B9</f>
        <v>315945772.62575996</v>
      </c>
      <c r="D52" s="615">
        <f>SUM(E_BCDC!C8:C9,E_BCDC!C12,E_BCDC!C15)</f>
        <v>21351864</v>
      </c>
      <c r="E52" s="615">
        <f>EBSSL!C9+EBSSL!C10+EBSSL!C13+EBSSL!C16</f>
        <v>0</v>
      </c>
      <c r="F52" s="615">
        <f>EBRL!C10+EBRL!C11+EBRL!C14+EBRL!C17</f>
        <v>18990519.4964552</v>
      </c>
      <c r="G52" s="615">
        <f>EBTL!C9+EBTL!C10+EBTL!C13+EBTL!C16</f>
        <v>9133621.3694213834</v>
      </c>
      <c r="H52" s="615">
        <f>EBUL!C10+EBUL!C11+EBUL!C14+EBUL!C17</f>
        <v>27561457.155549373</v>
      </c>
      <c r="I52" s="615">
        <f>SUM('EGH Plc'!B9:B10,'EGH Plc'!B13,'EGH Plc'!B16)</f>
        <v>0</v>
      </c>
      <c r="J52" s="615">
        <f>EIAL!B10</f>
        <v>107883.35223</v>
      </c>
      <c r="K52" s="615">
        <f>EIBL!B15+EIBL!B12</f>
        <v>13786.50273</v>
      </c>
      <c r="L52" s="615">
        <f>Others!B17+Others!B14</f>
        <v>60152.187157468812</v>
      </c>
      <c r="M52" s="615">
        <f>'EIGHL&amp;ELAK'!B9+'EIGHL&amp;ELAK'!B10+'EIGHL&amp;ELAK'!B13+'EIGHL&amp;ELAK'!B16</f>
        <v>3644340.223972877</v>
      </c>
      <c r="N52" s="616">
        <v>0</v>
      </c>
      <c r="O52" s="627">
        <f>SUM(C52:N52)</f>
        <v>396809396.9132762</v>
      </c>
      <c r="P52" s="367">
        <f>B52-O52</f>
        <v>307047.94121003151</v>
      </c>
    </row>
    <row r="53" spans="1:17">
      <c r="A53" s="256" t="s">
        <v>166</v>
      </c>
      <c r="B53" s="1224">
        <f>((GROUP!G9+GROUP!G10+GROUP!G13+GROUP!G16)-(GROUP!H9+GROUP!H10+GROUP!H13+GROUP!H16))/(GROUP!H9+GROUP!H10+GROUP!H13+GROUP!H16)</f>
        <v>1.8898663613820955E-2</v>
      </c>
      <c r="C53" s="1224">
        <f>((EBKL!B8+EBKL!B12+EBKL!B15+EBKL!B9)-(EBKL!C8+EBKL!C12+EBKL!C15+EBKL!C9))/(EBKL!C8+EBKL!C12+EBKL!C15+EBKL!C9)</f>
        <v>-6.5041657355066188E-2</v>
      </c>
      <c r="D53" s="1224">
        <f>(SUM(E_BCDC!C8:C9,E_BCDC!C12,E_BCDC!C15)-SUM(E_BCDC!E8:E9,E_BCDC!E12,E_BCDC!E15))/(SUM(E_BCDC!E8:E9,E_BCDC!E12,E_BCDC!E15))</f>
        <v>0.48182716711940143</v>
      </c>
      <c r="E53" s="1224" t="e">
        <f>((EBSSL!C9+EBSSL!C10+EBSSL!C13+EBSSL!C16)-(EBSSL!E9+EBSSL!E10+EBSSL!E13+EBSSL!E16))/(EBSSL!E9+EBSSL!E10+EBSSL!E13+EBSSL!E16)</f>
        <v>#DIV/0!</v>
      </c>
      <c r="F53" s="1224">
        <f>((EBRL!C10+EBRL!C11+EBRL!C14+EBRL!C17)-(EBRL!D10+EBRL!D11+EBRL!D14+EBRL!D17))/(EBRL!D10+EBRL!D11+EBRL!D14+EBRL!D17)</f>
        <v>0.51505490426614398</v>
      </c>
      <c r="G53" s="1224">
        <f>((EBTL!C9+EBTL!C10+EBTL!C13+EBTL!C16)-(EBTL!D9+EBTL!D10+EBTL!D13+EBTL!D16))/(EBTL!D9+EBTL!D10+EBTL!D13+EBTL!D16)</f>
        <v>0.3159531434025214</v>
      </c>
      <c r="H53" s="1224">
        <f>((EBUL!C10+EBUL!C11+EBUL!C14+EBUL!C17)-(EBUL!D10+EBUL!D11+EBUL!D14+EBUL!D17))/(EBUL!D10+EBUL!D11+EBUL!D14+EBUL!D1)</f>
        <v>0.58292017485917258</v>
      </c>
      <c r="I53" s="1224" t="e">
        <f>(Summary!I52-SUM('EGH Plc'!C9:C10,'EGH Plc'!C13,'EGH Plc'!C16))/SUM('EGH Plc'!C9:C10,'EGH Plc'!C13,'EGH Plc'!C16)</f>
        <v>#DIV/0!</v>
      </c>
      <c r="J53" s="1224">
        <v>0</v>
      </c>
      <c r="K53" s="1224">
        <f>(EIBL!B15-EIBL!C15)/EIBL!C15</f>
        <v>-1.5826217163021822E-2</v>
      </c>
      <c r="L53" s="1224">
        <f>((Others!B14+Others!B17)-(Others!C14+Others!C17))/(Others!C14+Others!C17)</f>
        <v>-3.8710225334443314E-2</v>
      </c>
      <c r="M53" s="12"/>
      <c r="N53" s="259">
        <v>0</v>
      </c>
    </row>
    <row r="54" spans="1:17">
      <c r="A54" s="256" t="s">
        <v>170</v>
      </c>
      <c r="B54" s="1224"/>
      <c r="C54" s="1226">
        <f t="shared" ref="C54:L54" si="14">C52/$O$52</f>
        <v>0.79621545024754237</v>
      </c>
      <c r="D54" s="1226">
        <f t="shared" si="14"/>
        <v>5.3808866841594756E-2</v>
      </c>
      <c r="E54" s="1226">
        <f t="shared" si="14"/>
        <v>0</v>
      </c>
      <c r="F54" s="1226">
        <f t="shared" si="14"/>
        <v>4.7858038756591316E-2</v>
      </c>
      <c r="G54" s="1226">
        <f t="shared" si="14"/>
        <v>2.3017653917650448E-2</v>
      </c>
      <c r="H54" s="1226">
        <f t="shared" si="14"/>
        <v>6.9457672549959812E-2</v>
      </c>
      <c r="I54" s="1226">
        <f t="shared" si="14"/>
        <v>0</v>
      </c>
      <c r="J54" s="1226">
        <f t="shared" si="14"/>
        <v>2.7187700964041993E-4</v>
      </c>
      <c r="K54" s="1226">
        <f t="shared" si="14"/>
        <v>3.4743387725298952E-5</v>
      </c>
      <c r="L54" s="1226">
        <f t="shared" si="14"/>
        <v>1.5158962369687842E-4</v>
      </c>
      <c r="M54" s="14"/>
      <c r="N54" s="262">
        <f>N52/SUM($C$52:$N$52)</f>
        <v>0</v>
      </c>
    </row>
    <row r="55" spans="1:17">
      <c r="A55" s="252"/>
      <c r="B55" s="17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253"/>
    </row>
    <row r="56" spans="1:17">
      <c r="A56" s="258" t="s">
        <v>457</v>
      </c>
      <c r="B56" s="615">
        <f>SUM(GROUP!G7,GROUP!G8,GROUP!G11,GROUP!G12)</f>
        <v>243924248.6541577</v>
      </c>
      <c r="C56" s="617">
        <f>SUM(EBKL!B6:B7,EBKL!B10:B11)</f>
        <v>63571283.037701994</v>
      </c>
      <c r="D56" s="617">
        <f>SUM(E_BCDC!C6:C7,E_BCDC!C10:C11)</f>
        <v>208586197.05103996</v>
      </c>
      <c r="E56" s="617">
        <f>SUM(EBSSL!C7:C8,EBSSL!C11:C12)</f>
        <v>16863181.438397378</v>
      </c>
      <c r="F56" s="617">
        <f>SUM(EBRL!C8:C9,EBRL!C12:C13)</f>
        <v>23448191.306455676</v>
      </c>
      <c r="G56" s="617">
        <f>SUM(EBTL!C7:C8,EBTL!C11:C12)</f>
        <v>8415317.3010414224</v>
      </c>
      <c r="H56" s="617">
        <f>SUM(EBUL!C8:C9,EBUL!C12:C13)</f>
        <v>32930203.646053337</v>
      </c>
      <c r="I56" s="617">
        <f>'EGH Plc'!B7</f>
        <v>14773106.155630002</v>
      </c>
      <c r="J56" s="617">
        <f>EIAL!B8</f>
        <v>214098.81602999999</v>
      </c>
      <c r="K56" s="617">
        <f>EIBL!B6+EIBL!B10</f>
        <v>306083.23533999996</v>
      </c>
      <c r="L56" s="617">
        <f>Others!B8</f>
        <v>69053.968838000001</v>
      </c>
      <c r="M56" s="617">
        <f>'EIGHL&amp;ELAK'!B7+'EIGHL&amp;ELAK'!B8+'EIGHL&amp;ELAK'!B11+'EIGHL&amp;ELAK'!B12</f>
        <v>291218.77483999991</v>
      </c>
      <c r="N56" s="616">
        <f>'FinAL&amp;Azenia'!B6+'FinAL&amp;Azenia'!B7+'FinAL&amp;Azenia'!B10+'FinAL&amp;Azenia'!B11</f>
        <v>1365707.2754868967</v>
      </c>
      <c r="O56" s="627">
        <f>SUM(C56:N56)</f>
        <v>370833642.00685459</v>
      </c>
      <c r="P56" s="620">
        <f>B56-O56</f>
        <v>-126909393.3526969</v>
      </c>
      <c r="Q56" s="366" t="s">
        <v>102</v>
      </c>
    </row>
    <row r="57" spans="1:17">
      <c r="A57" s="256" t="s">
        <v>166</v>
      </c>
      <c r="B57" s="1224">
        <f>(SUM(GROUP!G7,GROUP!G8,GROUP!G11,GROUP!G12)-SUM(GROUP!H7,GROUP!H8,GROUP!H11,GROUP!H12))/SUM(GROUP!H7,GROUP!H8,GROUP!H11,GROUP!H12)</f>
        <v>0.48817460367048232</v>
      </c>
      <c r="C57" s="1224">
        <f>(SUM(EBKL!B6:B7,EBKL!B10:B11)-SUM(EBKL!C6:C7,EBKL!C10:C11))/SUM(EBKL!C6:C7,EBKL!C10:C11)</f>
        <v>0.22312393567745595</v>
      </c>
      <c r="D57" s="1224">
        <f>(SUM(E_BCDC!C6:C7,E_BCDC!C10:C11)-SUM(E_BCDC!E6:E7,E_BCDC!E10:E11))/(SUM(E_BCDC!E6:E7,E_BCDC!E10:E11))</f>
        <v>0.25815663715096626</v>
      </c>
      <c r="E57" s="1224">
        <f>(SUM(EBSSL!C7:C8,EBSSL!C11:C12)-SUM(EBSSL!E7:E8,EBSSL!E11:E12))/SUM(EBSSL!E7:E8,EBSSL!E11:E12)</f>
        <v>0.27641537622075568</v>
      </c>
      <c r="F57" s="1224">
        <f>(SUM(EBRL!C8:C9,EBRL!C12:C13)-SUM(EBRL!D8:D9,EBRL!D12:D13))/SUM(EBRL!D8:D9,EBRL!D12:D13)</f>
        <v>0.35904153170744807</v>
      </c>
      <c r="G57" s="1224">
        <f>(SUM(EBTL!C7:C8,EBTL!C11:C12)-SUM(EBTL!D7:D8,EBTL!D11:D12))/SUM(EBTL!D7:D8,EBTL!D11:D12)</f>
        <v>0.2914292625082513</v>
      </c>
      <c r="H57" s="1224">
        <f>(SUM(EBUL!C8:C9,EBUL!C12:C13)-SUM(EBUL!D8:D9,EBUL!D12:D13))/SUM(EBUL!D8:D9,EBUL!D12:D13)</f>
        <v>1.2421138382608898</v>
      </c>
      <c r="I57" s="1224">
        <f>'EGH Plc'!E7</f>
        <v>-0.19194825037228117</v>
      </c>
      <c r="J57" s="1224">
        <f>EIAL!E8</f>
        <v>-0.6188468484212486</v>
      </c>
      <c r="K57" s="1224">
        <f>EIBL!E6</f>
        <v>-0.16462354609051824</v>
      </c>
      <c r="L57" s="1224">
        <f>Others!E8</f>
        <v>0.14453702973923596</v>
      </c>
      <c r="M57" s="1224"/>
      <c r="N57" s="1225">
        <f>'FinAL&amp;Azenia'!I6</f>
        <v>0.46001857106920879</v>
      </c>
      <c r="Q57" s="366">
        <f>GROUP!F7+GROUP!F12</f>
        <v>126909393.35269694</v>
      </c>
    </row>
    <row r="58" spans="1:17">
      <c r="A58" s="256" t="s">
        <v>170</v>
      </c>
      <c r="B58" s="1224"/>
      <c r="C58" s="1226">
        <f t="shared" ref="C58:L58" si="15">C56/$O$56</f>
        <v>0.17142803628514083</v>
      </c>
      <c r="D58" s="1226">
        <f t="shared" si="15"/>
        <v>0.56247916430188494</v>
      </c>
      <c r="E58" s="1226">
        <f t="shared" si="15"/>
        <v>4.5473709847731865E-2</v>
      </c>
      <c r="F58" s="1226">
        <f t="shared" si="15"/>
        <v>6.3231025048213541E-2</v>
      </c>
      <c r="G58" s="1226">
        <f t="shared" si="15"/>
        <v>2.2692971585587349E-2</v>
      </c>
      <c r="H58" s="1226">
        <f t="shared" si="15"/>
        <v>8.8800475242331561E-2</v>
      </c>
      <c r="I58" s="1226">
        <f t="shared" si="15"/>
        <v>3.9837556473252586E-2</v>
      </c>
      <c r="J58" s="1226">
        <f t="shared" si="15"/>
        <v>5.7734464130965364E-4</v>
      </c>
      <c r="K58" s="1226">
        <f t="shared" si="15"/>
        <v>8.2539230713685413E-4</v>
      </c>
      <c r="L58" s="1226">
        <f t="shared" si="15"/>
        <v>1.8621279467606551E-4</v>
      </c>
      <c r="M58" s="1226"/>
      <c r="N58" s="1225">
        <f>N56/O56</f>
        <v>3.6828030706600578E-3</v>
      </c>
      <c r="Q58" s="366">
        <f>P56+Q57</f>
        <v>0</v>
      </c>
    </row>
    <row r="59" spans="1:17">
      <c r="A59" s="252"/>
      <c r="B59" s="17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253"/>
    </row>
    <row r="60" spans="1:17">
      <c r="A60" s="258" t="s">
        <v>456</v>
      </c>
      <c r="B60" s="615">
        <f>GROUP!G15</f>
        <v>770505605.81166875</v>
      </c>
      <c r="C60" s="617">
        <f>EBKL!B14</f>
        <v>451007472.804892</v>
      </c>
      <c r="D60" s="617">
        <f>E_BCDC!C14</f>
        <v>201554229.17234275</v>
      </c>
      <c r="E60" s="617">
        <f>EBSSL!C15</f>
        <v>519673.6213686468</v>
      </c>
      <c r="F60" s="617">
        <f>EBRL!C16</f>
        <v>29494255.296607707</v>
      </c>
      <c r="G60" s="617">
        <f>EBTL!C15</f>
        <v>25378049.024738099</v>
      </c>
      <c r="H60" s="617">
        <f>EBUL!C16</f>
        <v>62551925.891719624</v>
      </c>
      <c r="I60" s="617">
        <f>'EGH Plc'!B15</f>
        <v>0</v>
      </c>
      <c r="J60" s="617">
        <v>0</v>
      </c>
      <c r="K60" s="617">
        <v>0</v>
      </c>
      <c r="L60" s="617">
        <v>0</v>
      </c>
      <c r="M60" s="617">
        <f>'EIGHL&amp;ELAK'!B15</f>
        <v>0</v>
      </c>
      <c r="N60" s="616">
        <f>'FinAL&amp;Azenia'!B14</f>
        <v>0</v>
      </c>
      <c r="O60" s="627">
        <f>SUM(C60:N60)</f>
        <v>770505605.81166875</v>
      </c>
      <c r="P60" s="367">
        <f>B60-O60</f>
        <v>0</v>
      </c>
    </row>
    <row r="61" spans="1:17">
      <c r="A61" s="256" t="s">
        <v>166</v>
      </c>
      <c r="B61" s="1224">
        <f>GROUP!J15</f>
        <v>0.21166435150976592</v>
      </c>
      <c r="C61" s="1224">
        <f>EBKL!E14</f>
        <v>0.1038938982926127</v>
      </c>
      <c r="D61" s="1224">
        <f>E_BCDC!G14</f>
        <v>0.5678301026369974</v>
      </c>
      <c r="E61" s="1224">
        <f>EBSSL!G15</f>
        <v>0.7472922055684047</v>
      </c>
      <c r="F61" s="1224">
        <f>EBRL!F16</f>
        <v>6.3189006010366686E-2</v>
      </c>
      <c r="G61" s="1224">
        <f>EBTL!F15</f>
        <v>0.26089764730175513</v>
      </c>
      <c r="H61" s="1224">
        <f>EBUL!F16</f>
        <v>0.23560789951318625</v>
      </c>
      <c r="I61" s="1224">
        <f>'EGH Plc'!E15</f>
        <v>0</v>
      </c>
      <c r="J61" s="1224">
        <v>0</v>
      </c>
      <c r="K61" s="1224">
        <v>0</v>
      </c>
      <c r="L61" s="1224">
        <v>0</v>
      </c>
      <c r="M61" s="1224"/>
      <c r="N61" s="1225">
        <v>0</v>
      </c>
    </row>
    <row r="62" spans="1:17">
      <c r="A62" s="256" t="s">
        <v>170</v>
      </c>
      <c r="B62" s="1224"/>
      <c r="C62" s="1226">
        <f>C60/$O$60</f>
        <v>0.58533963854784687</v>
      </c>
      <c r="D62" s="1226"/>
      <c r="E62" s="1226">
        <f t="shared" ref="E62:L62" si="16">E60/$O$60</f>
        <v>6.7445793703370968E-4</v>
      </c>
      <c r="F62" s="1226">
        <f t="shared" si="16"/>
        <v>3.8279092422095699E-2</v>
      </c>
      <c r="G62" s="1226">
        <f t="shared" si="16"/>
        <v>3.2936877854385323E-2</v>
      </c>
      <c r="H62" s="1226">
        <f t="shared" si="16"/>
        <v>8.1182960149687622E-2</v>
      </c>
      <c r="I62" s="1226">
        <f t="shared" si="16"/>
        <v>0</v>
      </c>
      <c r="J62" s="1226">
        <f t="shared" si="16"/>
        <v>0</v>
      </c>
      <c r="K62" s="1226">
        <f t="shared" si="16"/>
        <v>0</v>
      </c>
      <c r="L62" s="1226">
        <f t="shared" si="16"/>
        <v>0</v>
      </c>
      <c r="M62" s="1226"/>
      <c r="N62" s="1225">
        <f>N60/O60</f>
        <v>0</v>
      </c>
    </row>
    <row r="63" spans="1:17" s="1" customFormat="1">
      <c r="A63" s="260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261"/>
      <c r="O63" s="627"/>
      <c r="P63" s="368"/>
      <c r="Q63" s="366"/>
    </row>
    <row r="64" spans="1:17">
      <c r="A64" s="258" t="s">
        <v>168</v>
      </c>
      <c r="B64" s="618">
        <f>GROUP!G32</f>
        <v>1122963766.9462299</v>
      </c>
      <c r="C64" s="617">
        <f>EBKL!B31</f>
        <v>552549008.54595459</v>
      </c>
      <c r="D64" s="617">
        <f>E_BCDC!C31</f>
        <v>378571937.75055081</v>
      </c>
      <c r="E64" s="617">
        <f>EBSSL!C32</f>
        <v>12054483.138299569</v>
      </c>
      <c r="F64" s="617">
        <f>EBRL!C33</f>
        <v>56690610.436411113</v>
      </c>
      <c r="G64" s="617">
        <f>EBTL!C32</f>
        <v>34977349.174763709</v>
      </c>
      <c r="H64" s="617">
        <f>EBUL!C33</f>
        <v>104397102.66634911</v>
      </c>
      <c r="I64" s="617">
        <f>'EGH Plc'!B32</f>
        <v>0</v>
      </c>
      <c r="J64" s="617">
        <v>0</v>
      </c>
      <c r="K64" s="617">
        <v>0</v>
      </c>
      <c r="L64" s="617">
        <v>0</v>
      </c>
      <c r="M64" s="617">
        <f>'EIGHL&amp;ELAK'!B32</f>
        <v>0</v>
      </c>
      <c r="N64" s="616">
        <v>0</v>
      </c>
      <c r="O64" s="627">
        <f>SUM(C64:N64)</f>
        <v>1139240491.7123289</v>
      </c>
      <c r="P64" s="367">
        <f>B64-O64</f>
        <v>-16276724.766098976</v>
      </c>
      <c r="Q64" s="366" t="s">
        <v>102</v>
      </c>
    </row>
    <row r="65" spans="1:24">
      <c r="A65" s="256" t="s">
        <v>166</v>
      </c>
      <c r="B65" s="1224">
        <f>GROUP!J32</f>
        <v>0.25724636272631668</v>
      </c>
      <c r="C65" s="1224">
        <f>EBKL!E31</f>
        <v>0.12637618557263863</v>
      </c>
      <c r="D65" s="1224">
        <f>E_BCDC!G31</f>
        <v>0.36518112582644413</v>
      </c>
      <c r="E65" s="1224">
        <f>EBSSL!G32</f>
        <v>0.29552154704503625</v>
      </c>
      <c r="F65" s="1224">
        <f>EBRL!F33</f>
        <v>0.35226492411876187</v>
      </c>
      <c r="G65" s="1224">
        <f>EBTL!F32</f>
        <v>0.29591821769304022</v>
      </c>
      <c r="H65" s="1224">
        <f>EBUL!F33</f>
        <v>0.49700128121338955</v>
      </c>
      <c r="I65" s="1224">
        <f>'EGH Plc'!E32</f>
        <v>0</v>
      </c>
      <c r="J65" s="1224">
        <v>0</v>
      </c>
      <c r="K65" s="1224">
        <v>0</v>
      </c>
      <c r="L65" s="1224">
        <v>0</v>
      </c>
      <c r="M65" s="12"/>
      <c r="N65" s="259">
        <v>0</v>
      </c>
      <c r="Q65" s="366">
        <f>GROUP!D32</f>
        <v>16276724.766099002</v>
      </c>
    </row>
    <row r="66" spans="1:24">
      <c r="A66" s="256" t="s">
        <v>170</v>
      </c>
      <c r="B66" s="1224"/>
      <c r="C66" s="1226">
        <f t="shared" ref="C66:L66" si="17">C64/$O$64</f>
        <v>0.48501524705766819</v>
      </c>
      <c r="D66" s="1226">
        <f t="shared" si="17"/>
        <v>0.33230203851123691</v>
      </c>
      <c r="E66" s="1226">
        <f t="shared" si="17"/>
        <v>1.0581157557155598E-2</v>
      </c>
      <c r="F66" s="1226">
        <f t="shared" si="17"/>
        <v>4.9761758688196392E-2</v>
      </c>
      <c r="G66" s="1226">
        <f t="shared" si="17"/>
        <v>3.0702340225101377E-2</v>
      </c>
      <c r="H66" s="1226">
        <f t="shared" si="17"/>
        <v>9.1637457960641516E-2</v>
      </c>
      <c r="I66" s="1226">
        <f t="shared" si="17"/>
        <v>0</v>
      </c>
      <c r="J66" s="1226">
        <f t="shared" si="17"/>
        <v>0</v>
      </c>
      <c r="K66" s="1226">
        <f t="shared" si="17"/>
        <v>0</v>
      </c>
      <c r="L66" s="1226">
        <f t="shared" si="17"/>
        <v>0</v>
      </c>
      <c r="M66" s="14"/>
      <c r="N66" s="259">
        <f>N64/O64</f>
        <v>0</v>
      </c>
      <c r="Q66" s="366">
        <f>P64+Q65</f>
        <v>2.6077032089233398E-8</v>
      </c>
    </row>
    <row r="67" spans="1:24">
      <c r="A67" s="260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261"/>
    </row>
    <row r="68" spans="1:24">
      <c r="A68" s="258" t="s">
        <v>459</v>
      </c>
      <c r="B68" s="618">
        <f>GROUP!G36+GROUP!G35</f>
        <v>161313155.26681402</v>
      </c>
      <c r="C68" s="617">
        <f>EBKL!B35+EBKL!B34</f>
        <v>134267247.24749324</v>
      </c>
      <c r="D68" s="617">
        <f>E_BCDC!C35</f>
        <v>1474030.0227999999</v>
      </c>
      <c r="E68" s="617">
        <f>EBSSL!C36</f>
        <v>0</v>
      </c>
      <c r="F68" s="617">
        <f>EBRL!C37+EBRL!C36</f>
        <v>4082512.585873561</v>
      </c>
      <c r="G68" s="617">
        <f>EBTL!C36+EBTL!C35</f>
        <v>3759923.5441472321</v>
      </c>
      <c r="H68" s="617">
        <f>EBUL!C37+EBUL!C36</f>
        <v>4163851.7872632993</v>
      </c>
      <c r="I68" s="617">
        <f>'EGH Plc'!B36</f>
        <v>13711889.087680001</v>
      </c>
      <c r="J68" s="617">
        <v>0</v>
      </c>
      <c r="K68" s="617">
        <v>0</v>
      </c>
      <c r="L68" s="617">
        <v>0</v>
      </c>
      <c r="M68" s="617"/>
      <c r="N68" s="616">
        <v>0</v>
      </c>
      <c r="O68" s="627">
        <f>SUM(C68:N68)</f>
        <v>161459454.27525735</v>
      </c>
      <c r="P68" s="367">
        <f>B68-O68</f>
        <v>-146299.00844332576</v>
      </c>
      <c r="Q68" s="366" t="s">
        <v>102</v>
      </c>
    </row>
    <row r="69" spans="1:24">
      <c r="A69" s="256" t="s">
        <v>166</v>
      </c>
      <c r="B69" s="1224">
        <f>((GROUP!G36+GROUP!G35)-(GROUP!H36+GROUP!H35))/(GROUP!H36+GROUP!H35)</f>
        <v>-9.2300033639582058E-2</v>
      </c>
      <c r="C69" s="1224">
        <f>((EBKL!B35+EBKL!B34)-(EBKL!C35+EBKL!C34))/(EBKL!C35+EBKL!C34)</f>
        <v>-9.3998390977282478E-2</v>
      </c>
      <c r="D69" s="1224">
        <f>E_BCDC!G35</f>
        <v>-0.80707015710795216</v>
      </c>
      <c r="E69" s="1224">
        <v>0</v>
      </c>
      <c r="F69" s="1224">
        <f>((EBRL!C37+EBRL!C36)-(EBRL!D37+EBRL!D36))/(EBRL!D37+EBRL!D36)</f>
        <v>-0.46481453939658612</v>
      </c>
      <c r="G69" s="1224">
        <f>((EBTL!C36+EBTL!C35)-(EBTL!D36+EBTL!D35))/(EBTL!D36+EBTL!D35)</f>
        <v>5.9247001105813178E-2</v>
      </c>
      <c r="H69" s="1224">
        <f>((EBUL!C37+EBUL!C36)-(EBUL!D37+EBUL!D36))/(EBUL!D37+EBUL!D36)</f>
        <v>0.61795879318621894</v>
      </c>
      <c r="I69" s="1224">
        <f>'EGH Plc'!E36</f>
        <v>0.17733824211857904</v>
      </c>
      <c r="J69" s="1224">
        <v>0</v>
      </c>
      <c r="K69" s="1224">
        <v>0</v>
      </c>
      <c r="L69" s="1224">
        <v>0</v>
      </c>
      <c r="M69" s="1224"/>
      <c r="N69" s="259">
        <v>0</v>
      </c>
      <c r="O69" s="629"/>
      <c r="P69" s="618"/>
      <c r="Q69" s="617">
        <f>GROUP!D35+GROUP!D36</f>
        <v>146299.00844330111</v>
      </c>
      <c r="R69" s="617"/>
      <c r="S69" s="617"/>
      <c r="T69" s="617"/>
      <c r="U69" s="617"/>
      <c r="V69" s="617"/>
      <c r="W69" s="617"/>
      <c r="X69" s="367"/>
    </row>
    <row r="70" spans="1:24">
      <c r="A70" s="256" t="s">
        <v>170</v>
      </c>
      <c r="B70" s="1224"/>
      <c r="C70" s="1226">
        <f t="shared" ref="C70:L70" si="18">C68/$O$68</f>
        <v>0.83158491926148459</v>
      </c>
      <c r="D70" s="1226">
        <f t="shared" si="18"/>
        <v>9.129412888309792E-3</v>
      </c>
      <c r="E70" s="1226">
        <f t="shared" si="18"/>
        <v>0</v>
      </c>
      <c r="F70" s="1226">
        <f t="shared" si="18"/>
        <v>2.5285063697252818E-2</v>
      </c>
      <c r="G70" s="1226">
        <f t="shared" si="18"/>
        <v>2.3287106729205743E-2</v>
      </c>
      <c r="H70" s="1226">
        <f t="shared" si="18"/>
        <v>2.5788838479317119E-2</v>
      </c>
      <c r="I70" s="1226">
        <f t="shared" si="18"/>
        <v>8.4924658944429882E-2</v>
      </c>
      <c r="J70" s="1226">
        <f t="shared" si="18"/>
        <v>0</v>
      </c>
      <c r="K70" s="1226">
        <f t="shared" si="18"/>
        <v>0</v>
      </c>
      <c r="L70" s="1226">
        <f t="shared" si="18"/>
        <v>0</v>
      </c>
      <c r="M70" s="1226"/>
      <c r="N70" s="259">
        <f>N68/O68</f>
        <v>0</v>
      </c>
      <c r="O70" s="630"/>
      <c r="P70" s="16"/>
      <c r="Q70" s="668">
        <f>P68+Q69</f>
        <v>-2.4650944396853447E-8</v>
      </c>
      <c r="R70" s="12"/>
      <c r="S70" s="12"/>
      <c r="T70" s="12"/>
      <c r="U70" s="12"/>
      <c r="V70" s="12"/>
      <c r="W70" s="12"/>
      <c r="X70" s="368"/>
    </row>
    <row r="71" spans="1:24">
      <c r="A71" s="260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261"/>
      <c r="O71" s="630"/>
      <c r="P71" s="16"/>
      <c r="Q71" s="668"/>
      <c r="R71" s="14"/>
      <c r="S71" s="14"/>
      <c r="T71" s="14"/>
      <c r="U71" s="14"/>
      <c r="V71" s="14"/>
      <c r="W71" s="14"/>
      <c r="X71" s="368"/>
    </row>
    <row r="72" spans="1:24">
      <c r="A72" s="258" t="s">
        <v>455</v>
      </c>
      <c r="B72" s="615">
        <f>GROUP!G28</f>
        <v>1542174983.6313822</v>
      </c>
      <c r="C72" s="617">
        <f>EBKL!B27</f>
        <v>910295161.51445615</v>
      </c>
      <c r="D72" s="617">
        <f>E_BCDC!C27</f>
        <v>469335989.65155095</v>
      </c>
      <c r="E72" s="617">
        <f>EBSSL!C28</f>
        <v>18096833.457547493</v>
      </c>
      <c r="F72" s="617">
        <f>EBRL!C29</f>
        <v>74336909.368715227</v>
      </c>
      <c r="G72" s="617">
        <f>EBTL!C28</f>
        <v>47257281.258793131</v>
      </c>
      <c r="H72" s="617">
        <f>EBUL!C29</f>
        <v>131296666.07912698</v>
      </c>
      <c r="I72" s="617">
        <f>'EGH Plc'!B28</f>
        <v>110850271.55396985</v>
      </c>
      <c r="J72" s="617">
        <f>EIAL!B29</f>
        <v>672554.106654</v>
      </c>
      <c r="K72" s="617">
        <f>EIBL!B27</f>
        <v>718676.64044316672</v>
      </c>
      <c r="L72" s="617">
        <f>Others!B29</f>
        <v>565110.17875429883</v>
      </c>
      <c r="M72" s="617">
        <f>'EIGHL&amp;ELAK'!B28</f>
        <v>6317614.0112614762</v>
      </c>
      <c r="N72" s="616">
        <f>'FinAL&amp;Azenia'!B27</f>
        <v>6480642.9667803068</v>
      </c>
      <c r="O72" s="627">
        <f>SUM(C72:N72)</f>
        <v>1776223710.788053</v>
      </c>
      <c r="P72" s="367">
        <f>B72-O72</f>
        <v>-234048727.15667081</v>
      </c>
      <c r="Q72" s="366" t="s">
        <v>102</v>
      </c>
    </row>
    <row r="73" spans="1:24">
      <c r="A73" s="256" t="s">
        <v>166</v>
      </c>
      <c r="B73" s="1224">
        <f>GROUP!J28</f>
        <v>0.19418388877918072</v>
      </c>
      <c r="C73" s="1224">
        <f>EBKL!E27</f>
        <v>5.9932104332442872E-2</v>
      </c>
      <c r="D73" s="1224">
        <f>E_BCDC!G27</f>
        <v>0.3927336853444402</v>
      </c>
      <c r="E73" s="1224">
        <f>EBSSL!G28</f>
        <v>0.28164390591994298</v>
      </c>
      <c r="F73" s="1224">
        <f>EBRL!F29</f>
        <v>0.25390610162556865</v>
      </c>
      <c r="G73" s="1224">
        <f>EBTL!F28</f>
        <v>0.2877054034715944</v>
      </c>
      <c r="H73" s="1224">
        <f>EBUL!F29</f>
        <v>0.46731406692996746</v>
      </c>
      <c r="I73" s="1224">
        <f>'EGH Plc'!E28</f>
        <v>0.10859747521795714</v>
      </c>
      <c r="J73" s="1224">
        <f>EIAL!E29</f>
        <v>-0.52828674193366243</v>
      </c>
      <c r="K73" s="1224">
        <f>EIBL!E27</f>
        <v>-0.14023558161998048</v>
      </c>
      <c r="L73" s="1224">
        <f>Others!E29</f>
        <v>1.0487092654769575E-2</v>
      </c>
      <c r="M73" s="1224"/>
      <c r="N73" s="1225">
        <f>'FinAL&amp;Azenia'!I27</f>
        <v>3.7821138232389868E-2</v>
      </c>
      <c r="O73" s="629"/>
      <c r="P73" s="618"/>
      <c r="Q73" s="617">
        <f>GROUP!F28-GROUP!D28</f>
        <v>234048727.15717056</v>
      </c>
      <c r="R73" s="617"/>
      <c r="S73" s="617"/>
      <c r="T73" s="617"/>
      <c r="U73" s="617"/>
      <c r="V73" s="617"/>
      <c r="W73" s="617"/>
      <c r="X73" s="367"/>
    </row>
    <row r="74" spans="1:24">
      <c r="A74" s="256" t="s">
        <v>170</v>
      </c>
      <c r="B74" s="1224"/>
      <c r="C74" s="1226">
        <f>C72/$O$72</f>
        <v>0.51248902713419342</v>
      </c>
      <c r="D74" s="1226"/>
      <c r="E74" s="1226">
        <f t="shared" ref="E74:L74" si="19">E72/$O$72</f>
        <v>1.0188375117185275E-2</v>
      </c>
      <c r="F74" s="1226">
        <f t="shared" si="19"/>
        <v>4.1851096186377529E-2</v>
      </c>
      <c r="G74" s="1226">
        <f t="shared" si="19"/>
        <v>2.6605478224264106E-2</v>
      </c>
      <c r="H74" s="1226">
        <f t="shared" si="19"/>
        <v>7.3918991893692776E-2</v>
      </c>
      <c r="I74" s="1226">
        <f t="shared" si="19"/>
        <v>6.2407832347193E-2</v>
      </c>
      <c r="J74" s="1226">
        <f t="shared" si="19"/>
        <v>3.7864268029369426E-4</v>
      </c>
      <c r="K74" s="1226">
        <f t="shared" si="19"/>
        <v>4.0460930460404289E-4</v>
      </c>
      <c r="L74" s="1226">
        <f t="shared" si="19"/>
        <v>3.1815259267290027E-4</v>
      </c>
      <c r="M74" s="1226"/>
      <c r="N74" s="1227">
        <f>N72/O72</f>
        <v>3.6485510960244162E-3</v>
      </c>
      <c r="O74" s="629"/>
      <c r="P74" s="618"/>
      <c r="Q74" s="617">
        <f>P72+Q73</f>
        <v>4.997551441192627E-4</v>
      </c>
      <c r="R74" s="617"/>
      <c r="S74" s="617"/>
      <c r="T74" s="617"/>
      <c r="U74" s="617"/>
      <c r="V74" s="617"/>
      <c r="W74" s="617"/>
      <c r="X74" s="367"/>
    </row>
    <row r="75" spans="1:24">
      <c r="A75" s="256"/>
      <c r="B75" s="12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625"/>
      <c r="O75" s="629"/>
      <c r="P75" s="618"/>
      <c r="Q75" s="617"/>
      <c r="R75" s="617"/>
      <c r="S75" s="617"/>
      <c r="T75" s="617"/>
      <c r="U75" s="617"/>
      <c r="V75" s="617"/>
      <c r="W75" s="617"/>
      <c r="X75" s="367"/>
    </row>
    <row r="76" spans="1:24">
      <c r="A76" s="258" t="s">
        <v>458</v>
      </c>
      <c r="B76" s="615">
        <f>GROUP!G43</f>
        <v>1352033656.9216282</v>
      </c>
      <c r="C76" s="617">
        <f>EBKL!B42</f>
        <v>815846909.62596214</v>
      </c>
      <c r="D76" s="617">
        <f>E_BCDC!C42</f>
        <v>417455538.35238171</v>
      </c>
      <c r="E76" s="617">
        <f>EBSSL!C43</f>
        <v>13897660.49537744</v>
      </c>
      <c r="F76" s="617">
        <f>EBRL!C44</f>
        <v>65638820.368288204</v>
      </c>
      <c r="G76" s="617">
        <f>EBTL!C43</f>
        <v>40117447.017092034</v>
      </c>
      <c r="H76" s="617">
        <f>EBUL!C44</f>
        <v>114544263.65871972</v>
      </c>
      <c r="I76" s="617">
        <f>'EGH Plc'!B43</f>
        <v>15008973.954640001</v>
      </c>
      <c r="J76" s="617">
        <f>EIAL!B44</f>
        <v>254565.81679000001</v>
      </c>
      <c r="K76" s="617">
        <f>EIBL!B42</f>
        <v>251736.72971000007</v>
      </c>
      <c r="L76" s="617">
        <f>Others!B44</f>
        <v>68857.421177059165</v>
      </c>
      <c r="M76" s="617">
        <f>'EIGHL&amp;ELAK'!B43</f>
        <v>5270496.3380966065</v>
      </c>
      <c r="N76" s="616">
        <f>'FinAL&amp;Azenia'!B42</f>
        <v>5367210.5738357995</v>
      </c>
      <c r="O76" s="629">
        <f>SUM(C76:N76)</f>
        <v>1493722480.3520713</v>
      </c>
      <c r="P76" s="618">
        <f>B76-O76</f>
        <v>-141688823.43044305</v>
      </c>
      <c r="Q76" s="366" t="s">
        <v>102</v>
      </c>
      <c r="R76" s="617"/>
      <c r="S76" s="617"/>
      <c r="T76" s="617"/>
      <c r="U76" s="617"/>
      <c r="V76" s="617"/>
      <c r="W76" s="617"/>
      <c r="X76" s="367"/>
    </row>
    <row r="77" spans="1:24">
      <c r="A77" s="256" t="s">
        <v>166</v>
      </c>
      <c r="B77" s="1224">
        <f>GROUP!J43</f>
        <v>0.20482390307979892</v>
      </c>
      <c r="C77" s="1224">
        <f>EBKL!E42</f>
        <v>7.2123031381630787E-2</v>
      </c>
      <c r="D77" s="1224">
        <f>E_BCDC!G42</f>
        <v>0.36395530325835967</v>
      </c>
      <c r="E77" s="1224">
        <f>EBSSL!G43</f>
        <v>0.40273493829511392</v>
      </c>
      <c r="F77" s="1224">
        <f>EBRL!F44</f>
        <v>0.26964312636508142</v>
      </c>
      <c r="G77" s="1224">
        <f>EBTL!F43</f>
        <v>0.27177053349720848</v>
      </c>
      <c r="H77" s="1224">
        <f>EBUL!F44</f>
        <v>0.51546564197438038</v>
      </c>
      <c r="I77" s="1224">
        <f>'EGH Plc'!E43</f>
        <v>0.14628182799022665</v>
      </c>
      <c r="J77" s="1224">
        <f>EIAL!E44</f>
        <v>-0.73151659066619268</v>
      </c>
      <c r="K77" s="1224">
        <f>EIBL!E42</f>
        <v>-0.42836484701323296</v>
      </c>
      <c r="L77" s="1224">
        <f>Others!E44</f>
        <v>2.6318657168094714E-2</v>
      </c>
      <c r="M77" s="1224"/>
      <c r="N77" s="1225">
        <f>'FinAL&amp;Azenia'!I42</f>
        <v>-4.8540078880678628E-3</v>
      </c>
      <c r="O77" s="629"/>
      <c r="P77" s="618"/>
      <c r="Q77" s="617">
        <f>GROUP!D43-GROUP!F43</f>
        <v>141688823.4302423</v>
      </c>
      <c r="R77" s="617"/>
      <c r="S77" s="617"/>
      <c r="T77" s="617"/>
      <c r="U77" s="617"/>
      <c r="V77" s="617"/>
      <c r="W77" s="617"/>
      <c r="X77" s="367"/>
    </row>
    <row r="78" spans="1:24">
      <c r="A78" s="256" t="s">
        <v>170</v>
      </c>
      <c r="B78" s="1224"/>
      <c r="C78" s="1226">
        <f t="shared" ref="C78:L78" si="20">C76/$O$76</f>
        <v>0.54618372579735597</v>
      </c>
      <c r="D78" s="1226">
        <f t="shared" si="20"/>
        <v>0.27947329162106954</v>
      </c>
      <c r="E78" s="1226">
        <f t="shared" si="20"/>
        <v>9.3040445452101331E-3</v>
      </c>
      <c r="F78" s="1226">
        <f t="shared" si="20"/>
        <v>4.3943116095311825E-2</v>
      </c>
      <c r="G78" s="1226">
        <f t="shared" si="20"/>
        <v>2.6857363094405815E-2</v>
      </c>
      <c r="H78" s="1226">
        <f t="shared" si="20"/>
        <v>7.668376500012343E-2</v>
      </c>
      <c r="I78" s="1226">
        <f t="shared" si="20"/>
        <v>1.0048033789450886E-2</v>
      </c>
      <c r="J78" s="1226">
        <f t="shared" si="20"/>
        <v>1.7042377023742636E-4</v>
      </c>
      <c r="K78" s="1226">
        <f t="shared" si="20"/>
        <v>1.6852978583455848E-4</v>
      </c>
      <c r="L78" s="1226">
        <f t="shared" si="20"/>
        <v>4.6097867631227879E-5</v>
      </c>
      <c r="M78" s="1226"/>
      <c r="N78" s="1225">
        <f>N76/O76</f>
        <v>3.5931778790466787E-3</v>
      </c>
      <c r="O78" s="629"/>
      <c r="P78" s="618"/>
      <c r="Q78" s="617">
        <f>P76+Q77</f>
        <v>-2.0074844360351563E-4</v>
      </c>
      <c r="R78" s="617"/>
      <c r="S78" s="617"/>
      <c r="T78" s="617"/>
      <c r="U78" s="617"/>
      <c r="V78" s="617"/>
      <c r="W78" s="617"/>
      <c r="X78" s="367"/>
    </row>
    <row r="79" spans="1:24">
      <c r="A79" s="26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64"/>
      <c r="O79" s="629"/>
      <c r="P79" s="618"/>
      <c r="Q79" s="617"/>
      <c r="R79" s="617"/>
      <c r="S79" s="617"/>
      <c r="T79" s="617"/>
      <c r="U79" s="617"/>
      <c r="V79" s="617"/>
      <c r="W79" s="617"/>
      <c r="X79" s="367"/>
    </row>
    <row r="80" spans="1:24">
      <c r="A80" s="258" t="s">
        <v>169</v>
      </c>
      <c r="B80" s="615">
        <f>GROUP!G54</f>
        <v>190141326.70975399</v>
      </c>
      <c r="C80" s="617">
        <f>EBKL!B53</f>
        <v>94448251.888493985</v>
      </c>
      <c r="D80" s="617">
        <f>E_BCDC!C52</f>
        <v>51880451.29916922</v>
      </c>
      <c r="E80" s="617">
        <f>EBSSL!C53</f>
        <v>4199172.9621700551</v>
      </c>
      <c r="F80" s="617">
        <f>EBRL!C54</f>
        <v>8698089.0004270207</v>
      </c>
      <c r="G80" s="617">
        <f>EBTL!C53</f>
        <v>7139834.2417010991</v>
      </c>
      <c r="H80" s="617">
        <f>EBUL!C54</f>
        <v>16752402.420407243</v>
      </c>
      <c r="I80" s="617">
        <f>'EGH Plc'!B53</f>
        <v>95841297.599329829</v>
      </c>
      <c r="J80" s="617">
        <f>EIAL!B54</f>
        <v>417988.29056399997</v>
      </c>
      <c r="K80" s="617">
        <f>EIBL!B52</f>
        <v>466939.91073316662</v>
      </c>
      <c r="L80" s="617">
        <f>Others!B54</f>
        <v>496252.75757723965</v>
      </c>
      <c r="M80" s="617">
        <f>'EIGHL&amp;ELAK'!B53</f>
        <v>1047117.6731648685</v>
      </c>
      <c r="N80" s="616">
        <f>'FinAL&amp;Azenia'!B52</f>
        <v>1113432.3929445073</v>
      </c>
      <c r="O80" s="629">
        <f>SUM(C80:N80)</f>
        <v>282501230.43668222</v>
      </c>
      <c r="P80" s="618">
        <f>B80-O80</f>
        <v>-92359903.726928234</v>
      </c>
      <c r="Q80" s="617" t="s">
        <v>102</v>
      </c>
      <c r="R80" s="617"/>
      <c r="S80" s="617"/>
      <c r="T80" s="617"/>
      <c r="U80" s="617"/>
      <c r="V80" s="617"/>
      <c r="W80" s="617"/>
      <c r="X80" s="367"/>
    </row>
    <row r="81" spans="1:24">
      <c r="A81" s="256" t="s">
        <v>166</v>
      </c>
      <c r="B81" s="1224">
        <f>GROUP!J54</f>
        <v>0.12362510998672289</v>
      </c>
      <c r="C81" s="1224">
        <f>EBKL!E53</f>
        <v>-3.4864970026818751E-2</v>
      </c>
      <c r="D81" s="1224">
        <f>E_BCDC!G52</f>
        <v>0.67753683082680438</v>
      </c>
      <c r="E81" s="1224">
        <f>EBSSL!G53</f>
        <v>-3.1568316683201806E-3</v>
      </c>
      <c r="F81" s="1224">
        <f>EBRL!F54</f>
        <v>0.14665299243692181</v>
      </c>
      <c r="G81" s="1224">
        <f>EBTL!F53</f>
        <v>0.3852282930155318</v>
      </c>
      <c r="H81" s="1224">
        <f>EBUL!F54</f>
        <v>0.20543318546426781</v>
      </c>
      <c r="I81" s="1224">
        <f>'EGH Plc'!E53</f>
        <v>0.10291926203577506</v>
      </c>
      <c r="J81" s="1224">
        <f>EIAL!E54</f>
        <v>-0.12482748942135408</v>
      </c>
      <c r="K81" s="1224">
        <f>EIBL!E52</f>
        <v>0.18057391602280629</v>
      </c>
      <c r="L81" s="1224">
        <f>Others!E54</f>
        <v>8.3288948107717552E-3</v>
      </c>
      <c r="M81" s="1224"/>
      <c r="N81" s="1225">
        <f>'FinAL&amp;Azenia'!I52</f>
        <v>0.14629334271634203</v>
      </c>
      <c r="O81" s="629"/>
      <c r="P81" s="618"/>
      <c r="Q81" s="617">
        <f>GROUP!D54-GROUP!F54</f>
        <v>92359903.726928279</v>
      </c>
      <c r="R81" s="617"/>
      <c r="S81" s="617"/>
      <c r="T81" s="617"/>
      <c r="U81" s="617"/>
      <c r="V81" s="617"/>
      <c r="W81" s="617"/>
      <c r="X81" s="367"/>
    </row>
    <row r="82" spans="1:24">
      <c r="A82" s="256" t="s">
        <v>170</v>
      </c>
      <c r="B82" s="1224"/>
      <c r="C82" s="1226">
        <f t="shared" ref="C82:L82" si="21">C80/$O$80</f>
        <v>0.33432863900273502</v>
      </c>
      <c r="D82" s="1226">
        <f t="shared" si="21"/>
        <v>0.18364681533943736</v>
      </c>
      <c r="E82" s="1226">
        <f t="shared" si="21"/>
        <v>1.4864264327907864E-2</v>
      </c>
      <c r="F82" s="1226">
        <f t="shared" si="21"/>
        <v>3.0789561471933295E-2</v>
      </c>
      <c r="G82" s="1226">
        <f t="shared" si="21"/>
        <v>2.5273639448099218E-2</v>
      </c>
      <c r="H82" s="1226">
        <f t="shared" si="21"/>
        <v>5.9300281257224488E-2</v>
      </c>
      <c r="I82" s="1226">
        <f t="shared" si="21"/>
        <v>0.33925975278472636</v>
      </c>
      <c r="J82" s="1226">
        <f t="shared" si="21"/>
        <v>1.4795981239369676E-3</v>
      </c>
      <c r="K82" s="1226">
        <f t="shared" si="21"/>
        <v>1.6528774406093184E-3</v>
      </c>
      <c r="L82" s="1226">
        <f t="shared" si="21"/>
        <v>1.7566392783852534E-3</v>
      </c>
      <c r="M82" s="1226"/>
      <c r="N82" s="1225">
        <f>N80/O80</f>
        <v>3.9413364367418711E-3</v>
      </c>
      <c r="O82" s="629"/>
      <c r="P82" s="618"/>
      <c r="Q82" s="617">
        <f>P80+Q81</f>
        <v>0</v>
      </c>
      <c r="R82" s="617"/>
      <c r="S82" s="617"/>
      <c r="T82" s="617"/>
      <c r="U82" s="617"/>
      <c r="V82" s="617"/>
      <c r="W82" s="617"/>
      <c r="X82" s="367"/>
    </row>
    <row r="83" spans="1:24">
      <c r="A83" s="256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259"/>
      <c r="O83" s="629"/>
      <c r="P83" s="618"/>
      <c r="Q83" s="617"/>
      <c r="R83" s="617"/>
      <c r="S83" s="617"/>
      <c r="T83" s="617"/>
      <c r="U83" s="617"/>
      <c r="V83" s="617"/>
      <c r="W83" s="617"/>
      <c r="X83" s="367"/>
    </row>
    <row r="84" spans="1:24">
      <c r="A84" s="619" t="s">
        <v>383</v>
      </c>
      <c r="B84" s="1237">
        <f>GROUP!G28/GROUP!G54</f>
        <v>8.1106775171789671</v>
      </c>
      <c r="C84" s="1237">
        <f>EBKL!B27/EBKL!B53</f>
        <v>9.6380308085442863</v>
      </c>
      <c r="D84" s="1237">
        <f>E_BCDC!C27/E_BCDC!C52</f>
        <v>9.0464901113739273</v>
      </c>
      <c r="E84" s="1237">
        <f>EBSSL!B28/EBSSL!B53</f>
        <v>4.3096184940654103</v>
      </c>
      <c r="F84" s="1237">
        <f>EBRL!B29/EBRL!B54</f>
        <v>8.5463495906234392</v>
      </c>
      <c r="G84" s="1237">
        <f>EBTL!B28/EBTL!B53</f>
        <v>6.6188205018515793</v>
      </c>
      <c r="H84" s="1237">
        <f>EBUL!B29/EBUL!B54</f>
        <v>7.8374828149534919</v>
      </c>
      <c r="I84" s="1237">
        <f>'EGH Plc'!B28/'EGH Plc'!B53</f>
        <v>1.1566023658964417</v>
      </c>
      <c r="J84" s="1237">
        <f>EIAL!B29/EIAL!B54</f>
        <v>1.6090261900554901</v>
      </c>
      <c r="K84" s="1237">
        <f>EIBL!B27/EIBL!B52</f>
        <v>1.5391201821123732</v>
      </c>
      <c r="L84" s="1237">
        <f>Others!B29/Others!B54</f>
        <v>1.1387547376325498</v>
      </c>
      <c r="M84" s="1237">
        <f>Others!C29/Others!C54</f>
        <v>1.1363225858144161</v>
      </c>
      <c r="N84" s="1238">
        <f>'FinAL&amp;Azenia'!F27/'FinAL&amp;Azenia'!F52</f>
        <v>3.2066551985708047</v>
      </c>
      <c r="O84" s="630"/>
      <c r="P84" s="16"/>
      <c r="Q84" s="668"/>
      <c r="R84" s="12"/>
      <c r="S84" s="12"/>
      <c r="T84" s="12"/>
      <c r="U84" s="12"/>
      <c r="V84" s="12"/>
      <c r="W84" s="12"/>
      <c r="X84" s="368"/>
    </row>
    <row r="85" spans="1:24">
      <c r="A85" s="260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261"/>
      <c r="O85" s="630"/>
      <c r="P85" s="16"/>
      <c r="Q85" s="668"/>
      <c r="R85" s="14"/>
      <c r="S85" s="14"/>
      <c r="T85" s="14"/>
      <c r="U85" s="14"/>
      <c r="V85" s="14"/>
      <c r="W85" s="14"/>
      <c r="X85" s="368"/>
    </row>
    <row r="86" spans="1:24">
      <c r="A86" s="265" t="s">
        <v>181</v>
      </c>
      <c r="B86" s="283">
        <f>'GROUP CAR - Mar 2023'!B8</f>
        <v>197468539.3856706</v>
      </c>
      <c r="C86" s="11">
        <f>EBKL!B125</f>
        <v>125376187.82420757</v>
      </c>
      <c r="D86" s="11">
        <f>E_BCDC!C123</f>
        <v>39022641.168876</v>
      </c>
      <c r="E86" s="11">
        <f>EBSSL!C126</f>
        <v>4199172.9621700533</v>
      </c>
      <c r="F86" s="11">
        <f>EBRL!C126</f>
        <v>8584496.9071611855</v>
      </c>
      <c r="G86" s="11">
        <f>EBTL!C126</f>
        <v>5237810.8569139075</v>
      </c>
      <c r="H86" s="11">
        <f>EBUL!C128</f>
        <v>13966129.412211215</v>
      </c>
      <c r="I86" s="11"/>
      <c r="J86" s="11"/>
      <c r="K86" s="11"/>
      <c r="L86" s="11"/>
      <c r="M86" s="11"/>
      <c r="N86" s="264"/>
    </row>
    <row r="87" spans="1:24">
      <c r="A87" s="265" t="s">
        <v>182</v>
      </c>
      <c r="B87" s="283">
        <f>'GROUP CAR - Mar 2023'!B23</f>
        <v>251992235.399131</v>
      </c>
      <c r="C87" s="11">
        <f>EBKL!B129</f>
        <v>164605667.27626237</v>
      </c>
      <c r="D87" s="11">
        <f>E_BCDC!C127</f>
        <v>44571326.312529169</v>
      </c>
      <c r="E87" s="11">
        <f>EBSSL!C130</f>
        <v>4199172.9621700533</v>
      </c>
      <c r="F87" s="11">
        <f>EBRL!C130</f>
        <v>8729190.1420426462</v>
      </c>
      <c r="G87" s="11">
        <f>EBTL!C130</f>
        <v>5237810.8569139075</v>
      </c>
      <c r="H87" s="11">
        <f>EBUL!C132</f>
        <v>14684240.840587361</v>
      </c>
      <c r="I87" s="11"/>
      <c r="J87" s="11"/>
      <c r="K87" s="11"/>
      <c r="L87" s="11"/>
      <c r="M87" s="11"/>
      <c r="N87" s="264"/>
    </row>
    <row r="88" spans="1:24">
      <c r="A88" s="265" t="s">
        <v>426</v>
      </c>
      <c r="B88" s="1228">
        <f>'GROUP CAR - Mar 2023'!B25</f>
        <v>0.14419639258140052</v>
      </c>
      <c r="C88" s="1229">
        <f>EBKL!B135</f>
        <v>0.15322475840336439</v>
      </c>
      <c r="D88" s="1229">
        <f>E_BCDC!C133</f>
        <v>0.11722257238297105</v>
      </c>
      <c r="E88" s="1229">
        <f>EBSSL!B138</f>
        <v>1.130737772496603</v>
      </c>
      <c r="F88" s="1229">
        <f>EBRL!B136</f>
        <v>0.8468461831516011</v>
      </c>
      <c r="G88" s="1229">
        <f>EBTL!B136</f>
        <v>0.17692750125867188</v>
      </c>
      <c r="H88" s="1229">
        <f>EBUL!B138</f>
        <v>0.17296525720762582</v>
      </c>
      <c r="I88" s="1229"/>
      <c r="J88" s="1230"/>
      <c r="K88" s="1230"/>
      <c r="L88" s="11"/>
      <c r="M88" s="11"/>
      <c r="N88" s="264"/>
    </row>
    <row r="89" spans="1:24">
      <c r="A89" s="265" t="s">
        <v>295</v>
      </c>
      <c r="B89" s="1228">
        <f>'GROUP CAR - Mar 2023'!B28</f>
        <v>0.18401093873546193</v>
      </c>
      <c r="C89" s="1229">
        <f>EBKL!B138</f>
        <v>0.20116789350457584</v>
      </c>
      <c r="D89" s="1229">
        <f>E_BCDC!C136</f>
        <v>0.13389061755877982</v>
      </c>
      <c r="E89" s="1229">
        <f>EBSSL!B141</f>
        <v>1.1157377724966029</v>
      </c>
      <c r="F89" s="1229">
        <f>EBRL!B139</f>
        <v>0.86111992743881804</v>
      </c>
      <c r="G89" s="1229">
        <f>EBTL!B139</f>
        <v>0.17692750125867188</v>
      </c>
      <c r="H89" s="1229">
        <f>EBUL!B141</f>
        <v>0.18185879701717494</v>
      </c>
      <c r="I89" s="1229"/>
      <c r="J89" s="1230"/>
      <c r="K89" s="1230"/>
      <c r="L89" s="11"/>
      <c r="M89" s="11"/>
      <c r="N89" s="264"/>
    </row>
    <row r="90" spans="1:24">
      <c r="A90" s="265"/>
      <c r="B90" s="283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264"/>
    </row>
    <row r="91" spans="1:24">
      <c r="A91" s="26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64"/>
    </row>
    <row r="92" spans="1:24" s="1" customFormat="1">
      <c r="A92" s="807" t="s">
        <v>172</v>
      </c>
      <c r="B92" s="1231">
        <f t="shared" ref="B92:N92" si="22">B10/B18</f>
        <v>0.55077072673915151</v>
      </c>
      <c r="C92" s="1231">
        <f t="shared" si="22"/>
        <v>0.61669917699361365</v>
      </c>
      <c r="D92" s="1231">
        <f t="shared" si="22"/>
        <v>0.41782625830081482</v>
      </c>
      <c r="E92" s="1231">
        <f t="shared" si="22"/>
        <v>3.4892963438925145E-2</v>
      </c>
      <c r="F92" s="1231">
        <f t="shared" si="22"/>
        <v>0.65921983848708121</v>
      </c>
      <c r="G92" s="1231">
        <f t="shared" si="22"/>
        <v>0.50881999371893782</v>
      </c>
      <c r="H92" s="1231">
        <f t="shared" si="22"/>
        <v>0.57328742560185719</v>
      </c>
      <c r="I92" s="1231">
        <f>I10/I18</f>
        <v>2.9331589964134774E-2</v>
      </c>
      <c r="J92" s="1231">
        <f t="shared" si="22"/>
        <v>1.5630545423706409E-2</v>
      </c>
      <c r="K92" s="1231">
        <f t="shared" si="22"/>
        <v>0.15462791944350068</v>
      </c>
      <c r="L92" s="1231">
        <f t="shared" si="22"/>
        <v>0.68691792048772649</v>
      </c>
      <c r="M92" s="1231">
        <f>M10/M18</f>
        <v>0.23130868867898019</v>
      </c>
      <c r="N92" s="1232">
        <f t="shared" si="22"/>
        <v>2.0586550806409427E-2</v>
      </c>
      <c r="O92" s="627"/>
      <c r="P92" s="369"/>
      <c r="Q92" s="366"/>
      <c r="R92" s="808"/>
      <c r="S92" s="808"/>
      <c r="T92" s="808"/>
      <c r="U92" s="808"/>
      <c r="V92" s="808"/>
      <c r="W92" s="808"/>
    </row>
    <row r="93" spans="1:24" s="1" customFormat="1">
      <c r="A93" s="807" t="s">
        <v>175</v>
      </c>
      <c r="B93" s="1231">
        <f t="shared" ref="B93:N93" si="23">B14/B18</f>
        <v>0.44922927326084855</v>
      </c>
      <c r="C93" s="1231">
        <f t="shared" si="23"/>
        <v>0.38330082300638624</v>
      </c>
      <c r="D93" s="1231">
        <f t="shared" si="23"/>
        <v>0.58217374169918523</v>
      </c>
      <c r="E93" s="1231">
        <f t="shared" si="23"/>
        <v>0.96510703656107499</v>
      </c>
      <c r="F93" s="1231">
        <f t="shared" si="23"/>
        <v>0.34078016151291884</v>
      </c>
      <c r="G93" s="1231">
        <f t="shared" si="23"/>
        <v>0.49118000628106218</v>
      </c>
      <c r="H93" s="1231">
        <f t="shared" si="23"/>
        <v>0.42671257439814275</v>
      </c>
      <c r="I93" s="1231">
        <f>I14/I18</f>
        <v>0.97066841003586524</v>
      </c>
      <c r="J93" s="1231">
        <f t="shared" si="23"/>
        <v>0.98436945457629355</v>
      </c>
      <c r="K93" s="1231">
        <f t="shared" si="23"/>
        <v>0.84537208055649926</v>
      </c>
      <c r="L93" s="1231">
        <f t="shared" si="23"/>
        <v>0.31308207951227351</v>
      </c>
      <c r="M93" s="1231">
        <f>M14/M18</f>
        <v>0.76869131132101987</v>
      </c>
      <c r="N93" s="1232">
        <f t="shared" si="23"/>
        <v>0.97941344919359052</v>
      </c>
      <c r="O93" s="627"/>
      <c r="P93" s="368"/>
      <c r="Q93" s="366"/>
    </row>
    <row r="94" spans="1:24" s="1" customFormat="1">
      <c r="A94" s="807"/>
      <c r="B94" s="1233"/>
      <c r="C94" s="1233"/>
      <c r="D94" s="1233"/>
      <c r="E94" s="1233"/>
      <c r="F94" s="1233"/>
      <c r="G94" s="1233"/>
      <c r="H94" s="1233"/>
      <c r="I94" s="1233"/>
      <c r="J94" s="1233"/>
      <c r="K94" s="1233"/>
      <c r="L94" s="1233"/>
      <c r="M94" s="1233"/>
      <c r="N94" s="1234"/>
      <c r="O94" s="627"/>
      <c r="P94" s="368"/>
      <c r="Q94" s="366"/>
    </row>
    <row r="95" spans="1:24" s="1" customFormat="1">
      <c r="A95" s="807" t="s">
        <v>173</v>
      </c>
      <c r="B95" s="1231">
        <f>GROUP!G93/GROUP!G83</f>
        <v>0.58928363550930751</v>
      </c>
      <c r="C95" s="1231">
        <f>EBKL!B92/EBKL!B82</f>
        <v>0.56574859694727142</v>
      </c>
      <c r="D95" s="1231">
        <f>E_BCDC!C90/E_BCDC!C80</f>
        <v>0.62950223667649485</v>
      </c>
      <c r="E95" s="1231">
        <f>EBSSL!C92/EBSSL!C82</f>
        <v>0.20430607819683716</v>
      </c>
      <c r="F95" s="1231">
        <f>EBRL!C92/EBRL!C82</f>
        <v>0.39610205578513447</v>
      </c>
      <c r="G95" s="1231">
        <f>EBTL!C92/EBTL!C82</f>
        <v>0.74786746694940676</v>
      </c>
      <c r="H95" s="1231">
        <f>EBUL!C93/EBUL!C83</f>
        <v>0.68048092940968219</v>
      </c>
      <c r="I95" s="1231">
        <f>EBUL!D93/EBUL!D83</f>
        <v>0.57873291811719663</v>
      </c>
      <c r="J95" s="1231">
        <f>J96</f>
        <v>0.31409719995646329</v>
      </c>
      <c r="K95" s="1231">
        <f>K96</f>
        <v>0.393916209987835</v>
      </c>
      <c r="L95" s="1231">
        <f>L96</f>
        <v>0.65020308079753486</v>
      </c>
      <c r="M95" s="1231">
        <f>M96</f>
        <v>0.10353882001901031</v>
      </c>
      <c r="N95" s="1232">
        <f>N96</f>
        <v>0.65881295335890655</v>
      </c>
      <c r="O95" s="627"/>
      <c r="P95" s="368"/>
      <c r="Q95" s="366"/>
    </row>
    <row r="96" spans="1:24" s="1" customFormat="1" ht="15.75" thickBot="1">
      <c r="A96" s="809" t="s">
        <v>174</v>
      </c>
      <c r="B96" s="1235">
        <f>(GROUP!G93-GROUP!G86)/GROUP!G83</f>
        <v>0.50266917728736182</v>
      </c>
      <c r="C96" s="1235">
        <f>(EBKL!B92-EBKL!B85)/EBKL!B82</f>
        <v>0.47700860625695274</v>
      </c>
      <c r="D96" s="1235">
        <f>(E_BCDC!C90-E_BCDC!C83)/E_BCDC!C80</f>
        <v>0.52775732564445554</v>
      </c>
      <c r="E96" s="1235">
        <f>(EBSSL!C92-EBSSL!C85)/EBSSL!C82</f>
        <v>0.20430610189510709</v>
      </c>
      <c r="F96" s="1235">
        <f>(EBRL!C92-EBRL!C85)/EBRL!C82</f>
        <v>0.34478413647831108</v>
      </c>
      <c r="G96" s="1235">
        <f>(EBTL!C92-EBTL!C85)/EBTL!C82</f>
        <v>0.65775343428686273</v>
      </c>
      <c r="H96" s="1235">
        <f>(EBUL!C93-EBUL!C86)/EBUL!C83</f>
        <v>0.63659847500684474</v>
      </c>
      <c r="I96" s="1235">
        <f>(EBUL!D93-EBUL!D86)/EBUL!D83</f>
        <v>0.49377124833101338</v>
      </c>
      <c r="J96" s="1235">
        <f>EIAL!B92/EIAL!B82</f>
        <v>0.31409719995646329</v>
      </c>
      <c r="K96" s="1235">
        <f>EIBL!B91/EIBL!B81</f>
        <v>0.393916209987835</v>
      </c>
      <c r="L96" s="1235">
        <f>EIBL!C91/EIBL!C81</f>
        <v>0.65020308079753486</v>
      </c>
      <c r="M96" s="1235">
        <f>EIBL!D91/EIBL!D81</f>
        <v>0.10353882001901031</v>
      </c>
      <c r="N96" s="1236">
        <f>'FinAL&amp;Azenia'!F91/'FinAL&amp;Azenia'!F81</f>
        <v>0.65881295335890655</v>
      </c>
      <c r="O96" s="627"/>
      <c r="P96" s="368"/>
      <c r="Q96" s="366"/>
    </row>
    <row r="97" spans="2:14">
      <c r="H97"/>
      <c r="I97"/>
      <c r="N97"/>
    </row>
    <row r="98" spans="2:14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2:14">
      <c r="C99" s="4"/>
      <c r="D99" s="4"/>
      <c r="F99" s="4"/>
      <c r="G99" s="4"/>
      <c r="H99"/>
      <c r="I99"/>
      <c r="N99"/>
    </row>
    <row r="100" spans="2:14">
      <c r="B100" s="4"/>
      <c r="H100"/>
      <c r="I100"/>
      <c r="N100"/>
    </row>
    <row r="101" spans="2:14">
      <c r="H101"/>
      <c r="I101"/>
      <c r="N101"/>
    </row>
    <row r="102" spans="2:14">
      <c r="H102"/>
      <c r="I102"/>
      <c r="N102"/>
    </row>
    <row r="103" spans="2:14">
      <c r="H103"/>
      <c r="I103"/>
      <c r="N103"/>
    </row>
    <row r="104" spans="2:14">
      <c r="H104"/>
      <c r="I104"/>
      <c r="N104"/>
    </row>
    <row r="105" spans="2:14">
      <c r="H105"/>
      <c r="I105"/>
      <c r="N105"/>
    </row>
    <row r="106" spans="2:14">
      <c r="H106"/>
      <c r="I106"/>
      <c r="N106"/>
    </row>
    <row r="107" spans="2:14">
      <c r="H107"/>
      <c r="I107"/>
      <c r="N107"/>
    </row>
    <row r="108" spans="2:14">
      <c r="H108"/>
      <c r="I108"/>
      <c r="N108"/>
    </row>
    <row r="109" spans="2:14">
      <c r="H109"/>
      <c r="I109"/>
      <c r="N109"/>
    </row>
    <row r="110" spans="2:14">
      <c r="H110"/>
      <c r="I110"/>
      <c r="N110"/>
    </row>
    <row r="111" spans="2:14">
      <c r="H111"/>
      <c r="I111"/>
      <c r="N111"/>
    </row>
    <row r="112" spans="2:14">
      <c r="H112"/>
      <c r="I112"/>
      <c r="N112"/>
    </row>
    <row r="113" spans="8:14">
      <c r="H113"/>
      <c r="I113"/>
      <c r="N113"/>
    </row>
    <row r="114" spans="8:14">
      <c r="H114"/>
      <c r="I114"/>
      <c r="N114"/>
    </row>
    <row r="115" spans="8:14">
      <c r="H115"/>
      <c r="I115"/>
      <c r="N115"/>
    </row>
    <row r="116" spans="8:14">
      <c r="H116"/>
      <c r="I116"/>
      <c r="N116"/>
    </row>
    <row r="117" spans="8:14">
      <c r="H117"/>
      <c r="I117"/>
      <c r="N117"/>
    </row>
    <row r="118" spans="8:14">
      <c r="H118"/>
      <c r="I118"/>
      <c r="N118"/>
    </row>
    <row r="119" spans="8:14">
      <c r="H119"/>
      <c r="I119"/>
      <c r="N119"/>
    </row>
    <row r="120" spans="8:14">
      <c r="H120"/>
      <c r="I120"/>
      <c r="N120"/>
    </row>
    <row r="121" spans="8:14">
      <c r="H121"/>
      <c r="I121"/>
      <c r="N121"/>
    </row>
    <row r="122" spans="8:14">
      <c r="H122"/>
      <c r="I122"/>
      <c r="N122"/>
    </row>
    <row r="123" spans="8:14">
      <c r="H123"/>
      <c r="I123"/>
      <c r="N123"/>
    </row>
    <row r="124" spans="8:14">
      <c r="H124"/>
      <c r="I124"/>
      <c r="N124"/>
    </row>
    <row r="125" spans="8:14">
      <c r="H125"/>
      <c r="I125"/>
      <c r="N125"/>
    </row>
    <row r="126" spans="8:14">
      <c r="H126"/>
      <c r="I126"/>
      <c r="N126"/>
    </row>
    <row r="127" spans="8:14">
      <c r="H127"/>
      <c r="I127"/>
      <c r="N127"/>
    </row>
    <row r="128" spans="8:14">
      <c r="H128"/>
      <c r="I128"/>
      <c r="N128"/>
    </row>
    <row r="129" spans="8:14">
      <c r="H129"/>
      <c r="I129"/>
      <c r="N129"/>
    </row>
    <row r="130" spans="8:14">
      <c r="H130"/>
      <c r="I130"/>
      <c r="N130"/>
    </row>
    <row r="131" spans="8:14">
      <c r="H131"/>
      <c r="I131"/>
      <c r="N131"/>
    </row>
    <row r="132" spans="8:14">
      <c r="H132"/>
      <c r="I132"/>
      <c r="N132"/>
    </row>
    <row r="133" spans="8:14">
      <c r="H133"/>
      <c r="I133"/>
      <c r="N133"/>
    </row>
    <row r="134" spans="8:14">
      <c r="H134"/>
      <c r="I134"/>
      <c r="N134"/>
    </row>
    <row r="135" spans="8:14">
      <c r="H135"/>
      <c r="I135"/>
      <c r="N135"/>
    </row>
    <row r="136" spans="8:14">
      <c r="H136"/>
      <c r="I136"/>
      <c r="N136"/>
    </row>
  </sheetData>
  <pageMargins left="0.25" right="0.25" top="0.75" bottom="0.75" header="0.3" footer="0.3"/>
  <pageSetup paperSize="9" scale="3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C1:H9"/>
  <sheetViews>
    <sheetView workbookViewId="0"/>
  </sheetViews>
  <sheetFormatPr defaultColWidth="9.140625" defaultRowHeight="13.5"/>
  <cols>
    <col min="1" max="2" width="9.140625" style="831"/>
    <col min="3" max="3" width="13.5703125" style="831" customWidth="1"/>
    <col min="4" max="4" width="13.7109375" style="831" customWidth="1"/>
    <col min="5" max="5" width="12.7109375" style="831" customWidth="1"/>
    <col min="6" max="6" width="15" style="831" customWidth="1"/>
    <col min="7" max="7" width="9.140625" style="831"/>
    <col min="8" max="8" width="40" style="831" customWidth="1"/>
    <col min="9" max="16384" width="9.140625" style="831"/>
  </cols>
  <sheetData>
    <row r="1" spans="3:8">
      <c r="C1" s="833"/>
      <c r="D1" s="1536" t="s">
        <v>648</v>
      </c>
      <c r="E1" s="1536"/>
      <c r="F1" s="1536"/>
      <c r="G1" s="1536"/>
      <c r="H1" s="834"/>
    </row>
    <row r="2" spans="3:8">
      <c r="C2" s="835"/>
      <c r="D2" s="836" t="s">
        <v>637</v>
      </c>
      <c r="E2" s="836" t="s">
        <v>638</v>
      </c>
      <c r="F2" s="836" t="s">
        <v>639</v>
      </c>
      <c r="G2" s="836" t="s">
        <v>165</v>
      </c>
      <c r="H2" s="837" t="s">
        <v>157</v>
      </c>
    </row>
    <row r="3" spans="3:8">
      <c r="C3" s="838" t="s">
        <v>167</v>
      </c>
      <c r="D3" s="831">
        <f>GROUP!J28</f>
        <v>0.19418388877918072</v>
      </c>
      <c r="E3" s="831">
        <f>GROUP!J15</f>
        <v>0.21166435150976592</v>
      </c>
      <c r="F3" s="831">
        <f>GROUP!M32</f>
        <v>0.49855971336364746</v>
      </c>
      <c r="G3" s="831">
        <f>GROUP!J96</f>
        <v>9.4409999102845504E-2</v>
      </c>
      <c r="H3" s="839" t="s">
        <v>641</v>
      </c>
    </row>
    <row r="4" spans="3:8">
      <c r="C4" s="838" t="s">
        <v>158</v>
      </c>
      <c r="D4" s="831">
        <f>EBKL!E27</f>
        <v>5.9932104332442872E-2</v>
      </c>
      <c r="E4" s="831">
        <f>EBKL!E14</f>
        <v>0.1038938982926127</v>
      </c>
      <c r="F4" s="831">
        <f>EBKL!G31</f>
        <v>0.12020155021567132</v>
      </c>
      <c r="G4" s="831">
        <f>EBKL!E95</f>
        <v>-0.14391800982491074</v>
      </c>
      <c r="H4" s="839" t="s">
        <v>640</v>
      </c>
    </row>
    <row r="5" spans="3:8">
      <c r="C5" s="838" t="s">
        <v>159</v>
      </c>
      <c r="D5" s="831">
        <f>EBUL!F29</f>
        <v>0.46731406692996746</v>
      </c>
      <c r="E5" s="831">
        <f>EBUL!F16</f>
        <v>0.23560789951318625</v>
      </c>
      <c r="F5" s="831">
        <f>EBUL!F33</f>
        <v>0.49700128121338955</v>
      </c>
      <c r="G5" s="831">
        <f>EBUL!F97</f>
        <v>-0.13427151433852985</v>
      </c>
      <c r="H5" s="839"/>
    </row>
    <row r="6" spans="3:8">
      <c r="C6" s="838" t="s">
        <v>160</v>
      </c>
      <c r="D6" s="831">
        <f>EBTL!F28</f>
        <v>0.2877054034715944</v>
      </c>
      <c r="E6" s="831">
        <f>EBTL!F15</f>
        <v>0.26089764730175513</v>
      </c>
      <c r="F6" s="831">
        <f>EBTL!F32</f>
        <v>0.29591821769304022</v>
      </c>
      <c r="G6" s="831">
        <f>EBTL!F93</f>
        <v>-0.95949710514931452</v>
      </c>
      <c r="H6" s="839"/>
    </row>
    <row r="7" spans="3:8">
      <c r="C7" s="838" t="s">
        <v>161</v>
      </c>
      <c r="D7" s="831">
        <f>EBRL!F29</f>
        <v>0.25390610162556865</v>
      </c>
      <c r="E7" s="831">
        <f>EBRL!F16</f>
        <v>6.3189006010366686E-2</v>
      </c>
      <c r="F7" s="831">
        <f>EBRL!F33</f>
        <v>0.35226492411876187</v>
      </c>
      <c r="G7" s="831">
        <f>EBRL!F96</f>
        <v>0.51723888828929798</v>
      </c>
      <c r="H7" s="839"/>
    </row>
    <row r="8" spans="3:8">
      <c r="C8" s="838" t="s">
        <v>635</v>
      </c>
      <c r="D8" s="831">
        <f>E_BCDC!G27</f>
        <v>0.3927336853444402</v>
      </c>
      <c r="E8" s="831">
        <f>E_BCDC!G14</f>
        <v>0.5678301026369974</v>
      </c>
      <c r="F8" s="831">
        <f>E_BCDC!G31</f>
        <v>0.36518112582644413</v>
      </c>
      <c r="G8" s="831">
        <f>E_BCDC!G93</f>
        <v>1.4168966078664962</v>
      </c>
      <c r="H8" s="839"/>
    </row>
    <row r="9" spans="3:8" ht="14.25" thickBot="1">
      <c r="C9" s="840" t="s">
        <v>162</v>
      </c>
      <c r="D9" s="841">
        <f>EBSSL!G28</f>
        <v>0.28164390591994298</v>
      </c>
      <c r="E9" s="841">
        <f>EBSSL!G15</f>
        <v>0.7472922055684047</v>
      </c>
      <c r="F9" s="841">
        <f>EBSSL!G32</f>
        <v>0.29552154704503625</v>
      </c>
      <c r="G9" s="841">
        <f>-EBSSL!G93</f>
        <v>36.450504295377712</v>
      </c>
      <c r="H9" s="842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R130"/>
  <sheetViews>
    <sheetView workbookViewId="0">
      <selection activeCell="G15" sqref="G15"/>
    </sheetView>
  </sheetViews>
  <sheetFormatPr defaultColWidth="9.140625" defaultRowHeight="12.75"/>
  <cols>
    <col min="1" max="1" width="54.5703125" style="50" bestFit="1" customWidth="1"/>
    <col min="2" max="2" width="14" style="304" bestFit="1" customWidth="1"/>
    <col min="3" max="3" width="6.7109375" style="590" bestFit="1" customWidth="1"/>
    <col min="4" max="4" width="12.28515625" style="590" bestFit="1" customWidth="1"/>
    <col min="5" max="5" width="12.140625" style="590" bestFit="1" customWidth="1"/>
    <col min="6" max="6" width="12.28515625" style="304" bestFit="1" customWidth="1"/>
    <col min="7" max="7" width="14" style="304" bestFit="1" customWidth="1"/>
    <col min="8" max="8" width="15" style="595" customWidth="1"/>
    <col min="9" max="9" width="15.28515625" style="595" customWidth="1"/>
    <col min="10" max="10" width="16" style="596" customWidth="1"/>
    <col min="11" max="11" width="3.5703125" style="52" customWidth="1"/>
    <col min="12" max="12" width="18.7109375" style="70" hidden="1" customWidth="1"/>
    <col min="13" max="13" width="18.28515625" style="52" hidden="1" customWidth="1"/>
    <col min="14" max="14" width="18.42578125" style="52" hidden="1" customWidth="1"/>
    <col min="15" max="15" width="18.42578125" style="52" customWidth="1"/>
    <col min="16" max="16384" width="9.140625" style="52"/>
  </cols>
  <sheetData>
    <row r="1" spans="1:14" ht="20.25">
      <c r="A1" s="1545" t="s">
        <v>646</v>
      </c>
      <c r="B1" s="1546"/>
      <c r="C1" s="1546"/>
      <c r="D1" s="1546"/>
      <c r="E1" s="1546"/>
      <c r="F1" s="1546"/>
      <c r="G1" s="1546"/>
      <c r="H1" s="1546"/>
      <c r="I1" s="773"/>
      <c r="J1" s="774"/>
      <c r="K1" s="69"/>
    </row>
    <row r="2" spans="1:14">
      <c r="A2" s="18" t="s">
        <v>873</v>
      </c>
      <c r="B2" s="503"/>
      <c r="C2" s="504"/>
      <c r="D2" s="504"/>
      <c r="E2" s="504"/>
      <c r="F2" s="503"/>
      <c r="G2" s="505"/>
      <c r="H2" s="503"/>
      <c r="I2" s="506"/>
      <c r="J2" s="507"/>
      <c r="K2" s="69"/>
    </row>
    <row r="3" spans="1:14" ht="25.5">
      <c r="A3" s="20" t="s">
        <v>183</v>
      </c>
      <c r="B3" s="1239">
        <v>45046</v>
      </c>
      <c r="C3" s="508" t="s">
        <v>312</v>
      </c>
      <c r="D3" s="1537" t="s">
        <v>102</v>
      </c>
      <c r="E3" s="508" t="s">
        <v>312</v>
      </c>
      <c r="F3" s="1537" t="s">
        <v>102</v>
      </c>
      <c r="G3" s="1239">
        <f>B3</f>
        <v>45046</v>
      </c>
      <c r="H3" s="1239">
        <v>44681</v>
      </c>
      <c r="I3" s="1537" t="s">
        <v>85</v>
      </c>
      <c r="J3" s="1537" t="s">
        <v>86</v>
      </c>
      <c r="K3" s="69"/>
    </row>
    <row r="4" spans="1:14">
      <c r="A4" s="20"/>
      <c r="B4" s="507" t="s">
        <v>82</v>
      </c>
      <c r="C4" s="509"/>
      <c r="D4" s="1538"/>
      <c r="E4" s="502"/>
      <c r="F4" s="1538"/>
      <c r="G4" s="507" t="s">
        <v>82</v>
      </c>
      <c r="H4" s="507" t="s">
        <v>96</v>
      </c>
      <c r="I4" s="1538"/>
      <c r="J4" s="1538"/>
    </row>
    <row r="5" spans="1:14">
      <c r="A5" s="20"/>
      <c r="B5" s="507" t="s">
        <v>97</v>
      </c>
      <c r="C5" s="510"/>
      <c r="D5" s="511" t="s">
        <v>313</v>
      </c>
      <c r="E5" s="510"/>
      <c r="F5" s="511" t="s">
        <v>314</v>
      </c>
      <c r="G5" s="507" t="s">
        <v>97</v>
      </c>
      <c r="H5" s="507" t="s">
        <v>97</v>
      </c>
      <c r="I5" s="506"/>
      <c r="J5" s="512"/>
    </row>
    <row r="6" spans="1:14">
      <c r="A6" s="18" t="s">
        <v>1</v>
      </c>
      <c r="B6" s="507" t="s">
        <v>909</v>
      </c>
      <c r="C6" s="510"/>
      <c r="D6" s="510"/>
      <c r="E6" s="510"/>
      <c r="F6" s="507"/>
      <c r="G6" s="507" t="s">
        <v>909</v>
      </c>
      <c r="H6" s="507" t="s">
        <v>909</v>
      </c>
      <c r="I6" s="506"/>
      <c r="J6" s="512"/>
    </row>
    <row r="7" spans="1:14">
      <c r="A7" s="23" t="s">
        <v>443</v>
      </c>
      <c r="B7" s="513">
        <f>'EGH Plc'!B7+EBKL!B6+E_BCDC!C6+EBSSL!C7+EBTL!C7+EBRL!C8+'FinAL&amp;Azenia'!B6+EBUL!C8+EIAL!B8+EIBL!B6+Others!B8+'EIGHL&amp;ELAK'!B7</f>
        <v>92221006.789943784</v>
      </c>
      <c r="C7" s="514"/>
      <c r="D7" s="513"/>
      <c r="E7" s="515"/>
      <c r="F7" s="513">
        <f>'Consolidation  JVs'!E259</f>
        <v>8472887.5285339989</v>
      </c>
      <c r="G7" s="513">
        <f t="shared" ref="G7:G17" si="0">B7+D7-F7</f>
        <v>83748119.261409789</v>
      </c>
      <c r="H7" s="513">
        <f>[4]GROUP!$G7</f>
        <v>51326497.912142262</v>
      </c>
      <c r="I7" s="513">
        <f t="shared" ref="I7:I17" si="1">(G7-H7)</f>
        <v>32421621.349267527</v>
      </c>
      <c r="J7" s="1261">
        <f>IFERROR(I7/H7,0)</f>
        <v>0.63167413846869092</v>
      </c>
      <c r="M7" s="697"/>
      <c r="N7" s="697"/>
    </row>
    <row r="8" spans="1:14">
      <c r="A8" s="27" t="s">
        <v>566</v>
      </c>
      <c r="B8" s="513">
        <f>'EGH Plc'!B8+EBKL!B7+E_BCDC!C7+EBSSL!C8+EBTL!C8+EBRL!C9+'FinAL&amp;Azenia'!B7+EBUL!C9+EIAL!B9+EIBL!B7+Others!B9+'EIGHL&amp;ELAK'!B8</f>
        <v>21630882.795777068</v>
      </c>
      <c r="C8" s="514"/>
      <c r="D8" s="513"/>
      <c r="E8" s="515"/>
      <c r="F8" s="513"/>
      <c r="G8" s="513">
        <f t="shared" si="0"/>
        <v>21630882.795777068</v>
      </c>
      <c r="H8" s="513">
        <f>[4]GROUP!$G8</f>
        <v>18663910.922759995</v>
      </c>
      <c r="I8" s="513">
        <f t="shared" si="1"/>
        <v>2966971.8730170727</v>
      </c>
      <c r="J8" s="1261">
        <f>IFERROR(I8/H8,0)</f>
        <v>0.15896839013515399</v>
      </c>
      <c r="M8" s="697"/>
      <c r="N8" s="697"/>
    </row>
    <row r="9" spans="1:14">
      <c r="A9" s="27" t="s">
        <v>4</v>
      </c>
      <c r="B9" s="513">
        <f>'EGH Plc'!B9+EBKL!B8+E_BCDC!C8+EBSSL!C9+EBTL!C9+EBRL!C10+'FinAL&amp;Azenia'!B8+EBUL!C10+EIAL!B10+EIBL!B8+Others!B10+'EIGHL&amp;ELAK'!B9</f>
        <v>13258258.749917349</v>
      </c>
      <c r="C9" s="514"/>
      <c r="D9" s="513"/>
      <c r="E9" s="515"/>
      <c r="F9" s="513"/>
      <c r="G9" s="513">
        <f t="shared" si="0"/>
        <v>13258258.749917349</v>
      </c>
      <c r="H9" s="513">
        <f>[4]GROUP!$G9</f>
        <v>13029855.779376861</v>
      </c>
      <c r="I9" s="513">
        <f t="shared" si="1"/>
        <v>228402.97054048814</v>
      </c>
      <c r="J9" s="1261">
        <f>IFERROR(I9/H9,0)</f>
        <v>1.7529201735447857E-2</v>
      </c>
      <c r="M9" s="697"/>
      <c r="N9" s="697"/>
    </row>
    <row r="10" spans="1:14">
      <c r="A10" s="27" t="s">
        <v>567</v>
      </c>
      <c r="B10" s="513">
        <f>'EGH Plc'!B10+EBKL!B9+E_BCDC!C9+EBSSL!C10+EBTL!C10+EBRL!C11+'FinAL&amp;Azenia'!B9+EBUL!C11+EIAL!B11+EIBL!B9+Others!B11+'EIGHL&amp;ELAK'!B10</f>
        <v>177349642.58670595</v>
      </c>
      <c r="C10" s="514"/>
      <c r="D10" s="513"/>
      <c r="E10" s="515"/>
      <c r="F10" s="513"/>
      <c r="G10" s="513">
        <f t="shared" si="0"/>
        <v>177349642.58670595</v>
      </c>
      <c r="H10" s="513">
        <f>[4]GROUP!$G10</f>
        <v>145384982.3522034</v>
      </c>
      <c r="I10" s="513">
        <f t="shared" si="1"/>
        <v>31964660.234502554</v>
      </c>
      <c r="J10" s="1261">
        <f>IFERROR(I10/H10,0)</f>
        <v>0.21986218739612559</v>
      </c>
      <c r="M10" s="697"/>
      <c r="N10" s="697"/>
    </row>
    <row r="11" spans="1:14">
      <c r="A11" s="27" t="s">
        <v>6</v>
      </c>
      <c r="B11" s="513">
        <f>'EGH Plc'!B11+EBKL!B10+E_BCDC!C10+EBSSL!C11+EBTL!C11+EBRL!C12+'FinAL&amp;Azenia'!B10+EBUL!C12+EIAL!B12+EIBL!B10+Others!B12+'EIGHL&amp;ELAK'!B11</f>
        <v>62515917.414719053</v>
      </c>
      <c r="C11" s="514"/>
      <c r="D11" s="513"/>
      <c r="E11" s="515">
        <v>13</v>
      </c>
      <c r="F11" s="513"/>
      <c r="G11" s="513">
        <f t="shared" si="0"/>
        <v>62515917.414719053</v>
      </c>
      <c r="H11" s="513">
        <f>[4]GROUP!$G11</f>
        <v>45182119.444461174</v>
      </c>
      <c r="I11" s="513">
        <f t="shared" si="1"/>
        <v>17333797.970257878</v>
      </c>
      <c r="J11" s="1261">
        <f>IFERROR(I11/H11,0)</f>
        <v>0.38364286986503482</v>
      </c>
      <c r="M11" s="697"/>
      <c r="N11" s="697"/>
    </row>
    <row r="12" spans="1:14">
      <c r="A12" s="27" t="s">
        <v>7</v>
      </c>
      <c r="B12" s="513">
        <f>'EGH Plc'!B12+EBKL!B11+E_BCDC!C11+EBSSL!C12+EBTL!C12+EBRL!C13+'FinAL&amp;Azenia'!B11+EBUL!C13+EIAL!B13+EIBL!B11+Others!B13+'EIGHL&amp;ELAK'!B12</f>
        <v>194465835.00641474</v>
      </c>
      <c r="C12" s="514"/>
      <c r="D12" s="513"/>
      <c r="E12" s="515">
        <v>9</v>
      </c>
      <c r="F12" s="513">
        <f>'Consolidation  JVs'!E234+'Consolidation  JVs'!E254</f>
        <v>118436505.82416295</v>
      </c>
      <c r="G12" s="513">
        <f t="shared" si="0"/>
        <v>76029329.182251796</v>
      </c>
      <c r="H12" s="513">
        <f>[4]GROUP!$G12</f>
        <v>48735824.982770577</v>
      </c>
      <c r="I12" s="513">
        <f t="shared" si="1"/>
        <v>27293504.199481219</v>
      </c>
      <c r="J12" s="1261">
        <f t="shared" ref="J12:J17" si="2">IFERROR(I12/H12,0)</f>
        <v>0.5600295923815839</v>
      </c>
      <c r="M12" s="697"/>
      <c r="N12" s="697"/>
    </row>
    <row r="13" spans="1:14">
      <c r="A13" s="27" t="s">
        <v>651</v>
      </c>
      <c r="B13" s="513">
        <f>'EGH Plc'!B13+EBKL!B12+E_BCDC!C12+EBSSL!C13+EBTL!C13+EBRL!C14+'FinAL&amp;Azenia'!B12+EBUL!C14+EIAL!B14+EIBL!B12+Others!B14+'EIGHL&amp;ELAK'!B13</f>
        <v>206452995.41111293</v>
      </c>
      <c r="C13" s="514"/>
      <c r="D13" s="513"/>
      <c r="E13" s="515"/>
      <c r="F13" s="513"/>
      <c r="G13" s="513">
        <f t="shared" si="0"/>
        <v>206452995.41111293</v>
      </c>
      <c r="H13" s="513">
        <f>[4]GROUP!$G13</f>
        <v>231267489.65046114</v>
      </c>
      <c r="I13" s="513">
        <f t="shared" si="1"/>
        <v>-24814494.239348203</v>
      </c>
      <c r="J13" s="1261">
        <f t="shared" si="2"/>
        <v>-0.10729780600313929</v>
      </c>
      <c r="M13" s="697"/>
      <c r="N13" s="697"/>
    </row>
    <row r="14" spans="1:14">
      <c r="A14" s="27" t="s">
        <v>9</v>
      </c>
      <c r="B14" s="513">
        <f>'EGH Plc'!B14+EBKL!B13+E_BCDC!C13+EBSSL!C14+EBTL!C14+EBRL!C15+'FinAL&amp;Azenia'!B13+EBUL!C15+EIAL!B15+EIBL!B13+Others!B15+'EIGHL&amp;ELAK'!B14</f>
        <v>1131513.537650875</v>
      </c>
      <c r="C14" s="514"/>
      <c r="D14" s="513"/>
      <c r="E14" s="515"/>
      <c r="F14" s="513"/>
      <c r="G14" s="513">
        <f t="shared" si="0"/>
        <v>1131513.537650875</v>
      </c>
      <c r="H14" s="513">
        <f>[4]GROUP!$G14</f>
        <v>292550.64920588501</v>
      </c>
      <c r="I14" s="513">
        <f t="shared" si="1"/>
        <v>838962.88844499004</v>
      </c>
      <c r="J14" s="1261">
        <f t="shared" si="2"/>
        <v>2.8677526121453338</v>
      </c>
      <c r="M14" s="697"/>
      <c r="N14" s="697"/>
    </row>
    <row r="15" spans="1:14">
      <c r="A15" s="27" t="s">
        <v>10</v>
      </c>
      <c r="B15" s="513">
        <f>'EGH Plc'!B15+EBKL!B14+E_BCDC!C14+EBSSL!C15+EBTL!C15+EBRL!C16+'FinAL&amp;Azenia'!B14+EBUL!C16+EIAL!B16+EIBL!B14+Others!B16+'EIGHL&amp;ELAK'!B15</f>
        <v>770505605.81166875</v>
      </c>
      <c r="C15" s="514"/>
      <c r="D15" s="513"/>
      <c r="E15" s="515"/>
      <c r="F15" s="513"/>
      <c r="G15" s="513">
        <f t="shared" si="0"/>
        <v>770505605.81166875</v>
      </c>
      <c r="H15" s="513">
        <f>[4]GROUP!$G15</f>
        <v>635906804.43111026</v>
      </c>
      <c r="I15" s="513">
        <f t="shared" si="1"/>
        <v>134598801.38055849</v>
      </c>
      <c r="J15" s="1261">
        <f t="shared" si="2"/>
        <v>0.21166435150976592</v>
      </c>
      <c r="M15" s="697"/>
      <c r="N15" s="697"/>
    </row>
    <row r="16" spans="1:14">
      <c r="A16" s="27" t="s">
        <v>11</v>
      </c>
      <c r="B16" s="513">
        <f>'EGH Plc'!B16+EBKL!B15+E_BCDC!C15+EBSSL!C16+EBTL!C16+EBRL!C17+'FinAL&amp;Azenia'!B15+EBUL!C17+EIAL!B17+EIBL!B15+Others!B17+'EIGHL&amp;ELAK'!B16</f>
        <v>55548.106750000006</v>
      </c>
      <c r="C16" s="514"/>
      <c r="D16" s="513"/>
      <c r="E16" s="515"/>
      <c r="F16" s="513"/>
      <c r="G16" s="513">
        <f t="shared" si="0"/>
        <v>55548.106750000006</v>
      </c>
      <c r="H16" s="513">
        <f>[4]GROUP!$G16</f>
        <v>68350.11756150001</v>
      </c>
      <c r="I16" s="513">
        <f t="shared" si="1"/>
        <v>-12802.010811500004</v>
      </c>
      <c r="J16" s="1261">
        <f t="shared" si="2"/>
        <v>-0.18730049439901872</v>
      </c>
      <c r="M16" s="697"/>
      <c r="N16" s="697"/>
    </row>
    <row r="17" spans="1:15">
      <c r="A17" s="27" t="s">
        <v>12</v>
      </c>
      <c r="B17" s="513">
        <f>'EGH Plc'!B17+EBKL!B16+E_BCDC!C16+EBSSL!C17+EBTL!C17+EBRL!C18+'FinAL&amp;Azenia'!B16+EBUL!C18+EIAL!B18+EIBL!B16+Others!B18+'EIGHL&amp;ELAK'!B17</f>
        <v>4226241.2122515207</v>
      </c>
      <c r="C17" s="514"/>
      <c r="D17" s="513"/>
      <c r="E17" s="515">
        <v>3</v>
      </c>
      <c r="F17" s="1247">
        <f>-'Intercompany 2023'!R4</f>
        <v>4226241.2122515198</v>
      </c>
      <c r="G17" s="513">
        <f t="shared" si="0"/>
        <v>0</v>
      </c>
      <c r="H17" s="513">
        <f>[4]GROUP!$G17</f>
        <v>0</v>
      </c>
      <c r="I17" s="513">
        <f t="shared" si="1"/>
        <v>0</v>
      </c>
      <c r="J17" s="1261">
        <f t="shared" si="2"/>
        <v>0</v>
      </c>
      <c r="L17" s="177"/>
      <c r="M17" s="697"/>
      <c r="N17" s="697"/>
    </row>
    <row r="18" spans="1:15">
      <c r="A18" s="27" t="s">
        <v>13</v>
      </c>
      <c r="B18" s="513">
        <f>'EGH Plc'!B18+EBKL!B17+E_BCDC!C17+EBSSL!C18+EBTL!C18+EBRL!C19+'FinAL&amp;Azenia'!B17+EBUL!C19+EIAL!B19+EIBL!B17+Others!B19+'EIGHL&amp;ELAK'!B18</f>
        <v>0</v>
      </c>
      <c r="C18" s="514"/>
      <c r="D18" s="513"/>
      <c r="E18" s="515"/>
      <c r="F18" s="516"/>
      <c r="G18" s="513">
        <v>0</v>
      </c>
      <c r="H18" s="513">
        <f>[4]GROUP!$G18</f>
        <v>0</v>
      </c>
      <c r="I18" s="516">
        <f t="shared" ref="I18:I27" si="3">(G18-H18)</f>
        <v>0</v>
      </c>
      <c r="J18" s="1262">
        <f>IFERROR(I18/H18,0)</f>
        <v>0</v>
      </c>
      <c r="M18" s="697"/>
      <c r="N18" s="697"/>
    </row>
    <row r="19" spans="1:15" ht="13.5" customHeight="1">
      <c r="A19" s="27" t="s">
        <v>14</v>
      </c>
      <c r="B19" s="513">
        <f>('EGH Plc'!B19+EBKL!B18+E_BCDC!C18+EBSSL!C19+EBTL!C19+EBRL!C20+'FinAL&amp;Azenia'!B18+EBUL!C20+EIAL!B20+EIBL!B18+Others!B20+'EIGHL&amp;ELAK'!B19)--0.000500112771987915</f>
        <v>93439282.713220119</v>
      </c>
      <c r="C19" s="514"/>
      <c r="D19" s="513"/>
      <c r="E19" s="515" t="s">
        <v>315</v>
      </c>
      <c r="F19" s="513">
        <f>'Consolidation  JVs'!E8+'Consolidation  JVs'!E17+'Consolidation  JVs'!E35+'Consolidation  JVs'!E55+'Consolidation  JVs'!E61+'Consolidation  JVs'!E66+'Consolidation  JVs'!E80+'Consolidation  JVs'!E91+'Consolidation  JVs'!E108+'Consolidation  JVs'!E164+'Consolidation  JVs'!E170+'Consolidation  JVs'!E198+'Consolidation  JVs'!E204+'Consolidation  JVs'!E305</f>
        <v>93439282.713220119</v>
      </c>
      <c r="G19" s="516">
        <f>B19+D19-F19</f>
        <v>0</v>
      </c>
      <c r="H19" s="513">
        <f>[4]GROUP!$G19</f>
        <v>0</v>
      </c>
      <c r="I19" s="513">
        <f t="shared" si="3"/>
        <v>0</v>
      </c>
      <c r="J19" s="1261">
        <v>0</v>
      </c>
      <c r="M19" s="697"/>
      <c r="N19" s="697"/>
      <c r="O19" s="55">
        <f>B19-F19</f>
        <v>0</v>
      </c>
    </row>
    <row r="20" spans="1:15">
      <c r="A20" s="27" t="s">
        <v>15</v>
      </c>
      <c r="B20" s="513">
        <f>'EGH Plc'!B20+EBKL!B19+E_BCDC!C19+EBSSL!C20+EBTL!C20+EBRL!C21+'FinAL&amp;Azenia'!B19+EBUL!C21+EIAL!B21+EIBL!B19+Others!B21+'EIGHL&amp;ELAK'!B20</f>
        <v>0</v>
      </c>
      <c r="C20" s="514"/>
      <c r="D20" s="513"/>
      <c r="E20" s="515"/>
      <c r="F20" s="513"/>
      <c r="G20" s="513">
        <f t="shared" ref="G20:G27" si="4">B20+D20-F20</f>
        <v>0</v>
      </c>
      <c r="H20" s="513">
        <f>[4]GROUP!$G20</f>
        <v>0</v>
      </c>
      <c r="I20" s="518">
        <f t="shared" si="3"/>
        <v>0</v>
      </c>
      <c r="J20" s="1261">
        <f t="shared" ref="J20:J27" si="5">IFERROR(I20/H20,0)</f>
        <v>0</v>
      </c>
      <c r="M20" s="697"/>
      <c r="N20" s="697"/>
    </row>
    <row r="21" spans="1:15">
      <c r="A21" s="27" t="s">
        <v>16</v>
      </c>
      <c r="B21" s="513">
        <f>'EGH Plc'!B21+EBKL!B20+E_BCDC!C20+EBSSL!C21+EBTL!C21+EBRL!C22+'FinAL&amp;Azenia'!B20+EBUL!C22+EIAL!B22+EIBL!B20+Others!B22+'EIGHL&amp;ELAK'!B21</f>
        <v>6697564.9060329692</v>
      </c>
      <c r="C21" s="514"/>
      <c r="D21" s="513"/>
      <c r="E21" s="515"/>
      <c r="F21" s="513"/>
      <c r="G21" s="513">
        <f t="shared" si="4"/>
        <v>6697564.9060329692</v>
      </c>
      <c r="H21" s="513">
        <f>[4]GROUP!$G21</f>
        <v>5861503.8186226645</v>
      </c>
      <c r="I21" s="518">
        <f t="shared" si="3"/>
        <v>836061.0874103047</v>
      </c>
      <c r="J21" s="1261">
        <f t="shared" si="5"/>
        <v>0.14263593666083496</v>
      </c>
      <c r="M21" s="697"/>
      <c r="N21" s="697"/>
    </row>
    <row r="22" spans="1:15">
      <c r="A22" s="27" t="s">
        <v>17</v>
      </c>
      <c r="B22" s="513">
        <f>'EGH Plc'!B22+EBKL!B21+E_BCDC!C21+EBSSL!C22+EBTL!C22+EBRL!C23+'FinAL&amp;Azenia'!B21+EBUL!C23+EIAL!B23+EIBL!B21+Others!B23+'EIGHL&amp;ELAK'!B22</f>
        <v>22980148.367620971</v>
      </c>
      <c r="C22" s="514"/>
      <c r="D22" s="513"/>
      <c r="E22" s="515"/>
      <c r="F22" s="513">
        <f>'Consolidation  JVs'!E49</f>
        <v>2218734.7579600001</v>
      </c>
      <c r="G22" s="513">
        <f t="shared" si="4"/>
        <v>20761413.609660972</v>
      </c>
      <c r="H22" s="513">
        <f>[4]GROUP!$G22</f>
        <v>16269094.479551628</v>
      </c>
      <c r="I22" s="513">
        <f t="shared" si="3"/>
        <v>4492319.1301093437</v>
      </c>
      <c r="J22" s="1261">
        <f t="shared" si="5"/>
        <v>0.27612594762146531</v>
      </c>
      <c r="L22" s="202"/>
      <c r="M22" s="697"/>
      <c r="N22" s="697"/>
      <c r="O22" s="179">
        <f>G37-G17</f>
        <v>0</v>
      </c>
    </row>
    <row r="23" spans="1:15">
      <c r="A23" s="27" t="s">
        <v>18</v>
      </c>
      <c r="B23" s="513">
        <f>'EGH Plc'!B23+EBKL!B22+E_BCDC!C22+EBSSL!C23+EBTL!C23+EBRL!C24+'FinAL&amp;Azenia'!B22+EBUL!C24+EIAL!B24+EIBL!B22+Others!B24+'EIGHL&amp;ELAK'!B23</f>
        <v>0</v>
      </c>
      <c r="C23" s="514"/>
      <c r="D23" s="513"/>
      <c r="E23" s="515"/>
      <c r="F23" s="513"/>
      <c r="G23" s="513">
        <f t="shared" si="4"/>
        <v>0</v>
      </c>
      <c r="H23" s="513">
        <f>[4]GROUP!$G23</f>
        <v>0</v>
      </c>
      <c r="I23" s="518">
        <f t="shared" si="3"/>
        <v>0</v>
      </c>
      <c r="J23" s="1261">
        <f t="shared" si="5"/>
        <v>0</v>
      </c>
      <c r="M23" s="697"/>
      <c r="N23" s="697"/>
    </row>
    <row r="24" spans="1:15">
      <c r="A24" s="27" t="s">
        <v>19</v>
      </c>
      <c r="B24" s="513">
        <f>'EGH Plc'!B24+EBKL!B23+E_BCDC!C23+EBSSL!C24+EBTL!C24+EBRL!C25+'FinAL&amp;Azenia'!B23+EBUL!C25+EIAL!B25+EIBL!B23+Others!B25+'EIGHL&amp;ELAK'!B24</f>
        <v>12992521.770164685</v>
      </c>
      <c r="C24" s="514"/>
      <c r="D24" s="513">
        <f>'Consolidation  JVs'!D33+'Consolidation  JVs'!D43+'Consolidation  JVs'!D74+'Consolidation  JVs'!D113+'Consolidation  JVs'!D269</f>
        <v>2194138.7138685593</v>
      </c>
      <c r="E24" s="515"/>
      <c r="F24" s="513">
        <f>'Consolidation  JVs'!E125+'Consolidation  JVs'!E157+'Consolidation  JVs'!D281</f>
        <v>1171928.5596707819</v>
      </c>
      <c r="G24" s="513">
        <f t="shared" si="4"/>
        <v>14014731.924362464</v>
      </c>
      <c r="H24" s="513">
        <f>[4]GROUP!$G24</f>
        <v>11809095.471937925</v>
      </c>
      <c r="I24" s="518">
        <f t="shared" si="3"/>
        <v>2205636.4524245393</v>
      </c>
      <c r="J24" s="1261">
        <f t="shared" si="5"/>
        <v>0.18677437723031504</v>
      </c>
      <c r="M24" s="697"/>
      <c r="N24" s="697"/>
    </row>
    <row r="25" spans="1:15">
      <c r="A25" s="27" t="s">
        <v>20</v>
      </c>
      <c r="B25" s="513">
        <f>'EGH Plc'!B25+EBKL!B24+E_BCDC!C24+EBSSL!C25+EBTL!C25+EBRL!C26+'FinAL&amp;Azenia'!B24+EBUL!C26+EIAL!B26+EIBL!B24+Others!B26+'EIGHL&amp;ELAK'!B25</f>
        <v>35692443.452631965</v>
      </c>
      <c r="C25" s="514"/>
      <c r="D25" s="513"/>
      <c r="E25" s="515"/>
      <c r="F25" s="513"/>
      <c r="G25" s="513">
        <f t="shared" si="4"/>
        <v>35692443.452631965</v>
      </c>
      <c r="H25" s="513">
        <f>[4]GROUP!$G25</f>
        <v>24576632.464754909</v>
      </c>
      <c r="I25" s="518">
        <f t="shared" si="3"/>
        <v>11115810.987877056</v>
      </c>
      <c r="J25" s="1261">
        <f t="shared" si="5"/>
        <v>0.45229186723682036</v>
      </c>
      <c r="K25" s="70"/>
      <c r="M25" s="697"/>
      <c r="N25" s="697"/>
    </row>
    <row r="26" spans="1:15">
      <c r="A26" s="27" t="s">
        <v>21</v>
      </c>
      <c r="B26" s="513">
        <f>'EGH Plc'!B26+EBKL!B25+E_BCDC!C25+EBSSL!C26+EBTL!C26+EBRL!C27+'FinAL&amp;Azenia'!B25+EBUL!C27+EIAL!B27+EIBL!B25+Others!B27+'EIGHL&amp;ELAK'!B26</f>
        <v>0</v>
      </c>
      <c r="C26" s="514"/>
      <c r="D26" s="513"/>
      <c r="E26" s="515"/>
      <c r="F26" s="513"/>
      <c r="G26" s="513">
        <f t="shared" si="4"/>
        <v>0</v>
      </c>
      <c r="H26" s="513">
        <f>[4]GROUP!$G26</f>
        <v>0</v>
      </c>
      <c r="I26" s="518">
        <f t="shared" si="3"/>
        <v>0</v>
      </c>
      <c r="J26" s="1261">
        <f t="shared" si="5"/>
        <v>0</v>
      </c>
      <c r="M26" s="697"/>
      <c r="N26" s="697"/>
    </row>
    <row r="27" spans="1:15">
      <c r="A27" s="27" t="s">
        <v>22</v>
      </c>
      <c r="B27" s="513">
        <f>'EGH Plc'!B27+EBKL!B26+E_BCDC!C26+EBSSL!C27+EBTL!C27+EBRL!C28+'FinAL&amp;Azenia'!B26+EBUL!C28+EIAL!B28+EIBL!B26+Others!B28+'EIGHL&amp;ELAK'!B27</f>
        <v>60608302.155970179</v>
      </c>
      <c r="C27" s="514"/>
      <c r="D27" s="513">
        <f>'Consolidation  JVs'!D15+'Consolidation  JVs'!D73+'Consolidation  JVs'!D120+'Consolidation  JVs'!D276</f>
        <v>2394535.463883732</v>
      </c>
      <c r="E27" s="515"/>
      <c r="F27" s="513">
        <f>'Consolidation  JVs'!E118+'Consolidation  JVs'!E142+'Consolidation  JVs'!E152+'Consolidation  JVs'!E229+'Consolidation  JVs'!E239+'Consolidation  JVs'!E323+'Consolidation  JVs'!E315+'Consolidation  JVs'!E331+'Consolidation  JVs'!E336-'Intercompany 2023'!R3</f>
        <v>10671820.739123516</v>
      </c>
      <c r="G27" s="513">
        <f t="shared" si="4"/>
        <v>52331016.880730398</v>
      </c>
      <c r="H27" s="513">
        <f>[4]GROUP!$G27</f>
        <v>43030236.226544902</v>
      </c>
      <c r="I27" s="518">
        <f t="shared" si="3"/>
        <v>9300780.6541854963</v>
      </c>
      <c r="J27" s="1261">
        <f t="shared" si="5"/>
        <v>0.21614523808837335</v>
      </c>
      <c r="K27" s="71"/>
      <c r="M27" s="697"/>
      <c r="N27" s="697"/>
    </row>
    <row r="28" spans="1:15">
      <c r="A28" s="29" t="s">
        <v>23</v>
      </c>
      <c r="B28" s="519">
        <f>SUM(B7:B27)</f>
        <v>1776223710.7885528</v>
      </c>
      <c r="C28" s="520"/>
      <c r="D28" s="519">
        <f>SUM(D7:D27)</f>
        <v>4588674.1777522918</v>
      </c>
      <c r="E28" s="520"/>
      <c r="F28" s="519">
        <f>SUM(F7:F27)</f>
        <v>238637401.33492285</v>
      </c>
      <c r="G28" s="519">
        <f>SUM(G7:G27)</f>
        <v>1542174983.6313822</v>
      </c>
      <c r="H28" s="519">
        <f>SUM(H7:H27)</f>
        <v>1291404948.703465</v>
      </c>
      <c r="I28" s="519">
        <f>SUM(I7:I27)</f>
        <v>250770034.92791721</v>
      </c>
      <c r="J28" s="1263">
        <f>I28/H28</f>
        <v>0.19418388877918072</v>
      </c>
      <c r="K28" s="71"/>
      <c r="M28" s="697"/>
      <c r="N28" s="697"/>
    </row>
    <row r="29" spans="1:15">
      <c r="A29" s="31"/>
      <c r="B29" s="522"/>
      <c r="C29" s="523"/>
      <c r="D29" s="522"/>
      <c r="E29" s="523"/>
      <c r="F29" s="522"/>
      <c r="G29" s="522"/>
      <c r="H29" s="522"/>
      <c r="I29" s="522"/>
      <c r="J29" s="524"/>
      <c r="M29" s="697"/>
      <c r="N29" s="697"/>
    </row>
    <row r="30" spans="1:15">
      <c r="A30" s="31" t="s">
        <v>24</v>
      </c>
      <c r="B30" s="518"/>
      <c r="C30" s="525"/>
      <c r="D30" s="518"/>
      <c r="E30" s="523"/>
      <c r="F30" s="518"/>
      <c r="G30" s="518"/>
      <c r="H30" s="518"/>
      <c r="I30" s="518"/>
      <c r="J30" s="526"/>
      <c r="M30" s="697"/>
      <c r="N30" s="697"/>
    </row>
    <row r="31" spans="1:15">
      <c r="A31" s="27" t="s">
        <v>25</v>
      </c>
      <c r="B31" s="513">
        <f>'EGH Plc'!B31+EBKL!B30+E_BCDC!C30+EBSSL!C31+EBTL!C31+EBRL!C32+'FinAL&amp;Azenia'!B30+EBUL!C32+EIAL!B32+EIBL!B30+Others!B32+'EIGHL&amp;ELAK'!B31</f>
        <v>0</v>
      </c>
      <c r="C31" s="514"/>
      <c r="D31" s="513"/>
      <c r="E31" s="515"/>
      <c r="F31" s="517"/>
      <c r="G31" s="517">
        <f>B31-D31+F31</f>
        <v>0</v>
      </c>
      <c r="H31" s="513">
        <f>[4]GROUP!G31</f>
        <v>5000000</v>
      </c>
      <c r="I31" s="527">
        <v>0</v>
      </c>
      <c r="J31" s="1266">
        <v>0</v>
      </c>
      <c r="M31" s="697"/>
      <c r="N31" s="697"/>
    </row>
    <row r="32" spans="1:15" ht="16.5" customHeight="1">
      <c r="A32" s="27" t="s">
        <v>26</v>
      </c>
      <c r="B32" s="513">
        <f>'EGH Plc'!B32+EBKL!B31+E_BCDC!C31+EBSSL!C32+EBTL!C32+EBRL!C33+'FinAL&amp;Azenia'!B31+EBUL!C33+EIAL!B33+EIBL!B31+Others!B33+'EIGHL&amp;ELAK'!B32</f>
        <v>1139240491.7123289</v>
      </c>
      <c r="C32" s="514" t="s">
        <v>381</v>
      </c>
      <c r="D32" s="513">
        <f>'Consolidation  JVs'!D252+'Consolidation  JVs'!D258</f>
        <v>16276724.766099002</v>
      </c>
      <c r="E32" s="515"/>
      <c r="F32" s="517"/>
      <c r="G32" s="517">
        <f>B32-D32+F32</f>
        <v>1122963766.9462299</v>
      </c>
      <c r="H32" s="513">
        <f>[4]GROUP!G32+[4]GROUP!G33+[4]GROUP!G34</f>
        <v>893193092.64979911</v>
      </c>
      <c r="I32" s="527">
        <f>(G32-H32)</f>
        <v>229770674.29643083</v>
      </c>
      <c r="J32" s="1261">
        <f t="shared" ref="J32:J42" si="6">IFERROR(I32/H32,0)</f>
        <v>0.25724636272631668</v>
      </c>
      <c r="M32" s="697">
        <v>0.49855971336364746</v>
      </c>
      <c r="N32" s="697"/>
    </row>
    <row r="33" spans="1:14" ht="16.5" customHeight="1">
      <c r="A33" s="27" t="s">
        <v>543</v>
      </c>
      <c r="B33" s="513">
        <f>'EGH Plc'!B33+EBKL!B32+E_BCDC!C32+EBSSL!C33+EBTL!C33+EBRL!C34+'FinAL&amp;Azenia'!B32+EBUL!C34+EIAL!B34+EIBL!B32+Others!B34+'EIGHL&amp;ELAK'!B33</f>
        <v>0</v>
      </c>
      <c r="C33" s="514"/>
      <c r="D33" s="513">
        <v>0</v>
      </c>
      <c r="E33" s="515"/>
      <c r="F33" s="517"/>
      <c r="G33" s="517">
        <f>B33-D33+F33</f>
        <v>0</v>
      </c>
      <c r="H33" s="513">
        <v>0</v>
      </c>
      <c r="I33" s="527">
        <f>(G33-H33)</f>
        <v>0</v>
      </c>
      <c r="J33" s="1261">
        <f t="shared" si="6"/>
        <v>0</v>
      </c>
      <c r="M33" s="697"/>
      <c r="N33" s="697"/>
    </row>
    <row r="34" spans="1:14">
      <c r="A34" s="637" t="s">
        <v>544</v>
      </c>
      <c r="B34" s="513">
        <f>'EGH Plc'!B34+EBKL!B33+E_BCDC!C33+EBSSL!C34+EBTL!C34+EBRL!C35+'FinAL&amp;Azenia'!B33+EBUL!C35+EIAL!B35+EIBL!B33+Others!B35+'EIGHL&amp;ELAK'!B34</f>
        <v>110486369.57815465</v>
      </c>
      <c r="C34" s="514"/>
      <c r="D34" s="513">
        <f>'Consolidation  JVs'!D253</f>
        <v>110486369.57815465</v>
      </c>
      <c r="E34" s="515"/>
      <c r="F34" s="517"/>
      <c r="G34" s="517">
        <f>B34-D34+F34</f>
        <v>0</v>
      </c>
      <c r="H34" s="513">
        <v>0</v>
      </c>
      <c r="I34" s="527">
        <f>(G34-H34)</f>
        <v>0</v>
      </c>
      <c r="J34" s="1261">
        <f t="shared" si="6"/>
        <v>0</v>
      </c>
      <c r="M34" s="697"/>
      <c r="N34" s="697"/>
    </row>
    <row r="35" spans="1:14">
      <c r="A35" s="27" t="s">
        <v>29</v>
      </c>
      <c r="B35" s="513">
        <f>'EGH Plc'!B35+EBKL!B34+E_BCDC!C34+EBSSL!C35+EBTL!C35+EBRL!C36+'FinAL&amp;Azenia'!B34+EBUL!C36+EIAL!B36+EIBL!B34+Others!B36+'EIGHL&amp;ELAK'!B35</f>
        <v>47471729.967254549</v>
      </c>
      <c r="C35" s="514"/>
      <c r="D35" s="513">
        <f>'Consolidation  JVs'!D233</f>
        <v>146299.00844330111</v>
      </c>
      <c r="E35" s="515"/>
      <c r="F35" s="517"/>
      <c r="G35" s="517">
        <f t="shared" ref="G35:G40" si="7">B35-D35+F35</f>
        <v>47325430.958811246</v>
      </c>
      <c r="H35" s="513">
        <f>[4]GROUP!G35</f>
        <v>51385433.277479306</v>
      </c>
      <c r="I35" s="527">
        <f>(G35-H35)</f>
        <v>-4060002.31866806</v>
      </c>
      <c r="J35" s="1261">
        <f t="shared" si="6"/>
        <v>-7.9010763551300781E-2</v>
      </c>
      <c r="M35" s="697"/>
      <c r="N35" s="697"/>
    </row>
    <row r="36" spans="1:14">
      <c r="A36" s="27" t="s">
        <v>30</v>
      </c>
      <c r="B36" s="513">
        <f>'EGH Plc'!B36+EBKL!B35+E_BCDC!C35+EBSSL!C36+EBTL!C36+EBRL!C37+'FinAL&amp;Azenia'!B35+EBUL!C37+EIAL!B37+EIBL!B35+Others!B37+'EIGHL&amp;ELAK'!B36</f>
        <v>113987724.30800277</v>
      </c>
      <c r="C36" s="514"/>
      <c r="D36" s="513">
        <f>'Consolidation  JVs'!D232</f>
        <v>0</v>
      </c>
      <c r="E36" s="515"/>
      <c r="F36" s="528"/>
      <c r="G36" s="517">
        <f t="shared" si="7"/>
        <v>113987724.30800277</v>
      </c>
      <c r="H36" s="513">
        <f>[4]GROUP!G36</f>
        <v>126330950.15880898</v>
      </c>
      <c r="I36" s="527">
        <f>(G36-H36)</f>
        <v>-12343225.850806206</v>
      </c>
      <c r="J36" s="1261">
        <f t="shared" si="6"/>
        <v>-9.7705477836505614E-2</v>
      </c>
      <c r="M36" s="697"/>
      <c r="N36" s="697"/>
    </row>
    <row r="37" spans="1:14">
      <c r="A37" s="27" t="s">
        <v>31</v>
      </c>
      <c r="B37" s="513">
        <f>'EGH Plc'!B37+EBKL!B36+E_BCDC!C36+EBSSL!C37+EBTL!C37+EBRL!C38+'FinAL&amp;Azenia'!B36+EBUL!C38+EIAL!B38+EIBL!B36+Others!B38+'EIGHL&amp;ELAK'!B37</f>
        <v>3950600.227919925</v>
      </c>
      <c r="C37" s="514"/>
      <c r="D37" s="513">
        <f>'Intercompany 2023'!R8</f>
        <v>3950600.227919925</v>
      </c>
      <c r="E37" s="515"/>
      <c r="F37" s="517"/>
      <c r="G37" s="517">
        <f>ROUND(B37-D37+F37,0)</f>
        <v>0</v>
      </c>
      <c r="H37" s="513">
        <f>[4]GROUP!G37</f>
        <v>0</v>
      </c>
      <c r="I37" s="527">
        <f>G37-H37</f>
        <v>0</v>
      </c>
      <c r="J37" s="1261">
        <v>1</v>
      </c>
      <c r="L37" s="644"/>
      <c r="M37" s="697"/>
      <c r="N37" s="697"/>
    </row>
    <row r="38" spans="1:14">
      <c r="A38" s="27" t="s">
        <v>32</v>
      </c>
      <c r="B38" s="513">
        <f>'EGH Plc'!B38+EBKL!B37+E_BCDC!C37+EBSSL!C38+EBTL!C38+EBRL!C39+'FinAL&amp;Azenia'!B37+EBUL!C39+EIAL!B39+EIBL!B37+Others!B39+'EIGHL&amp;ELAK'!B38</f>
        <v>3582663.7082863827</v>
      </c>
      <c r="C38" s="514"/>
      <c r="D38" s="513"/>
      <c r="E38" s="515"/>
      <c r="F38" s="517"/>
      <c r="G38" s="517">
        <f t="shared" si="7"/>
        <v>3582663.7082863827</v>
      </c>
      <c r="H38" s="513">
        <f>[4]GROUP!G38</f>
        <v>1753386.9536234825</v>
      </c>
      <c r="I38" s="527">
        <f t="shared" ref="I38:I43" si="8">(G38-H38)</f>
        <v>1829276.7546629002</v>
      </c>
      <c r="J38" s="1261">
        <f t="shared" si="6"/>
        <v>1.0432818328450471</v>
      </c>
      <c r="M38" s="697"/>
      <c r="N38" s="697"/>
    </row>
    <row r="39" spans="1:14" ht="17.25" customHeight="1">
      <c r="A39" s="27" t="s">
        <v>442</v>
      </c>
      <c r="B39" s="513">
        <f>'EGH Plc'!B39+EBKL!B38+E_BCDC!C38+EBSSL!C39+EBTL!C39+EBRL!C40+'FinAL&amp;Azenia'!B38+EBUL!C40+EIAL!B40+EIBL!B38+Others!B40+'EIGHL&amp;ELAK'!B39</f>
        <v>1704332.2816273291</v>
      </c>
      <c r="C39" s="514"/>
      <c r="D39" s="513">
        <f>'Consolidation  JVs'!D141+'Consolidation  JVs'!D228+'Consolidation  JVs'!D335</f>
        <v>1704332.2816273291</v>
      </c>
      <c r="E39" s="515"/>
      <c r="F39" s="517"/>
      <c r="G39" s="528">
        <f>B39-D39+F39</f>
        <v>0</v>
      </c>
      <c r="H39" s="513">
        <v>0</v>
      </c>
      <c r="I39" s="527">
        <f t="shared" si="8"/>
        <v>0</v>
      </c>
      <c r="J39" s="1261">
        <f t="shared" si="6"/>
        <v>0</v>
      </c>
      <c r="M39" s="697"/>
      <c r="N39" s="697"/>
    </row>
    <row r="40" spans="1:14">
      <c r="A40" s="27" t="s">
        <v>34</v>
      </c>
      <c r="B40" s="513">
        <f>'EGH Plc'!B40+EBKL!B39+E_BCDC!C39+EBSSL!C40+EBTL!C40+EBRL!C41+'FinAL&amp;Azenia'!B39+EBUL!C41+EIAL!B41+EIBL!B39+Others!B41+'EIGHL&amp;ELAK'!B40</f>
        <v>1979082.5015741633</v>
      </c>
      <c r="C40" s="514"/>
      <c r="D40" s="513"/>
      <c r="E40" s="515"/>
      <c r="F40" s="517"/>
      <c r="G40" s="517">
        <f t="shared" si="7"/>
        <v>1979082.5015741633</v>
      </c>
      <c r="H40" s="513">
        <f>[4]GROUP!G40</f>
        <v>915969.81720401999</v>
      </c>
      <c r="I40" s="527">
        <f t="shared" si="8"/>
        <v>1063112.6843701433</v>
      </c>
      <c r="J40" s="1261">
        <f t="shared" si="6"/>
        <v>1.1606416111125517</v>
      </c>
      <c r="M40" s="697"/>
      <c r="N40" s="697"/>
    </row>
    <row r="41" spans="1:14">
      <c r="A41" s="27" t="s">
        <v>35</v>
      </c>
      <c r="B41" s="513">
        <f>'EGH Plc'!B41+EBKL!B40+E_BCDC!C40+EBSSL!C41+EBTL!C41+EBRL!C42+'FinAL&amp;Azenia'!B40+EBUL!C42+EIAL!B42+EIBL!B40+Others!B42+'EIGHL&amp;ELAK'!B41</f>
        <v>1931309.4469801853</v>
      </c>
      <c r="C41" s="514"/>
      <c r="D41" s="513"/>
      <c r="E41" s="515"/>
      <c r="F41" s="517"/>
      <c r="G41" s="517">
        <f>B41-D41+F41</f>
        <v>1931309.4469801853</v>
      </c>
      <c r="H41" s="513">
        <f>[4]GROUP!G41</f>
        <v>1298879.1521999999</v>
      </c>
      <c r="I41" s="517">
        <f t="shared" si="8"/>
        <v>632430.29478018545</v>
      </c>
      <c r="J41" s="1261">
        <f t="shared" si="6"/>
        <v>0.48690464675562412</v>
      </c>
      <c r="L41" s="202"/>
      <c r="M41" s="697"/>
      <c r="N41" s="697"/>
    </row>
    <row r="42" spans="1:14">
      <c r="A42" s="27" t="s">
        <v>36</v>
      </c>
      <c r="B42" s="513">
        <f>((((((('EGH Plc'!B42+EBKL!B41+E_BCDC!C41+EBSSL!C42+EBTL!C42+EBRL!C43+'FinAL&amp;Azenia'!B41+EBUL!C43+EIAL!B43+EIBL!B41+Others!B43+'EIGHL&amp;ELAK'!B42)))))))+-0.000200033187866211</f>
        <v>69388176.619741693</v>
      </c>
      <c r="C42" s="514"/>
      <c r="D42" s="534">
        <f>'Consolidation  JVs'!D314+'Consolidation  JVs'!D329+'Consolidation  JVs'!D238+'Consolidation  JVs'!D151+'Intercompany 2023'!R7+'Intercompany 2023'!R9</f>
        <v>8414850.7293906547</v>
      </c>
      <c r="E42" s="515"/>
      <c r="F42" s="534">
        <v>-709646.83860743046</v>
      </c>
      <c r="G42" s="517">
        <f>(B42-D42+F42)</f>
        <v>60263679.051743612</v>
      </c>
      <c r="H42" s="513">
        <f>([4]GROUP!G42+[4]GROUP!G39)-0.46252179145813</f>
        <v>42305914.548698515</v>
      </c>
      <c r="I42" s="527">
        <f t="shared" si="8"/>
        <v>17957764.503045097</v>
      </c>
      <c r="J42" s="1261">
        <f t="shared" si="6"/>
        <v>0.42447408818863469</v>
      </c>
      <c r="M42" s="697"/>
      <c r="N42" s="697"/>
    </row>
    <row r="43" spans="1:14">
      <c r="A43" s="29" t="s">
        <v>37</v>
      </c>
      <c r="B43" s="519">
        <f>SUM(B31:B42)</f>
        <v>1493722480.3518705</v>
      </c>
      <c r="C43" s="520"/>
      <c r="D43" s="519">
        <f>SUM(D31:D42)</f>
        <v>140979176.59163487</v>
      </c>
      <c r="E43" s="520"/>
      <c r="F43" s="519">
        <f>SUM(F31:F42)</f>
        <v>-709646.83860743046</v>
      </c>
      <c r="G43" s="519">
        <f>SUM(G31:G42)</f>
        <v>1352033656.9216282</v>
      </c>
      <c r="H43" s="519">
        <f>SUM(H31:H42)</f>
        <v>1122183626.5578134</v>
      </c>
      <c r="I43" s="519">
        <f t="shared" si="8"/>
        <v>229850030.36381483</v>
      </c>
      <c r="J43" s="1263">
        <f>I43/H43</f>
        <v>0.20482390307979892</v>
      </c>
      <c r="M43" s="697"/>
      <c r="N43" s="697"/>
    </row>
    <row r="44" spans="1:14">
      <c r="A44" s="31"/>
      <c r="B44" s="522"/>
      <c r="C44" s="523"/>
      <c r="D44" s="522"/>
      <c r="E44" s="523"/>
      <c r="F44" s="522"/>
      <c r="G44" s="522"/>
      <c r="H44" s="522"/>
      <c r="I44" s="522"/>
      <c r="J44" s="524"/>
      <c r="M44" s="697">
        <v>-474508.68016058207</v>
      </c>
      <c r="N44" s="697"/>
    </row>
    <row r="45" spans="1:14">
      <c r="A45" s="29" t="s">
        <v>38</v>
      </c>
      <c r="B45" s="519"/>
      <c r="C45" s="520"/>
      <c r="D45" s="519"/>
      <c r="E45" s="520"/>
      <c r="F45" s="519"/>
      <c r="G45" s="519"/>
      <c r="H45" s="519"/>
      <c r="I45" s="519"/>
      <c r="J45" s="521"/>
      <c r="M45" s="697"/>
      <c r="N45" s="697"/>
    </row>
    <row r="46" spans="1:14">
      <c r="A46" s="27" t="s">
        <v>545</v>
      </c>
      <c r="B46" s="513">
        <f>'EGH Plc'!B46+EBKL!B45+E_BCDC!C45+EBSSL!C46+EBTL!C46+EBRL!C47+'FinAL&amp;Azenia'!B45+EBUL!C47+EIAL!B47+EIBL!B45+Others!B47+'EIGHL&amp;ELAK'!B46</f>
        <v>54593007.076673962</v>
      </c>
      <c r="C46" s="514"/>
      <c r="D46" s="513">
        <f>'Consolidation  JVs'!D5+'Consolidation  JVs'!D11+'Consolidation  JVs'!D20+'Consolidation  JVs'!D27+'Consolidation  JVs'!D38+'Consolidation  JVs'!D53+'Consolidation  JVs'!D58+'Consolidation  JVs'!D64+'Consolidation  JVs'!D69+'Consolidation  JVs'!D70+'Consolidation  JVs'!D71+'Consolidation  JVs'!D83+'Consolidation  JVs'!D84+'Consolidation  JVs'!D85+'Consolidation  JVs'!D86+'Consolidation  JVs'!D87+'Consolidation  JVs'!D88+'Consolidation  JVs'!D89+'Consolidation  JVs'!D90+'Consolidation  JVs'!D161</f>
        <v>55055831.992713176</v>
      </c>
      <c r="E46" s="515"/>
      <c r="F46" s="513">
        <f>'Consolidation  JVs'!E349</f>
        <v>2349661.8055455899</v>
      </c>
      <c r="G46" s="517">
        <f>B46-D46+F46</f>
        <v>1886836.8895063763</v>
      </c>
      <c r="H46" s="513">
        <f>[4]GROUP!G46</f>
        <v>1886836.8895063819</v>
      </c>
      <c r="I46" s="518">
        <f>(G46-H46)</f>
        <v>-5.5879354476928711E-9</v>
      </c>
      <c r="J46" s="1261">
        <f t="shared" ref="J46:J53" si="9">IFERROR(I46/H46,0)</f>
        <v>-2.9615360388436856E-15</v>
      </c>
      <c r="L46" s="177"/>
      <c r="M46" s="697"/>
      <c r="N46" s="697"/>
    </row>
    <row r="47" spans="1:14">
      <c r="A47" s="27" t="s">
        <v>546</v>
      </c>
      <c r="B47" s="513">
        <f>'EGH Plc'!B47+EBKL!B46+E_BCDC!C46+EBSSL!C47+EBTL!C47+EBRL!C48+'FinAL&amp;Azenia'!B46+EBUL!C48+EIAL!B48+EIBL!B46+Others!B48+'EIGHL&amp;ELAK'!B47</f>
        <v>39174895.916250959</v>
      </c>
      <c r="C47" s="514"/>
      <c r="D47" s="513">
        <f>'Consolidation  JVs'!D6+'Consolidation  JVs'!D12+'Consolidation  JVs'!D28+'Consolidation  JVs'!D54+'Consolidation  JVs'!D59+'Consolidation  JVs'!D72+'Consolidation  JVs'!D162</f>
        <v>21680639.725390591</v>
      </c>
      <c r="E47" s="515"/>
      <c r="F47" s="513">
        <f>'Consolidation  JVs'!E350</f>
        <v>-2168992.55035323</v>
      </c>
      <c r="G47" s="517">
        <f t="shared" ref="G47:G53" si="10">B47-D47+F47</f>
        <v>15325263.640507139</v>
      </c>
      <c r="H47" s="513">
        <f>[4]GROUP!G47</f>
        <v>15325263.640507141</v>
      </c>
      <c r="I47" s="518">
        <f>(G47-H47)</f>
        <v>-1.862645149230957E-9</v>
      </c>
      <c r="J47" s="1261">
        <f t="shared" si="9"/>
        <v>-1.2154082258707027E-16</v>
      </c>
      <c r="K47" s="55"/>
      <c r="L47" s="177">
        <f>G46-H46</f>
        <v>-5.5879354476928711E-9</v>
      </c>
      <c r="M47" s="697"/>
      <c r="N47" s="697"/>
    </row>
    <row r="48" spans="1:14">
      <c r="A48" s="27" t="s">
        <v>41</v>
      </c>
      <c r="B48" s="513">
        <f>'EGH Plc'!B48+EBKL!B47+E_BCDC!C47+EBSSL!C48+EBTL!C48+EBRL!C49+'FinAL&amp;Azenia'!B47+EBUL!C49+EIAL!B49+EIBL!B47+Others!B49+'EIGHL&amp;ELAK'!B48</f>
        <v>-44012967.028983213</v>
      </c>
      <c r="C48" s="514"/>
      <c r="D48" s="513">
        <f>'Consolidation  JVs'!D30+'Consolidation  JVs'!D60+'Consolidation  JVs'!D65+'Consolidation  JVs'!D77+'Consolidation  JVs'!D78+'Consolidation  JVs'!D79+'Consolidation  JVs'!D96+'Consolidation  JVs'!D117+'Consolidation  JVs'!D174+'Consolidation  JVs'!D347+'Consolidation  JVs'!D223</f>
        <v>-147861.4743828401</v>
      </c>
      <c r="E48" s="515"/>
      <c r="F48" s="513">
        <f>-'Consolidation  JVs'!D16+'Consolidation  JVs'!E102+'Consolidation  JVs'!E121+'Consolidation  JVs'!E137+'Consolidation  JVs'!E180+'Consolidation  JVs'!E192+'Consolidation  JVs'!E218+'Consolidation  JVs'!E277</f>
        <v>2354944.7343990719</v>
      </c>
      <c r="G48" s="517">
        <f t="shared" si="10"/>
        <v>-41510160.8202013</v>
      </c>
      <c r="H48" s="513">
        <f>[4]GROUP!G48</f>
        <v>-27459262.269399989</v>
      </c>
      <c r="I48" s="513">
        <f>(G48-H48)</f>
        <v>-14050898.550801311</v>
      </c>
      <c r="J48" s="1261">
        <f t="shared" si="9"/>
        <v>0.51169978322612586</v>
      </c>
      <c r="L48" s="177"/>
      <c r="M48" s="779"/>
      <c r="N48" s="697"/>
    </row>
    <row r="49" spans="1:15" ht="15.75" customHeight="1">
      <c r="A49" s="27" t="s">
        <v>547</v>
      </c>
      <c r="B49" s="513">
        <f>'EGH Plc'!B49+EBKL!B48+E_BCDC!C48+EBSSL!C49+EBTL!C49+EBRL!C50+'FinAL&amp;Azenia'!B48+EBUL!C50+EIAL!B50+EIBL!B48+Others!B50+'EIGHL&amp;ELAK'!B49</f>
        <v>216206354.35012406</v>
      </c>
      <c r="C49" s="514"/>
      <c r="D49" s="513">
        <f>'Consolidation  JVs'!D13+'Consolidation  JVs'!D14+'Consolidation  JVs'!D21+'Consolidation  JVs'!D22+'Consolidation  JVs'!D29+'Consolidation  JVs'!D39+'Consolidation  JVs'!D40+'Consolidation  JVs'!D48+'Consolidation  JVs'!D75+'Consolidation  JVs'!D76+'Consolidation  JVs'!D95+'Consolidation  JVs'!D107+'Consolidation  JVs'!D124+'Consolidation  JVs'!D131+'Consolidation  JVs'!D156+'Consolidation  JVs'!D163+'Consolidation  JVs'!D179+'Consolidation  JVs'!D185+'Consolidation  JVs'!D197+'Consolidation  JVs'!D203+'Consolidation  JVs'!D212+'Consolidation  JVs'!D304</f>
        <v>23034457.675311714</v>
      </c>
      <c r="E49" s="515"/>
      <c r="F49" s="513">
        <f>'Consolidation  JVs'!E114+'Consolidation  JVs'!E169+'Consolidation  JVs'!E175+'Consolidation  JVs'!E348</f>
        <v>-2952375.483518519</v>
      </c>
      <c r="G49" s="517">
        <f t="shared" si="10"/>
        <v>190219521.19129384</v>
      </c>
      <c r="H49" s="513">
        <f>[4]GROUP!G49</f>
        <v>161244965.55593145</v>
      </c>
      <c r="I49" s="518">
        <f>(G49-H49)</f>
        <v>28974555.635362387</v>
      </c>
      <c r="J49" s="1261">
        <f t="shared" si="9"/>
        <v>0.17969277698355121</v>
      </c>
      <c r="L49" s="177">
        <f>G49-G101</f>
        <v>174477434.6966126</v>
      </c>
      <c r="M49" s="779">
        <f>G49+G51</f>
        <v>205314220.39929384</v>
      </c>
      <c r="N49" s="697"/>
    </row>
    <row r="50" spans="1:15" ht="16.5" customHeight="1">
      <c r="A50" s="27" t="s">
        <v>548</v>
      </c>
      <c r="B50" s="513">
        <f>'EGH Plc'!B50+EBKL!B49+E_BCDC!C49+EBSSL!C50+EBTL!C50+EBRL!C51+'FinAL&amp;Azenia'!B49+EBUL!C51+EIAL!B51+EIBL!B49+Others!B51+'EIGHL&amp;ELAK'!B50</f>
        <v>1445240.9146164723</v>
      </c>
      <c r="C50" s="514"/>
      <c r="D50" s="513">
        <f>'Consolidation  JVs'!D7</f>
        <v>769212.10925999994</v>
      </c>
      <c r="E50" s="515"/>
      <c r="F50" s="513">
        <f>'Consolidation  JVs'!E351</f>
        <v>906298.66836911195</v>
      </c>
      <c r="G50" s="517">
        <f t="shared" si="10"/>
        <v>1582327.4737255843</v>
      </c>
      <c r="H50" s="513">
        <f>[4]GROUP!G50</f>
        <v>91910.151759782777</v>
      </c>
      <c r="I50" s="518">
        <f>(G50-H50)</f>
        <v>1490417.3219658015</v>
      </c>
      <c r="J50" s="1261">
        <f t="shared" si="9"/>
        <v>16.216025035636651</v>
      </c>
      <c r="L50" s="177"/>
      <c r="M50" s="779">
        <v>169143359</v>
      </c>
      <c r="N50" s="177"/>
    </row>
    <row r="51" spans="1:15">
      <c r="A51" s="27" t="s">
        <v>44</v>
      </c>
      <c r="B51" s="513">
        <f>'EGH Plc'!B51+EBKL!B50+E_BCDC!C50+EBSSL!C51+EBTL!C51+EBRL!C52+'FinAL&amp;Azenia'!B50+EBUL!C52+EIAL!B52+EIBL!B50+Others!B52+'EIGHL&amp;ELAK'!B51</f>
        <v>15094699.208000001</v>
      </c>
      <c r="C51" s="514"/>
      <c r="D51" s="513"/>
      <c r="E51" s="515"/>
      <c r="F51" s="513"/>
      <c r="G51" s="517">
        <f t="shared" si="10"/>
        <v>15094699.208000001</v>
      </c>
      <c r="H51" s="513">
        <f>[4]GROUP!G51</f>
        <v>11321024.405999999</v>
      </c>
      <c r="I51" s="518">
        <f>G51-H51</f>
        <v>3773674.8020000011</v>
      </c>
      <c r="J51" s="1261">
        <v>1</v>
      </c>
      <c r="L51" s="177"/>
      <c r="M51" s="779">
        <f>M49-M50</f>
        <v>36170861.39929384</v>
      </c>
      <c r="N51" s="177"/>
    </row>
    <row r="52" spans="1:15">
      <c r="A52" s="27" t="s">
        <v>45</v>
      </c>
      <c r="B52" s="513">
        <f>'EGH Plc'!B52+EBKL!B51+E_BCDC!C51+EBSSL!C52+EBTL!C52+EBRL!C53+'FinAL&amp;Azenia'!B51+EBUL!C53+EIAL!B53+EIBL!B51+Others!B53+'EIGHL&amp;ELAK'!B52</f>
        <v>0</v>
      </c>
      <c r="C52" s="514"/>
      <c r="D52" s="513"/>
      <c r="E52" s="515"/>
      <c r="F52" s="513"/>
      <c r="G52" s="517">
        <f t="shared" si="10"/>
        <v>0</v>
      </c>
      <c r="H52" s="513">
        <f>[4]GROUP!G52</f>
        <v>0</v>
      </c>
      <c r="I52" s="518">
        <f>(G52-H52)</f>
        <v>0</v>
      </c>
      <c r="J52" s="1261">
        <f t="shared" si="9"/>
        <v>0</v>
      </c>
      <c r="L52" s="177"/>
      <c r="M52" s="779"/>
      <c r="N52" s="891"/>
    </row>
    <row r="53" spans="1:15" ht="15" customHeight="1">
      <c r="A53" s="27" t="s">
        <v>549</v>
      </c>
      <c r="B53" s="513"/>
      <c r="C53" s="514"/>
      <c r="D53" s="513">
        <f>'Consolidation  JVs'!D101+'Consolidation  JVs'!D106+'Consolidation  JVs'!D136+'Consolidation  JVs'!D168+'Consolidation  JVs'!D191+'Consolidation  JVs'!D196+'Consolidation  JVs'!D202+'Consolidation  JVs'!D217+'Consolidation  JVs'!D303</f>
        <v>3865547.4346828433</v>
      </c>
      <c r="E53" s="515"/>
      <c r="F53" s="513">
        <f>'Consolidation  JVs'!E23+'Consolidation  JVs'!E45+'Consolidation  JVs'!E97+'Consolidation  JVs'!E132+'Consolidation  JVs'!E186+'Consolidation  JVs'!E213+'Consolidation  JVs'!E224</f>
        <v>11408386.561605172</v>
      </c>
      <c r="G53" s="517">
        <f t="shared" si="10"/>
        <v>7542839.126922329</v>
      </c>
      <c r="H53" s="513">
        <f>[4]GROUP!G53</f>
        <v>6810583.7729021423</v>
      </c>
      <c r="I53" s="518">
        <f>G53-H53</f>
        <v>732255.3540201867</v>
      </c>
      <c r="J53" s="1261">
        <f t="shared" si="9"/>
        <v>0.10751726701221624</v>
      </c>
      <c r="L53" s="177"/>
      <c r="M53" s="779"/>
      <c r="N53" s="697"/>
    </row>
    <row r="54" spans="1:15">
      <c r="A54" s="29" t="s">
        <v>46</v>
      </c>
      <c r="B54" s="519">
        <f>SUM(B46:B53)</f>
        <v>282501230.43668222</v>
      </c>
      <c r="C54" s="520"/>
      <c r="D54" s="519">
        <f>SUM(D46:D53)</f>
        <v>104257827.46297547</v>
      </c>
      <c r="E54" s="520"/>
      <c r="F54" s="519">
        <f>SUM(F46:F53)</f>
        <v>11897923.736047197</v>
      </c>
      <c r="G54" s="519">
        <f>SUM(G46:G53)</f>
        <v>190141326.70975399</v>
      </c>
      <c r="H54" s="519">
        <f>SUM(H46:H53)</f>
        <v>169221322.14720687</v>
      </c>
      <c r="I54" s="519">
        <f>(G54-H54)</f>
        <v>20920004.562547117</v>
      </c>
      <c r="J54" s="1263">
        <f>I54/H54</f>
        <v>0.12362510998672289</v>
      </c>
      <c r="K54" s="55"/>
      <c r="M54" s="697"/>
      <c r="N54" s="697"/>
    </row>
    <row r="55" spans="1:15">
      <c r="A55" s="34"/>
      <c r="B55" s="529"/>
      <c r="C55" s="530"/>
      <c r="D55" s="529"/>
      <c r="E55" s="530"/>
      <c r="F55" s="529"/>
      <c r="G55" s="529"/>
      <c r="H55" s="529"/>
      <c r="I55" s="529"/>
      <c r="J55" s="1264"/>
      <c r="M55" s="697"/>
      <c r="N55" s="697"/>
    </row>
    <row r="56" spans="1:15" ht="13.5" thickBot="1">
      <c r="A56" s="95" t="s">
        <v>47</v>
      </c>
      <c r="B56" s="531">
        <f>B54+B43</f>
        <v>1776223710.7885528</v>
      </c>
      <c r="C56" s="532"/>
      <c r="D56" s="531">
        <f>D54+D43+D28</f>
        <v>249825678.23236263</v>
      </c>
      <c r="E56" s="532"/>
      <c r="F56" s="531">
        <f>F54+F43+F28</f>
        <v>249825678.23236263</v>
      </c>
      <c r="G56" s="531">
        <f>G43+G54</f>
        <v>1542174983.6313822</v>
      </c>
      <c r="H56" s="531">
        <f>H43+H54</f>
        <v>1291404948.7050202</v>
      </c>
      <c r="I56" s="531">
        <f>(G56-H56)</f>
        <v>250770034.92636204</v>
      </c>
      <c r="J56" s="1265">
        <f>I56/H56</f>
        <v>0.19418388877774262</v>
      </c>
      <c r="M56" s="697"/>
      <c r="N56" s="697"/>
    </row>
    <row r="57" spans="1:15" ht="13.5" thickBot="1">
      <c r="A57" s="867"/>
      <c r="B57" s="533">
        <f>B28-B56</f>
        <v>0</v>
      </c>
      <c r="C57" s="533"/>
      <c r="D57" s="533"/>
      <c r="E57" s="533"/>
      <c r="F57" s="533">
        <f>D56-F56</f>
        <v>0</v>
      </c>
      <c r="G57" s="534">
        <f>G56-G28</f>
        <v>0</v>
      </c>
      <c r="H57" s="534">
        <f>H56-H28</f>
        <v>1.5552043914794922E-3</v>
      </c>
      <c r="I57" s="533"/>
      <c r="J57" s="533"/>
      <c r="K57" s="54"/>
      <c r="L57" s="177"/>
    </row>
    <row r="58" spans="1:15" ht="21" thickBot="1">
      <c r="A58" s="1539" t="str">
        <f>A1</f>
        <v>Equity Group Holdings Plc  Group- Consolidated</v>
      </c>
      <c r="B58" s="1540"/>
      <c r="C58" s="1540"/>
      <c r="D58" s="1540"/>
      <c r="E58" s="1540"/>
      <c r="F58" s="1540"/>
      <c r="G58" s="1540"/>
      <c r="H58" s="1540"/>
      <c r="I58" s="1540"/>
      <c r="J58" s="1541"/>
      <c r="K58" s="72"/>
      <c r="M58" s="177"/>
    </row>
    <row r="59" spans="1:15" ht="25.5">
      <c r="A59" s="1269" t="s">
        <v>48</v>
      </c>
      <c r="B59" s="1240">
        <f>B3</f>
        <v>45046</v>
      </c>
      <c r="C59" s="535" t="s">
        <v>312</v>
      </c>
      <c r="D59" s="535" t="s">
        <v>319</v>
      </c>
      <c r="E59" s="535" t="s">
        <v>321</v>
      </c>
      <c r="F59" s="536" t="s">
        <v>320</v>
      </c>
      <c r="G59" s="1240">
        <f>G3</f>
        <v>45046</v>
      </c>
      <c r="H59" s="1240">
        <f>H3</f>
        <v>44681</v>
      </c>
      <c r="I59" s="1542" t="s">
        <v>85</v>
      </c>
      <c r="J59" s="1543" t="s">
        <v>86</v>
      </c>
      <c r="K59" s="55"/>
    </row>
    <row r="60" spans="1:15">
      <c r="A60" s="36"/>
      <c r="B60" s="507" t="s">
        <v>82</v>
      </c>
      <c r="C60" s="509"/>
      <c r="D60" s="509"/>
      <c r="E60" s="509"/>
      <c r="F60" s="537"/>
      <c r="G60" s="507" t="s">
        <v>82</v>
      </c>
      <c r="H60" s="507" t="s">
        <v>96</v>
      </c>
      <c r="I60" s="1538"/>
      <c r="J60" s="1544" t="s">
        <v>86</v>
      </c>
    </row>
    <row r="61" spans="1:15" ht="13.5" thickBot="1">
      <c r="A61" s="439"/>
      <c r="B61" s="507" t="s">
        <v>909</v>
      </c>
      <c r="C61" s="539"/>
      <c r="D61" s="539"/>
      <c r="E61" s="539"/>
      <c r="F61" s="540"/>
      <c r="G61" s="507" t="s">
        <v>909</v>
      </c>
      <c r="H61" s="538" t="str">
        <f>H6</f>
        <v>(Unaudited)</v>
      </c>
      <c r="I61" s="437"/>
      <c r="J61" s="541"/>
    </row>
    <row r="62" spans="1:15">
      <c r="A62" s="603" t="s">
        <v>49</v>
      </c>
      <c r="B62" s="542"/>
      <c r="C62" s="543"/>
      <c r="D62" s="542"/>
      <c r="E62" s="543"/>
      <c r="F62" s="544"/>
      <c r="G62" s="545"/>
      <c r="H62" s="545"/>
      <c r="I62" s="545"/>
      <c r="J62" s="546"/>
    </row>
    <row r="63" spans="1:15">
      <c r="A63" s="27" t="s">
        <v>50</v>
      </c>
      <c r="B63" s="547">
        <f>EBKL!B62+EBSSL!C62+EBRL!C62+EBTL!C62+EBUL!C63+'FinAL&amp;Azenia'!B61+EIAL!B62+EIBL!B61+'EGH Plc'!B62+E_BCDC!C60+Others!B62+'EIGHL&amp;ELAK'!B62</f>
        <v>28215132.019552056</v>
      </c>
      <c r="C63" s="548"/>
      <c r="D63" s="547"/>
      <c r="E63" s="548"/>
      <c r="F63" s="469"/>
      <c r="G63" s="549">
        <f>B63-D63+F63</f>
        <v>28215132.019552056</v>
      </c>
      <c r="H63" s="549">
        <f>[4]GROUP!$G63</f>
        <v>23474285.581485875</v>
      </c>
      <c r="I63" s="549">
        <f>(G63-H63)</f>
        <v>4740846.4380661808</v>
      </c>
      <c r="J63" s="1248">
        <f>IFERROR(I63/H63,0)</f>
        <v>0.201959136162392</v>
      </c>
      <c r="N63" s="177"/>
      <c r="O63" s="177"/>
    </row>
    <row r="64" spans="1:15">
      <c r="A64" s="27" t="s">
        <v>550</v>
      </c>
      <c r="B64" s="547">
        <f>EBKL!B63+EBSSL!C63+EBRL!C63+EBTL!C63+EBUL!C64+'FinAL&amp;Azenia'!B62+EIAL!B63+EIBL!B62+'EGH Plc'!B63+E_BCDC!C61+Others!B63+'EIGHL&amp;ELAK'!B63</f>
        <v>14325404.743235193</v>
      </c>
      <c r="C64" s="548"/>
      <c r="D64" s="547"/>
      <c r="E64" s="548"/>
      <c r="F64" s="469"/>
      <c r="G64" s="549">
        <f>B64-D64+F64</f>
        <v>14325404.743235193</v>
      </c>
      <c r="H64" s="549">
        <f>[4]GROUP!$G64</f>
        <v>12542151.797843253</v>
      </c>
      <c r="I64" s="549">
        <f>(G64-H64)</f>
        <v>1783252.94539194</v>
      </c>
      <c r="J64" s="1248">
        <f>IFERROR(I64/H64,0)</f>
        <v>0.14218078158634534</v>
      </c>
      <c r="N64" s="177"/>
      <c r="O64" s="177"/>
    </row>
    <row r="65" spans="1:15">
      <c r="A65" s="27" t="s">
        <v>52</v>
      </c>
      <c r="B65" s="547">
        <f>EBKL!B64+EBSSL!C64+EBRL!C64+EBTL!C64+EBUL!C65+'FinAL&amp;Azenia'!B63+EIAL!B64+EIBL!B63+'EGH Plc'!B64+E_BCDC!C62+Others!B64+'EIGHL&amp;ELAK'!B64</f>
        <v>2305730.6108468603</v>
      </c>
      <c r="C65" s="548" t="s">
        <v>633</v>
      </c>
      <c r="D65" s="547">
        <f>'Consolidation  JVs'!D248+'Consolidation  JVs'!D262+'Consolidation  JVs'!D263+'Consolidation  JVs'!D264+'Consolidation  JVs'!D265+'Consolidation  JVs'!D325</f>
        <v>935827.73862922285</v>
      </c>
      <c r="E65" s="548"/>
      <c r="F65" s="469"/>
      <c r="G65" s="549">
        <f>B65-D65+F65</f>
        <v>1369902.8722176375</v>
      </c>
      <c r="H65" s="549">
        <f>[4]GROUP!$G65</f>
        <v>228398.02376469201</v>
      </c>
      <c r="I65" s="549">
        <f>(G65-H65)</f>
        <v>1141504.8484529455</v>
      </c>
      <c r="J65" s="1248">
        <f>IFERROR(I65/H65,0)</f>
        <v>4.9978753302567336</v>
      </c>
      <c r="N65" s="177"/>
      <c r="O65" s="177"/>
    </row>
    <row r="66" spans="1:15">
      <c r="A66" s="27" t="s">
        <v>53</v>
      </c>
      <c r="B66" s="547">
        <f>EBKL!B65+EBSSL!C65+EBRL!C65+EBTL!C65+EBUL!C66+'FinAL&amp;Azenia'!B64+EIAL!B65+EIBL!B64+'EGH Plc'!B65+E_BCDC!C63+Others!B65+'EIGHL&amp;ELAK'!B65</f>
        <v>75511.415998481956</v>
      </c>
      <c r="C66" s="548"/>
      <c r="D66" s="547"/>
      <c r="E66" s="548"/>
      <c r="F66" s="469"/>
      <c r="G66" s="549">
        <f>B66-D66+F66</f>
        <v>75511.415998481956</v>
      </c>
      <c r="H66" s="549">
        <f>[4]GROUP!$G66</f>
        <v>76393.414939054463</v>
      </c>
      <c r="I66" s="549">
        <f>(G66-H66)</f>
        <v>-881.9989405725064</v>
      </c>
      <c r="J66" s="1248">
        <f>IFERROR(I66/H66,0)</f>
        <v>-1.1545483878108501E-2</v>
      </c>
      <c r="N66" s="177"/>
      <c r="O66" s="177"/>
    </row>
    <row r="67" spans="1:15">
      <c r="A67" s="29" t="s">
        <v>552</v>
      </c>
      <c r="B67" s="519">
        <f>SUM(B63:B66)</f>
        <v>44921778.789632596</v>
      </c>
      <c r="C67" s="520"/>
      <c r="D67" s="519">
        <f>SUM(D63:D66)</f>
        <v>935827.73862922285</v>
      </c>
      <c r="E67" s="520"/>
      <c r="F67" s="550">
        <f>SUM(F63:F66)</f>
        <v>0</v>
      </c>
      <c r="G67" s="551">
        <f>SUM(G63:G66)</f>
        <v>43985951.051003374</v>
      </c>
      <c r="H67" s="551">
        <f>SUM(H63:H66)</f>
        <v>36321228.818032876</v>
      </c>
      <c r="I67" s="551">
        <f>SUM(I63:I66)</f>
        <v>7664722.2329704938</v>
      </c>
      <c r="J67" s="1249">
        <f>I67/H67</f>
        <v>0.21102596146650987</v>
      </c>
      <c r="L67" s="70">
        <f>'[5]SOCI Consolidated'!$K$8</f>
        <v>128527650.45452945</v>
      </c>
      <c r="M67" s="71">
        <f>L67-G67</f>
        <v>84541699.403526068</v>
      </c>
      <c r="N67" s="177"/>
      <c r="O67" s="177"/>
    </row>
    <row r="68" spans="1:15">
      <c r="A68" s="31"/>
      <c r="B68" s="547"/>
      <c r="C68" s="548"/>
      <c r="D68" s="547"/>
      <c r="E68" s="548"/>
      <c r="F68" s="552"/>
      <c r="G68" s="549"/>
      <c r="H68" s="549"/>
      <c r="I68" s="553"/>
      <c r="J68" s="1250"/>
      <c r="N68" s="177"/>
      <c r="O68" s="177"/>
    </row>
    <row r="69" spans="1:15">
      <c r="A69" s="31" t="s">
        <v>55</v>
      </c>
      <c r="B69" s="547"/>
      <c r="C69" s="548"/>
      <c r="D69" s="547"/>
      <c r="E69" s="548"/>
      <c r="F69" s="469"/>
      <c r="G69" s="549"/>
      <c r="H69" s="549"/>
      <c r="I69" s="549"/>
      <c r="J69" s="1248"/>
      <c r="N69" s="177"/>
      <c r="O69" s="177"/>
    </row>
    <row r="70" spans="1:15">
      <c r="A70" s="27" t="s">
        <v>56</v>
      </c>
      <c r="B70" s="547">
        <f>EBKL!B69+EBSSL!C69+EBRL!C69+EBTL!C69+EBUL!C70+'FinAL&amp;Azenia'!B68+EIAL!B69+EIBL!B68+'EGH Plc'!B69+E_BCDC!C67+Others!B69+'EIGHL&amp;ELAK'!B69</f>
        <v>10752228.274719633</v>
      </c>
      <c r="C70" s="548"/>
      <c r="D70" s="547"/>
      <c r="E70" s="548" t="s">
        <v>633</v>
      </c>
      <c r="F70" s="469">
        <f>'Consolidation  JVs'!E249</f>
        <v>534446.82858860237</v>
      </c>
      <c r="G70" s="549">
        <f>B70+D70-F70</f>
        <v>10217781.44613103</v>
      </c>
      <c r="H70" s="549">
        <f>[4]GROUP!$G70</f>
        <v>6857627.9036664367</v>
      </c>
      <c r="I70" s="549">
        <f>(G70-H70)</f>
        <v>3360153.5424645934</v>
      </c>
      <c r="J70" s="1248">
        <f>IFERROR(I70/H70,0)</f>
        <v>0.48998773186105421</v>
      </c>
      <c r="N70" s="177"/>
      <c r="O70" s="177"/>
    </row>
    <row r="71" spans="1:15">
      <c r="A71" s="27" t="s">
        <v>57</v>
      </c>
      <c r="B71" s="547">
        <f>EBKL!B70+EBSSL!C70+EBRL!C70+EBTL!C70+EBUL!C71+'FinAL&amp;Azenia'!B69+EIAL!B70+EIBL!B69+'EGH Plc'!B70+E_BCDC!C68+Others!B70+'EIGHL&amp;ELAK'!B70</f>
        <v>1273966.5690126573</v>
      </c>
      <c r="C71" s="548"/>
      <c r="D71" s="547"/>
      <c r="E71" s="548"/>
      <c r="F71" s="469"/>
      <c r="G71" s="549">
        <f>B71+D71-F71</f>
        <v>1273966.5690126573</v>
      </c>
      <c r="H71" s="549">
        <f>[4]GROUP!$G71</f>
        <v>733369.31549161032</v>
      </c>
      <c r="I71" s="549">
        <f>(G71-H71)</f>
        <v>540597.25352104695</v>
      </c>
      <c r="J71" s="1248">
        <f>IFERROR(I71/H71,0)</f>
        <v>0.73714190395143597</v>
      </c>
      <c r="N71" s="177"/>
      <c r="O71" s="177"/>
    </row>
    <row r="72" spans="1:15">
      <c r="A72" s="27" t="s">
        <v>515</v>
      </c>
      <c r="B72" s="547">
        <f>EBKL!B71+EBSSL!C71+EBRL!C71+EBTL!C71+EBUL!C72+'FinAL&amp;Azenia'!B70+EIAL!B71+EIBL!B70+'EGH Plc'!B71+E_BCDC!C69+Others!B71+'EIGHL&amp;ELAK'!B71</f>
        <v>3682509.677960983</v>
      </c>
      <c r="C72" s="548"/>
      <c r="D72" s="547"/>
      <c r="E72" s="548"/>
      <c r="F72" s="469">
        <f>'Consolidation  JVs'!E266+'Consolidation  JVs'!E326</f>
        <v>401380.9100406206</v>
      </c>
      <c r="G72" s="549">
        <f>B72+D72-F72</f>
        <v>3281128.7679203623</v>
      </c>
      <c r="H72" s="549">
        <f>[4]GROUP!$G72</f>
        <v>2355222.5201406837</v>
      </c>
      <c r="I72" s="549">
        <f>(G72-H72)</f>
        <v>925906.24777967855</v>
      </c>
      <c r="J72" s="1248">
        <f>IFERROR(I72/H72,0)</f>
        <v>0.39312898881604263</v>
      </c>
      <c r="N72" s="177"/>
      <c r="O72" s="177"/>
    </row>
    <row r="73" spans="1:15">
      <c r="A73" s="29" t="s">
        <v>551</v>
      </c>
      <c r="B73" s="519">
        <f>SUM(B70:B72)</f>
        <v>15708704.521693273</v>
      </c>
      <c r="C73" s="520"/>
      <c r="D73" s="519"/>
      <c r="E73" s="520"/>
      <c r="F73" s="550">
        <f>SUM(F70:F72)</f>
        <v>935827.73862922296</v>
      </c>
      <c r="G73" s="551">
        <f>SUM(G70:G72)</f>
        <v>14772876.783064049</v>
      </c>
      <c r="H73" s="551">
        <f>SUM(H70:H72)</f>
        <v>9946219.7392987311</v>
      </c>
      <c r="I73" s="551">
        <f>(G73-H73)</f>
        <v>4826657.0437653176</v>
      </c>
      <c r="J73" s="1249">
        <f>I73/H73</f>
        <v>0.48527552882172964</v>
      </c>
      <c r="L73" s="70">
        <f>'[5]SOCI Consolidated'!$K$9</f>
        <v>-33635366.030474871</v>
      </c>
      <c r="M73" s="71">
        <f>L73--G73</f>
        <v>-18862489.247410823</v>
      </c>
      <c r="N73" s="177"/>
      <c r="O73" s="177"/>
    </row>
    <row r="74" spans="1:15">
      <c r="A74" s="29" t="s">
        <v>60</v>
      </c>
      <c r="B74" s="519">
        <f>B67-B73</f>
        <v>29213074.267939322</v>
      </c>
      <c r="C74" s="520"/>
      <c r="D74" s="519">
        <f>D67+D73</f>
        <v>935827.73862922285</v>
      </c>
      <c r="E74" s="520"/>
      <c r="F74" s="550">
        <f>F67+F73</f>
        <v>935827.73862922296</v>
      </c>
      <c r="G74" s="551">
        <f>G67-G73</f>
        <v>29213074.267939325</v>
      </c>
      <c r="H74" s="551">
        <f>H67-H73</f>
        <v>26375009.078734145</v>
      </c>
      <c r="I74" s="551">
        <f>(G74-H74)</f>
        <v>2838065.1892051809</v>
      </c>
      <c r="J74" s="1249">
        <f>I74/H74</f>
        <v>0.1076043303239459</v>
      </c>
      <c r="N74" s="177"/>
      <c r="O74" s="177"/>
    </row>
    <row r="75" spans="1:15">
      <c r="A75" s="31"/>
      <c r="B75" s="547"/>
      <c r="C75" s="548"/>
      <c r="D75" s="547"/>
      <c r="E75" s="548"/>
      <c r="F75" s="554"/>
      <c r="G75" s="549"/>
      <c r="H75" s="549"/>
      <c r="I75" s="555"/>
      <c r="J75" s="1251"/>
      <c r="N75" s="177"/>
      <c r="O75" s="177"/>
    </row>
    <row r="76" spans="1:15">
      <c r="A76" s="31" t="s">
        <v>61</v>
      </c>
      <c r="B76" s="547"/>
      <c r="C76" s="548"/>
      <c r="D76" s="547"/>
      <c r="E76" s="548"/>
      <c r="F76" s="467"/>
      <c r="G76" s="549"/>
      <c r="H76" s="549"/>
      <c r="I76" s="556"/>
      <c r="J76" s="1252"/>
      <c r="N76" s="177"/>
      <c r="O76" s="177"/>
    </row>
    <row r="77" spans="1:15">
      <c r="A77" s="27" t="s">
        <v>62</v>
      </c>
      <c r="B77" s="547">
        <f>EBKL!B76+EBSSL!C76+EBRL!C76+EBUL!C77+EBTL!C76+'FinAL&amp;Azenia'!B75+EIAL!B76+EIBL!B75+'EGH Plc'!B76+E_BCDC!C74+Others!B76+'EIGHL&amp;ELAK'!B76</f>
        <v>2795004.6880615735</v>
      </c>
      <c r="C77" s="548"/>
      <c r="D77" s="547"/>
      <c r="E77" s="548"/>
      <c r="F77" s="467"/>
      <c r="G77" s="549">
        <f>B77-D77+F77</f>
        <v>2795004.6880615735</v>
      </c>
      <c r="H77" s="549">
        <f>[4]GROUP!$G77</f>
        <v>2627420.8965877211</v>
      </c>
      <c r="I77" s="556">
        <f t="shared" ref="I77:I83" si="11">(G77-H77)</f>
        <v>167583.79147385247</v>
      </c>
      <c r="J77" s="1248">
        <f>IFERROR(I77/H77,0)</f>
        <v>6.3782621083472602E-2</v>
      </c>
      <c r="M77" s="71">
        <f>L77-G77</f>
        <v>-2795004.6880615735</v>
      </c>
      <c r="N77" s="177"/>
      <c r="O77" s="177"/>
    </row>
    <row r="78" spans="1:15">
      <c r="A78" s="27" t="s">
        <v>518</v>
      </c>
      <c r="B78" s="547">
        <f>EBKL!B77+EBSSL!C77+EBRL!C77+EBUL!C78+EBTL!C77+'FinAL&amp;Azenia'!B76+EIAL!B77+EIBL!B76+'EGH Plc'!B77+E_BCDC!C75+Others!B77+'EIGHL&amp;ELAK'!B77</f>
        <v>11904424.100537132</v>
      </c>
      <c r="C78" s="548"/>
      <c r="D78" s="547"/>
      <c r="E78" s="548"/>
      <c r="F78" s="467"/>
      <c r="G78" s="549">
        <f>B78-D78+F78</f>
        <v>11904424.100537132</v>
      </c>
      <c r="H78" s="549">
        <f>[4]GROUP!$G78</f>
        <v>8267855.7132276967</v>
      </c>
      <c r="I78" s="556">
        <f t="shared" si="11"/>
        <v>3636568.3873094358</v>
      </c>
      <c r="J78" s="1248">
        <f>IFERROR(I78/H78,0)</f>
        <v>0.43984420065426516</v>
      </c>
      <c r="L78" s="70">
        <f>'[5]SOCI Consolidated'!$K$13</f>
        <v>28126783.95179309</v>
      </c>
      <c r="M78" s="71">
        <f>L78-G78</f>
        <v>16222359.851255957</v>
      </c>
      <c r="N78" s="177"/>
      <c r="O78" s="177"/>
    </row>
    <row r="79" spans="1:15">
      <c r="A79" s="27" t="s">
        <v>64</v>
      </c>
      <c r="B79" s="547">
        <f>EBKL!B78+EBSSL!C78+EBRL!C78+EBUL!C79+EBTL!C78+'FinAL&amp;Azenia'!B77+EIAL!B78+EIBL!B77+'EGH Plc'!B78+E_BCDC!C76+Others!B78+'EIGHL&amp;ELAK'!B78</f>
        <v>6272974.8971996848</v>
      </c>
      <c r="C79" s="548"/>
      <c r="D79" s="547"/>
      <c r="E79" s="548"/>
      <c r="F79" s="467"/>
      <c r="G79" s="549">
        <f>B79-D79+F79</f>
        <v>6272974.8971996848</v>
      </c>
      <c r="H79" s="549">
        <f>[4]GROUP!$G79</f>
        <v>2895689.0171695626</v>
      </c>
      <c r="I79" s="556">
        <f t="shared" si="11"/>
        <v>3377285.8800301221</v>
      </c>
      <c r="J79" s="1248">
        <f>IFERROR(I79/H79,0)</f>
        <v>1.1663151187869283</v>
      </c>
      <c r="L79" s="70">
        <f>'[5]SOCI Consolidated'!$K$18</f>
        <v>12969689.584822867</v>
      </c>
      <c r="M79" s="71">
        <f>L79-G79</f>
        <v>6696714.6876231823</v>
      </c>
      <c r="N79" s="177"/>
      <c r="O79" s="177"/>
    </row>
    <row r="80" spans="1:15">
      <c r="A80" s="27" t="s">
        <v>517</v>
      </c>
      <c r="B80" s="547">
        <f>EBKL!B79+EBSSL!C79+EBRL!C79+EBUL!C80+EBTL!C79+'FinAL&amp;Azenia'!B78+EIAL!B79+EIBL!B78+'EGH Plc'!B79+E_BCDC!C77+Others!B79+'EIGHL&amp;ELAK'!B79</f>
        <v>0</v>
      </c>
      <c r="C80" s="548"/>
      <c r="D80" s="547"/>
      <c r="E80" s="548"/>
      <c r="F80" s="467"/>
      <c r="G80" s="549">
        <f>B80-D80+F80</f>
        <v>0</v>
      </c>
      <c r="H80" s="549">
        <f>[4]GROUP!$G80</f>
        <v>0</v>
      </c>
      <c r="I80" s="556">
        <f t="shared" si="11"/>
        <v>0</v>
      </c>
      <c r="J80" s="1248">
        <f>IFERROR(I80/H80,0)</f>
        <v>0</v>
      </c>
      <c r="N80" s="177"/>
      <c r="O80" s="177"/>
    </row>
    <row r="81" spans="1:18">
      <c r="A81" s="27" t="s">
        <v>553</v>
      </c>
      <c r="B81" s="547">
        <f>EBKL!B80+EBSSL!C80+EBRL!C80+EBUL!C81+EBTL!C80+'FinAL&amp;Azenia'!B79+EIAL!B80+EIBL!B79+'EGH Plc'!B80+E_BCDC!C78+Others!B80+'EIGHL&amp;ELAK'!B80</f>
        <v>4541696.8886867156</v>
      </c>
      <c r="C81" s="548">
        <v>5</v>
      </c>
      <c r="D81" s="547">
        <f>'Consolidation  JVs'!D242+'Consolidation  JVs'!D244+'Consolidation  JVs'!D270+'Consolidation  JVs'!D321+'Consolidation  JVs'!D312</f>
        <v>1686820.9352807349</v>
      </c>
      <c r="E81" s="548"/>
      <c r="F81" s="467"/>
      <c r="G81" s="549">
        <f>B81-D81+F81</f>
        <v>2854875.953405981</v>
      </c>
      <c r="H81" s="549">
        <f>[4]GROUP!$G81</f>
        <v>2149338.6143050375</v>
      </c>
      <c r="I81" s="556">
        <f t="shared" si="11"/>
        <v>705537.33910094341</v>
      </c>
      <c r="J81" s="1248">
        <f>IFERROR(I81/H81,0)</f>
        <v>0.328257881008233</v>
      </c>
      <c r="L81" s="70">
        <f>'[5]SOCI Consolidated'!$K$20</f>
        <v>6951236.7869264334</v>
      </c>
      <c r="M81" s="71">
        <f>L81-G81</f>
        <v>4096360.8335204525</v>
      </c>
      <c r="N81" s="177"/>
      <c r="O81" s="177"/>
    </row>
    <row r="82" spans="1:18">
      <c r="A82" s="29" t="s">
        <v>554</v>
      </c>
      <c r="B82" s="519">
        <f>SUM(B77:B81)</f>
        <v>25514100.574485108</v>
      </c>
      <c r="C82" s="520"/>
      <c r="D82" s="519">
        <f>SUM(D77:D81)</f>
        <v>1686820.9352807349</v>
      </c>
      <c r="E82" s="520"/>
      <c r="F82" s="550">
        <f>SUM(F77:F81)</f>
        <v>0</v>
      </c>
      <c r="G82" s="551">
        <f>SUM(G77:G81)</f>
        <v>23827279.639204372</v>
      </c>
      <c r="H82" s="551">
        <f>SUM(H77:H81)</f>
        <v>15940304.24129002</v>
      </c>
      <c r="I82" s="551">
        <f t="shared" si="11"/>
        <v>7886975.3979143519</v>
      </c>
      <c r="J82" s="1249">
        <f>I82/H82</f>
        <v>0.49478198649965499</v>
      </c>
      <c r="N82" s="177"/>
      <c r="O82" s="177"/>
    </row>
    <row r="83" spans="1:18">
      <c r="A83" s="29" t="s">
        <v>68</v>
      </c>
      <c r="B83" s="519">
        <f>B74+B82</f>
        <v>54727174.84242443</v>
      </c>
      <c r="C83" s="520"/>
      <c r="D83" s="519">
        <f>D74+D82</f>
        <v>2622648.6739099575</v>
      </c>
      <c r="E83" s="520"/>
      <c r="F83" s="550">
        <f>F74+F82</f>
        <v>935827.73862922296</v>
      </c>
      <c r="G83" s="551">
        <f>G74+G82</f>
        <v>53040353.907143697</v>
      </c>
      <c r="H83" s="551">
        <f>H74+H82</f>
        <v>42315313.320024163</v>
      </c>
      <c r="I83" s="551">
        <f t="shared" si="11"/>
        <v>10725040.587119535</v>
      </c>
      <c r="J83" s="1249">
        <f>I83/H83</f>
        <v>0.25345530366294855</v>
      </c>
      <c r="L83" s="177"/>
      <c r="N83" s="177"/>
      <c r="O83" s="177"/>
    </row>
    <row r="84" spans="1:18">
      <c r="A84" s="31"/>
      <c r="B84" s="547"/>
      <c r="C84" s="819"/>
      <c r="D84" s="547"/>
      <c r="E84" s="548"/>
      <c r="F84" s="554"/>
      <c r="G84" s="549"/>
      <c r="H84" s="549"/>
      <c r="I84" s="555"/>
      <c r="J84" s="1251"/>
      <c r="L84" s="177"/>
      <c r="N84" s="177"/>
      <c r="O84" s="177"/>
    </row>
    <row r="85" spans="1:18">
      <c r="A85" s="31" t="s">
        <v>69</v>
      </c>
      <c r="B85" s="547"/>
      <c r="C85" s="548"/>
      <c r="D85" s="547"/>
      <c r="E85" s="548"/>
      <c r="F85" s="467"/>
      <c r="G85" s="549"/>
      <c r="H85" s="549"/>
      <c r="I85" s="556"/>
      <c r="J85" s="1252"/>
      <c r="N85" s="177"/>
      <c r="O85" s="177"/>
    </row>
    <row r="86" spans="1:18">
      <c r="A86" s="27" t="s">
        <v>454</v>
      </c>
      <c r="B86" s="547">
        <f>EBKL!B85+EBSSL!C85+EBRL!C85+EBTL!C85+EBUL!C86+EIAL!B85+EIBL!B84+'FinAL&amp;Azenia'!B84+'EGH Plc'!B85+Others!B85+E_BCDC!C83+'EIGHL&amp;ELAK'!B85</f>
        <v>4594061.5175675135</v>
      </c>
      <c r="C86" s="548"/>
      <c r="D86" s="547"/>
      <c r="E86" s="548"/>
      <c r="F86" s="467"/>
      <c r="G86" s="549">
        <f t="shared" ref="G86:G92" si="12">B86+D86-F86</f>
        <v>4594061.5175675135</v>
      </c>
      <c r="H86" s="549">
        <f>[4]GROUP!$G86</f>
        <v>2753804.1693480751</v>
      </c>
      <c r="I86" s="556">
        <f t="shared" ref="I86:I94" si="13">(G86-H86)</f>
        <v>1840257.3482194385</v>
      </c>
      <c r="J86" s="1248">
        <f t="shared" ref="J86:J92" si="14">IFERROR(I86/H86,0)</f>
        <v>0.66826006318927678</v>
      </c>
      <c r="L86" s="70">
        <f>'[5]SOCI Consolidated'!$K$21</f>
        <v>-13737471.638551889</v>
      </c>
      <c r="M86" s="71">
        <f>L86--G86</f>
        <v>-9143410.1209843755</v>
      </c>
      <c r="N86" s="177"/>
      <c r="O86" s="177"/>
    </row>
    <row r="87" spans="1:18">
      <c r="A87" s="27" t="s">
        <v>71</v>
      </c>
      <c r="B87" s="547">
        <f>EBKL!B86+EBSSL!C86+EBRL!C86+EBTL!C86+EBUL!C87+EIAL!B86+EIBL!B85+'FinAL&amp;Azenia'!B85+'EGH Plc'!B86+Others!B86+E_BCDC!C84+'EIGHL&amp;ELAK'!B86</f>
        <v>9166994.8137186971</v>
      </c>
      <c r="C87" s="548"/>
      <c r="D87" s="547"/>
      <c r="E87" s="548"/>
      <c r="F87" s="467">
        <f>'Consolidation  JVs'!E272</f>
        <v>14110.327192995001</v>
      </c>
      <c r="G87" s="549">
        <f t="shared" si="12"/>
        <v>9152884.4865257014</v>
      </c>
      <c r="H87" s="549">
        <f>[4]GROUP!$G87</f>
        <v>6944907.4552955609</v>
      </c>
      <c r="I87" s="556">
        <f t="shared" si="13"/>
        <v>2207977.0312301405</v>
      </c>
      <c r="J87" s="1248">
        <f t="shared" si="14"/>
        <v>0.31792749513840335</v>
      </c>
      <c r="N87" s="177"/>
      <c r="O87" s="177"/>
    </row>
    <row r="88" spans="1:18">
      <c r="A88" s="27" t="s">
        <v>72</v>
      </c>
      <c r="B88" s="547">
        <f>EBKL!B87+EBSSL!C87+EBRL!C87+EBTL!C87+EBUL!C88+EIAL!B87+EIBL!B86+'FinAL&amp;Azenia'!B86+'EGH Plc'!B87+Others!B87+E_BCDC!C85+'EIGHL&amp;ELAK'!B87</f>
        <v>94130.100520349457</v>
      </c>
      <c r="C88" s="548"/>
      <c r="D88" s="547"/>
      <c r="E88" s="548"/>
      <c r="F88" s="467"/>
      <c r="G88" s="549">
        <f t="shared" si="12"/>
        <v>94130.100520349457</v>
      </c>
      <c r="H88" s="549">
        <f>[4]GROUP!$G88</f>
        <v>48462.891369723839</v>
      </c>
      <c r="I88" s="556">
        <f t="shared" si="13"/>
        <v>45667.209150625618</v>
      </c>
      <c r="J88" s="1248">
        <f t="shared" si="14"/>
        <v>0.94231292974721759</v>
      </c>
      <c r="M88" s="70"/>
      <c r="N88" s="177"/>
      <c r="O88" s="177"/>
    </row>
    <row r="89" spans="1:18">
      <c r="A89" s="27" t="s">
        <v>73</v>
      </c>
      <c r="B89" s="547">
        <f>EBKL!B88+EBSSL!C88+EBRL!C88+EBTL!C88+EBUL!C89+EIAL!B88+EIBL!B87+'FinAL&amp;Azenia'!B87+'EGH Plc'!B88+Others!B88+E_BCDC!C86+'EIGHL&amp;ELAK'!B88</f>
        <v>138260.11130724265</v>
      </c>
      <c r="C89" s="548"/>
      <c r="D89" s="547"/>
      <c r="E89" s="548"/>
      <c r="F89" s="467"/>
      <c r="G89" s="549">
        <f t="shared" si="12"/>
        <v>138260.11130724265</v>
      </c>
      <c r="H89" s="549">
        <f>[4]GROUP!$G89</f>
        <v>120927.75414145623</v>
      </c>
      <c r="I89" s="556">
        <f t="shared" si="13"/>
        <v>17332.357165786423</v>
      </c>
      <c r="J89" s="1248">
        <f t="shared" si="14"/>
        <v>0.14332819863264604</v>
      </c>
      <c r="N89" s="177"/>
      <c r="O89" s="177"/>
    </row>
    <row r="90" spans="1:18">
      <c r="A90" s="27" t="s">
        <v>74</v>
      </c>
      <c r="B90" s="547">
        <f>EBKL!B89+EBSSL!C89+EBRL!C89+EBTL!C89+EBUL!C90+EIAL!B89+EIBL!B88+'FinAL&amp;Azenia'!B88+'EGH Plc'!B89+Others!B89+E_BCDC!C87+'EIGHL&amp;ELAK'!B89</f>
        <v>1805854.5777347325</v>
      </c>
      <c r="C90" s="548"/>
      <c r="D90" s="547"/>
      <c r="E90" s="548"/>
      <c r="F90" s="467"/>
      <c r="G90" s="549">
        <f t="shared" si="12"/>
        <v>1805854.5777347325</v>
      </c>
      <c r="H90" s="549">
        <f>[4]GROUP!$G90</f>
        <v>1642259.8652588972</v>
      </c>
      <c r="I90" s="556">
        <f t="shared" si="13"/>
        <v>163594.71247583535</v>
      </c>
      <c r="J90" s="1248">
        <f t="shared" si="14"/>
        <v>9.9615606480187066E-2</v>
      </c>
      <c r="N90" s="177"/>
      <c r="O90" s="177"/>
    </row>
    <row r="91" spans="1:18">
      <c r="A91" s="27" t="s">
        <v>75</v>
      </c>
      <c r="B91" s="547">
        <f>EBKL!B90+EBSSL!C90+EBRL!C90+EBTL!C90+EBUL!C91+EIAL!B90+EIBL!B89+'FinAL&amp;Azenia'!B89+'EGH Plc'!B90+Others!B90+E_BCDC!C88+'EIGHL&amp;ELAK'!B90</f>
        <v>408259.89167144708</v>
      </c>
      <c r="C91" s="548">
        <v>12</v>
      </c>
      <c r="D91" s="547">
        <f>'Consolidation  JVs'!D281</f>
        <v>26468.930041152271</v>
      </c>
      <c r="E91" s="548"/>
      <c r="F91" s="467"/>
      <c r="G91" s="549">
        <f t="shared" si="12"/>
        <v>434728.82171259937</v>
      </c>
      <c r="H91" s="549">
        <f>[4]GROUP!$G91</f>
        <v>672165.39779860922</v>
      </c>
      <c r="I91" s="556">
        <f t="shared" si="13"/>
        <v>-237436.57608600985</v>
      </c>
      <c r="J91" s="1248">
        <f t="shared" si="14"/>
        <v>-0.3532412957638581</v>
      </c>
      <c r="M91" s="713"/>
      <c r="N91" s="177"/>
      <c r="O91" s="177"/>
      <c r="P91" s="102"/>
      <c r="Q91" s="102"/>
      <c r="R91" s="102"/>
    </row>
    <row r="92" spans="1:18">
      <c r="A92" s="27" t="s">
        <v>76</v>
      </c>
      <c r="B92" s="547">
        <f>EBKL!B91+EBSSL!C91+EBRL!C91+EBTL!C91+EBUL!C92+EIAL!B91+EIBL!B90+'FinAL&amp;Azenia'!B90+'EGH Plc'!B91+Others!B91+E_BCDC!C89+'EIGHL&amp;ELAK'!B91</f>
        <v>16651064.94289569</v>
      </c>
      <c r="C92" s="548"/>
      <c r="D92" s="547"/>
      <c r="E92" s="548">
        <v>5</v>
      </c>
      <c r="F92" s="467">
        <f>'Consolidation  JVs'!E243+'Consolidation  JVs'!E245+'Consolidation  JVs'!E271+'Consolidation  JVs'!E322+'Consolidation  JVs'!E313</f>
        <v>1615171.9791618919</v>
      </c>
      <c r="G92" s="549">
        <f t="shared" si="12"/>
        <v>15035892.963733798</v>
      </c>
      <c r="H92" s="549">
        <f>[4]GROUP!$G92</f>
        <v>10227502.258792296</v>
      </c>
      <c r="I92" s="556">
        <f t="shared" si="13"/>
        <v>4808390.7049415018</v>
      </c>
      <c r="J92" s="1248">
        <f t="shared" si="14"/>
        <v>0.47014320635401119</v>
      </c>
      <c r="M92" s="687"/>
      <c r="N92" s="177"/>
      <c r="O92" s="177"/>
      <c r="P92" s="686"/>
      <c r="Q92" s="686"/>
    </row>
    <row r="93" spans="1:18">
      <c r="A93" s="29" t="s">
        <v>555</v>
      </c>
      <c r="B93" s="519">
        <f>SUM(B86:B92)</f>
        <v>32858625.955415674</v>
      </c>
      <c r="C93" s="520"/>
      <c r="D93" s="519">
        <f>SUM(D86:D92)</f>
        <v>26468.930041152271</v>
      </c>
      <c r="E93" s="520"/>
      <c r="F93" s="550">
        <f>SUM(F86:F92)</f>
        <v>1629282.3063548869</v>
      </c>
      <c r="G93" s="551">
        <f>SUM(G86:G92)</f>
        <v>31255812.579101939</v>
      </c>
      <c r="H93" s="551">
        <f>SUM(H86:H92)</f>
        <v>22410029.792004615</v>
      </c>
      <c r="I93" s="551">
        <f t="shared" si="13"/>
        <v>8845782.7870973237</v>
      </c>
      <c r="J93" s="1249">
        <f>I93/H93</f>
        <v>0.39472427610307309</v>
      </c>
      <c r="L93" s="70" t="s">
        <v>698</v>
      </c>
      <c r="M93" s="915">
        <f>(G93-G86)/G83</f>
        <v>0.50266917728736182</v>
      </c>
      <c r="N93" s="177"/>
      <c r="O93" s="177"/>
      <c r="P93" s="686"/>
      <c r="Q93" s="686"/>
    </row>
    <row r="94" spans="1:18">
      <c r="A94" s="1270" t="s">
        <v>78</v>
      </c>
      <c r="B94" s="557">
        <f>B83-B93</f>
        <v>21868548.887008756</v>
      </c>
      <c r="C94" s="558"/>
      <c r="D94" s="557">
        <f>D83+D93</f>
        <v>2649117.6039511096</v>
      </c>
      <c r="E94" s="558"/>
      <c r="F94" s="559">
        <f>F83+F93</f>
        <v>2565110.0449841097</v>
      </c>
      <c r="G94" s="560">
        <f>G83-G93</f>
        <v>21784541.328041758</v>
      </c>
      <c r="H94" s="560">
        <f>H83-H93</f>
        <v>19905283.528019547</v>
      </c>
      <c r="I94" s="560">
        <f t="shared" si="13"/>
        <v>1879257.8000222109</v>
      </c>
      <c r="J94" s="1253">
        <f>I94/H94</f>
        <v>9.4409999102845504E-2</v>
      </c>
      <c r="L94" s="70" t="s">
        <v>699</v>
      </c>
      <c r="M94" s="916">
        <f>G93/G83</f>
        <v>0.58928363550930751</v>
      </c>
      <c r="N94" s="177"/>
      <c r="O94" s="177"/>
    </row>
    <row r="95" spans="1:18">
      <c r="A95" s="27" t="s">
        <v>606</v>
      </c>
      <c r="B95" s="547">
        <v>0</v>
      </c>
      <c r="C95" s="514"/>
      <c r="D95" s="513"/>
      <c r="E95" s="514"/>
      <c r="F95" s="561"/>
      <c r="G95" s="549">
        <f>+B95+F95</f>
        <v>0</v>
      </c>
      <c r="H95" s="549">
        <f>[4]GROUP!$G95</f>
        <v>0</v>
      </c>
      <c r="I95" s="562">
        <f>(G95-H95)</f>
        <v>0</v>
      </c>
      <c r="J95" s="1248">
        <f t="shared" ref="J95:J101" si="15">IFERROR(I95/H95,0)</f>
        <v>0</v>
      </c>
      <c r="N95" s="177"/>
      <c r="O95" s="177"/>
    </row>
    <row r="96" spans="1:18">
      <c r="A96" s="29" t="s">
        <v>81</v>
      </c>
      <c r="B96" s="519">
        <f>SUM(B94:B95)</f>
        <v>21868548.887008756</v>
      </c>
      <c r="C96" s="520"/>
      <c r="D96" s="519">
        <f>D94</f>
        <v>2649117.6039511096</v>
      </c>
      <c r="E96" s="520"/>
      <c r="F96" s="550">
        <f>F94</f>
        <v>2565110.0449841097</v>
      </c>
      <c r="G96" s="551">
        <f>SUM(G94:G95)</f>
        <v>21784541.328041758</v>
      </c>
      <c r="H96" s="551">
        <f>SUM(H94:H95)</f>
        <v>19905283.528019547</v>
      </c>
      <c r="I96" s="551">
        <f>(G96-H96)</f>
        <v>1879257.8000222109</v>
      </c>
      <c r="J96" s="1254">
        <f t="shared" si="15"/>
        <v>9.4409999102845504E-2</v>
      </c>
      <c r="L96" s="177"/>
      <c r="M96" s="697"/>
      <c r="N96" s="177"/>
      <c r="O96" s="177"/>
    </row>
    <row r="97" spans="1:15">
      <c r="A97" s="27" t="s">
        <v>91</v>
      </c>
      <c r="B97" s="547">
        <f>'EGH Plc'!B96+EBKL!B96+E_BCDC!C94+EBSSL!C97+EBRL!C97+EBTL!C97+EBUL!C98+EIAL!B96+EIBL!B95+'FinAL&amp;Azenia'!B95+Others!B96+'EIGHL&amp;ELAK'!B96</f>
        <v>-6671129.9357789131</v>
      </c>
      <c r="C97" s="548"/>
      <c r="D97" s="547"/>
      <c r="E97" s="548"/>
      <c r="F97" s="467"/>
      <c r="G97" s="563">
        <f>B97+D97-F97</f>
        <v>-6671129.9357789131</v>
      </c>
      <c r="H97" s="564">
        <f>[4]GROUP!$G97</f>
        <v>-4527461.9687013235</v>
      </c>
      <c r="I97" s="565">
        <f>(G97-H97)</f>
        <v>-2143667.9670775896</v>
      </c>
      <c r="J97" s="1255">
        <f t="shared" si="15"/>
        <v>0.47348116492130105</v>
      </c>
      <c r="N97" s="177"/>
      <c r="O97" s="177"/>
    </row>
    <row r="98" spans="1:15">
      <c r="A98" s="27" t="s">
        <v>92</v>
      </c>
      <c r="B98" s="547">
        <f>'EGH Plc'!B97+EBKL!B97+E_BCDC!C95+EBSSL!C98+EBRL!C98+EBTL!C98+EBUL!C99+EIAL!B97+EIBL!B96+'FinAL&amp;Azenia'!B96+Others!B97+'EIGHL&amp;ELAK'!B97</f>
        <v>1220878.8253855594</v>
      </c>
      <c r="C98" s="548"/>
      <c r="D98" s="547"/>
      <c r="E98" s="548"/>
      <c r="F98" s="467"/>
      <c r="G98" s="566">
        <f>B98+D98-F98</f>
        <v>1220878.8253855594</v>
      </c>
      <c r="H98" s="567">
        <f>[4]GROUP!$G98</f>
        <v>21357.165479945863</v>
      </c>
      <c r="I98" s="568">
        <f>(G98-H98)</f>
        <v>1199521.6599056134</v>
      </c>
      <c r="J98" s="1256">
        <f t="shared" si="15"/>
        <v>56.164834281588099</v>
      </c>
      <c r="L98" s="849" t="s">
        <v>644</v>
      </c>
      <c r="M98" s="847">
        <f>-(G97+G98)/G96</f>
        <v>0.25018893114713486</v>
      </c>
      <c r="N98" s="177"/>
      <c r="O98" s="177"/>
    </row>
    <row r="99" spans="1:15" ht="13.5" thickBot="1">
      <c r="A99" s="29" t="s">
        <v>93</v>
      </c>
      <c r="B99" s="519">
        <f>SUM(B96:B98)</f>
        <v>16418297.776615404</v>
      </c>
      <c r="C99" s="569"/>
      <c r="D99" s="468">
        <f>D96</f>
        <v>2649117.6039511096</v>
      </c>
      <c r="E99" s="569"/>
      <c r="F99" s="570">
        <f>F96</f>
        <v>2565110.0449841097</v>
      </c>
      <c r="G99" s="571">
        <f>SUM(G96:G98)</f>
        <v>16334290.217648406</v>
      </c>
      <c r="H99" s="572">
        <f>SUM(H96:H98)</f>
        <v>15399178.724798169</v>
      </c>
      <c r="I99" s="572">
        <f>G99-H99</f>
        <v>935111.49285023659</v>
      </c>
      <c r="J99" s="1257">
        <f t="shared" si="15"/>
        <v>6.0724763934609946E-2</v>
      </c>
      <c r="L99" s="177"/>
      <c r="M99" s="179"/>
      <c r="N99" s="177"/>
      <c r="O99" s="1205">
        <f>(G97+G98)/G96</f>
        <v>-0.25018893114713486</v>
      </c>
    </row>
    <row r="100" spans="1:15" ht="13.5" thickBot="1">
      <c r="A100" s="122" t="s">
        <v>556</v>
      </c>
      <c r="B100" s="573">
        <f>E_BCDC!C97</f>
        <v>-592203.72296716773</v>
      </c>
      <c r="C100" s="574"/>
      <c r="D100" s="575"/>
      <c r="E100" s="574"/>
      <c r="F100" s="576"/>
      <c r="G100" s="577">
        <f>B100</f>
        <v>-592203.72296716773</v>
      </c>
      <c r="H100" s="549">
        <f>[4]GROUP!$G100</f>
        <v>-432811.96751021134</v>
      </c>
      <c r="I100" s="814">
        <f>(G100-H100)</f>
        <v>-159391.75545695639</v>
      </c>
      <c r="J100" s="1248">
        <f t="shared" si="15"/>
        <v>0.36827021298387702</v>
      </c>
      <c r="N100" s="177"/>
      <c r="O100" s="177"/>
    </row>
    <row r="101" spans="1:15" ht="13.5" thickBot="1">
      <c r="A101" s="187" t="s">
        <v>112</v>
      </c>
      <c r="B101" s="578">
        <f>B99+B100</f>
        <v>15826094.053648235</v>
      </c>
      <c r="C101" s="579"/>
      <c r="D101" s="578">
        <f>D99</f>
        <v>2649117.6039511096</v>
      </c>
      <c r="E101" s="579"/>
      <c r="F101" s="580">
        <f>F99</f>
        <v>2565110.0449841097</v>
      </c>
      <c r="G101" s="581">
        <f>G99+G100</f>
        <v>15742086.494681237</v>
      </c>
      <c r="H101" s="581">
        <f>H99+H100</f>
        <v>14966366.757287957</v>
      </c>
      <c r="I101" s="581">
        <f>I99+I100</f>
        <v>775719.73739328026</v>
      </c>
      <c r="J101" s="1258">
        <f t="shared" si="15"/>
        <v>5.1830865164087948E-2</v>
      </c>
      <c r="N101" s="177"/>
      <c r="O101" s="177"/>
    </row>
    <row r="102" spans="1:15" ht="13.5" thickBot="1">
      <c r="A102" s="1271"/>
      <c r="B102" s="887"/>
      <c r="C102" s="888"/>
      <c r="D102" s="887"/>
      <c r="E102" s="888"/>
      <c r="F102" s="887"/>
      <c r="G102" s="887"/>
      <c r="H102" s="887"/>
      <c r="I102" s="887"/>
      <c r="J102" s="1259"/>
      <c r="N102" s="697"/>
    </row>
    <row r="103" spans="1:15" ht="13.5" thickBot="1">
      <c r="A103" s="1272" t="s">
        <v>276</v>
      </c>
      <c r="B103" s="583"/>
      <c r="C103" s="584"/>
      <c r="D103" s="585"/>
      <c r="E103" s="584"/>
      <c r="F103" s="583"/>
      <c r="G103" s="586">
        <f>G101/(3773674802/10^3)</f>
        <v>4.1715535441310765</v>
      </c>
      <c r="H103" s="586">
        <f>H101/(3773674802/10^3)</f>
        <v>3.965992710700978</v>
      </c>
      <c r="I103" s="586">
        <f>G103-H103</f>
        <v>0.20556083343009846</v>
      </c>
      <c r="J103" s="1260">
        <f>I103/H103</f>
        <v>5.1830865164088052E-2</v>
      </c>
      <c r="M103" s="70">
        <v>3773674802</v>
      </c>
    </row>
    <row r="104" spans="1:15" ht="13.5" thickBot="1">
      <c r="A104" s="1272" t="s">
        <v>652</v>
      </c>
      <c r="B104" s="583"/>
      <c r="C104" s="584"/>
      <c r="D104" s="585"/>
      <c r="E104" s="584"/>
      <c r="F104" s="583"/>
      <c r="G104" s="586">
        <v>0</v>
      </c>
      <c r="H104" s="586">
        <v>0</v>
      </c>
      <c r="I104" s="586">
        <f>G104-H104</f>
        <v>0</v>
      </c>
      <c r="J104" s="587">
        <v>0</v>
      </c>
      <c r="M104" s="70"/>
    </row>
    <row r="105" spans="1:15">
      <c r="A105" s="52"/>
      <c r="B105" s="772"/>
      <c r="C105" s="588"/>
      <c r="D105" s="659"/>
      <c r="E105" s="588"/>
      <c r="F105" s="772"/>
      <c r="G105" s="698"/>
      <c r="H105" s="201"/>
      <c r="I105" s="201"/>
      <c r="J105" s="589"/>
      <c r="M105" s="70">
        <f>M103*3</f>
        <v>11321024406</v>
      </c>
    </row>
    <row r="106" spans="1:15">
      <c r="A106" s="57" t="s">
        <v>150</v>
      </c>
      <c r="G106" s="1239">
        <f>G3</f>
        <v>45046</v>
      </c>
      <c r="H106" s="1239">
        <f>H3</f>
        <v>44681</v>
      </c>
      <c r="I106" s="1537" t="s">
        <v>85</v>
      </c>
      <c r="J106" s="1537" t="s">
        <v>86</v>
      </c>
    </row>
    <row r="107" spans="1:15">
      <c r="A107" s="49"/>
      <c r="B107" s="1189"/>
      <c r="G107" s="507" t="s">
        <v>97</v>
      </c>
      <c r="H107" s="507" t="s">
        <v>97</v>
      </c>
      <c r="I107" s="1538"/>
      <c r="J107" s="1538"/>
    </row>
    <row r="108" spans="1:15">
      <c r="A108" s="49"/>
      <c r="G108" s="507" t="s">
        <v>909</v>
      </c>
      <c r="H108" s="507" t="str">
        <f>H6</f>
        <v>(Unaudited)</v>
      </c>
      <c r="I108" s="507"/>
      <c r="J108" s="591"/>
    </row>
    <row r="109" spans="1:15">
      <c r="A109" s="36"/>
      <c r="G109" s="301"/>
      <c r="H109" s="301"/>
      <c r="I109" s="301"/>
      <c r="J109" s="301"/>
    </row>
    <row r="110" spans="1:15">
      <c r="A110" s="1273" t="s">
        <v>114</v>
      </c>
      <c r="G110" s="428"/>
      <c r="H110" s="428"/>
      <c r="I110" s="428"/>
      <c r="J110" s="428"/>
    </row>
    <row r="111" spans="1:15" s="178" customFormat="1">
      <c r="A111" s="1274" t="s">
        <v>115</v>
      </c>
      <c r="B111" s="582"/>
      <c r="C111" s="805"/>
      <c r="D111" s="805"/>
      <c r="E111" s="805"/>
      <c r="F111" s="582"/>
      <c r="G111" s="806">
        <f>'[6]30_March_2023'!$C$6</f>
        <v>80286324.502621979</v>
      </c>
      <c r="H111" s="806">
        <f>[4]GROUP!$G$111</f>
        <v>58614203.743879303</v>
      </c>
      <c r="I111" s="554">
        <f t="shared" ref="I111:I117" si="16">G111-H111</f>
        <v>21672120.758742675</v>
      </c>
      <c r="J111" s="1241">
        <f>IFERROR(I111/H111,0)</f>
        <v>0.36974179250888062</v>
      </c>
      <c r="L111" s="702"/>
      <c r="N111" s="697"/>
    </row>
    <row r="112" spans="1:15">
      <c r="A112" s="1275" t="s">
        <v>557</v>
      </c>
      <c r="G112" s="592">
        <f>'[6]30_March_2023'!$C$7</f>
        <v>15439092.542990513</v>
      </c>
      <c r="H112" s="592">
        <f>[4]GROUP!$G$112</f>
        <v>10877721.714304535</v>
      </c>
      <c r="I112" s="467">
        <f t="shared" si="16"/>
        <v>4561370.8286859784</v>
      </c>
      <c r="J112" s="1241">
        <f t="shared" ref="J112:J117" si="17">IFERROR(I112/H112,0)</f>
        <v>0.41933145087611839</v>
      </c>
      <c r="N112" s="697"/>
    </row>
    <row r="113" spans="1:14" s="178" customFormat="1">
      <c r="A113" s="1274" t="s">
        <v>558</v>
      </c>
      <c r="B113" s="582"/>
      <c r="C113" s="805"/>
      <c r="D113" s="805"/>
      <c r="E113" s="805"/>
      <c r="F113" s="582"/>
      <c r="G113" s="806">
        <f>G111-G112</f>
        <v>64847231.959631465</v>
      </c>
      <c r="H113" s="806">
        <f>H111-H112</f>
        <v>47736482.029574767</v>
      </c>
      <c r="I113" s="554">
        <f t="shared" si="16"/>
        <v>17110749.930056699</v>
      </c>
      <c r="J113" s="1241">
        <f t="shared" si="17"/>
        <v>0.35844178713160862</v>
      </c>
      <c r="L113" s="702"/>
      <c r="N113" s="697"/>
    </row>
    <row r="114" spans="1:14">
      <c r="A114" s="1275" t="s">
        <v>118</v>
      </c>
      <c r="G114" s="592">
        <f>'[6]30_March_2023'!$C$9</f>
        <v>34377207.899119347</v>
      </c>
      <c r="H114" s="592">
        <f>[4]GROUP!$G$114</f>
        <v>27328619.72906461</v>
      </c>
      <c r="I114" s="467">
        <f t="shared" si="16"/>
        <v>7048588.1700547375</v>
      </c>
      <c r="J114" s="1241">
        <f t="shared" si="17"/>
        <v>0.25791965492345753</v>
      </c>
      <c r="N114" s="697"/>
    </row>
    <row r="115" spans="1:14" s="178" customFormat="1">
      <c r="A115" s="1274" t="s">
        <v>119</v>
      </c>
      <c r="B115" s="582"/>
      <c r="C115" s="805"/>
      <c r="D115" s="805"/>
      <c r="E115" s="805"/>
      <c r="F115" s="582"/>
      <c r="G115" s="806">
        <f>G113-G114</f>
        <v>30470024.060512118</v>
      </c>
      <c r="H115" s="806">
        <f>H113-H114</f>
        <v>20407862.300510157</v>
      </c>
      <c r="I115" s="554">
        <f t="shared" si="16"/>
        <v>10062161.760001961</v>
      </c>
      <c r="J115" s="1241">
        <f t="shared" si="17"/>
        <v>0.49305319743118936</v>
      </c>
      <c r="L115" s="702"/>
      <c r="N115" s="697"/>
    </row>
    <row r="116" spans="1:14">
      <c r="A116" s="1275" t="s">
        <v>120</v>
      </c>
      <c r="G116" s="592">
        <f>'[6]30_March_2023'!$C$11</f>
        <v>22264668.511720866</v>
      </c>
      <c r="H116" s="592">
        <f>[4]GROUP!$G$116</f>
        <v>20407862.300510161</v>
      </c>
      <c r="I116" s="467">
        <f t="shared" si="16"/>
        <v>1856806.2112107053</v>
      </c>
      <c r="J116" s="1241">
        <f t="shared" si="17"/>
        <v>9.098484612787143E-2</v>
      </c>
      <c r="N116" s="697"/>
    </row>
    <row r="117" spans="1:14" s="178" customFormat="1">
      <c r="A117" s="1276" t="s">
        <v>559</v>
      </c>
      <c r="B117" s="820"/>
      <c r="C117" s="821"/>
      <c r="D117" s="821"/>
      <c r="E117" s="821"/>
      <c r="F117" s="820"/>
      <c r="G117" s="557">
        <f>G115-G116</f>
        <v>8205355.5487912521</v>
      </c>
      <c r="H117" s="557">
        <f>H115-H116</f>
        <v>0</v>
      </c>
      <c r="I117" s="559">
        <f t="shared" si="16"/>
        <v>8205355.5487912521</v>
      </c>
      <c r="J117" s="1241">
        <f t="shared" si="17"/>
        <v>0</v>
      </c>
      <c r="L117" s="702"/>
      <c r="N117" s="697"/>
    </row>
    <row r="118" spans="1:14">
      <c r="A118" s="1274"/>
      <c r="G118" s="467"/>
      <c r="H118" s="592"/>
      <c r="I118" s="467"/>
      <c r="J118" s="593"/>
      <c r="N118" s="697"/>
    </row>
    <row r="119" spans="1:14">
      <c r="A119" s="1274" t="s">
        <v>122</v>
      </c>
      <c r="G119" s="467"/>
      <c r="H119" s="592"/>
      <c r="I119" s="467"/>
      <c r="J119" s="593"/>
      <c r="N119" s="697"/>
    </row>
    <row r="120" spans="1:14">
      <c r="A120" s="1275" t="s">
        <v>123</v>
      </c>
      <c r="G120" s="467">
        <f>EBKL!B114+EBSSL!C116+EBRL!C116+EBTL!C116+EBUL!C117+E_BCDC!C113+[7]Subsidiaries_MDS!$H$5/1000</f>
        <v>8214490.9003154496</v>
      </c>
      <c r="H120" s="592">
        <f>[4]GROUP!$G$120</f>
        <v>7230622.0592626072</v>
      </c>
      <c r="I120" s="467">
        <f>G120-H120</f>
        <v>983868.84105284233</v>
      </c>
      <c r="J120" s="1241">
        <f>IFERROR(I120/H120,0)</f>
        <v>0.13606973687588633</v>
      </c>
      <c r="N120" s="697"/>
    </row>
    <row r="121" spans="1:14">
      <c r="A121" s="1275" t="s">
        <v>564</v>
      </c>
      <c r="G121" s="467">
        <f>EBKL!B115+EBSSL!C117+EBRL!C117+EBTL!C117+EBUL!C118+E_BCDC!C114</f>
        <v>14900609.09818431</v>
      </c>
      <c r="H121" s="592">
        <f>[4]GROUP!$G$121</f>
        <v>11457585.39049384</v>
      </c>
      <c r="I121" s="467">
        <f>G121-H121</f>
        <v>3443023.7076904699</v>
      </c>
      <c r="J121" s="1241">
        <f>IFERROR(I121/H121,0)</f>
        <v>0.30050168428568613</v>
      </c>
      <c r="N121" s="697"/>
    </row>
    <row r="122" spans="1:14" ht="31.5">
      <c r="A122" s="1277" t="s">
        <v>125</v>
      </c>
      <c r="B122" s="822"/>
      <c r="C122" s="823"/>
      <c r="D122" s="823"/>
      <c r="E122" s="823"/>
      <c r="F122" s="822"/>
      <c r="G122" s="824">
        <f>SUM(G120:G121)</f>
        <v>23115099.998499759</v>
      </c>
      <c r="H122" s="824">
        <f>SUM(H120:H121)</f>
        <v>18688207.449756447</v>
      </c>
      <c r="I122" s="824">
        <f>SUM(I120:I121)</f>
        <v>4426892.5487433122</v>
      </c>
      <c r="J122" s="1241">
        <f>IFERROR(I122/H122,0)</f>
        <v>0.23688160358049778</v>
      </c>
      <c r="N122" s="697"/>
    </row>
    <row r="123" spans="1:14">
      <c r="A123" s="1274"/>
      <c r="G123" s="467"/>
      <c r="H123" s="592"/>
      <c r="I123" s="467"/>
      <c r="J123" s="593"/>
      <c r="N123" s="697"/>
    </row>
    <row r="124" spans="1:14">
      <c r="A124" s="1274" t="s">
        <v>565</v>
      </c>
      <c r="G124" s="467"/>
      <c r="H124" s="592"/>
      <c r="I124" s="467"/>
      <c r="J124" s="593"/>
      <c r="N124" s="697"/>
    </row>
    <row r="125" spans="1:14">
      <c r="A125" s="1275" t="s">
        <v>563</v>
      </c>
      <c r="G125" s="467">
        <f>EBKL!B119+EBSSL!C121+EBRL!C121+EBTL!C121+EBUL!C122+E_BCDC!C118</f>
        <v>190350517.12495542</v>
      </c>
      <c r="H125" s="592">
        <f>[4]GROUP!$G$125</f>
        <v>103002055.44525266</v>
      </c>
      <c r="I125" s="467">
        <f>G125-H125</f>
        <v>87348461.679702759</v>
      </c>
      <c r="J125" s="1241">
        <f>IFERROR(I125/H125,0)</f>
        <v>0.84802639425122883</v>
      </c>
      <c r="N125" s="697"/>
    </row>
    <row r="126" spans="1:14">
      <c r="A126" s="1275" t="s">
        <v>560</v>
      </c>
      <c r="G126" s="467">
        <f>EBKL!B120+EBSSL!C122+EBRL!C122+EBTL!C122+EBUL!C123+E_BCDC!C119</f>
        <v>26809022.165780678</v>
      </c>
      <c r="H126" s="592">
        <f>[4]GROUP!$G$126</f>
        <v>26943539.536317699</v>
      </c>
      <c r="I126" s="467">
        <f>G126-H126</f>
        <v>-134517.37053702027</v>
      </c>
      <c r="J126" s="1241">
        <f>IFERROR(I126/H126,0)</f>
        <v>-4.9925649284386633E-3</v>
      </c>
      <c r="N126" s="697"/>
    </row>
    <row r="127" spans="1:14">
      <c r="A127" s="1275" t="s">
        <v>561</v>
      </c>
      <c r="G127" s="467">
        <f>EBKL!B121+EBSSL!C122+EBRL!C122+EBTL!C122+EBUL!C124</f>
        <v>18126052.226616256</v>
      </c>
      <c r="H127" s="592">
        <f>[4]GROUP!$G$127</f>
        <v>1830251.9875975291</v>
      </c>
      <c r="I127" s="467">
        <f>G127-H127</f>
        <v>16295800.239018727</v>
      </c>
      <c r="J127" s="1241">
        <f>IFERROR(I127/H127,0)</f>
        <v>8.9035828669741406</v>
      </c>
      <c r="N127" s="697"/>
    </row>
    <row r="128" spans="1:14" ht="15.75">
      <c r="A128" s="1277" t="s">
        <v>562</v>
      </c>
      <c r="B128" s="822"/>
      <c r="C128" s="823"/>
      <c r="D128" s="823"/>
      <c r="E128" s="823"/>
      <c r="F128" s="822"/>
      <c r="G128" s="824">
        <f>SUM(G125:G127)</f>
        <v>235285591.51735234</v>
      </c>
      <c r="H128" s="824">
        <f>[4]GROUP!$G127</f>
        <v>1830251.9875975291</v>
      </c>
      <c r="I128" s="824">
        <f>G128-H128</f>
        <v>233455339.52975482</v>
      </c>
      <c r="J128" s="1241">
        <f>IFERROR(I128/H128,0)</f>
        <v>127.55365988494228</v>
      </c>
      <c r="N128" s="697"/>
    </row>
    <row r="129" spans="1:10">
      <c r="A129" s="1274"/>
      <c r="G129" s="467"/>
      <c r="H129" s="592">
        <f>[4]GROUP!JH130</f>
        <v>0</v>
      </c>
      <c r="I129" s="467"/>
      <c r="J129" s="593"/>
    </row>
    <row r="130" spans="1:10">
      <c r="D130" s="594"/>
    </row>
  </sheetData>
  <mergeCells count="10">
    <mergeCell ref="A1:H1"/>
    <mergeCell ref="I3:I4"/>
    <mergeCell ref="J3:J4"/>
    <mergeCell ref="F3:F4"/>
    <mergeCell ref="D3:D4"/>
    <mergeCell ref="I106:I107"/>
    <mergeCell ref="J106:J107"/>
    <mergeCell ref="A58:J58"/>
    <mergeCell ref="I59:I60"/>
    <mergeCell ref="J59:J60"/>
  </mergeCells>
  <pageMargins left="1" right="1" top="1" bottom="1" header="0.5" footer="0.5"/>
  <pageSetup paperSize="8" scale="62" orientation="portrait" r:id="rId1"/>
  <rowBreaks count="2" manualBreakCount="2">
    <brk id="56" max="16383" man="1"/>
    <brk id="10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62"/>
  <sheetViews>
    <sheetView workbookViewId="0">
      <selection activeCell="B6" sqref="B6"/>
    </sheetView>
  </sheetViews>
  <sheetFormatPr defaultColWidth="9.140625" defaultRowHeight="12.75"/>
  <cols>
    <col min="1" max="1" width="42" style="320" customWidth="1"/>
    <col min="2" max="2" width="14.42578125" style="321" customWidth="1"/>
    <col min="3" max="3" width="14.5703125" style="320" customWidth="1"/>
    <col min="4" max="7" width="13.85546875" style="320" customWidth="1"/>
    <col min="8" max="8" width="13.7109375" style="320" customWidth="1"/>
    <col min="9" max="9" width="14.85546875" style="320" bestFit="1" customWidth="1"/>
    <col min="10" max="10" width="13.85546875" style="320" customWidth="1"/>
    <col min="11" max="11" width="12.5703125" style="320" customWidth="1"/>
    <col min="12" max="12" width="12" style="320" bestFit="1" customWidth="1"/>
    <col min="13" max="13" width="11.5703125" style="320" bestFit="1" customWidth="1"/>
    <col min="14" max="14" width="8.85546875" style="320" customWidth="1"/>
    <col min="15" max="15" width="13.5703125" style="320" bestFit="1" customWidth="1"/>
    <col min="16" max="17" width="0" style="320" hidden="1" customWidth="1"/>
    <col min="18" max="16384" width="9.140625" style="320"/>
  </cols>
  <sheetData>
    <row r="1" spans="1:18">
      <c r="A1" s="903" t="s">
        <v>472</v>
      </c>
      <c r="B1" s="317"/>
      <c r="C1" s="784"/>
      <c r="D1" s="318"/>
      <c r="E1" s="318"/>
      <c r="F1" s="318"/>
      <c r="G1" s="318"/>
      <c r="H1" s="318"/>
      <c r="I1" s="318"/>
      <c r="J1" s="318"/>
      <c r="K1" s="318"/>
      <c r="L1" s="318"/>
      <c r="M1" s="319"/>
    </row>
    <row r="2" spans="1:18">
      <c r="A2" s="1278">
        <f>GROUP!B3</f>
        <v>45046</v>
      </c>
      <c r="F2" s="320" t="s">
        <v>283</v>
      </c>
      <c r="H2" s="320" t="s">
        <v>283</v>
      </c>
      <c r="J2" s="320" t="s">
        <v>283</v>
      </c>
      <c r="L2" s="320" t="s">
        <v>283</v>
      </c>
      <c r="M2" s="322"/>
    </row>
    <row r="3" spans="1:18">
      <c r="A3" s="323"/>
      <c r="D3" s="358">
        <f>E_BCDC!C1</f>
        <v>136</v>
      </c>
      <c r="F3" s="324">
        <f>EBTL!C6</f>
        <v>17.283111095972693</v>
      </c>
      <c r="H3" s="324">
        <f>EBUL!C7</f>
        <v>27.477983065518526</v>
      </c>
      <c r="J3" s="646">
        <f>EBRL!C7</f>
        <v>8.2023795838989972</v>
      </c>
      <c r="L3" s="324">
        <f>EBSSL!C6</f>
        <v>0.15420000000124448</v>
      </c>
      <c r="M3" s="322"/>
    </row>
    <row r="4" spans="1:18">
      <c r="A4" s="323"/>
      <c r="B4" s="671" t="s">
        <v>97</v>
      </c>
      <c r="C4" s="671" t="s">
        <v>97</v>
      </c>
      <c r="D4" s="671" t="s">
        <v>97</v>
      </c>
      <c r="E4" s="671" t="s">
        <v>479</v>
      </c>
      <c r="F4" s="671" t="s">
        <v>97</v>
      </c>
      <c r="G4" s="671" t="s">
        <v>480</v>
      </c>
      <c r="H4" s="671" t="s">
        <v>97</v>
      </c>
      <c r="I4" s="671" t="s">
        <v>481</v>
      </c>
      <c r="J4" s="671" t="s">
        <v>97</v>
      </c>
      <c r="K4" s="671" t="s">
        <v>99</v>
      </c>
      <c r="L4" s="671" t="s">
        <v>97</v>
      </c>
      <c r="M4" s="672" t="s">
        <v>100</v>
      </c>
    </row>
    <row r="5" spans="1:18">
      <c r="A5" s="325"/>
      <c r="B5" s="904" t="s">
        <v>167</v>
      </c>
      <c r="C5" s="904" t="s">
        <v>158</v>
      </c>
      <c r="D5" s="904" t="s">
        <v>617</v>
      </c>
      <c r="E5" s="904" t="s">
        <v>617</v>
      </c>
      <c r="F5" s="904" t="s">
        <v>160</v>
      </c>
      <c r="G5" s="904" t="s">
        <v>160</v>
      </c>
      <c r="H5" s="904" t="s">
        <v>159</v>
      </c>
      <c r="I5" s="904" t="s">
        <v>159</v>
      </c>
      <c r="J5" s="904" t="s">
        <v>161</v>
      </c>
      <c r="K5" s="904" t="s">
        <v>161</v>
      </c>
      <c r="L5" s="904" t="s">
        <v>162</v>
      </c>
      <c r="M5" s="905" t="s">
        <v>162</v>
      </c>
    </row>
    <row r="6" spans="1:18" s="459" customFormat="1">
      <c r="A6" s="328" t="s">
        <v>286</v>
      </c>
      <c r="B6" s="461">
        <f>'[41]Group RWA'!$S$10</f>
        <v>1369441605.6504142</v>
      </c>
      <c r="C6" s="462">
        <f>EBKL!B130</f>
        <v>818250190.96557868</v>
      </c>
      <c r="D6" s="462">
        <f>E_BCDC!C128</f>
        <v>332893574.80901712</v>
      </c>
      <c r="E6" s="462">
        <f>E_BCDC!B128</f>
        <v>2447746.8735957141</v>
      </c>
      <c r="F6" s="462">
        <f>G6/$F$3</f>
        <v>29604277.569353756</v>
      </c>
      <c r="G6" s="462">
        <f>EBTL!B131</f>
        <v>511654018.14715338</v>
      </c>
      <c r="H6" s="462">
        <f>I6/$H$3</f>
        <v>80745287.450683862</v>
      </c>
      <c r="I6" s="462">
        <f>EBUL!B133</f>
        <v>2218717641.1903167</v>
      </c>
      <c r="J6" s="645">
        <f>K6/$J$3</f>
        <v>10137020.249903403</v>
      </c>
      <c r="K6" s="462">
        <f>EBRL!B131</f>
        <v>83147687.939378381</v>
      </c>
      <c r="L6" s="462">
        <f>M6*$L$3</f>
        <v>3398110.0647966126</v>
      </c>
      <c r="M6" s="647">
        <f>EBSSL!B131</f>
        <v>22037030.251421452</v>
      </c>
    </row>
    <row r="7" spans="1:18">
      <c r="A7" s="323"/>
      <c r="C7" s="326"/>
      <c r="D7" s="326"/>
      <c r="E7" s="326"/>
      <c r="F7" s="327"/>
      <c r="G7" s="326"/>
      <c r="H7" s="326"/>
      <c r="I7" s="326"/>
      <c r="J7" s="326"/>
      <c r="K7" s="326"/>
      <c r="L7" s="326"/>
      <c r="M7" s="648"/>
    </row>
    <row r="8" spans="1:18" s="459" customFormat="1" ht="13.5" thickBot="1">
      <c r="A8" s="328" t="s">
        <v>181</v>
      </c>
      <c r="B8" s="458">
        <f>SUM(B9:B16)</f>
        <v>197468539.3856706</v>
      </c>
      <c r="C8" s="458">
        <f>EBKL!B125</f>
        <v>125376187.82420757</v>
      </c>
      <c r="D8" s="458">
        <f>E_BCDC!C123</f>
        <v>39022641.168876</v>
      </c>
      <c r="E8" s="458">
        <f>E_BCDC!B123</f>
        <v>286931.1850652647</v>
      </c>
      <c r="F8" s="458">
        <f>EBTL!C126</f>
        <v>5237810.8569139075</v>
      </c>
      <c r="G8" s="458">
        <f>EBTL!B126</f>
        <v>90525666.939734995</v>
      </c>
      <c r="H8" s="458">
        <f>EBUL!C128</f>
        <v>13966129.412211215</v>
      </c>
      <c r="I8" s="458">
        <f>EBUL!B128</f>
        <v>383761067.47957999</v>
      </c>
      <c r="J8" s="458">
        <f>K8/J3</f>
        <v>8584496.9071611855</v>
      </c>
      <c r="K8" s="458">
        <f>EBRL!B126</f>
        <v>70413302.169342995</v>
      </c>
      <c r="L8" s="458">
        <f>M8*L3</f>
        <v>4199172.9621700533</v>
      </c>
      <c r="M8" s="649">
        <f>EBSSL!B126</f>
        <v>27231990.675331801</v>
      </c>
      <c r="P8" s="459">
        <v>73581771.101756305</v>
      </c>
      <c r="Q8" s="460">
        <f>P8-B8</f>
        <v>-123886768.2839143</v>
      </c>
    </row>
    <row r="9" spans="1:18">
      <c r="A9" s="323" t="s">
        <v>510</v>
      </c>
      <c r="B9" s="326">
        <f>GROUP!G46</f>
        <v>1886836.8895063763</v>
      </c>
      <c r="C9" s="326">
        <f>EBKL!B45</f>
        <v>30000000</v>
      </c>
      <c r="D9" s="326">
        <f>E_BCDC!C45</f>
        <v>1106402.6227175002</v>
      </c>
      <c r="E9" s="326">
        <f>E_BCDC!B45</f>
        <v>10014.734710000001</v>
      </c>
      <c r="F9" s="326">
        <f>EBTL!C46</f>
        <v>7389628.3271718994</v>
      </c>
      <c r="G9" s="326">
        <f>EBTL!B46</f>
        <v>148537500</v>
      </c>
      <c r="H9" s="326">
        <f>EBUL!C47</f>
        <v>3689946.4590007695</v>
      </c>
      <c r="I9" s="326">
        <f>EBUL!B47</f>
        <v>120000000</v>
      </c>
      <c r="J9" s="326">
        <f>EBRL!C47</f>
        <v>2372715</v>
      </c>
      <c r="K9" s="326">
        <f>EBRL!B47</f>
        <v>18174999.999779999</v>
      </c>
      <c r="L9" s="326">
        <f t="shared" ref="L9:L14" si="0">M9*$L$3</f>
        <v>3782602.6204080931</v>
      </c>
      <c r="M9" s="648">
        <f>EBSSL!B46</f>
        <v>24530496.889608078</v>
      </c>
      <c r="N9" s="345"/>
    </row>
    <row r="10" spans="1:18">
      <c r="A10" s="323" t="s">
        <v>287</v>
      </c>
      <c r="B10" s="326">
        <f>GROUP!G47</f>
        <v>15325263.640507139</v>
      </c>
      <c r="C10" s="326">
        <f>EBKL!B46</f>
        <v>9964131.6999900006</v>
      </c>
      <c r="D10" s="326">
        <f>E_BCDC!C46</f>
        <v>11737465.878604999</v>
      </c>
      <c r="E10" s="326">
        <f>E_BCDC!B46</f>
        <v>100414.10371</v>
      </c>
      <c r="F10" s="326">
        <f>G10/$F$3</f>
        <v>23143.981299362702</v>
      </c>
      <c r="G10" s="326">
        <v>400000</v>
      </c>
      <c r="H10" s="326">
        <f>EBUL!C48</f>
        <v>1608835.1362717575</v>
      </c>
      <c r="I10" s="326">
        <f>EBUL!B48</f>
        <v>36789445.074000001</v>
      </c>
      <c r="J10" s="326">
        <f>EBRL!D48</f>
        <v>434037</v>
      </c>
      <c r="K10" s="326">
        <f>EBRL!B48</f>
        <v>2112689.855</v>
      </c>
      <c r="L10" s="326">
        <f t="shared" si="0"/>
        <v>67920.822305384499</v>
      </c>
      <c r="M10" s="648">
        <f>EBSSL!B47</f>
        <v>440472.25878622785</v>
      </c>
      <c r="N10" s="472"/>
    </row>
    <row r="11" spans="1:18">
      <c r="A11" s="323" t="s">
        <v>486</v>
      </c>
      <c r="B11" s="326">
        <f>GROUP!G49-GROUP!G101</f>
        <v>174477434.6966126</v>
      </c>
      <c r="C11" s="326">
        <f>EBKL!B48-EBKL!B98</f>
        <v>82151392.080366656</v>
      </c>
      <c r="D11" s="326">
        <f>E_BCDC!C48-E_BCDC!C98</f>
        <v>39833742.930820078</v>
      </c>
      <c r="E11" s="326">
        <f>E_BCDC!B48-E_BCDC!B98</f>
        <v>291416.50432250259</v>
      </c>
      <c r="F11" s="326">
        <f>G11/$F$3</f>
        <v>-1968110.2625243815</v>
      </c>
      <c r="G11" s="326">
        <v>-34015068.316332869</v>
      </c>
      <c r="H11" s="326">
        <f>I11/$H$3</f>
        <v>8587886.7115040552</v>
      </c>
      <c r="I11" s="326">
        <f>EBUL!B50-EBUL!B100</f>
        <v>235977805.62730002</v>
      </c>
      <c r="J11" s="326">
        <f>K11/$J$3</f>
        <v>6542299.3605011385</v>
      </c>
      <c r="K11" s="326">
        <f>EBRL!B50-EBRL!B99</f>
        <v>53662422.706330001</v>
      </c>
      <c r="L11" s="326">
        <f t="shared" si="0"/>
        <v>348649.5194565751</v>
      </c>
      <c r="M11" s="648">
        <f>EBSSL!B49-EBSSL!B999</f>
        <v>2261021.5269374922</v>
      </c>
      <c r="N11" s="345"/>
    </row>
    <row r="12" spans="1:18">
      <c r="A12" s="323" t="s">
        <v>288</v>
      </c>
      <c r="B12" s="326">
        <f>GROUP!G101</f>
        <v>15742086.494681237</v>
      </c>
      <c r="C12" s="326">
        <f>EBKL!B98</f>
        <v>9442577.3096731957</v>
      </c>
      <c r="D12" s="326">
        <f>E_BCDC!C98</f>
        <v>3481036.5903418795</v>
      </c>
      <c r="E12" s="326">
        <f>E_BCDC!B98</f>
        <v>27074.521568394168</v>
      </c>
      <c r="F12" s="326">
        <f>G12/$F$3</f>
        <v>375089.95810485788</v>
      </c>
      <c r="G12" s="326">
        <f>EBTL!B99</f>
        <v>6482721.416910002</v>
      </c>
      <c r="H12" s="326">
        <f>I12/$H$3</f>
        <v>1190381.4523441528</v>
      </c>
      <c r="I12" s="326">
        <f>EBUL!B100</f>
        <v>32709281.389019977</v>
      </c>
      <c r="J12" s="326">
        <f>K12/$J$3</f>
        <v>1191902.6294528998</v>
      </c>
      <c r="K12" s="326">
        <f>EBRL!B99</f>
        <v>9776437.7938199975</v>
      </c>
      <c r="L12" s="326">
        <f t="shared" si="0"/>
        <v>660826.78022607777</v>
      </c>
      <c r="M12" s="648">
        <f>EBSSL!B99</f>
        <v>4285517.3814574871</v>
      </c>
      <c r="O12" s="946">
        <f>'[8]FORM A'!$D$19</f>
        <v>1460622.3493456882</v>
      </c>
      <c r="R12" s="320" t="s">
        <v>722</v>
      </c>
    </row>
    <row r="13" spans="1:18">
      <c r="A13" s="323" t="s">
        <v>289</v>
      </c>
      <c r="B13" s="326">
        <v>0</v>
      </c>
      <c r="C13" s="326">
        <v>0</v>
      </c>
      <c r="D13" s="326"/>
      <c r="E13" s="326"/>
      <c r="F13" s="326">
        <f>G13/$F$3</f>
        <v>0</v>
      </c>
      <c r="G13" s="326">
        <v>0</v>
      </c>
      <c r="H13" s="326">
        <v>0</v>
      </c>
      <c r="I13" s="326">
        <v>0</v>
      </c>
      <c r="J13" s="326">
        <v>0</v>
      </c>
      <c r="K13" s="326">
        <v>0</v>
      </c>
      <c r="L13" s="326">
        <v>0</v>
      </c>
      <c r="M13" s="648">
        <v>0</v>
      </c>
      <c r="O13" s="345">
        <f>C16</f>
        <v>-29460462.775842018</v>
      </c>
      <c r="R13" s="320" t="s">
        <v>721</v>
      </c>
    </row>
    <row r="14" spans="1:18">
      <c r="A14" s="323" t="s">
        <v>290</v>
      </c>
      <c r="B14" s="326">
        <v>0</v>
      </c>
      <c r="C14" s="326">
        <v>0</v>
      </c>
      <c r="D14" s="326"/>
      <c r="E14" s="326"/>
      <c r="F14" s="326">
        <f>G14/$F$3</f>
        <v>0</v>
      </c>
      <c r="G14" s="326"/>
      <c r="H14" s="326">
        <f>I14/$H$3</f>
        <v>0</v>
      </c>
      <c r="I14" s="326">
        <v>0</v>
      </c>
      <c r="J14" s="326">
        <f>K14/$J$3</f>
        <v>0</v>
      </c>
      <c r="K14" s="326">
        <v>0</v>
      </c>
      <c r="L14" s="326">
        <f t="shared" si="0"/>
        <v>0</v>
      </c>
      <c r="M14" s="648">
        <v>0</v>
      </c>
      <c r="O14" s="946">
        <f>SUM(O12:O13)</f>
        <v>-27999840.426496331</v>
      </c>
    </row>
    <row r="15" spans="1:18">
      <c r="A15" s="323" t="s">
        <v>586</v>
      </c>
      <c r="B15" s="326">
        <f>-'Consolidation  JVs'!I78</f>
        <v>-2270479.3095011022</v>
      </c>
      <c r="C15" s="650">
        <v>0</v>
      </c>
      <c r="D15" s="326">
        <f>D8-SUM(D9:D12)</f>
        <v>-17136006.853608459</v>
      </c>
      <c r="E15" s="326">
        <f>E8-SUM(E9:E12)</f>
        <v>-141988.67924563203</v>
      </c>
      <c r="F15" s="326">
        <f t="shared" ref="F15:K15" si="1">F8-SUM(F9:F12)</f>
        <v>-581941.1471378319</v>
      </c>
      <c r="G15" s="326">
        <f t="shared" si="1"/>
        <v>-30879486.160842136</v>
      </c>
      <c r="H15" s="326">
        <f t="shared" si="1"/>
        <v>-1110920.3469095211</v>
      </c>
      <c r="I15" s="326">
        <f t="shared" si="1"/>
        <v>-41715464.610740006</v>
      </c>
      <c r="J15" s="326">
        <f>J8-SUM(J9:J12)</f>
        <v>-1956457.0827928521</v>
      </c>
      <c r="K15" s="326">
        <f t="shared" si="1"/>
        <v>-13313248.185587004</v>
      </c>
      <c r="L15" s="326">
        <f>L8-SUM(L9:L12)</f>
        <v>-660826.78022607695</v>
      </c>
      <c r="M15" s="648">
        <f>M8-SUM(M9:M12)</f>
        <v>-4285517.3814574853</v>
      </c>
    </row>
    <row r="16" spans="1:18">
      <c r="A16" s="323" t="s">
        <v>452</v>
      </c>
      <c r="B16" s="326">
        <f>-GROUP!B25-'GROUP CAR - Mar 2023'!O14</f>
        <v>-7692603.0261356346</v>
      </c>
      <c r="C16" s="326">
        <f>-[9]EBKL!B24</f>
        <v>-29460462.775842018</v>
      </c>
      <c r="D16" s="326">
        <v>0</v>
      </c>
      <c r="E16" s="326">
        <v>0</v>
      </c>
      <c r="F16" s="326">
        <v>0</v>
      </c>
      <c r="G16" s="326">
        <v>0</v>
      </c>
      <c r="H16" s="326">
        <v>0</v>
      </c>
      <c r="I16" s="326">
        <v>0</v>
      </c>
      <c r="J16" s="326">
        <v>0</v>
      </c>
      <c r="K16" s="326">
        <v>0</v>
      </c>
      <c r="L16" s="326">
        <v>0</v>
      </c>
      <c r="M16" s="648">
        <v>0</v>
      </c>
      <c r="O16" s="345">
        <f>-O14</f>
        <v>27999840.426496331</v>
      </c>
    </row>
    <row r="17" spans="1:14">
      <c r="A17" s="323"/>
      <c r="C17" s="326"/>
      <c r="D17" s="326"/>
      <c r="E17" s="326"/>
      <c r="F17" s="326"/>
      <c r="G17" s="326"/>
      <c r="H17" s="326"/>
      <c r="I17" s="326"/>
      <c r="J17" s="326"/>
      <c r="K17" s="326"/>
      <c r="L17" s="326"/>
      <c r="M17" s="648"/>
      <c r="N17" s="345"/>
    </row>
    <row r="18" spans="1:14" s="459" customFormat="1" ht="13.5" thickBot="1">
      <c r="A18" s="328" t="s">
        <v>291</v>
      </c>
      <c r="B18" s="458">
        <f>SUM(B19:B21)</f>
        <v>54523696.013460383</v>
      </c>
      <c r="C18" s="458">
        <f>SUM(C19:C21)</f>
        <v>39229479.452054791</v>
      </c>
      <c r="D18" s="458">
        <f>E18*$D$3</f>
        <v>5548685.1436531702</v>
      </c>
      <c r="E18" s="458">
        <f>SUM(E19:E21)</f>
        <v>40799.155468038014</v>
      </c>
      <c r="F18" s="458">
        <f>SUM(F19:F21)</f>
        <v>0</v>
      </c>
      <c r="G18" s="458">
        <f>SUM(G19:G21)</f>
        <v>0</v>
      </c>
      <c r="H18" s="458">
        <f t="shared" ref="H18:M18" si="2">SUM(H19:H21)</f>
        <v>1445240.9146072147</v>
      </c>
      <c r="I18" s="458">
        <f t="shared" si="2"/>
        <v>39712305.377171554</v>
      </c>
      <c r="J18" s="458">
        <f t="shared" si="2"/>
        <v>0</v>
      </c>
      <c r="K18" s="458">
        <f t="shared" si="2"/>
        <v>0</v>
      </c>
      <c r="L18" s="458">
        <f t="shared" si="2"/>
        <v>0</v>
      </c>
      <c r="M18" s="649">
        <f t="shared" si="2"/>
        <v>0</v>
      </c>
    </row>
    <row r="19" spans="1:14">
      <c r="A19" s="323" t="s">
        <v>292</v>
      </c>
      <c r="B19" s="1279">
        <f>C19+F19+'EGH Plc'!B36</f>
        <v>52941368.539734796</v>
      </c>
      <c r="C19" s="1279">
        <f>EBKL!B128</f>
        <v>39229479.452054791</v>
      </c>
      <c r="D19" s="651">
        <f>E_BCDC!C126</f>
        <v>5548685.1436531702</v>
      </c>
      <c r="E19" s="651">
        <f>E_BCDC!B126</f>
        <v>40799.155468038014</v>
      </c>
      <c r="F19" s="651">
        <f>G19/$F$3</f>
        <v>0</v>
      </c>
      <c r="G19" s="651">
        <v>0</v>
      </c>
      <c r="H19" s="651">
        <f>I19/$H$3</f>
        <v>0</v>
      </c>
      <c r="I19" s="651">
        <v>0</v>
      </c>
      <c r="J19" s="651">
        <f>K19/$J$3</f>
        <v>0</v>
      </c>
      <c r="K19" s="651">
        <v>0</v>
      </c>
      <c r="L19" s="651">
        <f>M19*$L$3</f>
        <v>0</v>
      </c>
      <c r="M19" s="1280">
        <v>0</v>
      </c>
    </row>
    <row r="20" spans="1:14">
      <c r="A20" s="323" t="s">
        <v>293</v>
      </c>
      <c r="B20" s="651">
        <f>GROUP!G50</f>
        <v>1582327.4737255843</v>
      </c>
      <c r="C20" s="651">
        <f>EBKL!B49</f>
        <v>0</v>
      </c>
      <c r="D20" s="651">
        <v>0</v>
      </c>
      <c r="E20" s="651">
        <v>0</v>
      </c>
      <c r="F20" s="651">
        <f>G20/F3</f>
        <v>0</v>
      </c>
      <c r="G20" s="651"/>
      <c r="H20" s="651">
        <f>I20/$H$3</f>
        <v>1445240.9146072147</v>
      </c>
      <c r="I20" s="651">
        <f>EBUL!B51</f>
        <v>39712305.377171554</v>
      </c>
      <c r="J20" s="651">
        <f>K20/$J$3</f>
        <v>0</v>
      </c>
      <c r="K20" s="651">
        <v>0</v>
      </c>
      <c r="L20" s="651">
        <f>M20*$L$3</f>
        <v>0</v>
      </c>
      <c r="M20" s="1280">
        <f>EBSSL!B50</f>
        <v>0</v>
      </c>
    </row>
    <row r="21" spans="1:14">
      <c r="A21" s="323" t="s">
        <v>451</v>
      </c>
      <c r="B21" s="326">
        <f>C21</f>
        <v>0</v>
      </c>
      <c r="C21" s="326">
        <v>0</v>
      </c>
      <c r="D21" s="326">
        <v>0</v>
      </c>
      <c r="E21" s="326">
        <v>0</v>
      </c>
      <c r="F21" s="326">
        <f>G21/$F$3</f>
        <v>0</v>
      </c>
      <c r="G21" s="326">
        <v>0</v>
      </c>
      <c r="H21" s="326">
        <f>I21/$H$3</f>
        <v>0</v>
      </c>
      <c r="I21" s="326">
        <v>0</v>
      </c>
      <c r="J21" s="326">
        <f>K21/$J$3</f>
        <v>0</v>
      </c>
      <c r="K21" s="326">
        <v>0</v>
      </c>
      <c r="L21" s="326">
        <f>M21*$L$3</f>
        <v>0</v>
      </c>
      <c r="M21" s="648">
        <v>0</v>
      </c>
    </row>
    <row r="22" spans="1:14">
      <c r="A22" s="323"/>
      <c r="C22" s="326"/>
      <c r="D22" s="326"/>
      <c r="E22" s="326"/>
      <c r="F22" s="326"/>
      <c r="G22" s="326"/>
      <c r="H22" s="326"/>
      <c r="I22" s="326"/>
      <c r="J22" s="326"/>
      <c r="K22" s="326"/>
      <c r="L22" s="326"/>
      <c r="M22" s="648"/>
    </row>
    <row r="23" spans="1:14" s="459" customFormat="1" ht="13.5" thickBot="1">
      <c r="A23" s="328" t="s">
        <v>182</v>
      </c>
      <c r="B23" s="458">
        <f>B8+B18</f>
        <v>251992235.399131</v>
      </c>
      <c r="C23" s="458">
        <f t="shared" ref="C23:M23" si="3">C8+C18</f>
        <v>164605667.27626237</v>
      </c>
      <c r="D23" s="458">
        <f t="shared" si="3"/>
        <v>44571326.312529169</v>
      </c>
      <c r="E23" s="458">
        <f t="shared" si="3"/>
        <v>327730.34053330269</v>
      </c>
      <c r="F23" s="458">
        <f t="shared" si="3"/>
        <v>5237810.8569139075</v>
      </c>
      <c r="G23" s="458">
        <f t="shared" si="3"/>
        <v>90525666.939734995</v>
      </c>
      <c r="H23" s="458">
        <f>H8+H18</f>
        <v>15411370.326818429</v>
      </c>
      <c r="I23" s="458">
        <f t="shared" si="3"/>
        <v>423473372.85675156</v>
      </c>
      <c r="J23" s="458">
        <f>J8+J18</f>
        <v>8584496.9071611855</v>
      </c>
      <c r="K23" s="458">
        <f>K8+K18</f>
        <v>70413302.169342995</v>
      </c>
      <c r="L23" s="458">
        <f t="shared" si="3"/>
        <v>4199172.9621700533</v>
      </c>
      <c r="M23" s="649">
        <f t="shared" si="3"/>
        <v>27231990.675331801</v>
      </c>
    </row>
    <row r="24" spans="1:14">
      <c r="A24" s="323"/>
      <c r="C24" s="329"/>
      <c r="D24" s="464"/>
      <c r="E24" s="464"/>
      <c r="F24" s="330"/>
      <c r="G24" s="330"/>
      <c r="H24" s="329"/>
      <c r="I24" s="329"/>
      <c r="J24" s="463"/>
      <c r="K24" s="330"/>
      <c r="L24" s="465"/>
      <c r="M24" s="648"/>
      <c r="N24" s="345"/>
    </row>
    <row r="25" spans="1:14">
      <c r="A25" s="328" t="s">
        <v>482</v>
      </c>
      <c r="B25" s="331">
        <f>IFERROR(B8/B6,0)</f>
        <v>0.14419639258140052</v>
      </c>
      <c r="C25" s="331">
        <f>IFERROR(C8/C6,0)</f>
        <v>0.15322475840336439</v>
      </c>
      <c r="D25" s="331">
        <f>IFERROR(D8/D6,0)</f>
        <v>0.11722257238297105</v>
      </c>
      <c r="E25" s="331">
        <f>IFERROR(E8/E6,0)</f>
        <v>0.11722257238297105</v>
      </c>
      <c r="F25" s="331">
        <f>EBTL!B136</f>
        <v>0.17692750125867188</v>
      </c>
      <c r="G25" s="331">
        <f>G23/G6</f>
        <v>0.17692750125867188</v>
      </c>
      <c r="H25" s="331">
        <f>EBUL!B138</f>
        <v>0.17296525720762582</v>
      </c>
      <c r="I25" s="331">
        <f>H25</f>
        <v>0.17296525720762582</v>
      </c>
      <c r="J25" s="331">
        <f>K25</f>
        <v>0.8468461831516011</v>
      </c>
      <c r="K25" s="331">
        <f>IFERROR(K8/K6,0)</f>
        <v>0.8468461831516011</v>
      </c>
      <c r="L25" s="331">
        <f>M25</f>
        <v>1.235737772496603</v>
      </c>
      <c r="M25" s="652">
        <f>EBSSL!B136</f>
        <v>1.235737772496603</v>
      </c>
    </row>
    <row r="26" spans="1:14" s="334" customFormat="1">
      <c r="A26" s="332" t="s">
        <v>294</v>
      </c>
      <c r="B26" s="333">
        <v>0.105</v>
      </c>
      <c r="C26" s="333">
        <v>0.105</v>
      </c>
      <c r="D26" s="333">
        <v>0.06</v>
      </c>
      <c r="E26" s="333">
        <v>0.06</v>
      </c>
      <c r="F26" s="333">
        <v>0.125</v>
      </c>
      <c r="G26" s="333">
        <f>F26</f>
        <v>0.125</v>
      </c>
      <c r="H26" s="333">
        <v>0.1</v>
      </c>
      <c r="I26" s="333">
        <f>H26</f>
        <v>0.1</v>
      </c>
      <c r="J26" s="333">
        <v>0.125</v>
      </c>
      <c r="K26" s="333">
        <f>J26</f>
        <v>0.125</v>
      </c>
      <c r="L26" s="333">
        <v>0.08</v>
      </c>
      <c r="M26" s="653">
        <v>0.08</v>
      </c>
    </row>
    <row r="27" spans="1:14" s="337" customFormat="1">
      <c r="A27" s="335" t="s">
        <v>483</v>
      </c>
      <c r="B27" s="336">
        <f>B25-B26</f>
        <v>3.9196392581400522E-2</v>
      </c>
      <c r="C27" s="336">
        <f t="shared" ref="C27:M27" si="4">C25-C26</f>
        <v>4.822475840336439E-2</v>
      </c>
      <c r="D27" s="336">
        <f>D25-D26</f>
        <v>5.7222572382971057E-2</v>
      </c>
      <c r="E27" s="336">
        <f>E25-E26</f>
        <v>5.7222572382971057E-2</v>
      </c>
      <c r="F27" s="336">
        <f t="shared" si="4"/>
        <v>5.1927501258671876E-2</v>
      </c>
      <c r="G27" s="336">
        <f t="shared" si="4"/>
        <v>5.1927501258671876E-2</v>
      </c>
      <c r="H27" s="336">
        <f t="shared" si="4"/>
        <v>7.2965257207625811E-2</v>
      </c>
      <c r="I27" s="336">
        <f t="shared" si="4"/>
        <v>7.2965257207625811E-2</v>
      </c>
      <c r="J27" s="336">
        <f t="shared" si="4"/>
        <v>0.7218461831516011</v>
      </c>
      <c r="K27" s="336">
        <f t="shared" si="4"/>
        <v>0.7218461831516011</v>
      </c>
      <c r="L27" s="336">
        <f t="shared" si="4"/>
        <v>1.1557377724966029</v>
      </c>
      <c r="M27" s="655">
        <f t="shared" si="4"/>
        <v>1.1557377724966029</v>
      </c>
    </row>
    <row r="28" spans="1:14">
      <c r="A28" s="328" t="s">
        <v>484</v>
      </c>
      <c r="B28" s="331">
        <f>IFERROR(B23/B6,0)</f>
        <v>0.18401093873546193</v>
      </c>
      <c r="C28" s="331">
        <f>IFERROR(C23/C6,0)</f>
        <v>0.20116789350457584</v>
      </c>
      <c r="D28" s="331">
        <f>IFERROR(D23/D6,0)</f>
        <v>0.13389061755877982</v>
      </c>
      <c r="E28" s="331">
        <f>IFERROR(E23/E6,0)</f>
        <v>0.13389061755877982</v>
      </c>
      <c r="F28" s="331">
        <f>EBTL!B139</f>
        <v>0.17692750125867188</v>
      </c>
      <c r="G28" s="331">
        <f>F28</f>
        <v>0.17692750125867188</v>
      </c>
      <c r="H28" s="331">
        <f>EBUL!B141</f>
        <v>0.18185879701717494</v>
      </c>
      <c r="I28" s="331">
        <f>H28</f>
        <v>0.18185879701717494</v>
      </c>
      <c r="J28" s="331">
        <f>K28</f>
        <v>0.8468461831516011</v>
      </c>
      <c r="K28" s="331">
        <f>IFERROR(K23/K6,0)</f>
        <v>0.8468461831516011</v>
      </c>
      <c r="L28" s="331">
        <f>M28</f>
        <v>1.235737772496603</v>
      </c>
      <c r="M28" s="652">
        <f>EBSSL!B139</f>
        <v>1.235737772496603</v>
      </c>
    </row>
    <row r="29" spans="1:14" s="337" customFormat="1">
      <c r="A29" s="332" t="s">
        <v>294</v>
      </c>
      <c r="B29" s="333">
        <v>0.14499999999999999</v>
      </c>
      <c r="C29" s="333">
        <v>0.14499999999999999</v>
      </c>
      <c r="D29" s="333">
        <v>0.1</v>
      </c>
      <c r="E29" s="333">
        <v>0.1</v>
      </c>
      <c r="F29" s="333">
        <v>0.14499999999999999</v>
      </c>
      <c r="G29" s="333">
        <v>0.14499999999999999</v>
      </c>
      <c r="H29" s="333">
        <v>0.12</v>
      </c>
      <c r="I29" s="333">
        <v>0.12</v>
      </c>
      <c r="J29" s="333">
        <v>0.15</v>
      </c>
      <c r="K29" s="333">
        <f>J29</f>
        <v>0.15</v>
      </c>
      <c r="L29" s="333">
        <v>0.12</v>
      </c>
      <c r="M29" s="654">
        <v>0.12</v>
      </c>
    </row>
    <row r="30" spans="1:14" s="337" customFormat="1">
      <c r="A30" s="335" t="s">
        <v>483</v>
      </c>
      <c r="B30" s="338">
        <f t="shared" ref="B30:M30" si="5">B28-B29</f>
        <v>3.9010938735461936E-2</v>
      </c>
      <c r="C30" s="338">
        <f t="shared" si="5"/>
        <v>5.616789350457585E-2</v>
      </c>
      <c r="D30" s="338">
        <f>D28-D29</f>
        <v>3.3890617558779812E-2</v>
      </c>
      <c r="E30" s="338">
        <f>E28-E29</f>
        <v>3.3890617558779812E-2</v>
      </c>
      <c r="F30" s="338">
        <f t="shared" si="5"/>
        <v>3.1927501258671886E-2</v>
      </c>
      <c r="G30" s="338">
        <f t="shared" si="5"/>
        <v>3.1927501258671886E-2</v>
      </c>
      <c r="H30" s="338">
        <f t="shared" si="5"/>
        <v>6.1858797017174949E-2</v>
      </c>
      <c r="I30" s="338">
        <f t="shared" si="5"/>
        <v>6.1858797017174949E-2</v>
      </c>
      <c r="J30" s="338">
        <f t="shared" si="5"/>
        <v>0.69684618315160107</v>
      </c>
      <c r="K30" s="338">
        <f t="shared" si="5"/>
        <v>0.69684618315160107</v>
      </c>
      <c r="L30" s="338">
        <f t="shared" si="5"/>
        <v>1.1157377724966029</v>
      </c>
      <c r="M30" s="655">
        <f t="shared" si="5"/>
        <v>1.1157377724966029</v>
      </c>
    </row>
    <row r="31" spans="1:14">
      <c r="A31" s="328" t="s">
        <v>485</v>
      </c>
      <c r="B31" s="331">
        <f>B8/(GROUP!G32+GROUP!G33+GROUP!G34)</f>
        <v>0.17584586893899831</v>
      </c>
      <c r="C31" s="331">
        <f>C8/(EBKL!B31+EBKL!B32+EBKL!B33)</f>
        <v>0.18909426549594949</v>
      </c>
      <c r="D31" s="331">
        <f>E_BCDC!B130</f>
        <v>0.10307853614492909</v>
      </c>
      <c r="E31" s="331">
        <f>D31</f>
        <v>0.10307853614492909</v>
      </c>
      <c r="F31" s="331">
        <f>EBTL!B133</f>
        <v>0.14974865106967591</v>
      </c>
      <c r="G31" s="331">
        <f>F31</f>
        <v>0.14974865106967591</v>
      </c>
      <c r="H31" s="331">
        <f>EBUL!B135</f>
        <v>0.13377889860455863</v>
      </c>
      <c r="I31" s="331">
        <f>H31</f>
        <v>0.13377889860455863</v>
      </c>
      <c r="J31" s="331">
        <f>EBRL!B133</f>
        <v>0.15142713830520962</v>
      </c>
      <c r="K31" s="331">
        <f>J31</f>
        <v>0.15142713830520962</v>
      </c>
      <c r="L31" s="331">
        <f>M31</f>
        <v>0.34834948242852642</v>
      </c>
      <c r="M31" s="652">
        <f>EBSSL!B133</f>
        <v>0.34834948242852642</v>
      </c>
    </row>
    <row r="32" spans="1:14" s="337" customFormat="1">
      <c r="A32" s="332" t="s">
        <v>294</v>
      </c>
      <c r="B32" s="333">
        <v>0.08</v>
      </c>
      <c r="C32" s="333">
        <f>B32</f>
        <v>0.08</v>
      </c>
      <c r="D32" s="333">
        <v>0.08</v>
      </c>
      <c r="E32" s="333">
        <v>0.08</v>
      </c>
      <c r="F32" s="333">
        <v>0.08</v>
      </c>
      <c r="G32" s="333">
        <v>0.08</v>
      </c>
      <c r="H32" s="333">
        <v>0.1</v>
      </c>
      <c r="I32" s="333">
        <f>H32</f>
        <v>0.1</v>
      </c>
      <c r="J32" s="333">
        <v>0.08</v>
      </c>
      <c r="K32" s="333">
        <v>0.08</v>
      </c>
      <c r="L32" s="333">
        <v>0.08</v>
      </c>
      <c r="M32" s="653">
        <v>0.08</v>
      </c>
    </row>
    <row r="33" spans="1:13">
      <c r="A33" s="335" t="s">
        <v>483</v>
      </c>
      <c r="B33" s="338">
        <f>B31-B32</f>
        <v>9.584586893899831E-2</v>
      </c>
      <c r="C33" s="338">
        <f>C31-C32</f>
        <v>0.10909426549594949</v>
      </c>
      <c r="D33" s="338">
        <f>D31-D32</f>
        <v>2.3078536144929093E-2</v>
      </c>
      <c r="E33" s="338">
        <f>E31-E32</f>
        <v>2.3078536144929093E-2</v>
      </c>
      <c r="F33" s="338">
        <f t="shared" ref="F33:M33" si="6">F31-F32</f>
        <v>6.9748651069675913E-2</v>
      </c>
      <c r="G33" s="338">
        <f t="shared" si="6"/>
        <v>6.9748651069675913E-2</v>
      </c>
      <c r="H33" s="338">
        <f t="shared" si="6"/>
        <v>3.3778898604558627E-2</v>
      </c>
      <c r="I33" s="338">
        <f t="shared" si="6"/>
        <v>3.3778898604558627E-2</v>
      </c>
      <c r="J33" s="338">
        <f>J31-J32</f>
        <v>7.1427138305209623E-2</v>
      </c>
      <c r="K33" s="338">
        <f>K31-K32</f>
        <v>7.1427138305209623E-2</v>
      </c>
      <c r="L33" s="338">
        <f t="shared" si="6"/>
        <v>0.26834948242852641</v>
      </c>
      <c r="M33" s="655">
        <f t="shared" si="6"/>
        <v>0.26834948242852641</v>
      </c>
    </row>
    <row r="34" spans="1:13">
      <c r="A34" s="335"/>
      <c r="B34" s="338"/>
      <c r="C34" s="338"/>
      <c r="D34" s="338"/>
      <c r="E34" s="338"/>
      <c r="F34" s="338"/>
      <c r="G34" s="338"/>
      <c r="H34" s="338"/>
      <c r="I34" s="338"/>
      <c r="J34" s="338"/>
      <c r="K34" s="338"/>
      <c r="L34" s="338"/>
      <c r="M34" s="655"/>
    </row>
    <row r="35" spans="1:13">
      <c r="A35" s="328" t="s">
        <v>436</v>
      </c>
      <c r="B35" s="331">
        <f>'[10]September 2022'!$C$91</f>
        <v>0.51538492801086733</v>
      </c>
      <c r="C35" s="331">
        <f>EBKL!B143</f>
        <v>0.60050407419067608</v>
      </c>
      <c r="D35" s="331">
        <f>E_BCDC!B141</f>
        <v>1.3442995584413668</v>
      </c>
      <c r="E35" s="331">
        <f>D35</f>
        <v>1.3442995584413668</v>
      </c>
      <c r="F35" s="331">
        <f>EBTL!B144</f>
        <v>0.30717771914215836</v>
      </c>
      <c r="G35" s="331">
        <f>F35</f>
        <v>0.30717771914215836</v>
      </c>
      <c r="H35" s="331">
        <f>EBUL!B146</f>
        <v>0.33154046244303187</v>
      </c>
      <c r="I35" s="331">
        <f>H35</f>
        <v>0.33154046244303187</v>
      </c>
      <c r="J35" s="331">
        <f>EBRL!B144</f>
        <v>2.76</v>
      </c>
      <c r="K35" s="331">
        <f>J35</f>
        <v>2.76</v>
      </c>
      <c r="L35" s="331">
        <f>M35</f>
        <v>1.3491628490723171</v>
      </c>
      <c r="M35" s="652">
        <f>EBSSL!B144</f>
        <v>1.3491628490723171</v>
      </c>
    </row>
    <row r="36" spans="1:13">
      <c r="A36" s="332" t="s">
        <v>437</v>
      </c>
      <c r="B36" s="333">
        <v>0.2</v>
      </c>
      <c r="C36" s="333">
        <v>0.2</v>
      </c>
      <c r="D36" s="333">
        <v>1</v>
      </c>
      <c r="E36" s="333">
        <v>1</v>
      </c>
      <c r="F36" s="333">
        <v>0.2</v>
      </c>
      <c r="G36" s="333">
        <v>0.2</v>
      </c>
      <c r="H36" s="333">
        <v>0.2</v>
      </c>
      <c r="I36" s="333">
        <v>0.2</v>
      </c>
      <c r="J36" s="333">
        <v>0.2</v>
      </c>
      <c r="K36" s="333">
        <v>0.2</v>
      </c>
      <c r="L36" s="333">
        <v>0.2</v>
      </c>
      <c r="M36" s="653">
        <v>0.2</v>
      </c>
    </row>
    <row r="37" spans="1:13">
      <c r="A37" s="335" t="s">
        <v>483</v>
      </c>
      <c r="B37" s="338">
        <f>B35-B36</f>
        <v>0.31538492801086732</v>
      </c>
      <c r="C37" s="338">
        <f t="shared" ref="C37:M37" si="7">C35-C36</f>
        <v>0.40050407419067607</v>
      </c>
      <c r="D37" s="338">
        <f t="shared" si="7"/>
        <v>0.34429955844136684</v>
      </c>
      <c r="E37" s="338">
        <f t="shared" si="7"/>
        <v>0.34429955844136684</v>
      </c>
      <c r="F37" s="338">
        <f t="shared" si="7"/>
        <v>0.10717771914215835</v>
      </c>
      <c r="G37" s="338">
        <f t="shared" si="7"/>
        <v>0.10717771914215835</v>
      </c>
      <c r="H37" s="338">
        <f t="shared" si="7"/>
        <v>0.13154046244303186</v>
      </c>
      <c r="I37" s="338">
        <f>I35-I36</f>
        <v>0.13154046244303186</v>
      </c>
      <c r="J37" s="338">
        <f>J35-J36</f>
        <v>2.5599999999999996</v>
      </c>
      <c r="K37" s="338">
        <f>K35-K36</f>
        <v>2.5599999999999996</v>
      </c>
      <c r="L37" s="338">
        <f t="shared" si="7"/>
        <v>1.1491628490723171</v>
      </c>
      <c r="M37" s="655">
        <f t="shared" si="7"/>
        <v>1.1491628490723171</v>
      </c>
    </row>
    <row r="38" spans="1:13">
      <c r="A38" s="335"/>
      <c r="B38" s="338"/>
      <c r="C38" s="338"/>
      <c r="D38" s="338"/>
      <c r="E38" s="338"/>
      <c r="F38" s="338"/>
      <c r="G38" s="338"/>
      <c r="H38" s="338"/>
      <c r="I38" s="338"/>
      <c r="J38" s="338"/>
      <c r="K38" s="338"/>
      <c r="L38" s="338"/>
      <c r="M38" s="655"/>
    </row>
    <row r="39" spans="1:13" hidden="1">
      <c r="A39" s="496" t="s">
        <v>453</v>
      </c>
      <c r="B39" s="497">
        <v>12134000</v>
      </c>
      <c r="C39" s="497">
        <v>10521245</v>
      </c>
      <c r="D39" s="338"/>
      <c r="E39" s="338"/>
      <c r="F39" s="338"/>
      <c r="G39" s="338"/>
      <c r="H39" s="338"/>
      <c r="I39" s="338"/>
      <c r="J39" s="338"/>
      <c r="K39" s="338"/>
      <c r="L39" s="338"/>
      <c r="M39" s="655"/>
    </row>
    <row r="40" spans="1:13" hidden="1">
      <c r="A40" s="496" t="s">
        <v>460</v>
      </c>
      <c r="B40" s="497"/>
      <c r="C40" s="497"/>
      <c r="D40" s="338"/>
      <c r="E40" s="338"/>
      <c r="F40" s="338"/>
      <c r="G40" s="338"/>
      <c r="H40" s="338"/>
      <c r="I40" s="338"/>
      <c r="J40" s="338"/>
      <c r="K40" s="338"/>
      <c r="L40" s="338"/>
      <c r="M40" s="655"/>
    </row>
    <row r="41" spans="1:13" hidden="1">
      <c r="A41" s="496" t="s">
        <v>461</v>
      </c>
      <c r="B41" s="497">
        <v>2617569.8712251401</v>
      </c>
      <c r="C41" s="497">
        <v>2267428.74021857</v>
      </c>
      <c r="D41" s="338"/>
      <c r="E41" s="338"/>
      <c r="F41" s="338"/>
      <c r="G41" s="338"/>
      <c r="H41" s="338"/>
      <c r="I41" s="338"/>
      <c r="J41" s="338"/>
      <c r="K41" s="338"/>
      <c r="L41" s="338"/>
      <c r="M41" s="655"/>
    </row>
    <row r="42" spans="1:13" hidden="1">
      <c r="A42" s="496"/>
      <c r="B42" s="497">
        <v>535885.71298883006</v>
      </c>
      <c r="C42" s="497">
        <v>351199.56979370001</v>
      </c>
      <c r="D42" s="338"/>
      <c r="E42" s="338"/>
      <c r="F42" s="338"/>
      <c r="G42" s="338"/>
      <c r="H42" s="338"/>
      <c r="I42" s="338"/>
      <c r="J42" s="338"/>
      <c r="K42" s="338"/>
      <c r="L42" s="338"/>
      <c r="M42" s="655"/>
    </row>
    <row r="43" spans="1:13" hidden="1">
      <c r="A43" s="496" t="s">
        <v>462</v>
      </c>
      <c r="B43" s="497">
        <v>3382000</v>
      </c>
      <c r="C43" s="497">
        <v>3264862.42</v>
      </c>
      <c r="D43" s="338"/>
      <c r="E43" s="338"/>
      <c r="F43" s="338"/>
      <c r="G43" s="338"/>
      <c r="H43" s="338"/>
      <c r="I43" s="338"/>
      <c r="J43" s="338"/>
      <c r="K43" s="338"/>
      <c r="L43" s="338"/>
      <c r="M43" s="655"/>
    </row>
    <row r="44" spans="1:13" ht="13.5" hidden="1" thickBot="1">
      <c r="A44" s="496"/>
      <c r="B44" s="631">
        <v>6670315.8417636873</v>
      </c>
      <c r="C44" s="631">
        <v>5340153.4095751299</v>
      </c>
      <c r="D44" s="338"/>
      <c r="E44" s="338"/>
      <c r="F44" s="338"/>
      <c r="G44" s="338"/>
      <c r="H44" s="338"/>
      <c r="I44" s="338"/>
      <c r="J44" s="338"/>
      <c r="K44" s="338"/>
      <c r="L44" s="338"/>
      <c r="M44" s="655"/>
    </row>
    <row r="45" spans="1:13">
      <c r="A45" s="496"/>
      <c r="B45" s="497"/>
      <c r="C45" s="497"/>
      <c r="D45" s="338"/>
      <c r="E45" s="338"/>
      <c r="F45" s="338"/>
      <c r="G45" s="338"/>
      <c r="H45" s="338"/>
      <c r="I45" s="338"/>
      <c r="J45" s="338"/>
      <c r="K45" s="338"/>
      <c r="L45" s="338"/>
      <c r="M45" s="655"/>
    </row>
    <row r="46" spans="1:13">
      <c r="A46" s="496" t="s">
        <v>444</v>
      </c>
      <c r="B46" s="497">
        <v>0</v>
      </c>
      <c r="C46" s="497">
        <f>'[8]FORM A'!$D$14</f>
        <v>0</v>
      </c>
      <c r="D46" s="881"/>
      <c r="E46" s="658"/>
      <c r="F46" s="658"/>
      <c r="G46" s="495"/>
      <c r="H46" s="338"/>
      <c r="I46" s="338"/>
      <c r="J46" s="338"/>
      <c r="K46" s="338"/>
      <c r="L46" s="338"/>
      <c r="M46" s="655"/>
    </row>
    <row r="47" spans="1:13">
      <c r="A47" s="335"/>
      <c r="B47" s="461"/>
      <c r="C47" s="461"/>
      <c r="D47" s="906"/>
      <c r="E47" s="338"/>
      <c r="F47" s="338"/>
      <c r="G47" s="338"/>
      <c r="H47" s="338"/>
      <c r="I47" s="338"/>
      <c r="J47" s="338"/>
      <c r="K47" s="338"/>
      <c r="L47" s="338"/>
      <c r="M47" s="655"/>
    </row>
    <row r="48" spans="1:13" s="334" customFormat="1">
      <c r="A48" s="332" t="s">
        <v>445</v>
      </c>
      <c r="B48" s="494">
        <f>B8+B46</f>
        <v>197468539.3856706</v>
      </c>
      <c r="C48" s="494">
        <f>C8+C46</f>
        <v>125376187.82420757</v>
      </c>
      <c r="D48" s="906"/>
      <c r="E48" s="658"/>
      <c r="F48" s="495"/>
      <c r="G48" s="660"/>
      <c r="H48" s="495"/>
      <c r="I48" s="495"/>
      <c r="J48" s="495"/>
      <c r="K48" s="495"/>
      <c r="L48" s="495"/>
      <c r="M48" s="656"/>
    </row>
    <row r="49" spans="1:13" s="334" customFormat="1">
      <c r="A49" s="332"/>
      <c r="B49" s="494"/>
      <c r="C49" s="494"/>
      <c r="D49" s="907"/>
      <c r="E49" s="660"/>
      <c r="F49" s="495"/>
      <c r="G49" s="660"/>
      <c r="H49" s="495"/>
      <c r="I49" s="495"/>
      <c r="J49" s="495"/>
      <c r="K49" s="495"/>
      <c r="L49" s="495"/>
      <c r="M49" s="656"/>
    </row>
    <row r="50" spans="1:13" s="334" customFormat="1">
      <c r="A50" s="332" t="s">
        <v>446</v>
      </c>
      <c r="B50" s="494">
        <f>B23+B46</f>
        <v>251992235.399131</v>
      </c>
      <c r="C50" s="494">
        <f>C23+C46</f>
        <v>164605667.27626237</v>
      </c>
      <c r="D50" s="658"/>
      <c r="E50" s="658"/>
      <c r="F50" s="495"/>
      <c r="G50" s="495"/>
      <c r="H50" s="495"/>
      <c r="I50" s="495"/>
      <c r="J50" s="495"/>
      <c r="K50" s="495"/>
      <c r="L50" s="495"/>
      <c r="M50" s="656"/>
    </row>
    <row r="51" spans="1:13">
      <c r="A51" s="335"/>
      <c r="B51" s="461"/>
      <c r="C51" s="461"/>
      <c r="D51" s="658"/>
      <c r="E51" s="658"/>
      <c r="F51" s="495"/>
      <c r="G51" s="338"/>
      <c r="H51" s="338"/>
      <c r="I51" s="338"/>
      <c r="J51" s="338"/>
      <c r="K51" s="705"/>
      <c r="L51" s="338"/>
      <c r="M51" s="655"/>
    </row>
    <row r="52" spans="1:13" s="329" customFormat="1">
      <c r="A52" s="492" t="s">
        <v>463</v>
      </c>
      <c r="B52" s="331">
        <f>B48/B6</f>
        <v>0.14419639258140052</v>
      </c>
      <c r="C52" s="331">
        <f>'[8]FORM A'!$D$80</f>
        <v>0.15322475840336439</v>
      </c>
      <c r="D52" s="658"/>
      <c r="E52" s="336"/>
      <c r="F52" s="333"/>
      <c r="G52" s="493"/>
      <c r="H52" s="493"/>
      <c r="I52" s="493"/>
      <c r="J52" s="493"/>
      <c r="K52" s="493"/>
      <c r="L52" s="493"/>
      <c r="M52" s="657"/>
    </row>
    <row r="53" spans="1:13" s="329" customFormat="1">
      <c r="A53" s="492" t="s">
        <v>476</v>
      </c>
      <c r="B53" s="331">
        <f>B50/B6</f>
        <v>0.18401093873546193</v>
      </c>
      <c r="C53" s="331">
        <f>'[8]FORM A'!$C$86</f>
        <v>0.20116789350457584</v>
      </c>
      <c r="D53" s="658"/>
      <c r="E53" s="336"/>
      <c r="F53" s="333"/>
      <c r="G53" s="493"/>
      <c r="H53" s="493"/>
      <c r="I53" s="493"/>
      <c r="J53" s="493"/>
      <c r="K53" s="645"/>
      <c r="L53" s="493"/>
      <c r="M53" s="657"/>
    </row>
    <row r="54" spans="1:13" s="329" customFormat="1">
      <c r="A54" s="492" t="s">
        <v>464</v>
      </c>
      <c r="B54" s="331">
        <f>B48/(GROUP!G32+GROUP!G33+GROUP!G34)</f>
        <v>0.17584586893899831</v>
      </c>
      <c r="C54" s="331">
        <f>'[8]FORM A'!$C$83</f>
        <v>0.18909426549594949</v>
      </c>
      <c r="D54" s="658"/>
      <c r="E54" s="336"/>
      <c r="F54" s="331"/>
      <c r="G54" s="493"/>
      <c r="H54" s="493"/>
      <c r="I54" s="493"/>
      <c r="J54" s="493"/>
      <c r="K54" s="645"/>
      <c r="L54" s="493"/>
      <c r="M54" s="657"/>
    </row>
    <row r="55" spans="1:13" ht="13.5" thickBot="1">
      <c r="A55" s="339"/>
      <c r="B55" s="340"/>
      <c r="C55" s="342"/>
      <c r="D55" s="341"/>
      <c r="E55" s="341"/>
      <c r="F55" s="706"/>
      <c r="G55" s="341"/>
      <c r="H55" s="341"/>
      <c r="I55" s="341"/>
      <c r="J55" s="341"/>
      <c r="K55" s="341"/>
      <c r="L55" s="341"/>
      <c r="M55" s="343"/>
    </row>
    <row r="57" spans="1:13">
      <c r="B57" s="854"/>
      <c r="D57" s="345"/>
      <c r="E57" s="345"/>
    </row>
    <row r="58" spans="1:13">
      <c r="D58" s="345"/>
      <c r="E58" s="345"/>
    </row>
    <row r="59" spans="1:13">
      <c r="B59" s="480"/>
      <c r="C59" s="853"/>
      <c r="G59" s="345"/>
    </row>
    <row r="60" spans="1:13" ht="15">
      <c r="C60" s="344"/>
    </row>
    <row r="61" spans="1:13">
      <c r="B61" s="481"/>
      <c r="C61" s="481"/>
    </row>
    <row r="62" spans="1:13">
      <c r="G62" s="345"/>
    </row>
  </sheetData>
  <dataValidations count="2">
    <dataValidation type="custom" allowBlank="1" showInputMessage="1" showErrorMessage="1" promptTitle="CC/TRWA" prompt="CC/TRWA" sqref="G27:M27 B27:E27" xr:uid="{00000000-0002-0000-0300-000000000000}">
      <formula1>B27&gt;0</formula1>
    </dataValidation>
    <dataValidation type="custom" allowBlank="1" showInputMessage="1" showErrorMessage="1" promptTitle="Ratio Breach" prompt="Ratio Breach" sqref="F27" xr:uid="{00000000-0002-0000-0300-000001000000}">
      <formula1>F27&gt;0</formula1>
    </dataValidation>
  </dataValidations>
  <pageMargins left="0.7" right="0.7" top="0.75" bottom="0.75" header="0.3" footer="0.3"/>
  <pageSetup paperSize="8" scale="7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7787-745F-4F24-8E06-4278D4974093}">
  <dimension ref="A2:V22"/>
  <sheetViews>
    <sheetView workbookViewId="0">
      <selection activeCell="D14" sqref="D14"/>
    </sheetView>
  </sheetViews>
  <sheetFormatPr defaultColWidth="8.7109375" defaultRowHeight="15"/>
  <cols>
    <col min="1" max="1" width="12.140625" customWidth="1"/>
    <col min="2" max="2" width="22" customWidth="1"/>
    <col min="3" max="17" width="13.5703125" customWidth="1"/>
    <col min="18" max="18" width="16" customWidth="1"/>
    <col min="19" max="19" width="13.5703125" customWidth="1"/>
    <col min="21" max="21" width="13.28515625" style="375" bestFit="1" customWidth="1"/>
    <col min="22" max="22" width="14" bestFit="1" customWidth="1"/>
  </cols>
  <sheetData>
    <row r="2" spans="1:22">
      <c r="C2" t="s">
        <v>158</v>
      </c>
      <c r="D2" t="s">
        <v>277</v>
      </c>
      <c r="E2" t="s">
        <v>159</v>
      </c>
      <c r="F2" t="s">
        <v>636</v>
      </c>
      <c r="G2" t="s">
        <v>160</v>
      </c>
      <c r="H2" t="s">
        <v>161</v>
      </c>
      <c r="I2" t="s">
        <v>164</v>
      </c>
      <c r="J2" t="s">
        <v>163</v>
      </c>
      <c r="K2" t="s">
        <v>683</v>
      </c>
      <c r="L2" t="s">
        <v>661</v>
      </c>
      <c r="M2" t="s">
        <v>684</v>
      </c>
      <c r="N2" t="s">
        <v>420</v>
      </c>
      <c r="O2" t="s">
        <v>585</v>
      </c>
      <c r="P2" t="s">
        <v>656</v>
      </c>
      <c r="Q2" t="s">
        <v>171</v>
      </c>
      <c r="S2" t="s">
        <v>685</v>
      </c>
    </row>
    <row r="3" spans="1:22">
      <c r="A3" t="s">
        <v>686</v>
      </c>
      <c r="B3" t="s">
        <v>687</v>
      </c>
      <c r="C3" s="893">
        <f>(-SUM([11]SUMMARY!$G$9,[11]SUMMARY!$G$10,[11]SUMMARY!$G$11,[11]SUMMARY!$G$12,[11]SUMMARY!$G$13,[11]SUMMARY!$G$16,[11]SUMMARY!$G$17,[11]SUMMARY!$G$18,[11]SUMMARY!$G$24,[11]SUMMARY!$G$26))/1000</f>
        <v>4072356.4766864539</v>
      </c>
      <c r="D3" s="893">
        <f>'[12]EGH PLC 2022 CBK FORMAT'!$B$17</f>
        <v>103246.62084</v>
      </c>
      <c r="K3" s="944">
        <f>-'[13]BS pivot'!$B$24/1000</f>
        <v>2200337.0642399997</v>
      </c>
      <c r="L3" s="893">
        <f>'[14]Azenia 2023 CBK FORMAT'!$B$17</f>
        <v>1538197.25562</v>
      </c>
      <c r="N3" s="893">
        <f>'[15]ENL, ECGL &amp; EISL'!$B$18</f>
        <v>420000</v>
      </c>
      <c r="P3" s="457">
        <f>[16]ELAK!$B$17</f>
        <v>260779.09707425925</v>
      </c>
      <c r="Q3" s="893">
        <f>SUM(C3:P3)-262</f>
        <v>8594654.5144607127</v>
      </c>
      <c r="R3" s="893">
        <f>S3-Q3</f>
        <v>-8115007.2996228291</v>
      </c>
      <c r="S3" s="375">
        <f>-[11]SUMMARY!$G$12/1000</f>
        <v>479647.21483788377</v>
      </c>
      <c r="T3" s="929"/>
      <c r="U3" s="375">
        <v>1971447.4548219061</v>
      </c>
    </row>
    <row r="4" spans="1:22">
      <c r="A4" t="s">
        <v>686</v>
      </c>
      <c r="B4" t="s">
        <v>688</v>
      </c>
      <c r="C4" s="893">
        <f>EBKL!B16</f>
        <v>3250122.5250665736</v>
      </c>
      <c r="E4" s="893">
        <f>EBUL!C18</f>
        <v>648498.11161544709</v>
      </c>
      <c r="F4" s="893">
        <f>EBSSL!C17</f>
        <v>29840.429733166817</v>
      </c>
      <c r="G4" s="893">
        <f>EBTL!C17</f>
        <v>197542.05281221404</v>
      </c>
      <c r="H4" s="893">
        <f>EBRL!C18</f>
        <v>100238.09302411873</v>
      </c>
      <c r="K4" s="893"/>
      <c r="L4" s="893"/>
      <c r="P4" s="642">
        <v>0</v>
      </c>
      <c r="Q4" s="893">
        <f>SUM(C4:P4)</f>
        <v>4226241.2122515198</v>
      </c>
      <c r="R4" s="893">
        <f>S4-Q4</f>
        <v>-4226241.2122515198</v>
      </c>
      <c r="S4" s="375"/>
    </row>
    <row r="5" spans="1:22" ht="15.75" thickBot="1">
      <c r="C5" s="894">
        <f>SUM(C3:C4)</f>
        <v>7322479.0017530276</v>
      </c>
      <c r="D5" s="894">
        <f t="shared" ref="D5:P5" si="0">SUM(D3:D4)</f>
        <v>103246.62084</v>
      </c>
      <c r="E5" s="894">
        <f t="shared" si="0"/>
        <v>648498.11161544709</v>
      </c>
      <c r="F5" s="894">
        <f t="shared" si="0"/>
        <v>29840.429733166817</v>
      </c>
      <c r="G5" s="894">
        <f t="shared" si="0"/>
        <v>197542.05281221404</v>
      </c>
      <c r="H5" s="894">
        <f t="shared" si="0"/>
        <v>100238.09302411873</v>
      </c>
      <c r="I5" s="894">
        <f t="shared" si="0"/>
        <v>0</v>
      </c>
      <c r="J5" s="894">
        <f t="shared" si="0"/>
        <v>0</v>
      </c>
      <c r="K5" s="894">
        <f t="shared" si="0"/>
        <v>2200337.0642399997</v>
      </c>
      <c r="L5" s="894">
        <f t="shared" si="0"/>
        <v>1538197.25562</v>
      </c>
      <c r="M5" s="894">
        <f t="shared" si="0"/>
        <v>0</v>
      </c>
      <c r="N5" s="894">
        <f t="shared" si="0"/>
        <v>420000</v>
      </c>
      <c r="O5" s="894">
        <f t="shared" si="0"/>
        <v>0</v>
      </c>
      <c r="P5" s="894">
        <f t="shared" si="0"/>
        <v>260779.09707425925</v>
      </c>
      <c r="Q5" s="893">
        <f>SUM(Q3:Q4)</f>
        <v>12820895.726712232</v>
      </c>
      <c r="R5" s="893"/>
      <c r="S5" s="375"/>
    </row>
    <row r="6" spans="1:22">
      <c r="C6" s="893"/>
      <c r="E6" s="893"/>
      <c r="F6" s="893"/>
      <c r="G6" s="893"/>
      <c r="H6" s="893"/>
      <c r="K6" s="893"/>
      <c r="L6" s="893"/>
      <c r="Q6" s="893"/>
      <c r="S6" s="375"/>
    </row>
    <row r="7" spans="1:22">
      <c r="A7" t="s">
        <v>689</v>
      </c>
      <c r="B7" t="s">
        <v>690</v>
      </c>
      <c r="C7" s="893">
        <f>[11]SUMMARY!$G$25/1000</f>
        <v>2079158.8872799999</v>
      </c>
      <c r="D7" s="893">
        <f>'[12]EGH PLC 2022 CBK FORMAT'!$B$37</f>
        <v>1280668.9767</v>
      </c>
      <c r="I7" s="893">
        <f>'[17]EIB Performance  30.04.2023'!$B$37</f>
        <v>158934.03972</v>
      </c>
      <c r="J7" s="1528">
        <f>'[18]STMT OF FIN.POSTN'!$D$18/1000</f>
        <v>0</v>
      </c>
      <c r="K7" s="893">
        <f>'[13]BS pivot'!$B$30/1000</f>
        <v>2182990.3056000001</v>
      </c>
      <c r="L7" s="893">
        <f>'[14]Azenia 2023 CBK FORMAT'!$B$37</f>
        <v>1558966.6154500004</v>
      </c>
      <c r="M7" s="893"/>
      <c r="N7" s="893">
        <f>'[15]ENL, ECGL &amp; EISL'!$B$38</f>
        <v>66457.895510000002</v>
      </c>
      <c r="P7" s="498">
        <f>[16]ELAK!$B$37</f>
        <v>130494.64341427237</v>
      </c>
      <c r="Q7" s="893">
        <f>SUM(C7:P7)</f>
        <v>7457671.3636742728</v>
      </c>
      <c r="R7" s="457">
        <f>Q7</f>
        <v>7457671.3636742728</v>
      </c>
      <c r="S7" s="375"/>
    </row>
    <row r="8" spans="1:22">
      <c r="A8" t="s">
        <v>689</v>
      </c>
      <c r="B8" t="s">
        <v>688</v>
      </c>
      <c r="C8" s="893">
        <v>0</v>
      </c>
      <c r="E8" s="893">
        <f>EBUL!C38</f>
        <v>2442188.2092408831</v>
      </c>
      <c r="F8" s="893">
        <f>EBSSL!C37</f>
        <v>511241.90136190038</v>
      </c>
      <c r="G8" s="893">
        <f>EBTL!C37</f>
        <v>42661.173875796558</v>
      </c>
      <c r="H8" s="893">
        <f>EBRL!C38</f>
        <v>534012.70176134491</v>
      </c>
      <c r="I8" s="893">
        <f>EIBL!B36</f>
        <v>0</v>
      </c>
      <c r="J8">
        <f>EIAL!B38</f>
        <v>0</v>
      </c>
      <c r="K8">
        <f>'FinAL&amp;Azenia'!B36</f>
        <v>0</v>
      </c>
      <c r="L8">
        <f>'FinAL&amp;Azenia'!L36</f>
        <v>0</v>
      </c>
      <c r="N8">
        <f>Others!B38</f>
        <v>0</v>
      </c>
      <c r="O8" s="944">
        <f>E_BCDC!C36</f>
        <v>420496.24167999998</v>
      </c>
      <c r="P8" s="944"/>
      <c r="Q8" s="893">
        <f>SUM(C8:O8)</f>
        <v>3950600.227919925</v>
      </c>
      <c r="R8" s="457">
        <f>Q8</f>
        <v>3950600.227919925</v>
      </c>
      <c r="S8" s="375">
        <f>R4+R8</f>
        <v>-275640.98433159478</v>
      </c>
      <c r="U8" s="375">
        <f>GROUP!B39</f>
        <v>1704332.2816273291</v>
      </c>
      <c r="V8" s="498">
        <f>U8-R8</f>
        <v>-2246267.9462925959</v>
      </c>
    </row>
    <row r="9" spans="1:22">
      <c r="B9" t="s">
        <v>844</v>
      </c>
      <c r="C9" s="1242">
        <f>([11]SUMMARY!$G$19/1000)+C19</f>
        <v>307337.64063971775</v>
      </c>
      <c r="E9" s="893"/>
      <c r="F9" s="893"/>
      <c r="G9" s="893"/>
      <c r="H9" s="893"/>
      <c r="I9" s="893"/>
      <c r="O9" s="944"/>
      <c r="P9" s="944"/>
      <c r="Q9" s="893">
        <f>SUM(C9:O9)</f>
        <v>307337.64063971775</v>
      </c>
      <c r="R9" s="457">
        <f>Q9</f>
        <v>307337.64063971775</v>
      </c>
      <c r="S9" s="375">
        <f>R3+R7</f>
        <v>-657335.93594855629</v>
      </c>
    </row>
    <row r="10" spans="1:22" ht="15.75" thickBot="1">
      <c r="C10" s="980">
        <f>SUM(C7:C9)</f>
        <v>2386496.5279197176</v>
      </c>
      <c r="D10" s="980">
        <f t="shared" ref="D10:P10" si="1">SUM(D7:D9)</f>
        <v>1280668.9767</v>
      </c>
      <c r="E10" s="980">
        <f t="shared" si="1"/>
        <v>2442188.2092408831</v>
      </c>
      <c r="F10" s="980">
        <f t="shared" si="1"/>
        <v>511241.90136190038</v>
      </c>
      <c r="G10" s="980">
        <f t="shared" si="1"/>
        <v>42661.173875796558</v>
      </c>
      <c r="H10" s="980">
        <f t="shared" si="1"/>
        <v>534012.70176134491</v>
      </c>
      <c r="I10" s="980">
        <f t="shared" si="1"/>
        <v>158934.03972</v>
      </c>
      <c r="J10" s="980">
        <f t="shared" si="1"/>
        <v>0</v>
      </c>
      <c r="K10" s="980">
        <f t="shared" si="1"/>
        <v>2182990.3056000001</v>
      </c>
      <c r="L10" s="980">
        <f t="shared" si="1"/>
        <v>1558966.6154500004</v>
      </c>
      <c r="M10" s="980">
        <f t="shared" si="1"/>
        <v>0</v>
      </c>
      <c r="N10" s="980">
        <f t="shared" si="1"/>
        <v>66457.895510000002</v>
      </c>
      <c r="O10" s="980">
        <f t="shared" si="1"/>
        <v>420496.24167999998</v>
      </c>
      <c r="P10" s="980">
        <f t="shared" si="1"/>
        <v>130494.64341427237</v>
      </c>
      <c r="Q10" s="980">
        <f>SUM(Q7:Q9)</f>
        <v>11715609.232233915</v>
      </c>
      <c r="R10" s="980"/>
      <c r="S10" s="981"/>
    </row>
    <row r="11" spans="1:22">
      <c r="C11" s="457">
        <f>C5-C10</f>
        <v>4935982.4738333095</v>
      </c>
      <c r="K11" s="893"/>
      <c r="L11" s="893"/>
      <c r="S11" s="375"/>
    </row>
    <row r="12" spans="1:22">
      <c r="C12" s="893"/>
      <c r="D12" s="893">
        <f>D7-D3</f>
        <v>1177422.35586</v>
      </c>
      <c r="Q12" s="893"/>
      <c r="R12" s="457">
        <f>R3+-R7+-R9</f>
        <v>-15880016.30393682</v>
      </c>
    </row>
    <row r="13" spans="1:22">
      <c r="C13" s="498"/>
      <c r="D13" s="642">
        <f>[11]SUMMARY!$G$13/1000</f>
        <v>-760497.78938001289</v>
      </c>
      <c r="K13" s="375"/>
    </row>
    <row r="14" spans="1:22">
      <c r="D14" s="893">
        <f>SUM(D12:D13)</f>
        <v>416924.56647998712</v>
      </c>
      <c r="Q14" s="893">
        <f>Q3-Q7</f>
        <v>1136983.1507864399</v>
      </c>
    </row>
    <row r="15" spans="1:22">
      <c r="B15" s="1"/>
      <c r="L15" s="642"/>
      <c r="R15" s="893">
        <f>Q4-Q8</f>
        <v>275640.98433159478</v>
      </c>
    </row>
    <row r="16" spans="1:22">
      <c r="H16" s="893">
        <f>D7+[11]SUMMARY!$C$13/1000</f>
        <v>994906.11777998623</v>
      </c>
      <c r="L16" s="893"/>
      <c r="Q16" s="893"/>
    </row>
    <row r="17" spans="2:12">
      <c r="B17" t="s">
        <v>861</v>
      </c>
      <c r="C17" s="1531">
        <v>308568.94057999999</v>
      </c>
      <c r="E17">
        <v>422949.87900000002</v>
      </c>
      <c r="L17" s="457"/>
    </row>
    <row r="18" spans="2:12">
      <c r="L18" s="457"/>
    </row>
    <row r="19" spans="2:12" ht="15.75" thickBot="1">
      <c r="C19" s="1532">
        <f>SUM(C17:C18)</f>
        <v>308568.94057999999</v>
      </c>
      <c r="L19" s="457"/>
    </row>
    <row r="20" spans="2:12" ht="15.75" thickTop="1">
      <c r="L20" s="457"/>
    </row>
    <row r="21" spans="2:12">
      <c r="L21" s="457"/>
    </row>
    <row r="22" spans="2:12">
      <c r="B22" t="s">
        <v>845</v>
      </c>
      <c r="L22" s="893"/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H20"/>
  <sheetViews>
    <sheetView workbookViewId="0">
      <selection activeCell="E42" sqref="E42"/>
    </sheetView>
  </sheetViews>
  <sheetFormatPr defaultColWidth="9.140625" defaultRowHeight="15"/>
  <cols>
    <col min="2" max="2" width="25.42578125" customWidth="1"/>
    <col min="4" max="4" width="29" style="375" customWidth="1"/>
    <col min="5" max="5" width="19.42578125" customWidth="1"/>
    <col min="6" max="6" width="13.28515625" bestFit="1" customWidth="1"/>
    <col min="7" max="7" width="17.7109375" customWidth="1"/>
    <col min="8" max="8" width="13.28515625" bestFit="1" customWidth="1"/>
  </cols>
  <sheetData>
    <row r="2" spans="2:8">
      <c r="D2" s="375" t="s">
        <v>589</v>
      </c>
      <c r="E2">
        <v>0.6653</v>
      </c>
      <c r="F2">
        <v>0.3347</v>
      </c>
    </row>
    <row r="3" spans="2:8">
      <c r="B3" t="s">
        <v>590</v>
      </c>
      <c r="D3" s="375" t="s">
        <v>591</v>
      </c>
      <c r="E3" t="s">
        <v>592</v>
      </c>
      <c r="F3" t="s">
        <v>514</v>
      </c>
    </row>
    <row r="4" spans="2:8">
      <c r="B4" t="s">
        <v>593</v>
      </c>
      <c r="D4" s="642">
        <f>(100374-63811)</f>
        <v>36563</v>
      </c>
      <c r="E4" s="642"/>
      <c r="F4" s="642"/>
    </row>
    <row r="5" spans="2:8">
      <c r="B5" t="s">
        <v>594</v>
      </c>
      <c r="D5" s="642"/>
      <c r="E5" s="642"/>
      <c r="F5" s="642"/>
    </row>
    <row r="6" spans="2:8">
      <c r="B6" t="s">
        <v>595</v>
      </c>
      <c r="D6" s="642">
        <f>6*1000</f>
        <v>6000</v>
      </c>
      <c r="E6" s="642"/>
      <c r="F6" s="642"/>
    </row>
    <row r="7" spans="2:8">
      <c r="B7" t="s">
        <v>596</v>
      </c>
      <c r="D7" s="642">
        <f>6.8*1000</f>
        <v>6800</v>
      </c>
      <c r="E7" s="642"/>
      <c r="F7" s="642"/>
    </row>
    <row r="8" spans="2:8">
      <c r="B8" t="s">
        <v>597</v>
      </c>
      <c r="D8" s="642">
        <f>4.6*1000</f>
        <v>4600</v>
      </c>
      <c r="E8" s="642"/>
      <c r="F8" s="642"/>
    </row>
    <row r="9" spans="2:8">
      <c r="D9" s="642">
        <f>SUM(D6:D8)</f>
        <v>17400</v>
      </c>
      <c r="E9" s="642"/>
      <c r="F9" s="642"/>
    </row>
    <row r="10" spans="2:8">
      <c r="D10" s="642"/>
      <c r="E10" s="642"/>
      <c r="F10" s="642"/>
    </row>
    <row r="11" spans="2:8">
      <c r="B11" t="s">
        <v>598</v>
      </c>
      <c r="D11" s="642">
        <f>D4+D9</f>
        <v>53963</v>
      </c>
      <c r="E11" s="642">
        <f>D11*E2</f>
        <v>35901.583899999998</v>
      </c>
      <c r="F11" s="642">
        <f>D11*F2</f>
        <v>18061.416099999999</v>
      </c>
    </row>
    <row r="12" spans="2:8">
      <c r="D12" s="642"/>
      <c r="E12" s="642"/>
      <c r="F12" s="642"/>
    </row>
    <row r="13" spans="2:8">
      <c r="D13" s="642"/>
      <c r="E13" s="642"/>
      <c r="F13" s="642"/>
    </row>
    <row r="14" spans="2:8">
      <c r="B14" t="s">
        <v>599</v>
      </c>
      <c r="D14" s="642">
        <v>55098.147567761713</v>
      </c>
      <c r="E14" s="642"/>
      <c r="F14" s="642">
        <f>D14*F2</f>
        <v>18441.349990929844</v>
      </c>
      <c r="G14" t="e">
        <f>#REF!</f>
        <v>#REF!</v>
      </c>
      <c r="H14" s="811" t="e">
        <f>G14*E2*D4</f>
        <v>#REF!</v>
      </c>
    </row>
    <row r="15" spans="2:8">
      <c r="D15" s="642"/>
      <c r="E15" s="642"/>
      <c r="F15" s="642"/>
    </row>
    <row r="16" spans="2:8">
      <c r="B16" t="s">
        <v>600</v>
      </c>
      <c r="D16" s="642">
        <v>14521.355174281052</v>
      </c>
      <c r="E16" s="642"/>
      <c r="F16" s="642">
        <f>D16*F2</f>
        <v>4860.2975768318684</v>
      </c>
      <c r="H16" s="811"/>
    </row>
    <row r="17" spans="2:8">
      <c r="D17" s="642"/>
      <c r="E17" s="642"/>
      <c r="F17" s="642"/>
    </row>
    <row r="18" spans="2:8">
      <c r="B18" t="s">
        <v>601</v>
      </c>
      <c r="D18" s="642"/>
      <c r="E18" s="642"/>
      <c r="F18" s="642">
        <f>25%*F16</f>
        <v>1215.0743942079671</v>
      </c>
      <c r="G18" s="811" t="e">
        <f>D9*G14</f>
        <v>#REF!</v>
      </c>
      <c r="H18" s="811" t="e">
        <f>G18*E2</f>
        <v>#REF!</v>
      </c>
    </row>
    <row r="20" spans="2:8">
      <c r="H20" s="81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C00000"/>
  </sheetPr>
  <dimension ref="A1:O368"/>
  <sheetViews>
    <sheetView topLeftCell="A316" workbookViewId="0">
      <selection activeCell="D223" sqref="D223"/>
    </sheetView>
  </sheetViews>
  <sheetFormatPr defaultColWidth="9.140625" defaultRowHeight="12.75"/>
  <cols>
    <col min="1" max="1" width="4.85546875" style="320" customWidth="1"/>
    <col min="2" max="2" width="9.140625" style="1048"/>
    <col min="3" max="3" width="44.42578125" style="320" customWidth="1"/>
    <col min="4" max="4" width="20.85546875" style="952" customWidth="1"/>
    <col min="5" max="5" width="19.28515625" style="952" customWidth="1"/>
    <col min="6" max="6" width="10.85546875" style="1156" customWidth="1"/>
    <col min="7" max="7" width="23.42578125" style="320" customWidth="1"/>
    <col min="8" max="8" width="19.42578125" style="320" customWidth="1"/>
    <col min="9" max="9" width="18.7109375" style="320" customWidth="1"/>
    <col min="10" max="10" width="18.28515625" style="320" bestFit="1" customWidth="1"/>
    <col min="11" max="11" width="19.7109375" style="985" bestFit="1" customWidth="1"/>
    <col min="12" max="12" width="19.85546875" style="320" customWidth="1"/>
    <col min="13" max="13" width="15.85546875" style="320" customWidth="1"/>
    <col min="14" max="14" width="14.5703125" style="320" customWidth="1"/>
    <col min="15" max="15" width="13.5703125" style="320" bestFit="1" customWidth="1"/>
    <col min="16" max="16" width="12.140625" style="320" customWidth="1"/>
    <col min="17" max="16384" width="9.140625" style="320"/>
  </cols>
  <sheetData>
    <row r="1" spans="1:11">
      <c r="B1" s="982"/>
      <c r="C1" s="983" t="s">
        <v>223</v>
      </c>
      <c r="D1" s="984" t="s">
        <v>224</v>
      </c>
      <c r="E1" s="984" t="s">
        <v>225</v>
      </c>
      <c r="F1" s="1153"/>
    </row>
    <row r="2" spans="1:11">
      <c r="B2" s="982"/>
      <c r="C2" s="986"/>
      <c r="D2" s="987" t="s">
        <v>226</v>
      </c>
      <c r="E2" s="987" t="s">
        <v>226</v>
      </c>
      <c r="F2" s="1154"/>
      <c r="G2" s="345"/>
      <c r="H2" s="345" t="e">
        <f>#REF!+E287+E114</f>
        <v>#REF!</v>
      </c>
    </row>
    <row r="3" spans="1:11">
      <c r="A3" s="1190"/>
      <c r="B3" s="988">
        <v>1</v>
      </c>
      <c r="C3" s="989" t="s">
        <v>186</v>
      </c>
      <c r="D3" s="990"/>
      <c r="E3" s="991"/>
      <c r="F3" s="1155"/>
      <c r="G3" s="345"/>
    </row>
    <row r="4" spans="1:11">
      <c r="A4" s="1190"/>
      <c r="B4" s="992" t="s">
        <v>187</v>
      </c>
      <c r="C4" s="983" t="s">
        <v>188</v>
      </c>
      <c r="D4" s="993"/>
      <c r="E4" s="994"/>
      <c r="F4" s="1155"/>
    </row>
    <row r="5" spans="1:11">
      <c r="A5" s="1190"/>
      <c r="B5" s="995"/>
      <c r="C5" s="996" t="s">
        <v>189</v>
      </c>
      <c r="D5" s="997">
        <v>30000000</v>
      </c>
      <c r="E5" s="994"/>
      <c r="F5" s="1155" t="s">
        <v>830</v>
      </c>
      <c r="H5" s="345"/>
    </row>
    <row r="6" spans="1:11">
      <c r="A6" s="1190"/>
      <c r="B6" s="995"/>
      <c r="C6" s="996" t="s">
        <v>190</v>
      </c>
      <c r="D6" s="993">
        <v>9964131.6999900006</v>
      </c>
      <c r="E6" s="994"/>
      <c r="F6" s="1155" t="s">
        <v>830</v>
      </c>
    </row>
    <row r="7" spans="1:11">
      <c r="A7" s="1190"/>
      <c r="B7" s="995"/>
      <c r="C7" s="996" t="s">
        <v>191</v>
      </c>
      <c r="D7" s="998">
        <v>769212.10925999994</v>
      </c>
      <c r="E7" s="994"/>
      <c r="F7" s="1155" t="s">
        <v>830</v>
      </c>
    </row>
    <row r="8" spans="1:11">
      <c r="A8" s="1190"/>
      <c r="B8" s="995"/>
      <c r="C8" s="999" t="s">
        <v>192</v>
      </c>
      <c r="D8" s="1000"/>
      <c r="E8" s="1001">
        <f>SUM(D5:D7)</f>
        <v>40733343.809250005</v>
      </c>
      <c r="F8" s="1155" t="s">
        <v>830</v>
      </c>
    </row>
    <row r="9" spans="1:11">
      <c r="A9" s="1190"/>
      <c r="B9" s="1002"/>
      <c r="C9" s="1003" t="s">
        <v>193</v>
      </c>
      <c r="D9" s="1004"/>
      <c r="E9" s="1005"/>
      <c r="F9" s="1155"/>
    </row>
    <row r="10" spans="1:11">
      <c r="A10" s="1190"/>
      <c r="B10" s="988" t="s">
        <v>194</v>
      </c>
      <c r="C10" s="1006" t="s">
        <v>195</v>
      </c>
      <c r="D10" s="990"/>
      <c r="E10" s="991"/>
      <c r="F10" s="1155"/>
    </row>
    <row r="11" spans="1:11">
      <c r="A11" s="1190"/>
      <c r="B11" s="995"/>
      <c r="C11" s="996" t="s">
        <v>196</v>
      </c>
      <c r="D11" s="997">
        <v>2480375.3344265204</v>
      </c>
      <c r="E11" s="994"/>
      <c r="F11" s="1155" t="s">
        <v>830</v>
      </c>
      <c r="H11" s="472"/>
      <c r="I11" s="472"/>
    </row>
    <row r="12" spans="1:11">
      <c r="A12" s="1190"/>
      <c r="B12" s="995"/>
      <c r="C12" s="996" t="s">
        <v>419</v>
      </c>
      <c r="D12" s="993">
        <v>1407624.6660000002</v>
      </c>
      <c r="E12" s="994"/>
      <c r="F12" s="1155" t="s">
        <v>830</v>
      </c>
      <c r="H12" s="472"/>
      <c r="I12" s="472"/>
    </row>
    <row r="13" spans="1:11">
      <c r="A13" s="1190"/>
      <c r="B13" s="995"/>
      <c r="C13" s="996" t="s">
        <v>197</v>
      </c>
      <c r="D13" s="1007">
        <v>842123.7990750001</v>
      </c>
      <c r="E13" s="994"/>
      <c r="F13" s="1155" t="s">
        <v>830</v>
      </c>
    </row>
    <row r="14" spans="1:11">
      <c r="A14" s="1190"/>
      <c r="B14" s="995"/>
      <c r="C14" s="996" t="s">
        <v>198</v>
      </c>
      <c r="D14" s="1007">
        <v>163988.20000000001</v>
      </c>
      <c r="E14" s="994"/>
      <c r="F14" s="1155" t="s">
        <v>830</v>
      </c>
      <c r="I14" s="345"/>
      <c r="J14" s="1008"/>
    </row>
    <row r="15" spans="1:11">
      <c r="A15" s="1190"/>
      <c r="B15" s="995"/>
      <c r="C15" s="996" t="s">
        <v>199</v>
      </c>
      <c r="D15" s="993">
        <v>1207956.0723826298</v>
      </c>
      <c r="E15" s="994"/>
      <c r="F15" s="1155" t="s">
        <v>830</v>
      </c>
      <c r="J15" s="1008"/>
      <c r="K15" s="1009"/>
    </row>
    <row r="16" spans="1:11">
      <c r="A16" s="1190"/>
      <c r="B16" s="995"/>
      <c r="C16" s="1494" t="s">
        <v>806</v>
      </c>
      <c r="D16" s="1010">
        <f>E17-SUM(D11:D15)</f>
        <v>-362992.00042652059</v>
      </c>
      <c r="E16" s="994"/>
      <c r="F16" s="1155" t="s">
        <v>830</v>
      </c>
      <c r="G16" s="1012">
        <v>2201600000</v>
      </c>
      <c r="H16" s="320" t="s">
        <v>408</v>
      </c>
    </row>
    <row r="17" spans="1:11">
      <c r="A17" s="1190"/>
      <c r="B17" s="995"/>
      <c r="C17" s="999" t="s">
        <v>192</v>
      </c>
      <c r="D17" s="1000"/>
      <c r="E17" s="1001">
        <f>6747563.37445763-1126567.303+118080</f>
        <v>5739076.07145763</v>
      </c>
      <c r="F17" s="1155" t="s">
        <v>830</v>
      </c>
      <c r="G17" s="1011"/>
      <c r="H17" s="320" t="s">
        <v>610</v>
      </c>
      <c r="I17" s="1012">
        <f>6735207030.96/1000</f>
        <v>6735207.0309600001</v>
      </c>
    </row>
    <row r="18" spans="1:11">
      <c r="A18" s="1190"/>
      <c r="B18" s="992"/>
      <c r="C18" s="1013" t="s">
        <v>193</v>
      </c>
      <c r="D18" s="993"/>
      <c r="E18" s="994"/>
      <c r="F18" s="1155"/>
      <c r="G18" s="1011"/>
    </row>
    <row r="19" spans="1:11">
      <c r="A19" s="1190"/>
      <c r="B19" s="992" t="s">
        <v>200</v>
      </c>
      <c r="C19" s="983" t="s">
        <v>201</v>
      </c>
      <c r="D19" s="993"/>
      <c r="E19" s="994"/>
      <c r="F19" s="1155"/>
      <c r="G19" s="1011"/>
    </row>
    <row r="20" spans="1:11">
      <c r="A20" s="1190"/>
      <c r="B20" s="995"/>
      <c r="C20" s="996" t="s">
        <v>196</v>
      </c>
      <c r="D20" s="997">
        <v>351792</v>
      </c>
      <c r="E20" s="994"/>
      <c r="F20" s="1155" t="s">
        <v>830</v>
      </c>
    </row>
    <row r="21" spans="1:11">
      <c r="A21" s="1190"/>
      <c r="B21" s="995"/>
      <c r="C21" s="996" t="s">
        <v>197</v>
      </c>
      <c r="D21" s="1007">
        <v>223855.693425</v>
      </c>
      <c r="E21" s="994"/>
      <c r="F21" s="1155" t="s">
        <v>830</v>
      </c>
    </row>
    <row r="22" spans="1:11">
      <c r="A22" s="1190"/>
      <c r="B22" s="995"/>
      <c r="C22" s="996" t="s">
        <v>198</v>
      </c>
      <c r="D22" s="1007">
        <v>43591.8</v>
      </c>
      <c r="E22" s="994"/>
      <c r="F22" s="1155" t="s">
        <v>830</v>
      </c>
    </row>
    <row r="23" spans="1:11">
      <c r="A23" s="1190"/>
      <c r="B23" s="995"/>
      <c r="C23" s="999" t="s">
        <v>202</v>
      </c>
      <c r="D23" s="1000"/>
      <c r="E23" s="1014">
        <v>619239.49342499999</v>
      </c>
      <c r="F23" s="1155" t="s">
        <v>830</v>
      </c>
    </row>
    <row r="24" spans="1:11">
      <c r="A24" s="1190"/>
      <c r="B24" s="1002"/>
      <c r="C24" s="1003" t="s">
        <v>203</v>
      </c>
      <c r="D24" s="1004"/>
      <c r="E24" s="1005"/>
      <c r="F24" s="1155"/>
    </row>
    <row r="25" spans="1:11">
      <c r="A25" s="1190"/>
      <c r="B25" s="988"/>
      <c r="C25" s="1015"/>
      <c r="D25" s="990"/>
      <c r="E25" s="991"/>
      <c r="F25" s="1155"/>
    </row>
    <row r="26" spans="1:11">
      <c r="A26" s="1190"/>
      <c r="B26" s="992"/>
      <c r="C26" s="983" t="s">
        <v>583</v>
      </c>
      <c r="D26" s="993"/>
      <c r="E26" s="994"/>
      <c r="F26" s="1155"/>
    </row>
    <row r="27" spans="1:11">
      <c r="A27" s="1190"/>
      <c r="B27" s="992"/>
      <c r="C27" s="996" t="s">
        <v>196</v>
      </c>
      <c r="D27" s="997">
        <v>382518.21487026528</v>
      </c>
      <c r="E27" s="994"/>
      <c r="F27" s="1155" t="s">
        <v>830</v>
      </c>
    </row>
    <row r="28" spans="1:11">
      <c r="A28" s="1190"/>
      <c r="B28" s="992"/>
      <c r="C28" s="996" t="s">
        <v>618</v>
      </c>
      <c r="D28" s="993">
        <v>0</v>
      </c>
      <c r="E28" s="994"/>
      <c r="F28" s="1155" t="s">
        <v>830</v>
      </c>
      <c r="H28" s="324">
        <v>108.1</v>
      </c>
    </row>
    <row r="29" spans="1:11">
      <c r="A29" s="1190"/>
      <c r="B29" s="992"/>
      <c r="C29" s="996" t="s">
        <v>619</v>
      </c>
      <c r="D29" s="1007">
        <f>9733899.90377101-1177390</f>
        <v>8556509.9037710093</v>
      </c>
      <c r="E29" s="994"/>
      <c r="F29" s="1155" t="s">
        <v>830</v>
      </c>
    </row>
    <row r="30" spans="1:11">
      <c r="A30" s="1190"/>
      <c r="B30" s="992"/>
      <c r="C30" s="996" t="s">
        <v>620</v>
      </c>
      <c r="D30" s="1010">
        <v>79082.331651416476</v>
      </c>
      <c r="E30" s="994"/>
      <c r="F30" s="1155" t="s">
        <v>830</v>
      </c>
    </row>
    <row r="31" spans="1:11">
      <c r="A31" s="1190"/>
      <c r="B31" s="992"/>
      <c r="C31" s="996" t="s">
        <v>808</v>
      </c>
      <c r="D31" s="993"/>
      <c r="E31" s="994"/>
      <c r="F31" s="1155" t="s">
        <v>830</v>
      </c>
      <c r="J31" s="320" t="s">
        <v>839</v>
      </c>
      <c r="K31" s="985" t="s">
        <v>225</v>
      </c>
    </row>
    <row r="32" spans="1:11">
      <c r="A32" s="1190"/>
      <c r="B32" s="992"/>
      <c r="C32" s="996" t="s">
        <v>588</v>
      </c>
      <c r="D32" s="993">
        <v>0</v>
      </c>
      <c r="E32" s="994"/>
      <c r="F32" s="1155" t="s">
        <v>830</v>
      </c>
      <c r="H32" s="345"/>
      <c r="I32" s="320" t="s">
        <v>838</v>
      </c>
      <c r="J32" s="345">
        <f>SUM(D15,D73,D120,D276)</f>
        <v>2394535.463883732</v>
      </c>
      <c r="K32" s="1009">
        <f>SUM(E125,E229,E239,E318,-'Intercompany 2023'!R3,E118)</f>
        <v>10571660.112731639</v>
      </c>
    </row>
    <row r="33" spans="1:11">
      <c r="A33" s="1190"/>
      <c r="B33" s="992"/>
      <c r="C33" s="1016" t="s">
        <v>602</v>
      </c>
      <c r="D33" s="1017">
        <v>1251389.3819999998</v>
      </c>
      <c r="E33" s="994"/>
      <c r="F33" s="1155" t="s">
        <v>830</v>
      </c>
      <c r="H33" s="345"/>
      <c r="J33" s="946">
        <f>GROUP!D27</f>
        <v>2394535.463883732</v>
      </c>
      <c r="K33" s="1187">
        <f>GROUP!F27</f>
        <v>10671820.739123516</v>
      </c>
    </row>
    <row r="34" spans="1:11">
      <c r="A34" s="1190"/>
      <c r="B34" s="992"/>
      <c r="C34" s="996" t="s">
        <v>608</v>
      </c>
      <c r="D34" s="993">
        <v>0</v>
      </c>
      <c r="E34" s="994"/>
      <c r="F34" s="1155" t="s">
        <v>830</v>
      </c>
      <c r="G34" s="1145"/>
      <c r="H34" s="345"/>
      <c r="J34" s="345">
        <f>J33-J32</f>
        <v>0</v>
      </c>
      <c r="K34" s="1009">
        <f>K32-K33</f>
        <v>-100160.62639187649</v>
      </c>
    </row>
    <row r="35" spans="1:11">
      <c r="A35" s="1190"/>
      <c r="B35" s="992"/>
      <c r="C35" s="999" t="s">
        <v>192</v>
      </c>
      <c r="D35" s="993"/>
      <c r="E35" s="994">
        <f>SUM(D27:D34)</f>
        <v>10269499.832292689</v>
      </c>
      <c r="F35" s="1155" t="s">
        <v>830</v>
      </c>
      <c r="G35" s="345"/>
      <c r="H35" s="345"/>
    </row>
    <row r="36" spans="1:11">
      <c r="A36" s="1190"/>
      <c r="B36" s="992"/>
      <c r="C36" s="999"/>
      <c r="D36" s="993"/>
      <c r="E36" s="994"/>
      <c r="F36" s="1155"/>
      <c r="G36" s="345"/>
      <c r="H36" s="345"/>
    </row>
    <row r="37" spans="1:11">
      <c r="A37" s="1190"/>
      <c r="B37" s="992"/>
      <c r="C37" s="983" t="s">
        <v>584</v>
      </c>
      <c r="D37" s="993"/>
      <c r="E37" s="994"/>
      <c r="F37" s="1155"/>
      <c r="H37" s="345"/>
    </row>
    <row r="38" spans="1:11">
      <c r="A38" s="1190"/>
      <c r="B38" s="992"/>
      <c r="C38" s="996" t="s">
        <v>196</v>
      </c>
      <c r="D38" s="997">
        <v>192437.76719837336</v>
      </c>
      <c r="E38" s="994"/>
      <c r="F38" s="1155" t="s">
        <v>830</v>
      </c>
    </row>
    <row r="39" spans="1:11">
      <c r="A39" s="1190"/>
      <c r="B39" s="992"/>
      <c r="C39" s="996" t="s">
        <v>607</v>
      </c>
      <c r="D39" s="1007">
        <v>4896943.1797861885</v>
      </c>
      <c r="E39" s="994"/>
      <c r="F39" s="1155" t="s">
        <v>830</v>
      </c>
    </row>
    <row r="40" spans="1:11">
      <c r="A40" s="1190"/>
      <c r="B40" s="992"/>
      <c r="C40" s="996" t="s">
        <v>609</v>
      </c>
      <c r="D40" s="1007">
        <v>39784.843534840067</v>
      </c>
      <c r="E40" s="994"/>
      <c r="F40" s="1155" t="s">
        <v>830</v>
      </c>
    </row>
    <row r="41" spans="1:11">
      <c r="A41" s="1190"/>
      <c r="B41" s="992"/>
      <c r="C41" s="996" t="s">
        <v>807</v>
      </c>
      <c r="D41" s="993"/>
      <c r="E41" s="994"/>
      <c r="F41" s="1155" t="s">
        <v>830</v>
      </c>
    </row>
    <row r="42" spans="1:11">
      <c r="A42" s="1190"/>
      <c r="B42" s="992"/>
      <c r="C42" s="996" t="s">
        <v>588</v>
      </c>
      <c r="D42" s="993"/>
      <c r="E42" s="994"/>
      <c r="F42" s="1155" t="s">
        <v>830</v>
      </c>
    </row>
    <row r="43" spans="1:11">
      <c r="A43" s="1190"/>
      <c r="B43" s="992"/>
      <c r="C43" s="1016" t="s">
        <v>602</v>
      </c>
      <c r="D43" s="1017">
        <v>629550.6179999999</v>
      </c>
      <c r="E43" s="994"/>
      <c r="F43" s="1155" t="s">
        <v>830</v>
      </c>
      <c r="G43" s="345"/>
      <c r="I43" s="345"/>
    </row>
    <row r="44" spans="1:11">
      <c r="A44" s="1190"/>
      <c r="B44" s="992"/>
      <c r="C44" s="996" t="s">
        <v>608</v>
      </c>
      <c r="D44" s="993"/>
      <c r="E44" s="994"/>
      <c r="F44" s="1155" t="s">
        <v>830</v>
      </c>
      <c r="G44" s="345"/>
      <c r="I44" s="345"/>
    </row>
    <row r="45" spans="1:11">
      <c r="A45" s="1190"/>
      <c r="B45" s="1002"/>
      <c r="C45" s="1018" t="s">
        <v>202</v>
      </c>
      <c r="D45" s="1004"/>
      <c r="E45" s="1019">
        <v>5758716.4085194021</v>
      </c>
      <c r="F45" s="1155" t="s">
        <v>830</v>
      </c>
      <c r="H45" s="345"/>
    </row>
    <row r="46" spans="1:11">
      <c r="A46" s="1190"/>
      <c r="B46" s="988"/>
      <c r="C46" s="1020"/>
      <c r="D46" s="990"/>
      <c r="E46" s="1021"/>
      <c r="F46" s="1155"/>
    </row>
    <row r="47" spans="1:11">
      <c r="A47" s="1190"/>
      <c r="B47" s="992"/>
      <c r="C47" s="999" t="s">
        <v>629</v>
      </c>
      <c r="D47" s="993"/>
      <c r="E47" s="1022"/>
      <c r="F47" s="1155"/>
    </row>
    <row r="48" spans="1:11">
      <c r="A48" s="1190"/>
      <c r="B48" s="992"/>
      <c r="C48" s="999" t="s">
        <v>627</v>
      </c>
      <c r="D48" s="1007">
        <f>2218734757.96/1000</f>
        <v>2218734.7579600001</v>
      </c>
      <c r="E48" s="1022"/>
      <c r="F48" s="1155" t="s">
        <v>830</v>
      </c>
    </row>
    <row r="49" spans="1:8">
      <c r="A49" s="1190"/>
      <c r="B49" s="992"/>
      <c r="C49" s="999" t="s">
        <v>628</v>
      </c>
      <c r="D49" s="993"/>
      <c r="E49" s="1022">
        <f>D48</f>
        <v>2218734.7579600001</v>
      </c>
      <c r="F49" s="1155" t="s">
        <v>830</v>
      </c>
    </row>
    <row r="50" spans="1:8">
      <c r="A50" s="1190"/>
      <c r="B50" s="1002"/>
      <c r="C50" s="1018"/>
      <c r="D50" s="1004"/>
      <c r="E50" s="1023"/>
      <c r="F50" s="1155"/>
    </row>
    <row r="51" spans="1:8">
      <c r="A51" s="1190"/>
      <c r="B51" s="988"/>
      <c r="C51" s="1015"/>
      <c r="D51" s="990"/>
      <c r="E51" s="991"/>
      <c r="F51" s="1155"/>
    </row>
    <row r="52" spans="1:8">
      <c r="A52" s="1190"/>
      <c r="B52" s="992" t="s">
        <v>204</v>
      </c>
      <c r="C52" s="983" t="s">
        <v>205</v>
      </c>
      <c r="D52" s="993"/>
      <c r="E52" s="994"/>
      <c r="F52" s="1155"/>
    </row>
    <row r="53" spans="1:8">
      <c r="A53" s="1190"/>
      <c r="B53" s="995"/>
      <c r="C53" s="996" t="s">
        <v>189</v>
      </c>
      <c r="D53" s="997">
        <v>2372715.11</v>
      </c>
      <c r="E53" s="994"/>
      <c r="F53" s="1155" t="s">
        <v>830</v>
      </c>
      <c r="G53" s="320" t="s">
        <v>227</v>
      </c>
    </row>
    <row r="54" spans="1:8">
      <c r="A54" s="1190"/>
      <c r="B54" s="995"/>
      <c r="C54" s="996" t="s">
        <v>190</v>
      </c>
      <c r="D54" s="993">
        <v>434037.47</v>
      </c>
      <c r="E54" s="994"/>
      <c r="F54" s="1155" t="s">
        <v>830</v>
      </c>
      <c r="G54" s="320" t="s">
        <v>227</v>
      </c>
    </row>
    <row r="55" spans="1:8">
      <c r="A55" s="1190"/>
      <c r="B55" s="995"/>
      <c r="C55" s="999" t="s">
        <v>192</v>
      </c>
      <c r="D55" s="993"/>
      <c r="E55" s="1001">
        <v>2806752.58</v>
      </c>
      <c r="F55" s="1155" t="s">
        <v>830</v>
      </c>
    </row>
    <row r="56" spans="1:8">
      <c r="A56" s="1190"/>
      <c r="B56" s="1002"/>
      <c r="C56" s="1003" t="s">
        <v>193</v>
      </c>
      <c r="D56" s="1004"/>
      <c r="E56" s="1005"/>
      <c r="F56" s="1155"/>
    </row>
    <row r="57" spans="1:8">
      <c r="A57" s="1190"/>
      <c r="B57" s="988" t="s">
        <v>206</v>
      </c>
      <c r="C57" s="1006" t="s">
        <v>207</v>
      </c>
      <c r="D57" s="990"/>
      <c r="E57" s="991"/>
      <c r="F57" s="1155"/>
    </row>
    <row r="58" spans="1:8">
      <c r="A58" s="1190"/>
      <c r="B58" s="995"/>
      <c r="C58" s="996" t="s">
        <v>189</v>
      </c>
      <c r="D58" s="997">
        <f>6024540.52242424+EBTL!K57</f>
        <v>7202540.5224242397</v>
      </c>
      <c r="E58" s="994"/>
      <c r="F58" s="1155" t="s">
        <v>830</v>
      </c>
      <c r="G58" s="320" t="s">
        <v>227</v>
      </c>
    </row>
    <row r="59" spans="1:8">
      <c r="A59" s="1190"/>
      <c r="B59" s="995"/>
      <c r="C59" s="996" t="s">
        <v>190</v>
      </c>
      <c r="D59" s="993">
        <v>48178.462424242425</v>
      </c>
      <c r="E59" s="994"/>
      <c r="F59" s="1155" t="s">
        <v>830</v>
      </c>
      <c r="G59" s="320" t="s">
        <v>227</v>
      </c>
    </row>
    <row r="60" spans="1:8">
      <c r="A60" s="1190"/>
      <c r="B60" s="995"/>
      <c r="C60" s="996" t="s">
        <v>809</v>
      </c>
      <c r="D60" s="1010">
        <v>126921.39</v>
      </c>
      <c r="E60" s="994"/>
      <c r="F60" s="1155" t="s">
        <v>830</v>
      </c>
      <c r="H60" s="345"/>
    </row>
    <row r="61" spans="1:8">
      <c r="A61" s="1190"/>
      <c r="B61" s="995"/>
      <c r="C61" s="999" t="s">
        <v>192</v>
      </c>
      <c r="D61" s="993"/>
      <c r="E61" s="1001">
        <f>6199640.37484848+EBTL!K57</f>
        <v>7377640.3748484803</v>
      </c>
      <c r="F61" s="1155" t="s">
        <v>830</v>
      </c>
    </row>
    <row r="62" spans="1:8">
      <c r="A62" s="1190"/>
      <c r="B62" s="1002"/>
      <c r="C62" s="1003" t="s">
        <v>193</v>
      </c>
      <c r="D62" s="1004"/>
      <c r="E62" s="1005"/>
      <c r="F62" s="1155"/>
    </row>
    <row r="63" spans="1:8">
      <c r="A63" s="1190"/>
      <c r="B63" s="988" t="s">
        <v>208</v>
      </c>
      <c r="C63" s="1006" t="s">
        <v>209</v>
      </c>
      <c r="D63" s="990"/>
      <c r="E63" s="991"/>
      <c r="F63" s="1155"/>
    </row>
    <row r="64" spans="1:8">
      <c r="A64" s="1190"/>
      <c r="B64" s="995"/>
      <c r="C64" s="996" t="s">
        <v>410</v>
      </c>
      <c r="D64" s="997">
        <v>5711440.0360099999</v>
      </c>
      <c r="E64" s="994"/>
      <c r="F64" s="1155" t="s">
        <v>830</v>
      </c>
    </row>
    <row r="65" spans="1:12">
      <c r="A65" s="1190"/>
      <c r="B65" s="995"/>
      <c r="C65" s="996" t="s">
        <v>809</v>
      </c>
      <c r="D65" s="1010">
        <f>E66-D64</f>
        <v>410.53000000026077</v>
      </c>
      <c r="E65" s="994"/>
      <c r="F65" s="1155" t="s">
        <v>830</v>
      </c>
    </row>
    <row r="66" spans="1:12" ht="13.5" thickBot="1">
      <c r="A66" s="1190"/>
      <c r="B66" s="995"/>
      <c r="C66" s="999" t="s">
        <v>192</v>
      </c>
      <c r="D66" s="993"/>
      <c r="E66" s="1001">
        <v>5711850.5660100002</v>
      </c>
      <c r="F66" s="1155" t="s">
        <v>830</v>
      </c>
    </row>
    <row r="67" spans="1:12">
      <c r="A67" s="1190"/>
      <c r="B67" s="1002"/>
      <c r="C67" s="1003" t="s">
        <v>193</v>
      </c>
      <c r="D67" s="1004"/>
      <c r="E67" s="1005"/>
      <c r="F67" s="1155"/>
      <c r="H67" s="1085"/>
      <c r="I67" s="1086"/>
      <c r="J67" s="1086"/>
      <c r="K67" s="1087"/>
      <c r="L67" s="1088"/>
    </row>
    <row r="68" spans="1:12">
      <c r="A68" s="1190"/>
      <c r="B68" s="988" t="s">
        <v>210</v>
      </c>
      <c r="C68" s="1024" t="s">
        <v>211</v>
      </c>
      <c r="D68" s="990"/>
      <c r="E68" s="991"/>
      <c r="F68" s="1155"/>
      <c r="H68" s="1089" t="s">
        <v>621</v>
      </c>
      <c r="I68" s="1090" t="s">
        <v>622</v>
      </c>
      <c r="J68" s="1090" t="s">
        <v>283</v>
      </c>
      <c r="K68" s="1091" t="s">
        <v>623</v>
      </c>
      <c r="L68" s="1092"/>
    </row>
    <row r="69" spans="1:12">
      <c r="A69" s="1190"/>
      <c r="B69" s="995"/>
      <c r="C69" s="996" t="s">
        <v>428</v>
      </c>
      <c r="D69" s="997">
        <v>786971.84504894982</v>
      </c>
      <c r="E69" s="994"/>
      <c r="F69" s="1155" t="s">
        <v>830</v>
      </c>
      <c r="H69" s="1089" t="s">
        <v>625</v>
      </c>
      <c r="I69" s="1090">
        <v>768799.87232684332</v>
      </c>
      <c r="J69" s="1527">
        <v>30.133709932665209</v>
      </c>
      <c r="K69" s="1093">
        <f>I69*J69</f>
        <v>23166792.348967142</v>
      </c>
      <c r="L69" s="1451">
        <v>44927</v>
      </c>
    </row>
    <row r="70" spans="1:12">
      <c r="A70" s="1190"/>
      <c r="B70" s="995"/>
      <c r="C70" s="996" t="s">
        <v>429</v>
      </c>
      <c r="D70" s="997">
        <v>2047579.9309948252</v>
      </c>
      <c r="E70" s="994"/>
      <c r="F70" s="1155" t="s">
        <v>830</v>
      </c>
      <c r="H70" s="1089"/>
      <c r="I70" s="1094">
        <f>K70/J70</f>
        <v>843103.81492441508</v>
      </c>
      <c r="J70" s="1527">
        <f>EBUL!C7</f>
        <v>27.477983065518526</v>
      </c>
      <c r="K70" s="1093">
        <f>K69</f>
        <v>23166792.348967142</v>
      </c>
      <c r="L70" s="1451">
        <v>44958</v>
      </c>
    </row>
    <row r="71" spans="1:12" ht="13.5" thickBot="1">
      <c r="A71" s="1190"/>
      <c r="B71" s="995"/>
      <c r="C71" s="1025" t="s">
        <v>797</v>
      </c>
      <c r="D71" s="997">
        <v>854591.08900000004</v>
      </c>
      <c r="E71" s="994"/>
      <c r="F71" s="1155" t="s">
        <v>830</v>
      </c>
      <c r="H71" s="1089"/>
      <c r="I71" s="1095">
        <f>I70-I69</f>
        <v>74303.94259757176</v>
      </c>
      <c r="J71" s="1090"/>
      <c r="K71" s="1091"/>
      <c r="L71" s="1451" t="s">
        <v>624</v>
      </c>
    </row>
    <row r="72" spans="1:12" ht="13.5" thickTop="1">
      <c r="A72" s="1190"/>
      <c r="B72" s="995"/>
      <c r="C72" s="996" t="s">
        <v>190</v>
      </c>
      <c r="D72" s="993">
        <v>1608834.6875413489</v>
      </c>
      <c r="E72" s="994"/>
      <c r="F72" s="1155" t="s">
        <v>830</v>
      </c>
      <c r="H72" s="1089"/>
      <c r="I72" s="1090"/>
      <c r="J72" s="1090"/>
      <c r="K72" s="1091"/>
      <c r="L72" s="1451"/>
    </row>
    <row r="73" spans="1:12">
      <c r="A73" s="1190"/>
      <c r="B73" s="995"/>
      <c r="C73" s="996" t="s">
        <v>199</v>
      </c>
      <c r="D73" s="993">
        <v>886100.08200000005</v>
      </c>
      <c r="E73" s="994"/>
      <c r="F73" s="1155" t="s">
        <v>830</v>
      </c>
      <c r="H73" s="1089" t="s">
        <v>626</v>
      </c>
      <c r="I73" s="1096">
        <v>1295658.123569794</v>
      </c>
      <c r="J73" s="1090">
        <v>123.44999999999999</v>
      </c>
      <c r="K73" s="1097">
        <f>I73/J73</f>
        <v>10495.408048357993</v>
      </c>
      <c r="L73" s="1451">
        <v>44927</v>
      </c>
    </row>
    <row r="74" spans="1:12">
      <c r="A74" s="1190"/>
      <c r="B74" s="995"/>
      <c r="C74" s="996" t="s">
        <v>466</v>
      </c>
      <c r="D74" s="1026">
        <v>215752.747</v>
      </c>
      <c r="E74" s="994"/>
      <c r="F74" s="1155" t="s">
        <v>830</v>
      </c>
      <c r="H74" s="1089"/>
      <c r="I74" s="1094">
        <f>J74*K74</f>
        <v>1427375.494576687</v>
      </c>
      <c r="J74" s="1090">
        <f>E_BCDC!C1</f>
        <v>136</v>
      </c>
      <c r="K74" s="1097">
        <f>K73</f>
        <v>10495.408048357993</v>
      </c>
      <c r="L74" s="1451">
        <v>44896</v>
      </c>
    </row>
    <row r="75" spans="1:12" ht="13.5" thickBot="1">
      <c r="A75" s="1190"/>
      <c r="B75" s="995"/>
      <c r="C75" s="996" t="s">
        <v>467</v>
      </c>
      <c r="D75" s="1007">
        <v>153773.53786647299</v>
      </c>
      <c r="E75" s="994"/>
      <c r="F75" s="1155" t="s">
        <v>830</v>
      </c>
      <c r="H75" s="1089"/>
      <c r="I75" s="1095">
        <f>I74-I73</f>
        <v>131717.37100689299</v>
      </c>
      <c r="J75" s="1090"/>
      <c r="K75" s="1091"/>
      <c r="L75" s="1092"/>
    </row>
    <row r="76" spans="1:12" ht="14.25" thickTop="1" thickBot="1">
      <c r="A76" s="1190"/>
      <c r="B76" s="995"/>
      <c r="C76" s="1025" t="s">
        <v>798</v>
      </c>
      <c r="D76" s="1007">
        <v>0</v>
      </c>
      <c r="E76" s="994"/>
      <c r="F76" s="1155" t="s">
        <v>830</v>
      </c>
      <c r="H76" s="1098"/>
      <c r="I76" s="1099"/>
      <c r="J76" s="1099"/>
      <c r="K76" s="1100"/>
      <c r="L76" s="1101"/>
    </row>
    <row r="77" spans="1:12">
      <c r="A77" s="1190"/>
      <c r="B77" s="995"/>
      <c r="C77" s="996" t="s">
        <v>468</v>
      </c>
      <c r="D77" s="1010">
        <v>69491</v>
      </c>
      <c r="E77" s="994"/>
      <c r="F77" s="1155" t="s">
        <v>830</v>
      </c>
    </row>
    <row r="78" spans="1:12">
      <c r="A78" s="1190"/>
      <c r="B78" s="995"/>
      <c r="C78" s="996" t="s">
        <v>469</v>
      </c>
      <c r="D78" s="1010">
        <v>43855.809000000001</v>
      </c>
      <c r="E78" s="994"/>
      <c r="F78" s="1155" t="s">
        <v>830</v>
      </c>
      <c r="G78" s="345">
        <v>1039500.30115389</v>
      </c>
      <c r="H78" s="345"/>
      <c r="I78" s="345">
        <f>I70+I74</f>
        <v>2270479.3095011022</v>
      </c>
    </row>
    <row r="79" spans="1:12">
      <c r="A79" s="1190"/>
      <c r="B79" s="992"/>
      <c r="C79" s="996" t="s">
        <v>809</v>
      </c>
      <c r="D79" s="1010">
        <v>241131.765409702</v>
      </c>
      <c r="E79" s="994"/>
      <c r="F79" s="1155" t="s">
        <v>830</v>
      </c>
    </row>
    <row r="80" spans="1:12">
      <c r="A80" s="1190"/>
      <c r="B80" s="992"/>
      <c r="C80" s="999" t="s">
        <v>192</v>
      </c>
      <c r="D80" s="993"/>
      <c r="E80" s="994">
        <f>SUM(D69:D79)</f>
        <v>6908082.4938613009</v>
      </c>
      <c r="F80" s="1155" t="s">
        <v>830</v>
      </c>
      <c r="G80" s="320">
        <v>-855394.68295699579</v>
      </c>
    </row>
    <row r="81" spans="1:6">
      <c r="A81" s="1190"/>
      <c r="B81" s="1027"/>
      <c r="C81" s="1003" t="s">
        <v>193</v>
      </c>
      <c r="D81" s="1004"/>
      <c r="E81" s="1005"/>
      <c r="F81" s="1155"/>
    </row>
    <row r="82" spans="1:6">
      <c r="A82" s="1190"/>
      <c r="B82" s="995"/>
      <c r="C82" s="1028" t="s">
        <v>212</v>
      </c>
      <c r="D82" s="993"/>
      <c r="E82" s="994"/>
      <c r="F82" s="1155"/>
    </row>
    <row r="83" spans="1:6">
      <c r="A83" s="1190"/>
      <c r="B83" s="995"/>
      <c r="C83" s="996" t="s">
        <v>213</v>
      </c>
      <c r="D83" s="993">
        <v>100000</v>
      </c>
      <c r="E83" s="994"/>
      <c r="F83" s="1155" t="s">
        <v>830</v>
      </c>
    </row>
    <row r="84" spans="1:6">
      <c r="A84" s="1190"/>
      <c r="B84" s="995"/>
      <c r="C84" s="996" t="s">
        <v>214</v>
      </c>
      <c r="D84" s="993">
        <v>1000500</v>
      </c>
      <c r="E84" s="994"/>
      <c r="F84" s="1155" t="s">
        <v>830</v>
      </c>
    </row>
    <row r="85" spans="1:6">
      <c r="A85" s="1190"/>
      <c r="B85" s="995"/>
      <c r="C85" s="996" t="s">
        <v>215</v>
      </c>
      <c r="D85" s="993">
        <v>420000</v>
      </c>
      <c r="E85" s="994"/>
      <c r="F85" s="1155" t="s">
        <v>830</v>
      </c>
    </row>
    <row r="86" spans="1:6">
      <c r="A86" s="1190"/>
      <c r="B86" s="995"/>
      <c r="C86" s="996" t="s">
        <v>216</v>
      </c>
      <c r="D86" s="993">
        <v>420000</v>
      </c>
      <c r="E86" s="994"/>
      <c r="F86" s="1155" t="s">
        <v>830</v>
      </c>
    </row>
    <row r="87" spans="1:6">
      <c r="A87" s="1190"/>
      <c r="B87" s="995"/>
      <c r="C87" s="996" t="s">
        <v>217</v>
      </c>
      <c r="D87" s="993">
        <v>500</v>
      </c>
      <c r="E87" s="994"/>
      <c r="F87" s="1155" t="s">
        <v>830</v>
      </c>
    </row>
    <row r="88" spans="1:6">
      <c r="A88" s="1190"/>
      <c r="B88" s="995"/>
      <c r="C88" s="996" t="s">
        <v>218</v>
      </c>
      <c r="D88" s="993">
        <v>100</v>
      </c>
      <c r="E88" s="994"/>
      <c r="F88" s="1155" t="s">
        <v>830</v>
      </c>
    </row>
    <row r="89" spans="1:6">
      <c r="A89" s="1190"/>
      <c r="B89" s="995"/>
      <c r="C89" s="996" t="s">
        <v>661</v>
      </c>
      <c r="D89" s="993">
        <v>100</v>
      </c>
      <c r="E89" s="994"/>
      <c r="F89" s="1155" t="s">
        <v>830</v>
      </c>
    </row>
    <row r="90" spans="1:6">
      <c r="A90" s="1190"/>
      <c r="B90" s="992"/>
      <c r="C90" s="996" t="s">
        <v>659</v>
      </c>
      <c r="D90" s="993">
        <f>'EIGHL&amp;ELAK'!M46</f>
        <v>600000</v>
      </c>
      <c r="E90" s="994"/>
      <c r="F90" s="1155" t="s">
        <v>830</v>
      </c>
    </row>
    <row r="91" spans="1:6">
      <c r="A91" s="1190"/>
      <c r="B91" s="995"/>
      <c r="C91" s="999" t="s">
        <v>192</v>
      </c>
      <c r="D91" s="993"/>
      <c r="E91" s="1029">
        <f>SUM(D83:D90)</f>
        <v>2541200</v>
      </c>
      <c r="F91" s="1155" t="s">
        <v>830</v>
      </c>
    </row>
    <row r="92" spans="1:6">
      <c r="A92" s="1190"/>
      <c r="B92" s="1027"/>
      <c r="C92" s="1003" t="s">
        <v>219</v>
      </c>
      <c r="D92" s="1004"/>
      <c r="E92" s="1005"/>
      <c r="F92" s="1155"/>
    </row>
    <row r="93" spans="1:6">
      <c r="A93" s="1190"/>
      <c r="B93" s="1030"/>
      <c r="C93" s="1031"/>
      <c r="D93" s="990"/>
      <c r="E93" s="991"/>
      <c r="F93" s="1155"/>
    </row>
    <row r="94" spans="1:6">
      <c r="A94" s="1190"/>
      <c r="B94" s="995"/>
      <c r="C94" s="1028" t="s">
        <v>825</v>
      </c>
      <c r="D94" s="993"/>
      <c r="E94" s="994"/>
      <c r="F94" s="1155"/>
    </row>
    <row r="95" spans="1:6">
      <c r="A95" s="1190"/>
      <c r="B95" s="995"/>
      <c r="C95" s="996" t="s">
        <v>220</v>
      </c>
      <c r="D95" s="1007">
        <f>23562.1403024227+1620917.12892905</f>
        <v>1644479.2692314726</v>
      </c>
      <c r="E95" s="994"/>
      <c r="F95" s="1155" t="s">
        <v>830</v>
      </c>
    </row>
    <row r="96" spans="1:6">
      <c r="A96" s="1190"/>
      <c r="B96" s="995"/>
      <c r="C96" s="996" t="s">
        <v>810</v>
      </c>
      <c r="D96" s="1010">
        <v>996.76740321155739</v>
      </c>
      <c r="E96" s="1032"/>
      <c r="F96" s="1155" t="s">
        <v>830</v>
      </c>
    </row>
    <row r="97" spans="1:8">
      <c r="A97" s="1190"/>
      <c r="B97" s="995"/>
      <c r="C97" s="996" t="s">
        <v>221</v>
      </c>
      <c r="D97" s="993"/>
      <c r="E97" s="1033">
        <f>24558.9077056343+1620917.12892905</f>
        <v>1645476.0366346843</v>
      </c>
      <c r="F97" s="1155" t="s">
        <v>830</v>
      </c>
    </row>
    <row r="98" spans="1:8">
      <c r="A98" s="1190"/>
      <c r="B98" s="1027"/>
      <c r="C98" s="1003" t="s">
        <v>222</v>
      </c>
      <c r="D98" s="1004"/>
      <c r="E98" s="1034"/>
      <c r="F98" s="1155"/>
    </row>
    <row r="99" spans="1:8">
      <c r="A99" s="1190"/>
      <c r="B99" s="1030"/>
      <c r="C99" s="989"/>
      <c r="D99" s="990"/>
      <c r="E99" s="1035"/>
      <c r="F99" s="1155"/>
      <c r="G99" s="1012"/>
      <c r="H99" s="345"/>
    </row>
    <row r="100" spans="1:8">
      <c r="A100" s="1190"/>
      <c r="B100" s="995"/>
      <c r="C100" s="1028" t="s">
        <v>824</v>
      </c>
      <c r="D100" s="993"/>
      <c r="E100" s="994"/>
      <c r="F100" s="1155"/>
    </row>
    <row r="101" spans="1:8">
      <c r="A101" s="1190"/>
      <c r="B101" s="992"/>
      <c r="C101" s="1036" t="s">
        <v>671</v>
      </c>
      <c r="D101" s="1037">
        <v>200155.88485735335</v>
      </c>
      <c r="E101" s="994"/>
      <c r="F101" s="1155" t="s">
        <v>830</v>
      </c>
    </row>
    <row r="102" spans="1:8">
      <c r="A102" s="1190"/>
      <c r="B102" s="992"/>
      <c r="C102" s="1036" t="s">
        <v>672</v>
      </c>
      <c r="D102" s="993"/>
      <c r="E102" s="1038">
        <v>200155.88485735335</v>
      </c>
      <c r="F102" s="1155" t="s">
        <v>830</v>
      </c>
    </row>
    <row r="103" spans="1:8">
      <c r="A103" s="1190"/>
      <c r="B103" s="1039"/>
      <c r="C103" s="1003"/>
      <c r="D103" s="1004"/>
      <c r="E103" s="1005"/>
      <c r="F103" s="1155"/>
    </row>
    <row r="104" spans="1:8">
      <c r="A104" s="1190"/>
      <c r="B104" s="1040"/>
      <c r="C104" s="1024" t="s">
        <v>826</v>
      </c>
      <c r="D104" s="990"/>
      <c r="E104" s="991"/>
      <c r="F104" s="1155"/>
    </row>
    <row r="105" spans="1:8">
      <c r="A105" s="1190"/>
      <c r="B105" s="1041"/>
      <c r="C105" s="1042" t="s">
        <v>827</v>
      </c>
      <c r="E105" s="1043"/>
    </row>
    <row r="106" spans="1:8">
      <c r="A106" s="1190"/>
      <c r="B106" s="1041"/>
      <c r="C106" s="320" t="s">
        <v>613</v>
      </c>
      <c r="D106" s="1044">
        <f>661813.310372181+138619.674363877</f>
        <v>800432.98473605805</v>
      </c>
      <c r="E106" s="1043"/>
      <c r="F106" s="1155" t="s">
        <v>830</v>
      </c>
    </row>
    <row r="107" spans="1:8">
      <c r="A107" s="1190"/>
      <c r="B107" s="1041"/>
      <c r="C107" s="320" t="s">
        <v>612</v>
      </c>
      <c r="D107" s="1045">
        <f>E108-D106</f>
        <v>579632.61326394195</v>
      </c>
      <c r="E107" s="1043"/>
      <c r="F107" s="1155" t="s">
        <v>830</v>
      </c>
    </row>
    <row r="108" spans="1:8">
      <c r="A108" s="1190"/>
      <c r="B108" s="992"/>
      <c r="C108" s="320" t="s">
        <v>611</v>
      </c>
      <c r="E108" s="1043">
        <f>996789.31+383276.288</f>
        <v>1380065.598</v>
      </c>
      <c r="F108" s="1155" t="s">
        <v>830</v>
      </c>
    </row>
    <row r="109" spans="1:8">
      <c r="A109" s="1190"/>
      <c r="B109" s="1041"/>
      <c r="C109" s="999" t="s">
        <v>667</v>
      </c>
      <c r="E109" s="1043"/>
    </row>
    <row r="110" spans="1:8">
      <c r="A110" s="1190"/>
      <c r="B110" s="1027"/>
      <c r="C110" s="1018"/>
      <c r="D110" s="1046"/>
      <c r="E110" s="1047"/>
      <c r="F110" s="1157"/>
    </row>
    <row r="111" spans="1:8">
      <c r="A111" s="1190"/>
      <c r="C111" s="1013"/>
      <c r="D111" s="993"/>
      <c r="E111" s="993"/>
      <c r="F111" s="1155"/>
    </row>
    <row r="112" spans="1:8">
      <c r="A112" s="1190"/>
      <c r="B112" s="1030"/>
      <c r="C112" s="1104" t="s">
        <v>678</v>
      </c>
      <c r="D112" s="1105"/>
      <c r="E112" s="1106"/>
    </row>
    <row r="113" spans="1:6">
      <c r="A113" s="1190"/>
      <c r="B113" s="992"/>
      <c r="C113" s="320" t="s">
        <v>677</v>
      </c>
      <c r="D113" s="1026">
        <v>76345.162997713604</v>
      </c>
      <c r="E113" s="1043"/>
      <c r="F113" s="1155" t="s">
        <v>830</v>
      </c>
    </row>
    <row r="114" spans="1:6">
      <c r="A114" s="1190"/>
      <c r="B114" s="992"/>
      <c r="C114" s="320" t="s">
        <v>679</v>
      </c>
      <c r="E114" s="1107">
        <f>D113</f>
        <v>76345.162997713604</v>
      </c>
      <c r="F114" s="1155" t="s">
        <v>830</v>
      </c>
    </row>
    <row r="115" spans="1:6">
      <c r="A115" s="1190"/>
      <c r="B115" s="1108"/>
      <c r="C115" s="1013"/>
      <c r="D115" s="993"/>
      <c r="E115" s="994"/>
      <c r="F115" s="1155"/>
    </row>
    <row r="116" spans="1:6">
      <c r="A116" s="1190"/>
      <c r="B116" s="1108"/>
      <c r="C116" s="1049" t="s">
        <v>675</v>
      </c>
      <c r="D116" s="993"/>
      <c r="E116" s="994"/>
      <c r="F116" s="1155"/>
    </row>
    <row r="117" spans="1:6">
      <c r="A117" s="1190"/>
      <c r="B117" s="1108"/>
      <c r="C117" s="320" t="s">
        <v>811</v>
      </c>
      <c r="D117" s="1054">
        <v>124000</v>
      </c>
      <c r="E117" s="1109"/>
      <c r="F117" s="1155" t="s">
        <v>830</v>
      </c>
    </row>
    <row r="118" spans="1:6">
      <c r="A118" s="1190"/>
      <c r="B118" s="1108"/>
      <c r="C118" s="320" t="s">
        <v>681</v>
      </c>
      <c r="D118" s="1055"/>
      <c r="E118" s="1109">
        <f>D117</f>
        <v>124000</v>
      </c>
      <c r="F118" s="1155" t="s">
        <v>830</v>
      </c>
    </row>
    <row r="119" spans="1:6">
      <c r="A119" s="1190"/>
      <c r="B119" s="1108"/>
      <c r="D119" s="320"/>
      <c r="E119" s="1110"/>
      <c r="F119" s="1155"/>
    </row>
    <row r="120" spans="1:6">
      <c r="A120" s="1190"/>
      <c r="B120" s="1108"/>
      <c r="C120" s="320" t="s">
        <v>676</v>
      </c>
      <c r="D120" s="1055">
        <v>94457.995896637323</v>
      </c>
      <c r="E120" s="1109"/>
      <c r="F120" s="1155" t="s">
        <v>830</v>
      </c>
    </row>
    <row r="121" spans="1:6">
      <c r="A121" s="1190"/>
      <c r="B121" s="1108"/>
      <c r="C121" s="320" t="s">
        <v>812</v>
      </c>
      <c r="D121" s="1055"/>
      <c r="E121" s="1111">
        <f>D120</f>
        <v>94457.995896637323</v>
      </c>
      <c r="F121" s="1155" t="s">
        <v>830</v>
      </c>
    </row>
    <row r="122" spans="1:6">
      <c r="A122" s="1190"/>
      <c r="B122" s="1108"/>
      <c r="D122" s="320"/>
      <c r="E122" s="1110"/>
      <c r="F122" s="1155"/>
    </row>
    <row r="123" spans="1:6">
      <c r="A123" s="1190"/>
      <c r="B123" s="1456"/>
      <c r="C123" s="1457" t="s">
        <v>680</v>
      </c>
      <c r="D123" s="1149"/>
      <c r="E123" s="1458"/>
      <c r="F123" s="1152"/>
    </row>
    <row r="124" spans="1:6">
      <c r="A124" s="1190"/>
      <c r="B124" s="1459"/>
      <c r="C124" s="1149" t="s">
        <v>612</v>
      </c>
      <c r="D124" s="1460">
        <v>577233.98148148146</v>
      </c>
      <c r="E124" s="1461"/>
      <c r="F124" s="1462" t="s">
        <v>830</v>
      </c>
    </row>
    <row r="125" spans="1:6">
      <c r="A125" s="1190"/>
      <c r="B125" s="1459"/>
      <c r="C125" s="1149" t="s">
        <v>631</v>
      </c>
      <c r="D125" s="1460"/>
      <c r="E125" s="1461">
        <v>577233.98148148146</v>
      </c>
      <c r="F125" s="1462" t="s">
        <v>830</v>
      </c>
    </row>
    <row r="126" spans="1:6">
      <c r="A126" s="1190"/>
      <c r="B126" s="1463"/>
      <c r="C126" s="1464"/>
      <c r="D126" s="1465"/>
      <c r="E126" s="1466"/>
      <c r="F126" s="1462"/>
    </row>
    <row r="127" spans="1:6" ht="13.5" thickBot="1">
      <c r="A127" s="1190"/>
      <c r="B127" s="320"/>
      <c r="C127" s="1013"/>
      <c r="D127" s="993"/>
      <c r="E127" s="993"/>
      <c r="F127" s="1155"/>
    </row>
    <row r="128" spans="1:6" ht="13.5" thickBot="1">
      <c r="A128" s="1190"/>
      <c r="B128" s="1484"/>
      <c r="C128" s="1487" t="s">
        <v>829</v>
      </c>
      <c r="D128" s="1485"/>
      <c r="E128" s="1485"/>
      <c r="F128" s="1486"/>
    </row>
    <row r="129" spans="1:6">
      <c r="A129" s="1190"/>
      <c r="B129" s="323"/>
      <c r="C129" s="1013"/>
      <c r="D129" s="993"/>
      <c r="E129" s="993"/>
      <c r="F129" s="1483"/>
    </row>
    <row r="130" spans="1:6">
      <c r="A130" s="1190"/>
      <c r="B130" s="323"/>
      <c r="C130" s="1488" t="s">
        <v>666</v>
      </c>
      <c r="D130" s="993"/>
      <c r="E130" s="993"/>
      <c r="F130" s="1483"/>
    </row>
    <row r="131" spans="1:6">
      <c r="A131" s="1190"/>
      <c r="B131" s="323"/>
      <c r="C131" s="1013" t="s">
        <v>612</v>
      </c>
      <c r="D131" s="993">
        <v>1208544.5712513139</v>
      </c>
      <c r="E131" s="993"/>
      <c r="F131" s="1483" t="s">
        <v>830</v>
      </c>
    </row>
    <row r="132" spans="1:6">
      <c r="A132" s="1190"/>
      <c r="B132" s="323"/>
      <c r="C132" s="1013" t="s">
        <v>221</v>
      </c>
      <c r="D132" s="993"/>
      <c r="E132" s="993">
        <v>1208544.5712513139</v>
      </c>
      <c r="F132" s="1483" t="s">
        <v>830</v>
      </c>
    </row>
    <row r="133" spans="1:6">
      <c r="A133" s="1190"/>
      <c r="B133" s="323"/>
      <c r="C133" s="1013" t="s">
        <v>700</v>
      </c>
      <c r="D133" s="993"/>
      <c r="E133" s="993"/>
      <c r="F133" s="1483"/>
    </row>
    <row r="134" spans="1:6">
      <c r="A134" s="1190"/>
      <c r="B134" s="323"/>
      <c r="C134" s="1013"/>
      <c r="D134" s="993"/>
      <c r="E134" s="993"/>
      <c r="F134" s="1483"/>
    </row>
    <row r="135" spans="1:6">
      <c r="A135" s="1190"/>
      <c r="B135" s="323"/>
      <c r="C135" s="1488" t="s">
        <v>673</v>
      </c>
      <c r="D135" s="993"/>
      <c r="E135" s="993"/>
      <c r="F135" s="1483"/>
    </row>
    <row r="136" spans="1:6">
      <c r="A136" s="1190"/>
      <c r="B136" s="323"/>
      <c r="C136" s="1013" t="s">
        <v>671</v>
      </c>
      <c r="D136" s="993">
        <v>763088.30845167895</v>
      </c>
      <c r="E136" s="993"/>
      <c r="F136" s="1483" t="s">
        <v>830</v>
      </c>
    </row>
    <row r="137" spans="1:6">
      <c r="A137" s="1190"/>
      <c r="B137" s="323"/>
      <c r="C137" s="1013" t="s">
        <v>672</v>
      </c>
      <c r="D137" s="993"/>
      <c r="E137" s="993">
        <v>763088.30845167895</v>
      </c>
      <c r="F137" s="1483" t="s">
        <v>830</v>
      </c>
    </row>
    <row r="138" spans="1:6">
      <c r="A138" s="1190"/>
      <c r="B138" s="323"/>
      <c r="C138" s="1013" t="s">
        <v>700</v>
      </c>
      <c r="D138" s="993"/>
      <c r="E138" s="993"/>
      <c r="F138" s="1483"/>
    </row>
    <row r="139" spans="1:6">
      <c r="A139" s="1190"/>
      <c r="B139" s="323"/>
      <c r="C139" s="1013"/>
      <c r="D139" s="993"/>
      <c r="E139" s="993"/>
      <c r="F139" s="1483"/>
    </row>
    <row r="140" spans="1:6">
      <c r="A140" s="1190"/>
      <c r="B140" s="323"/>
      <c r="C140" s="1488" t="s">
        <v>781</v>
      </c>
      <c r="D140" s="993"/>
      <c r="E140" s="993"/>
      <c r="F140" s="1483"/>
    </row>
    <row r="141" spans="1:6">
      <c r="A141" s="1190"/>
      <c r="B141" s="323"/>
      <c r="C141" s="1013" t="s">
        <v>762</v>
      </c>
      <c r="D141" s="993">
        <v>0</v>
      </c>
      <c r="E141" s="993"/>
      <c r="F141" s="1483" t="s">
        <v>830</v>
      </c>
    </row>
    <row r="142" spans="1:6">
      <c r="A142" s="1190"/>
      <c r="B142" s="323"/>
      <c r="C142" s="1013" t="s">
        <v>763</v>
      </c>
      <c r="D142" s="993"/>
      <c r="E142" s="993">
        <f>D141</f>
        <v>0</v>
      </c>
      <c r="F142" s="1483" t="s">
        <v>830</v>
      </c>
    </row>
    <row r="143" spans="1:6">
      <c r="A143" s="1190"/>
      <c r="B143" s="323"/>
      <c r="C143" s="1013"/>
      <c r="D143" s="993"/>
      <c r="E143" s="993"/>
      <c r="F143" s="1483"/>
    </row>
    <row r="144" spans="1:6">
      <c r="A144" s="1190"/>
      <c r="B144" s="323">
        <v>3</v>
      </c>
      <c r="C144" s="1488" t="s">
        <v>311</v>
      </c>
      <c r="D144" s="993"/>
      <c r="E144" s="993"/>
      <c r="F144" s="1483"/>
    </row>
    <row r="145" spans="1:6">
      <c r="A145" s="1190"/>
      <c r="B145" s="323"/>
      <c r="C145" s="1013" t="s">
        <v>243</v>
      </c>
      <c r="D145" s="993">
        <v>0</v>
      </c>
      <c r="E145" s="993"/>
      <c r="F145" s="1483"/>
    </row>
    <row r="146" spans="1:6">
      <c r="A146" s="1190"/>
      <c r="B146" s="323"/>
      <c r="C146" s="1013" t="s">
        <v>438</v>
      </c>
      <c r="D146" s="993">
        <v>0</v>
      </c>
      <c r="E146" s="993"/>
      <c r="F146" s="1483"/>
    </row>
    <row r="147" spans="1:6">
      <c r="A147" s="1190"/>
      <c r="B147" s="323"/>
      <c r="C147" s="1013" t="s">
        <v>378</v>
      </c>
      <c r="D147" s="993"/>
      <c r="E147" s="993">
        <v>0</v>
      </c>
      <c r="F147" s="1483"/>
    </row>
    <row r="148" spans="1:6">
      <c r="A148" s="1190"/>
      <c r="B148" s="323"/>
      <c r="C148" s="1013" t="s">
        <v>465</v>
      </c>
      <c r="D148" s="993"/>
      <c r="E148" s="993"/>
      <c r="F148" s="1483"/>
    </row>
    <row r="149" spans="1:6">
      <c r="A149" s="1190"/>
      <c r="B149" s="323"/>
      <c r="C149" s="1013"/>
      <c r="D149" s="993"/>
      <c r="E149" s="993"/>
      <c r="F149" s="1483"/>
    </row>
    <row r="150" spans="1:6">
      <c r="A150" s="1190"/>
      <c r="B150" s="323">
        <v>4</v>
      </c>
      <c r="C150" s="1488" t="s">
        <v>245</v>
      </c>
      <c r="D150" s="993"/>
      <c r="E150" s="993"/>
      <c r="F150" s="1483"/>
    </row>
    <row r="151" spans="1:6">
      <c r="A151" s="1190"/>
      <c r="B151" s="323"/>
      <c r="C151" s="1013" t="s">
        <v>246</v>
      </c>
      <c r="D151" s="993">
        <v>65040.65</v>
      </c>
      <c r="E151" s="993"/>
      <c r="F151" s="1483" t="s">
        <v>830</v>
      </c>
    </row>
    <row r="152" spans="1:6">
      <c r="A152" s="1190"/>
      <c r="B152" s="323"/>
      <c r="C152" s="1013" t="s">
        <v>247</v>
      </c>
      <c r="D152" s="993"/>
      <c r="E152" s="993">
        <v>65040.65</v>
      </c>
      <c r="F152" s="1483" t="s">
        <v>830</v>
      </c>
    </row>
    <row r="153" spans="1:6">
      <c r="A153" s="1190"/>
      <c r="B153" s="323"/>
      <c r="C153" s="1013"/>
      <c r="D153" s="993"/>
      <c r="E153" s="993"/>
      <c r="F153" s="1483"/>
    </row>
    <row r="154" spans="1:6">
      <c r="A154" s="1190"/>
      <c r="B154" s="323"/>
      <c r="C154" s="1013"/>
      <c r="D154" s="993"/>
      <c r="E154" s="993"/>
      <c r="F154" s="1483"/>
    </row>
    <row r="155" spans="1:6">
      <c r="A155" s="1190"/>
      <c r="B155" s="323">
        <v>12</v>
      </c>
      <c r="C155" s="1488" t="s">
        <v>674</v>
      </c>
      <c r="D155" s="993"/>
      <c r="E155" s="993"/>
      <c r="F155" s="1483"/>
    </row>
    <row r="156" spans="1:6">
      <c r="A156" s="1190"/>
      <c r="B156" s="323"/>
      <c r="C156" s="1013" t="s">
        <v>899</v>
      </c>
      <c r="D156" s="993">
        <v>568225.64814814809</v>
      </c>
      <c r="E156" s="993"/>
      <c r="F156" s="1483"/>
    </row>
    <row r="157" spans="1:6">
      <c r="A157" s="1190"/>
      <c r="B157" s="323"/>
      <c r="C157" s="1013" t="s">
        <v>631</v>
      </c>
      <c r="D157" s="993"/>
      <c r="E157" s="993">
        <v>568225.64814814809</v>
      </c>
      <c r="F157" s="1483" t="s">
        <v>830</v>
      </c>
    </row>
    <row r="158" spans="1:6">
      <c r="A158" s="1190"/>
      <c r="B158" s="323"/>
      <c r="C158" s="1013"/>
      <c r="D158" s="993"/>
      <c r="E158" s="993"/>
      <c r="F158" s="1483"/>
    </row>
    <row r="159" spans="1:6">
      <c r="A159" s="1190"/>
      <c r="B159" s="323"/>
      <c r="C159" s="1013"/>
      <c r="D159" s="993"/>
      <c r="E159" s="993"/>
      <c r="F159" s="1483"/>
    </row>
    <row r="160" spans="1:6">
      <c r="A160" s="1190"/>
      <c r="B160" s="323">
        <v>14</v>
      </c>
      <c r="C160" s="1488" t="s">
        <v>828</v>
      </c>
      <c r="D160" s="993"/>
      <c r="E160" s="993"/>
      <c r="F160" s="1483"/>
    </row>
    <row r="161" spans="1:6">
      <c r="A161" s="1190"/>
      <c r="B161" s="323"/>
      <c r="C161" s="1013" t="s">
        <v>726</v>
      </c>
      <c r="D161" s="993">
        <v>131670.14274000027</v>
      </c>
      <c r="E161" s="993"/>
      <c r="F161" s="1483" t="s">
        <v>830</v>
      </c>
    </row>
    <row r="162" spans="1:6">
      <c r="A162" s="1190"/>
      <c r="B162" s="323"/>
      <c r="C162" s="1013" t="s">
        <v>727</v>
      </c>
      <c r="D162" s="993">
        <v>8217832.7394349985</v>
      </c>
      <c r="E162" s="993"/>
      <c r="F162" s="1483" t="s">
        <v>830</v>
      </c>
    </row>
    <row r="163" spans="1:6">
      <c r="A163" s="1190"/>
      <c r="B163" s="323"/>
      <c r="C163" s="1013" t="s">
        <v>739</v>
      </c>
      <c r="D163" s="993">
        <v>148269.18282500096</v>
      </c>
      <c r="E163" s="993"/>
      <c r="F163" s="1483" t="s">
        <v>830</v>
      </c>
    </row>
    <row r="164" spans="1:6">
      <c r="A164" s="1190"/>
      <c r="B164" s="323"/>
      <c r="C164" s="1013" t="s">
        <v>611</v>
      </c>
      <c r="D164" s="993"/>
      <c r="E164" s="993">
        <v>8497772.0649999995</v>
      </c>
      <c r="F164" s="1483" t="s">
        <v>830</v>
      </c>
    </row>
    <row r="165" spans="1:6">
      <c r="A165" s="1190"/>
      <c r="B165" s="323"/>
      <c r="C165" s="1013" t="s">
        <v>725</v>
      </c>
      <c r="D165" s="993"/>
      <c r="E165" s="993"/>
      <c r="F165" s="1483"/>
    </row>
    <row r="166" spans="1:6">
      <c r="A166" s="1190"/>
      <c r="B166" s="323"/>
      <c r="C166" s="1013"/>
      <c r="D166" s="993"/>
      <c r="E166" s="993"/>
      <c r="F166" s="1483"/>
    </row>
    <row r="167" spans="1:6">
      <c r="A167" s="1190"/>
      <c r="B167" s="323">
        <v>15</v>
      </c>
      <c r="C167" s="1488" t="s">
        <v>736</v>
      </c>
      <c r="D167" s="993"/>
      <c r="E167" s="993"/>
      <c r="F167" s="1483"/>
    </row>
    <row r="168" spans="1:6">
      <c r="A168" s="1190"/>
      <c r="B168" s="323"/>
      <c r="C168" s="1013" t="s">
        <v>737</v>
      </c>
      <c r="D168" s="993">
        <v>780071.13382507977</v>
      </c>
      <c r="E168" s="993"/>
      <c r="F168" s="1483" t="s">
        <v>830</v>
      </c>
    </row>
    <row r="169" spans="1:6">
      <c r="A169" s="1190"/>
      <c r="B169" s="323"/>
      <c r="C169" s="1013" t="s">
        <v>742</v>
      </c>
      <c r="D169" s="993"/>
      <c r="E169" s="993">
        <v>39166.372825079714</v>
      </c>
      <c r="F169" s="1483" t="s">
        <v>830</v>
      </c>
    </row>
    <row r="170" spans="1:6">
      <c r="A170" s="1190"/>
      <c r="B170" s="323"/>
      <c r="C170" s="1013" t="s">
        <v>738</v>
      </c>
      <c r="D170" s="993"/>
      <c r="E170" s="993">
        <v>740904.76100000006</v>
      </c>
      <c r="F170" s="1483" t="s">
        <v>830</v>
      </c>
    </row>
    <row r="171" spans="1:6">
      <c r="A171" s="1190"/>
      <c r="B171" s="323"/>
      <c r="C171" s="1013" t="s">
        <v>842</v>
      </c>
      <c r="D171" s="993"/>
      <c r="E171" s="993"/>
      <c r="F171" s="1483"/>
    </row>
    <row r="172" spans="1:6">
      <c r="A172" s="1190"/>
      <c r="B172" s="323"/>
      <c r="C172" s="1013"/>
      <c r="D172" s="993"/>
      <c r="E172" s="993"/>
      <c r="F172" s="1483"/>
    </row>
    <row r="173" spans="1:6">
      <c r="A173" s="1190"/>
      <c r="B173" s="323" t="s">
        <v>744</v>
      </c>
      <c r="C173" s="1488" t="s">
        <v>745</v>
      </c>
      <c r="D173" s="993"/>
      <c r="E173" s="993"/>
      <c r="F173" s="1483"/>
    </row>
    <row r="174" spans="1:6">
      <c r="A174" s="1190"/>
      <c r="B174" s="323"/>
      <c r="C174" s="1013" t="s">
        <v>746</v>
      </c>
      <c r="D174" s="993">
        <v>140682.52215603777</v>
      </c>
      <c r="E174" s="993"/>
      <c r="F174" s="1483" t="s">
        <v>830</v>
      </c>
    </row>
    <row r="175" spans="1:6">
      <c r="A175" s="1190"/>
      <c r="B175" s="323"/>
      <c r="C175" s="1013" t="s">
        <v>742</v>
      </c>
      <c r="D175" s="993"/>
      <c r="E175" s="993">
        <v>140682.52215603777</v>
      </c>
      <c r="F175" s="1483" t="s">
        <v>830</v>
      </c>
    </row>
    <row r="176" spans="1:6">
      <c r="A176" s="1190"/>
      <c r="B176" s="323"/>
      <c r="C176" s="1013" t="s">
        <v>747</v>
      </c>
      <c r="D176" s="993"/>
      <c r="E176" s="993"/>
      <c r="F176" s="1483"/>
    </row>
    <row r="177" spans="1:6">
      <c r="A177" s="1190"/>
      <c r="B177" s="323"/>
      <c r="C177" s="1013"/>
      <c r="D177" s="993"/>
      <c r="E177" s="993"/>
      <c r="F177" s="1483"/>
    </row>
    <row r="178" spans="1:6">
      <c r="A178" s="1190"/>
      <c r="B178" s="323" t="s">
        <v>748</v>
      </c>
      <c r="C178" s="1488" t="s">
        <v>749</v>
      </c>
      <c r="D178" s="993"/>
      <c r="E178" s="993"/>
      <c r="F178" s="1483"/>
    </row>
    <row r="179" spans="1:6">
      <c r="A179" s="1190"/>
      <c r="B179" s="323"/>
      <c r="C179" s="1013" t="s">
        <v>801</v>
      </c>
      <c r="D179" s="993">
        <v>45532.808427035459</v>
      </c>
      <c r="E179" s="993"/>
      <c r="F179" s="1483" t="s">
        <v>830</v>
      </c>
    </row>
    <row r="180" spans="1:6">
      <c r="A180" s="1190"/>
      <c r="B180" s="323"/>
      <c r="C180" s="1013" t="s">
        <v>802</v>
      </c>
      <c r="D180" s="993"/>
      <c r="E180" s="993">
        <v>45532.808427035459</v>
      </c>
      <c r="F180" s="1483" t="s">
        <v>830</v>
      </c>
    </row>
    <row r="181" spans="1:6">
      <c r="A181" s="1190"/>
      <c r="B181" s="323"/>
      <c r="C181" s="1013" t="s">
        <v>747</v>
      </c>
      <c r="D181" s="993"/>
      <c r="E181" s="993"/>
      <c r="F181" s="1483"/>
    </row>
    <row r="182" spans="1:6">
      <c r="A182" s="1190"/>
      <c r="B182" s="323"/>
      <c r="C182" s="1013"/>
      <c r="D182" s="993"/>
      <c r="E182" s="993"/>
      <c r="F182" s="1483"/>
    </row>
    <row r="183" spans="1:6">
      <c r="A183" s="1190"/>
      <c r="B183" s="323"/>
      <c r="C183" s="1013"/>
      <c r="D183" s="993"/>
      <c r="E183" s="993"/>
      <c r="F183" s="1483"/>
    </row>
    <row r="184" spans="1:6">
      <c r="A184" s="1190"/>
      <c r="B184" s="323">
        <v>15</v>
      </c>
      <c r="C184" s="1488" t="s">
        <v>750</v>
      </c>
      <c r="D184" s="993"/>
      <c r="E184" s="993"/>
      <c r="F184" s="1483"/>
    </row>
    <row r="185" spans="1:6">
      <c r="A185" s="1190"/>
      <c r="B185" s="323"/>
      <c r="C185" s="1013" t="s">
        <v>814</v>
      </c>
      <c r="D185" s="993">
        <v>437038.30087493267</v>
      </c>
      <c r="E185" s="993"/>
      <c r="F185" s="1483" t="s">
        <v>830</v>
      </c>
    </row>
    <row r="186" spans="1:6">
      <c r="A186" s="1190"/>
      <c r="B186" s="323"/>
      <c r="C186" s="1013" t="s">
        <v>741</v>
      </c>
      <c r="D186" s="993"/>
      <c r="E186" s="993">
        <v>437038.30087493267</v>
      </c>
      <c r="F186" s="1483" t="s">
        <v>830</v>
      </c>
    </row>
    <row r="187" spans="1:6">
      <c r="A187" s="1190"/>
      <c r="B187" s="323"/>
      <c r="C187" s="1013"/>
      <c r="D187" s="993"/>
      <c r="E187" s="993"/>
      <c r="F187" s="1483"/>
    </row>
    <row r="188" spans="1:6">
      <c r="A188" s="1190"/>
      <c r="B188" s="323"/>
      <c r="C188" s="1013"/>
      <c r="D188" s="993"/>
      <c r="E188" s="993"/>
      <c r="F188" s="1483"/>
    </row>
    <row r="189" spans="1:6">
      <c r="A189" s="1190"/>
      <c r="B189" s="323"/>
      <c r="C189" s="1013"/>
      <c r="D189" s="993"/>
      <c r="E189" s="993"/>
      <c r="F189" s="1483"/>
    </row>
    <row r="190" spans="1:6">
      <c r="A190" s="1190"/>
      <c r="B190" s="323">
        <v>16</v>
      </c>
      <c r="C190" s="1488" t="s">
        <v>750</v>
      </c>
      <c r="D190" s="993"/>
      <c r="E190" s="993"/>
      <c r="F190" s="1483"/>
    </row>
    <row r="191" spans="1:6">
      <c r="A191" s="1190"/>
      <c r="B191" s="323"/>
      <c r="C191" s="1013" t="s">
        <v>751</v>
      </c>
      <c r="D191" s="993">
        <v>475133.06092572212</v>
      </c>
      <c r="E191" s="993"/>
      <c r="F191" s="1483" t="s">
        <v>830</v>
      </c>
    </row>
    <row r="192" spans="1:6">
      <c r="A192" s="1190"/>
      <c r="B192" s="323"/>
      <c r="C192" s="1013" t="s">
        <v>752</v>
      </c>
      <c r="D192" s="993"/>
      <c r="E192" s="993">
        <v>475133.06092572212</v>
      </c>
      <c r="F192" s="1483" t="s">
        <v>830</v>
      </c>
    </row>
    <row r="193" spans="1:6">
      <c r="A193" s="1190"/>
      <c r="B193" s="323"/>
      <c r="C193" s="1013"/>
      <c r="D193" s="993"/>
      <c r="E193" s="993"/>
      <c r="F193" s="1483"/>
    </row>
    <row r="194" spans="1:6">
      <c r="A194" s="1190"/>
      <c r="B194" s="323"/>
      <c r="C194" s="1013"/>
      <c r="D194" s="993"/>
      <c r="E194" s="993"/>
      <c r="F194" s="1483"/>
    </row>
    <row r="195" spans="1:6">
      <c r="A195" s="1190"/>
      <c r="B195" s="323" t="s">
        <v>758</v>
      </c>
      <c r="C195" s="1488" t="s">
        <v>759</v>
      </c>
      <c r="D195" s="993"/>
      <c r="E195" s="993"/>
      <c r="F195" s="1483"/>
    </row>
    <row r="196" spans="1:6">
      <c r="A196" s="1190"/>
      <c r="B196" s="323"/>
      <c r="C196" s="1013" t="s">
        <v>737</v>
      </c>
      <c r="D196" s="993">
        <v>29476.244206593008</v>
      </c>
      <c r="E196" s="993"/>
      <c r="F196" s="1483" t="s">
        <v>830</v>
      </c>
    </row>
    <row r="197" spans="1:6">
      <c r="A197" s="1190"/>
      <c r="B197" s="323"/>
      <c r="C197" s="1013" t="s">
        <v>760</v>
      </c>
      <c r="D197" s="993">
        <v>601.85579340699041</v>
      </c>
      <c r="E197" s="993"/>
      <c r="F197" s="1483" t="s">
        <v>830</v>
      </c>
    </row>
    <row r="198" spans="1:6">
      <c r="A198" s="1190"/>
      <c r="B198" s="323"/>
      <c r="C198" s="1013" t="s">
        <v>738</v>
      </c>
      <c r="D198" s="993"/>
      <c r="E198" s="993">
        <v>30078.1</v>
      </c>
      <c r="F198" s="1483" t="s">
        <v>830</v>
      </c>
    </row>
    <row r="199" spans="1:6">
      <c r="A199" s="1190"/>
      <c r="B199" s="323"/>
      <c r="C199" s="1013" t="s">
        <v>743</v>
      </c>
      <c r="D199" s="993"/>
      <c r="E199" s="993"/>
      <c r="F199" s="1483"/>
    </row>
    <row r="200" spans="1:6">
      <c r="A200" s="1190"/>
      <c r="B200" s="323"/>
      <c r="C200" s="1013"/>
      <c r="D200" s="993"/>
      <c r="E200" s="993"/>
      <c r="F200" s="1483"/>
    </row>
    <row r="201" spans="1:6">
      <c r="A201" s="1190"/>
      <c r="B201" s="323" t="s">
        <v>847</v>
      </c>
      <c r="C201" s="1488" t="s">
        <v>843</v>
      </c>
      <c r="D201" s="993"/>
      <c r="E201" s="993"/>
      <c r="F201" s="1483"/>
    </row>
    <row r="202" spans="1:6">
      <c r="A202" s="1190"/>
      <c r="B202" s="323"/>
      <c r="C202" s="1013" t="s">
        <v>737</v>
      </c>
      <c r="D202" s="993">
        <v>604214.99869245419</v>
      </c>
      <c r="E202" s="993"/>
      <c r="F202" s="1483"/>
    </row>
    <row r="203" spans="1:6">
      <c r="A203" s="1190"/>
      <c r="B203" s="323"/>
      <c r="C203" s="1013" t="s">
        <v>760</v>
      </c>
      <c r="D203" s="993">
        <v>92557.787807545858</v>
      </c>
      <c r="E203" s="993"/>
      <c r="F203" s="1483"/>
    </row>
    <row r="204" spans="1:6">
      <c r="A204" s="1190"/>
      <c r="B204" s="323"/>
      <c r="C204" s="1013" t="s">
        <v>738</v>
      </c>
      <c r="D204" s="993"/>
      <c r="E204" s="993">
        <v>696772.78650000005</v>
      </c>
      <c r="F204" s="1483"/>
    </row>
    <row r="205" spans="1:6">
      <c r="A205" s="1190"/>
      <c r="B205" s="323"/>
      <c r="C205" s="1013"/>
      <c r="D205" s="993"/>
      <c r="E205" s="993"/>
      <c r="F205" s="1483"/>
    </row>
    <row r="206" spans="1:6" ht="13.5" thickBot="1">
      <c r="B206" s="1497"/>
      <c r="C206" s="1498"/>
      <c r="D206" s="1499"/>
      <c r="E206" s="1499"/>
      <c r="F206" s="1500"/>
    </row>
    <row r="207" spans="1:6">
      <c r="B207" s="320"/>
      <c r="C207" s="1013"/>
      <c r="D207" s="993"/>
      <c r="E207" s="993"/>
      <c r="F207" s="1155"/>
    </row>
    <row r="208" spans="1:6">
      <c r="C208" s="1013"/>
      <c r="D208" s="993"/>
      <c r="E208" s="993"/>
      <c r="F208" s="1155"/>
    </row>
    <row r="209" spans="2:11">
      <c r="C209" s="1114" t="s">
        <v>880</v>
      </c>
      <c r="D209" s="993"/>
      <c r="E209" s="993"/>
      <c r="F209" s="1155"/>
      <c r="K209" s="985" t="s">
        <v>283</v>
      </c>
    </row>
    <row r="210" spans="2:11">
      <c r="B210" s="1126"/>
      <c r="C210" s="1015"/>
      <c r="D210" s="990"/>
      <c r="E210" s="991"/>
      <c r="F210" s="1155"/>
      <c r="J210" s="320" t="s">
        <v>874</v>
      </c>
      <c r="K210" s="1467">
        <f>E_BCDC!C56</f>
        <v>128.57241379310344</v>
      </c>
    </row>
    <row r="211" spans="2:11">
      <c r="B211" s="1127"/>
      <c r="C211" s="1028" t="s">
        <v>881</v>
      </c>
      <c r="D211" s="1057"/>
      <c r="E211" s="1128"/>
      <c r="F211" s="1158"/>
      <c r="I211" s="320" t="s">
        <v>875</v>
      </c>
      <c r="J211" s="946">
        <v>57282796.229999997</v>
      </c>
    </row>
    <row r="212" spans="2:11">
      <c r="B212" s="1127"/>
      <c r="C212" s="996" t="s">
        <v>612</v>
      </c>
      <c r="D212" s="1007">
        <f>-E_BCDC!C97</f>
        <v>592203.72296716773</v>
      </c>
      <c r="E212" s="1128"/>
      <c r="F212" s="1155" t="s">
        <v>830</v>
      </c>
      <c r="I212" s="320" t="s">
        <v>927</v>
      </c>
      <c r="J212" s="946">
        <v>73145373.799999997</v>
      </c>
    </row>
    <row r="213" spans="2:11">
      <c r="B213" s="1127"/>
      <c r="C213" s="996" t="s">
        <v>221</v>
      </c>
      <c r="D213" s="1057"/>
      <c r="E213" s="1033">
        <f>D212</f>
        <v>592203.72296716773</v>
      </c>
      <c r="F213" s="1155" t="s">
        <v>830</v>
      </c>
      <c r="I213" s="320" t="s">
        <v>794</v>
      </c>
      <c r="J213" s="345">
        <f>J212-J211</f>
        <v>15862577.57</v>
      </c>
    </row>
    <row r="214" spans="2:11">
      <c r="B214" s="1108"/>
      <c r="C214" s="1013" t="s">
        <v>700</v>
      </c>
      <c r="D214" s="1058"/>
      <c r="E214" s="1129"/>
      <c r="F214" s="1159"/>
      <c r="I214" s="320" t="s">
        <v>876</v>
      </c>
      <c r="J214" s="345">
        <f>J213*0.7</f>
        <v>11103804.298999999</v>
      </c>
      <c r="K214" s="1009">
        <f>((J214*K210)/1000)*E_BCDC!N93</f>
        <v>207563.36180965928</v>
      </c>
    </row>
    <row r="215" spans="2:11">
      <c r="B215" s="1130"/>
      <c r="C215" s="1013"/>
      <c r="D215" s="1058"/>
      <c r="E215" s="1129"/>
      <c r="F215" s="1159"/>
    </row>
    <row r="216" spans="2:11">
      <c r="B216" s="1459"/>
      <c r="C216" s="1468" t="s">
        <v>882</v>
      </c>
      <c r="D216" s="1469"/>
      <c r="E216" s="1470"/>
      <c r="F216" s="1462"/>
    </row>
    <row r="217" spans="2:11">
      <c r="B217" s="1459"/>
      <c r="C217" s="1471" t="s">
        <v>671</v>
      </c>
      <c r="D217" s="1469">
        <f>K214</f>
        <v>207563.36180965928</v>
      </c>
      <c r="E217" s="1470"/>
      <c r="F217" s="1462" t="s">
        <v>830</v>
      </c>
    </row>
    <row r="218" spans="2:11">
      <c r="B218" s="1459"/>
      <c r="C218" s="1471" t="s">
        <v>672</v>
      </c>
      <c r="D218" s="1465"/>
      <c r="E218" s="1472">
        <f>D217</f>
        <v>207563.36180965928</v>
      </c>
      <c r="F218" s="1462" t="s">
        <v>830</v>
      </c>
    </row>
    <row r="219" spans="2:11">
      <c r="B219" s="1463"/>
      <c r="C219" s="1464" t="s">
        <v>700</v>
      </c>
      <c r="D219" s="1465"/>
      <c r="E219" s="1466"/>
      <c r="F219" s="1462"/>
    </row>
    <row r="220" spans="2:11">
      <c r="B220" s="1456"/>
      <c r="C220" s="1526"/>
      <c r="D220" s="1469"/>
      <c r="E220" s="1470"/>
      <c r="F220" s="1462"/>
    </row>
    <row r="221" spans="2:11">
      <c r="B221" s="1456"/>
      <c r="C221" s="1526"/>
      <c r="D221" s="1469"/>
      <c r="E221" s="1470"/>
      <c r="F221" s="1462"/>
    </row>
    <row r="222" spans="2:11">
      <c r="B222" s="1456"/>
      <c r="C222" s="1152" t="s">
        <v>932</v>
      </c>
      <c r="D222" s="1469"/>
      <c r="E222" s="1470"/>
      <c r="F222" s="1462"/>
    </row>
    <row r="223" spans="2:11">
      <c r="B223" s="1456"/>
      <c r="C223" s="1526" t="s">
        <v>814</v>
      </c>
      <c r="D223" s="1469">
        <f>'R_parties workings'!I18</f>
        <v>1147168.02793267</v>
      </c>
      <c r="E223" s="1470"/>
      <c r="F223" s="1462"/>
    </row>
    <row r="224" spans="2:11">
      <c r="B224" s="1456"/>
      <c r="C224" s="1526" t="s">
        <v>741</v>
      </c>
      <c r="D224" s="1469"/>
      <c r="E224" s="1470">
        <f>D223</f>
        <v>1147168.02793267</v>
      </c>
      <c r="F224" s="1462"/>
    </row>
    <row r="225" spans="1:14">
      <c r="B225" s="1456"/>
      <c r="C225" s="1526"/>
      <c r="D225" s="1469"/>
      <c r="E225" s="1470"/>
      <c r="F225" s="1462"/>
    </row>
    <row r="226" spans="1:14">
      <c r="B226" s="1030"/>
      <c r="C226" s="1015"/>
      <c r="D226" s="990"/>
      <c r="E226" s="991"/>
      <c r="F226" s="1155"/>
    </row>
    <row r="227" spans="1:14">
      <c r="A227" s="330"/>
      <c r="B227" s="1108"/>
      <c r="C227" s="1123" t="s">
        <v>781</v>
      </c>
      <c r="D227" s="320"/>
      <c r="E227" s="1110"/>
      <c r="F227" s="1124"/>
    </row>
    <row r="228" spans="1:14">
      <c r="A228" s="330"/>
      <c r="B228" s="1108"/>
      <c r="C228" s="320" t="s">
        <v>762</v>
      </c>
      <c r="D228" s="1082">
        <f>EBRL!C40</f>
        <v>1704332.2816273291</v>
      </c>
      <c r="E228" s="1131"/>
      <c r="F228" s="1155" t="s">
        <v>830</v>
      </c>
      <c r="G228" s="320" t="s">
        <v>800</v>
      </c>
      <c r="H228" s="330" t="s">
        <v>900</v>
      </c>
    </row>
    <row r="229" spans="1:14">
      <c r="A229" s="330"/>
      <c r="B229" s="1108"/>
      <c r="C229" s="320" t="s">
        <v>763</v>
      </c>
      <c r="D229" s="1082"/>
      <c r="E229" s="1131">
        <f>D228</f>
        <v>1704332.2816273291</v>
      </c>
      <c r="F229" s="1155" t="s">
        <v>830</v>
      </c>
      <c r="G229" s="320" t="s">
        <v>800</v>
      </c>
    </row>
    <row r="230" spans="1:14">
      <c r="B230" s="1027"/>
      <c r="C230" s="1120"/>
      <c r="D230" s="1132"/>
      <c r="E230" s="1133"/>
      <c r="F230" s="1160"/>
    </row>
    <row r="231" spans="1:14">
      <c r="B231" s="1146">
        <v>3</v>
      </c>
      <c r="C231" s="1477" t="s">
        <v>311</v>
      </c>
      <c r="D231" s="1478"/>
      <c r="E231" s="1479"/>
    </row>
    <row r="232" spans="1:14">
      <c r="B232" s="1148"/>
      <c r="C232" s="1471" t="s">
        <v>243</v>
      </c>
      <c r="D232" s="1460">
        <f>((0/10^3)*E_BCDC!C1)+((0/10^3)*E_BCDC!C1)</f>
        <v>0</v>
      </c>
      <c r="E232" s="1461"/>
      <c r="J232" s="320" t="s">
        <v>522</v>
      </c>
      <c r="K232" s="882">
        <v>125305850.48999999</v>
      </c>
    </row>
    <row r="233" spans="1:14">
      <c r="B233" s="1148"/>
      <c r="C233" s="1471" t="s">
        <v>438</v>
      </c>
      <c r="D233" s="1460">
        <f>(1200000000/10^3/EBRL!C7)+(0/10^3*E_BCDC!C1)+(0/10^3*E_BCDC!C1)</f>
        <v>146299.00844330111</v>
      </c>
      <c r="E233" s="1461"/>
      <c r="G233" s="320" t="s">
        <v>757</v>
      </c>
      <c r="J233" s="320" t="s">
        <v>523</v>
      </c>
      <c r="K233" s="882">
        <v>100563638.36</v>
      </c>
      <c r="M233" s="1061"/>
    </row>
    <row r="234" spans="1:14">
      <c r="B234" s="1148"/>
      <c r="C234" s="1471" t="s">
        <v>378</v>
      </c>
      <c r="D234" s="1460"/>
      <c r="E234" s="1461">
        <f>D233+D232</f>
        <v>146299.00844330111</v>
      </c>
      <c r="G234" s="320" t="s">
        <v>756</v>
      </c>
      <c r="J234" s="320" t="s">
        <v>524</v>
      </c>
      <c r="K234" s="882">
        <v>132316348.95999999</v>
      </c>
      <c r="M234" s="1061"/>
    </row>
    <row r="235" spans="1:14">
      <c r="B235" s="1456"/>
      <c r="C235" s="1480" t="s">
        <v>465</v>
      </c>
      <c r="D235" s="1460"/>
      <c r="E235" s="1461"/>
      <c r="J235" s="320" t="s">
        <v>525</v>
      </c>
      <c r="K235" s="882">
        <v>101991819.98</v>
      </c>
      <c r="L235" s="1062"/>
    </row>
    <row r="236" spans="1:14">
      <c r="B236" s="995"/>
      <c r="C236" s="1125"/>
      <c r="E236" s="1043"/>
      <c r="J236" s="320" t="s">
        <v>526</v>
      </c>
      <c r="K236" s="882"/>
      <c r="L236" s="1063"/>
    </row>
    <row r="237" spans="1:14">
      <c r="B237" s="1148">
        <v>4</v>
      </c>
      <c r="C237" s="1468" t="s">
        <v>245</v>
      </c>
      <c r="D237" s="1460"/>
      <c r="E237" s="1461"/>
      <c r="I237" s="1011"/>
      <c r="J237" s="320" t="s">
        <v>527</v>
      </c>
      <c r="K237" s="882"/>
      <c r="L237" s="345"/>
      <c r="M237" s="1055"/>
      <c r="N237" s="472"/>
    </row>
    <row r="238" spans="1:14">
      <c r="B238" s="1148"/>
      <c r="C238" s="1149" t="s">
        <v>246</v>
      </c>
      <c r="D238" s="1460">
        <v>51086.55</v>
      </c>
      <c r="E238" s="1461"/>
      <c r="F238" s="1155" t="s">
        <v>830</v>
      </c>
      <c r="I238" s="1011"/>
      <c r="J238" s="320" t="s">
        <v>528</v>
      </c>
      <c r="K238" s="882"/>
      <c r="L238" s="345"/>
      <c r="M238" s="1055"/>
      <c r="N238" s="472"/>
    </row>
    <row r="239" spans="1:14">
      <c r="B239" s="1456"/>
      <c r="C239" s="1149" t="s">
        <v>247</v>
      </c>
      <c r="D239" s="1460"/>
      <c r="E239" s="1461">
        <f>D238</f>
        <v>51086.55</v>
      </c>
      <c r="F239" s="1155" t="s">
        <v>830</v>
      </c>
      <c r="J239" s="320" t="s">
        <v>529</v>
      </c>
      <c r="K239" s="882"/>
      <c r="L239" s="345"/>
      <c r="M239" s="1055"/>
      <c r="N239" s="472"/>
    </row>
    <row r="240" spans="1:14">
      <c r="B240" s="1150"/>
      <c r="C240" s="1151"/>
      <c r="D240" s="1475"/>
      <c r="E240" s="1476"/>
      <c r="G240" s="337" t="s">
        <v>427</v>
      </c>
      <c r="I240" s="1011"/>
      <c r="J240" s="320" t="s">
        <v>530</v>
      </c>
      <c r="K240" s="882"/>
      <c r="L240" s="345"/>
      <c r="M240" s="1055"/>
      <c r="N240" s="472"/>
    </row>
    <row r="241" spans="2:15">
      <c r="B241" s="1146">
        <v>5</v>
      </c>
      <c r="C241" s="1477" t="s">
        <v>261</v>
      </c>
      <c r="D241" s="1478"/>
      <c r="E241" s="1479"/>
      <c r="I241" s="1011"/>
      <c r="J241" s="320" t="s">
        <v>531</v>
      </c>
      <c r="K241" s="882"/>
      <c r="L241" s="345"/>
      <c r="M241" s="1055"/>
      <c r="N241" s="472"/>
    </row>
    <row r="242" spans="2:15">
      <c r="B242" s="1148"/>
      <c r="C242" s="1149" t="s">
        <v>316</v>
      </c>
      <c r="D242" s="1481">
        <f>'[8]ORACLE PL'!$G$399/1000</f>
        <v>481688.76575000002</v>
      </c>
      <c r="E242" s="1461"/>
      <c r="G242" s="459" t="s">
        <v>511</v>
      </c>
      <c r="I242" s="1065">
        <f>K244/1000</f>
        <v>460177.65779000003</v>
      </c>
      <c r="J242" s="320" t="s">
        <v>532</v>
      </c>
      <c r="K242" s="882"/>
      <c r="L242" s="345"/>
      <c r="M242" s="1055"/>
      <c r="N242" s="472"/>
    </row>
    <row r="243" spans="2:15">
      <c r="B243" s="1148"/>
      <c r="C243" s="1149" t="s">
        <v>260</v>
      </c>
      <c r="D243" s="1460"/>
      <c r="E243" s="1461">
        <f>D242</f>
        <v>481688.76575000002</v>
      </c>
      <c r="I243" s="1011"/>
      <c r="J243" s="320" t="s">
        <v>533</v>
      </c>
      <c r="K243" s="882"/>
      <c r="L243" s="345"/>
      <c r="M243" s="1055"/>
      <c r="N243" s="472"/>
    </row>
    <row r="244" spans="2:15">
      <c r="B244" s="1148"/>
      <c r="C244" s="1149" t="s">
        <v>440</v>
      </c>
      <c r="D244" s="1481">
        <f>I242</f>
        <v>460177.65779000003</v>
      </c>
      <c r="E244" s="1482"/>
      <c r="F244" s="1161"/>
      <c r="I244" s="1011"/>
      <c r="K244" s="1066">
        <f>SUM(K232:K243)</f>
        <v>460177657.79000002</v>
      </c>
      <c r="L244" s="345"/>
      <c r="M244" s="1055"/>
      <c r="N244" s="472"/>
    </row>
    <row r="245" spans="2:15">
      <c r="B245" s="1148"/>
      <c r="C245" s="1149" t="s">
        <v>441</v>
      </c>
      <c r="D245" s="1481"/>
      <c r="E245" s="1482">
        <f>D244</f>
        <v>460177.65779000003</v>
      </c>
      <c r="F245" s="1161"/>
      <c r="K245" s="1067"/>
      <c r="L245" s="345"/>
      <c r="M245" s="1055"/>
      <c r="N245" s="472"/>
    </row>
    <row r="246" spans="2:15">
      <c r="B246" s="995"/>
      <c r="E246" s="1043"/>
      <c r="K246" s="1067"/>
      <c r="L246" s="345"/>
      <c r="M246" s="1055"/>
      <c r="N246" s="472"/>
    </row>
    <row r="247" spans="2:15">
      <c r="B247" s="1148">
        <v>6</v>
      </c>
      <c r="C247" s="1468" t="s">
        <v>439</v>
      </c>
      <c r="D247" s="1460"/>
      <c r="E247" s="1461"/>
      <c r="I247" s="1011"/>
      <c r="J247" s="1012"/>
      <c r="K247" s="1067"/>
      <c r="L247" s="345"/>
      <c r="M247" s="1055"/>
      <c r="N247" s="472"/>
      <c r="O247" s="320">
        <v>325403032</v>
      </c>
    </row>
    <row r="248" spans="2:15">
      <c r="B248" s="1148"/>
      <c r="C248" s="1149" t="s">
        <v>318</v>
      </c>
      <c r="D248" s="1460">
        <f>[19]Summary!$F$17/1000</f>
        <v>534446.82858860237</v>
      </c>
      <c r="E248" s="1461"/>
      <c r="I248" s="345"/>
      <c r="J248" s="1012"/>
      <c r="K248" s="1067"/>
      <c r="L248" s="345"/>
      <c r="M248" s="1055"/>
      <c r="N248" s="472"/>
      <c r="O248" s="1059">
        <f>O247/122.5</f>
        <v>2656351.281632653</v>
      </c>
    </row>
    <row r="249" spans="2:15">
      <c r="B249" s="1456"/>
      <c r="C249" s="1149" t="s">
        <v>317</v>
      </c>
      <c r="D249" s="1460"/>
      <c r="E249" s="1461">
        <f>D248</f>
        <v>534446.82858860237</v>
      </c>
      <c r="K249" s="1067"/>
      <c r="L249" s="345"/>
      <c r="M249" s="1055"/>
      <c r="N249" s="472"/>
    </row>
    <row r="250" spans="2:15">
      <c r="B250" s="1150"/>
      <c r="C250" s="1151"/>
      <c r="D250" s="1475"/>
      <c r="E250" s="1476"/>
      <c r="J250" s="345"/>
      <c r="K250" s="1067"/>
      <c r="L250" s="345"/>
      <c r="M250" s="1055"/>
      <c r="N250" s="472"/>
    </row>
    <row r="251" spans="2:15">
      <c r="B251" s="1146">
        <v>7</v>
      </c>
      <c r="C251" s="1477" t="s">
        <v>375</v>
      </c>
      <c r="D251" s="1478"/>
      <c r="E251" s="1479"/>
      <c r="J251" s="320">
        <v>-76890950</v>
      </c>
      <c r="K251" s="1067"/>
      <c r="L251" s="345"/>
      <c r="M251" s="1055"/>
      <c r="N251" s="472"/>
    </row>
    <row r="252" spans="2:15">
      <c r="B252" s="1148"/>
      <c r="C252" s="1149" t="s">
        <v>376</v>
      </c>
      <c r="D252" s="1460">
        <f>'NOSTRO BALANCES'!I100/1000</f>
        <v>7803837.2375650024</v>
      </c>
      <c r="E252" s="1461"/>
      <c r="F252" s="1155" t="s">
        <v>830</v>
      </c>
      <c r="K252" s="1067"/>
      <c r="L252" s="345"/>
      <c r="M252" s="1055"/>
      <c r="N252" s="472"/>
    </row>
    <row r="253" spans="2:15">
      <c r="B253" s="1148"/>
      <c r="C253" s="1149" t="s">
        <v>860</v>
      </c>
      <c r="D253" s="1460">
        <f>'NOSTRO BALANCES'!H100/1000</f>
        <v>110486369.57815465</v>
      </c>
      <c r="E253" s="1461"/>
      <c r="F253" s="1155"/>
      <c r="K253" s="1067"/>
      <c r="L253" s="345"/>
      <c r="M253" s="1055"/>
      <c r="N253" s="472"/>
    </row>
    <row r="254" spans="2:15">
      <c r="B254" s="1456"/>
      <c r="C254" s="1149" t="s">
        <v>377</v>
      </c>
      <c r="D254" s="1460"/>
      <c r="E254" s="1461">
        <f>D252+D253</f>
        <v>118290206.81571965</v>
      </c>
      <c r="F254" s="1155" t="s">
        <v>830</v>
      </c>
      <c r="K254" s="1067"/>
      <c r="L254" s="1068"/>
      <c r="M254" s="1068"/>
    </row>
    <row r="255" spans="2:15">
      <c r="B255" s="1456"/>
      <c r="C255" s="1149"/>
      <c r="D255" s="1460"/>
      <c r="E255" s="1461"/>
      <c r="F255" s="1155"/>
      <c r="K255" s="1067"/>
      <c r="L255" s="1068"/>
      <c r="M255" s="1068"/>
    </row>
    <row r="256" spans="2:15">
      <c r="B256" s="1148"/>
      <c r="C256" s="1149"/>
      <c r="D256" s="1460"/>
      <c r="E256" s="1461"/>
      <c r="K256" s="1067"/>
      <c r="L256" s="1068"/>
      <c r="M256" s="1068"/>
    </row>
    <row r="257" spans="2:14">
      <c r="B257" s="1148">
        <v>8</v>
      </c>
      <c r="C257" s="1468" t="s">
        <v>603</v>
      </c>
      <c r="D257" s="1460"/>
      <c r="E257" s="1461"/>
    </row>
    <row r="258" spans="2:14">
      <c r="B258" s="1148"/>
      <c r="C258" s="1149" t="s">
        <v>380</v>
      </c>
      <c r="D258" s="1460">
        <f>('NOSTRO BALANCES'!G108)/2</f>
        <v>8472887.5285339989</v>
      </c>
      <c r="E258" s="1461"/>
      <c r="F258" s="1155" t="s">
        <v>830</v>
      </c>
      <c r="L258" s="1055"/>
    </row>
    <row r="259" spans="2:14" ht="15">
      <c r="B259" s="1456"/>
      <c r="C259" s="1149" t="s">
        <v>379</v>
      </c>
      <c r="D259" s="1460"/>
      <c r="E259" s="1461">
        <f>D258</f>
        <v>8472887.5285339989</v>
      </c>
      <c r="F259" s="1155" t="s">
        <v>830</v>
      </c>
      <c r="L259" s="1069"/>
      <c r="N259" s="1055"/>
    </row>
    <row r="260" spans="2:14">
      <c r="B260" s="1150"/>
      <c r="C260" s="1151"/>
      <c r="D260" s="1475"/>
      <c r="E260" s="1476"/>
      <c r="L260" s="1055"/>
      <c r="N260" s="1055"/>
    </row>
    <row r="261" spans="2:14">
      <c r="B261" s="1030">
        <v>9</v>
      </c>
      <c r="C261" s="1024" t="s">
        <v>433</v>
      </c>
      <c r="D261" s="1105"/>
      <c r="E261" s="1106"/>
      <c r="L261" s="1055"/>
      <c r="N261" s="1055"/>
    </row>
    <row r="262" spans="2:14">
      <c r="B262" s="995"/>
      <c r="C262" s="320" t="s">
        <v>434</v>
      </c>
      <c r="D262" s="952">
        <f>'EGH Plc'!B64</f>
        <v>366668.01299999998</v>
      </c>
      <c r="E262" s="1043"/>
      <c r="L262" s="1055"/>
      <c r="N262" s="1055"/>
    </row>
    <row r="263" spans="2:14">
      <c r="B263" s="995"/>
      <c r="C263" s="320" t="s">
        <v>660</v>
      </c>
      <c r="D263" s="952">
        <f>Others!B64+'EIGHL&amp;ELAK'!B64</f>
        <v>1385.9997688397295</v>
      </c>
      <c r="E263" s="1043"/>
      <c r="L263" s="1055"/>
      <c r="N263" s="1055"/>
    </row>
    <row r="264" spans="2:14">
      <c r="B264" s="995"/>
      <c r="C264" s="320" t="s">
        <v>431</v>
      </c>
      <c r="D264" s="952">
        <f>EIAL!B64</f>
        <v>6075.89</v>
      </c>
      <c r="E264" s="1043"/>
      <c r="I264" s="1011"/>
      <c r="J264" s="1008"/>
      <c r="L264" s="1055"/>
    </row>
    <row r="265" spans="2:14">
      <c r="B265" s="995"/>
      <c r="C265" s="320" t="s">
        <v>432</v>
      </c>
      <c r="D265" s="952">
        <f>'FinAL&amp;Azenia'!F63</f>
        <v>26422.925079999997</v>
      </c>
      <c r="E265" s="1043"/>
      <c r="I265" s="1011"/>
      <c r="J265" s="1008"/>
      <c r="L265" s="1055"/>
    </row>
    <row r="266" spans="2:14">
      <c r="B266" s="995"/>
      <c r="C266" s="320" t="s">
        <v>430</v>
      </c>
      <c r="E266" s="1043">
        <f>SUM(D262:D265)</f>
        <v>400552.82784883975</v>
      </c>
      <c r="I266" s="1547" t="s">
        <v>703</v>
      </c>
      <c r="J266" s="1547"/>
      <c r="K266" s="1547"/>
      <c r="L266" s="1055"/>
    </row>
    <row r="267" spans="2:14">
      <c r="B267" s="995"/>
      <c r="E267" s="1043"/>
      <c r="I267" s="1070"/>
      <c r="J267" s="1071" t="s">
        <v>283</v>
      </c>
      <c r="K267" s="1072"/>
      <c r="L267" s="1055"/>
    </row>
    <row r="268" spans="2:14">
      <c r="B268" s="995">
        <v>10</v>
      </c>
      <c r="C268" s="1028" t="s">
        <v>883</v>
      </c>
      <c r="E268" s="1043"/>
      <c r="I268" s="1070" t="s">
        <v>423</v>
      </c>
      <c r="J268" s="1073">
        <v>0.87</v>
      </c>
      <c r="K268" s="1495">
        <f>J268*'FinAL&amp;Azenia'!L85</f>
        <v>14110.327192995001</v>
      </c>
      <c r="L268" s="1055"/>
    </row>
    <row r="269" spans="2:14">
      <c r="B269" s="995"/>
      <c r="C269" s="1496" t="s">
        <v>682</v>
      </c>
      <c r="D269" s="1282">
        <f>E271+E272-D270</f>
        <v>21100.803870845819</v>
      </c>
      <c r="E269" s="1043"/>
      <c r="F269" s="1155" t="s">
        <v>830</v>
      </c>
      <c r="I269" s="1070" t="s">
        <v>695</v>
      </c>
      <c r="J269" s="1071"/>
      <c r="K269" s="1495">
        <f>'FinAL&amp;Azenia'!L90--(K275/1000)</f>
        <v>563080.45607524901</v>
      </c>
      <c r="L269" s="1055" t="s">
        <v>710</v>
      </c>
    </row>
    <row r="270" spans="2:14" ht="13.5" thickBot="1">
      <c r="B270" s="995"/>
      <c r="C270" s="320" t="s">
        <v>440</v>
      </c>
      <c r="D270" s="952">
        <f>'FinAL&amp;Azenia'!L79</f>
        <v>556089.97939739819</v>
      </c>
      <c r="E270" s="1043"/>
      <c r="F270" s="1155" t="s">
        <v>702</v>
      </c>
      <c r="I270" s="1070"/>
      <c r="J270" s="1071"/>
      <c r="K270" s="1074">
        <f>SUM(K268:K269)</f>
        <v>577190.78326824401</v>
      </c>
      <c r="L270" s="1055"/>
    </row>
    <row r="271" spans="2:14" ht="13.5" thickTop="1">
      <c r="B271" s="995"/>
      <c r="C271" s="320" t="s">
        <v>696</v>
      </c>
      <c r="E271" s="1043">
        <f>K269</f>
        <v>563080.45607524901</v>
      </c>
      <c r="F271" s="1155" t="s">
        <v>702</v>
      </c>
      <c r="I271" s="1011"/>
      <c r="J271" s="1008"/>
      <c r="L271" s="1055"/>
    </row>
    <row r="272" spans="2:14">
      <c r="B272" s="995"/>
      <c r="C272" s="320" t="s">
        <v>697</v>
      </c>
      <c r="E272" s="1043">
        <f>K268</f>
        <v>14110.327192995001</v>
      </c>
      <c r="F272" s="1155" t="s">
        <v>702</v>
      </c>
      <c r="I272" s="1011" t="s">
        <v>711</v>
      </c>
      <c r="J272" s="1008"/>
      <c r="K272" s="1009">
        <f>[14]TB!$I$56</f>
        <v>-304072.33333333331</v>
      </c>
      <c r="L272" s="1055"/>
    </row>
    <row r="273" spans="2:12">
      <c r="B273" s="995"/>
      <c r="C273" s="999" t="s">
        <v>668</v>
      </c>
      <c r="E273" s="1043"/>
      <c r="I273" s="1011" t="s">
        <v>712</v>
      </c>
      <c r="J273" s="1008"/>
      <c r="K273" s="1009">
        <f>[14]TB!$I$50</f>
        <v>-5352155.5093333321</v>
      </c>
      <c r="L273" s="1055"/>
    </row>
    <row r="274" spans="2:12">
      <c r="B274" s="1039"/>
      <c r="C274" s="1120"/>
      <c r="D274" s="1046"/>
      <c r="E274" s="1134"/>
      <c r="I274" s="1011" t="s">
        <v>713</v>
      </c>
      <c r="J274" s="1008"/>
      <c r="K274" s="1009">
        <f>[14]TB!$I$49/1000</f>
        <v>0</v>
      </c>
      <c r="L274" s="1055"/>
    </row>
    <row r="275" spans="2:12">
      <c r="B275" s="1040">
        <v>11</v>
      </c>
      <c r="C275" s="1135" t="s">
        <v>884</v>
      </c>
      <c r="D275" s="1105"/>
      <c r="E275" s="1106"/>
      <c r="K275" s="1075">
        <f>SUM(K272:K274)</f>
        <v>-5656227.8426666651</v>
      </c>
      <c r="L275" s="1055"/>
    </row>
    <row r="276" spans="2:12">
      <c r="B276" s="1108"/>
      <c r="C276" s="320" t="s">
        <v>634</v>
      </c>
      <c r="D276" s="952">
        <f>(I75+I71)</f>
        <v>206021.31360446475</v>
      </c>
      <c r="E276" s="1043"/>
      <c r="F276" s="1163" t="s">
        <v>830</v>
      </c>
    </row>
    <row r="277" spans="2:12">
      <c r="B277" s="995"/>
      <c r="C277" s="320" t="s">
        <v>813</v>
      </c>
      <c r="E277" s="1136">
        <f>D276</f>
        <v>206021.31360446475</v>
      </c>
      <c r="F277" s="1163" t="s">
        <v>830</v>
      </c>
    </row>
    <row r="278" spans="2:12">
      <c r="B278" s="995"/>
      <c r="D278" s="320"/>
      <c r="E278" s="1110"/>
      <c r="F278" s="1124"/>
      <c r="H278" s="1076"/>
    </row>
    <row r="279" spans="2:12">
      <c r="B279" s="995"/>
      <c r="E279" s="1043"/>
      <c r="H279" s="1076"/>
    </row>
    <row r="280" spans="2:12">
      <c r="B280" s="995">
        <v>12</v>
      </c>
      <c r="C280" s="1124" t="s">
        <v>885</v>
      </c>
      <c r="E280" s="1043"/>
      <c r="H280" s="1076"/>
      <c r="L280" s="1055"/>
    </row>
    <row r="281" spans="2:12">
      <c r="B281" s="995"/>
      <c r="C281" s="320" t="s">
        <v>630</v>
      </c>
      <c r="D281" s="952">
        <f>'[20]2022'!$C$26</f>
        <v>26468.930041152271</v>
      </c>
      <c r="E281" s="1043"/>
      <c r="L281" s="1055"/>
    </row>
    <row r="282" spans="2:12">
      <c r="B282" s="1108"/>
      <c r="C282" s="320" t="s">
        <v>631</v>
      </c>
      <c r="E282" s="1112">
        <f>D281</f>
        <v>26468.930041152271</v>
      </c>
      <c r="F282" s="1163" t="s">
        <v>830</v>
      </c>
      <c r="L282" s="1055"/>
    </row>
    <row r="283" spans="2:12">
      <c r="B283" s="1113"/>
      <c r="C283" s="1120"/>
      <c r="D283" s="1120"/>
      <c r="E283" s="1137"/>
      <c r="F283" s="1124"/>
      <c r="J283" s="1059"/>
    </row>
    <row r="284" spans="2:12" hidden="1">
      <c r="B284" s="1139"/>
      <c r="C284" s="1053"/>
      <c r="E284" s="1043"/>
    </row>
    <row r="285" spans="2:12" hidden="1">
      <c r="B285" s="1139" t="s">
        <v>744</v>
      </c>
      <c r="C285" s="1103" t="s">
        <v>745</v>
      </c>
      <c r="E285" s="1043"/>
    </row>
    <row r="286" spans="2:12" hidden="1">
      <c r="B286" s="1139"/>
      <c r="C286" s="1142" t="s">
        <v>746</v>
      </c>
      <c r="D286" s="1051"/>
      <c r="E286" s="1115"/>
      <c r="F286" s="1163" t="s">
        <v>830</v>
      </c>
    </row>
    <row r="287" spans="2:12" hidden="1">
      <c r="B287" s="1139"/>
      <c r="C287" s="1142" t="s">
        <v>742</v>
      </c>
      <c r="D287" s="1052"/>
      <c r="E287" s="1107">
        <f>D286</f>
        <v>0</v>
      </c>
      <c r="F287" s="1163" t="s">
        <v>830</v>
      </c>
    </row>
    <row r="288" spans="2:12" hidden="1">
      <c r="B288" s="1141"/>
      <c r="C288" s="1140" t="s">
        <v>747</v>
      </c>
      <c r="E288" s="1043"/>
    </row>
    <row r="289" spans="2:12" hidden="1">
      <c r="B289" s="1139"/>
      <c r="C289" s="1053"/>
      <c r="E289" s="1043"/>
    </row>
    <row r="290" spans="2:12" hidden="1">
      <c r="B290" s="1139" t="s">
        <v>748</v>
      </c>
      <c r="C290" s="1103" t="s">
        <v>749</v>
      </c>
      <c r="E290" s="1043"/>
    </row>
    <row r="291" spans="2:12" hidden="1">
      <c r="B291" s="1139"/>
      <c r="C291" s="1142" t="s">
        <v>801</v>
      </c>
      <c r="D291" s="1045">
        <v>0</v>
      </c>
      <c r="E291" s="1043"/>
      <c r="F291" s="1163" t="s">
        <v>830</v>
      </c>
    </row>
    <row r="292" spans="2:12" hidden="1">
      <c r="B292" s="1139"/>
      <c r="C292" s="1142" t="s">
        <v>802</v>
      </c>
      <c r="E292" s="1116">
        <f>D291</f>
        <v>0</v>
      </c>
      <c r="F292" s="1163" t="s">
        <v>830</v>
      </c>
      <c r="H292" s="1011"/>
    </row>
    <row r="293" spans="2:12" hidden="1">
      <c r="B293" s="1139"/>
      <c r="C293" s="1140" t="s">
        <v>747</v>
      </c>
      <c r="E293" s="1043"/>
      <c r="H293" s="1076"/>
      <c r="L293" s="1055"/>
    </row>
    <row r="294" spans="2:12" hidden="1">
      <c r="B294" s="1139"/>
      <c r="C294" s="1050"/>
      <c r="D294" s="320"/>
      <c r="E294" s="1110"/>
      <c r="F294" s="1124"/>
    </row>
    <row r="295" spans="2:12" hidden="1">
      <c r="B295" s="1141"/>
      <c r="C295" s="1050"/>
      <c r="D295" s="320"/>
      <c r="E295" s="1110"/>
      <c r="F295" s="1124"/>
    </row>
    <row r="296" spans="2:12" hidden="1">
      <c r="B296" s="1141">
        <v>15</v>
      </c>
      <c r="C296" s="1138" t="s">
        <v>886</v>
      </c>
      <c r="E296" s="1043"/>
      <c r="K296" s="1078"/>
    </row>
    <row r="297" spans="2:12" hidden="1">
      <c r="B297" s="1141"/>
      <c r="C297" s="1050" t="s">
        <v>814</v>
      </c>
      <c r="D297" s="1051"/>
      <c r="E297" s="1110"/>
      <c r="F297" s="1163" t="s">
        <v>830</v>
      </c>
    </row>
    <row r="298" spans="2:12" hidden="1">
      <c r="B298" s="1141"/>
      <c r="C298" s="1050" t="s">
        <v>741</v>
      </c>
      <c r="D298" s="320"/>
      <c r="E298" s="1117"/>
      <c r="F298" s="1163" t="s">
        <v>830</v>
      </c>
    </row>
    <row r="299" spans="2:12" hidden="1">
      <c r="B299" s="1141"/>
      <c r="C299" s="1050"/>
      <c r="D299" s="320"/>
      <c r="E299" s="1110"/>
      <c r="F299" s="1124"/>
    </row>
    <row r="300" spans="2:12" hidden="1">
      <c r="B300" s="1139"/>
      <c r="C300" s="1050"/>
      <c r="D300" s="320"/>
      <c r="E300" s="1110"/>
      <c r="F300" s="1124"/>
      <c r="K300" s="1080"/>
    </row>
    <row r="301" spans="2:12">
      <c r="B301" s="1141"/>
      <c r="C301" s="1050"/>
      <c r="D301" s="320"/>
      <c r="E301" s="1110"/>
      <c r="F301" s="1124"/>
      <c r="K301" s="320"/>
    </row>
    <row r="302" spans="2:12">
      <c r="B302" s="1141">
        <v>16</v>
      </c>
      <c r="C302" s="1138" t="s">
        <v>898</v>
      </c>
      <c r="E302" s="1043"/>
      <c r="K302" s="320"/>
    </row>
    <row r="303" spans="2:12">
      <c r="B303" s="1141"/>
      <c r="C303" s="1050" t="s">
        <v>737</v>
      </c>
      <c r="D303" s="952">
        <f>'NCI comp'!D38</f>
        <v>5411.4571782448829</v>
      </c>
      <c r="E303" s="1043"/>
      <c r="K303" s="320"/>
    </row>
    <row r="304" spans="2:12">
      <c r="B304" s="1141"/>
      <c r="C304" s="1050" t="s">
        <v>760</v>
      </c>
      <c r="D304" s="952">
        <f>'NCI comp'!D39</f>
        <v>832.21782175511726</v>
      </c>
      <c r="E304" s="1043"/>
      <c r="K304" s="320"/>
    </row>
    <row r="305" spans="2:11">
      <c r="B305" s="1141"/>
      <c r="C305" s="1050" t="s">
        <v>738</v>
      </c>
      <c r="D305" s="1079"/>
      <c r="E305" s="1043">
        <f>D303+D304</f>
        <v>6243.6750000000002</v>
      </c>
      <c r="F305" s="1163" t="s">
        <v>830</v>
      </c>
      <c r="K305" s="1080"/>
    </row>
    <row r="306" spans="2:11">
      <c r="B306" s="1141"/>
      <c r="C306" s="1050" t="s">
        <v>743</v>
      </c>
      <c r="E306" s="1118"/>
      <c r="F306" s="1163" t="s">
        <v>830</v>
      </c>
      <c r="K306" s="1081"/>
    </row>
    <row r="307" spans="2:11">
      <c r="B307" s="1141"/>
      <c r="C307" s="1050"/>
      <c r="D307" s="345"/>
      <c r="E307" s="1119"/>
      <c r="F307" s="1162"/>
      <c r="K307" s="1080"/>
    </row>
    <row r="308" spans="2:11">
      <c r="B308" s="1141"/>
      <c r="C308" s="1050"/>
      <c r="D308" s="345"/>
      <c r="E308" s="1119"/>
      <c r="F308" s="1162"/>
      <c r="K308" s="1080"/>
    </row>
    <row r="309" spans="2:11">
      <c r="B309" s="1143"/>
      <c r="C309" s="1144"/>
      <c r="D309" s="1121"/>
      <c r="E309" s="1122"/>
      <c r="F309" s="1162"/>
      <c r="K309" s="1080"/>
    </row>
    <row r="310" spans="2:11">
      <c r="B310" s="1146"/>
      <c r="C310" s="1147"/>
      <c r="D310" s="1105"/>
      <c r="E310" s="1106"/>
      <c r="I310" s="986"/>
      <c r="J310" s="993"/>
    </row>
    <row r="311" spans="2:11">
      <c r="B311" s="1148"/>
      <c r="C311" s="1152" t="s">
        <v>691</v>
      </c>
      <c r="D311" s="320"/>
      <c r="E311" s="1110"/>
      <c r="F311" s="1124"/>
      <c r="I311" s="986"/>
      <c r="J311" s="993"/>
    </row>
    <row r="312" spans="2:11">
      <c r="B312" s="1148"/>
      <c r="C312" s="1149" t="s">
        <v>693</v>
      </c>
      <c r="D312" s="946">
        <f>L347/1000</f>
        <v>91741.308343336641</v>
      </c>
      <c r="E312" s="1131"/>
      <c r="F312" s="1124"/>
      <c r="I312" s="986"/>
      <c r="J312" s="993"/>
    </row>
    <row r="313" spans="2:11">
      <c r="B313" s="1148"/>
      <c r="C313" s="1149" t="s">
        <v>694</v>
      </c>
      <c r="D313" s="946"/>
      <c r="E313" s="1131">
        <f>D312</f>
        <v>91741.308343336641</v>
      </c>
      <c r="F313" s="1124"/>
      <c r="I313" s="1186"/>
      <c r="J313" s="993"/>
    </row>
    <row r="314" spans="2:11">
      <c r="B314" s="1148"/>
      <c r="C314" s="1149" t="s">
        <v>922</v>
      </c>
      <c r="D314" s="946">
        <f>L346/1000</f>
        <v>287673.52232666337</v>
      </c>
      <c r="E314" s="1131"/>
      <c r="F314" s="1124"/>
      <c r="I314" s="1186"/>
      <c r="J314" s="993"/>
    </row>
    <row r="315" spans="2:11">
      <c r="B315" s="1148"/>
      <c r="C315" s="1149" t="s">
        <v>921</v>
      </c>
      <c r="D315" s="946"/>
      <c r="E315" s="1131">
        <f>D314</f>
        <v>287673.52232666337</v>
      </c>
      <c r="F315" s="1124"/>
      <c r="I315" s="1186"/>
      <c r="J315" s="993"/>
    </row>
    <row r="316" spans="2:11">
      <c r="B316" s="1148"/>
      <c r="C316" s="1149"/>
      <c r="D316" s="1059"/>
      <c r="E316" s="1243"/>
      <c r="F316" s="1124"/>
      <c r="I316" s="1186"/>
      <c r="J316" s="993"/>
    </row>
    <row r="317" spans="2:11">
      <c r="B317" s="1148"/>
      <c r="C317" s="1149" t="s">
        <v>692</v>
      </c>
      <c r="D317" s="1283">
        <v>0</v>
      </c>
      <c r="E317" s="1243"/>
      <c r="F317" s="1163" t="s">
        <v>830</v>
      </c>
      <c r="I317" s="1186"/>
      <c r="J317" s="993"/>
    </row>
    <row r="318" spans="2:11">
      <c r="B318" s="1148"/>
      <c r="C318" s="1149" t="s">
        <v>247</v>
      </c>
      <c r="D318" s="1059"/>
      <c r="E318" s="1243">
        <f>D317</f>
        <v>0</v>
      </c>
      <c r="F318" s="1163" t="s">
        <v>830</v>
      </c>
      <c r="I318" s="986"/>
      <c r="J318" s="993"/>
    </row>
    <row r="319" spans="2:11">
      <c r="B319" s="1148"/>
      <c r="C319" s="1149"/>
      <c r="D319" s="1059"/>
      <c r="E319" s="1243"/>
      <c r="F319" s="1124"/>
      <c r="I319" s="986" t="s">
        <v>839</v>
      </c>
      <c r="J319" s="993" t="s">
        <v>840</v>
      </c>
    </row>
    <row r="320" spans="2:11">
      <c r="B320" s="1148"/>
      <c r="C320" s="1152" t="s">
        <v>816</v>
      </c>
      <c r="D320" s="1055"/>
      <c r="E320" s="1109"/>
      <c r="H320" s="320" t="s">
        <v>740</v>
      </c>
      <c r="I320" s="1188">
        <f>SUM(D16,D30,D60,D65,D78,D79,D96,D117,D286,D297,D347)</f>
        <v>-1868195.0248980685</v>
      </c>
      <c r="J320" s="993">
        <f>SUM(E102,E121,E218,E277,E292,E306,)</f>
        <v>708198.55616811477</v>
      </c>
    </row>
    <row r="321" spans="2:12">
      <c r="B321" s="1148"/>
      <c r="C321" s="1149" t="s">
        <v>693</v>
      </c>
      <c r="D321" s="952">
        <f>L329/1000</f>
        <v>97123.224000000002</v>
      </c>
      <c r="E321" s="1043"/>
      <c r="I321" s="1188">
        <f>GROUP!D48</f>
        <v>-147861.4743828401</v>
      </c>
      <c r="J321" s="993">
        <f>GROUP!F48</f>
        <v>2354944.7343990719</v>
      </c>
    </row>
    <row r="322" spans="2:12">
      <c r="B322" s="1148"/>
      <c r="C322" s="1149" t="s">
        <v>753</v>
      </c>
      <c r="E322" s="1043">
        <f>L330/1000</f>
        <v>18483.7912033061</v>
      </c>
      <c r="I322" s="1188">
        <f>I321-I320</f>
        <v>1720333.5505152284</v>
      </c>
      <c r="J322" s="993">
        <f>J321-J320</f>
        <v>1646746.1782309571</v>
      </c>
    </row>
    <row r="323" spans="2:12">
      <c r="B323" s="1148"/>
      <c r="C323" s="1149" t="s">
        <v>817</v>
      </c>
      <c r="E323" s="1522">
        <f>D321-E322</f>
        <v>78639.432796693902</v>
      </c>
      <c r="F323" s="1163" t="s">
        <v>830</v>
      </c>
      <c r="G323" s="320" t="s">
        <v>904</v>
      </c>
      <c r="I323" s="1188"/>
      <c r="J323" s="993"/>
    </row>
    <row r="324" spans="2:12">
      <c r="B324" s="1148"/>
      <c r="C324" s="1149"/>
      <c r="E324" s="1043"/>
      <c r="I324" s="986"/>
      <c r="J324" s="993"/>
    </row>
    <row r="325" spans="2:12">
      <c r="B325" s="1148"/>
      <c r="C325" s="1149" t="s">
        <v>818</v>
      </c>
      <c r="D325" s="952">
        <v>828.08219178082186</v>
      </c>
      <c r="E325" s="1043"/>
      <c r="I325" s="986"/>
      <c r="J325" s="993"/>
    </row>
    <row r="326" spans="2:12">
      <c r="B326" s="1148"/>
      <c r="C326" s="1149" t="s">
        <v>819</v>
      </c>
      <c r="E326" s="1043">
        <f>D325</f>
        <v>828.08219178082186</v>
      </c>
      <c r="I326" s="986"/>
      <c r="J326" s="993"/>
    </row>
    <row r="327" spans="2:12">
      <c r="B327" s="1148"/>
      <c r="C327" s="1149"/>
      <c r="D327" s="1055"/>
      <c r="E327" s="1109"/>
      <c r="I327" s="986"/>
      <c r="J327" s="993"/>
    </row>
    <row r="328" spans="2:12">
      <c r="B328" s="1148"/>
      <c r="C328" s="1152" t="s">
        <v>820</v>
      </c>
      <c r="E328" s="1043"/>
      <c r="I328" s="986"/>
      <c r="J328" s="993"/>
    </row>
    <row r="329" spans="2:12">
      <c r="B329" s="1148"/>
      <c r="C329" s="1149" t="s">
        <v>821</v>
      </c>
      <c r="D329" s="1282">
        <f>L342/1000</f>
        <v>246041.00275000001</v>
      </c>
      <c r="E329" s="1043"/>
      <c r="F329" s="1163" t="s">
        <v>830</v>
      </c>
      <c r="I329" s="986"/>
      <c r="J329" s="993"/>
      <c r="K329" s="985" t="s">
        <v>902</v>
      </c>
      <c r="L329" s="946">
        <v>97123224</v>
      </c>
    </row>
    <row r="330" spans="2:12">
      <c r="B330" s="1148"/>
      <c r="C330" s="1149" t="s">
        <v>822</v>
      </c>
      <c r="D330" s="1282"/>
      <c r="E330" s="1043"/>
      <c r="F330" s="1163" t="s">
        <v>830</v>
      </c>
      <c r="I330" s="986"/>
      <c r="J330" s="993"/>
      <c r="K330" s="985" t="s">
        <v>656</v>
      </c>
      <c r="L330" s="946">
        <v>18483791.203306101</v>
      </c>
    </row>
    <row r="331" spans="2:12">
      <c r="B331" s="1148"/>
      <c r="C331" s="1149" t="s">
        <v>823</v>
      </c>
      <c r="E331" s="1043">
        <f>D329</f>
        <v>246041.00275000001</v>
      </c>
      <c r="F331" s="1163" t="s">
        <v>830</v>
      </c>
      <c r="I331" s="986"/>
      <c r="J331" s="993"/>
      <c r="K331" s="985" t="s">
        <v>903</v>
      </c>
      <c r="L331" s="946">
        <f>L329-L330</f>
        <v>78639432.796693891</v>
      </c>
    </row>
    <row r="332" spans="2:12">
      <c r="B332" s="1148"/>
      <c r="C332" s="1149"/>
      <c r="E332" s="1043"/>
      <c r="F332" s="1163"/>
      <c r="I332" s="986"/>
      <c r="J332" s="993"/>
      <c r="L332" s="946"/>
    </row>
    <row r="333" spans="2:12">
      <c r="B333" s="1148"/>
      <c r="C333" s="1149"/>
      <c r="E333" s="1043"/>
      <c r="F333" s="1163"/>
      <c r="I333" s="986"/>
      <c r="J333" s="993"/>
      <c r="L333" s="946"/>
    </row>
    <row r="334" spans="2:12">
      <c r="B334" s="1148"/>
      <c r="C334" s="1149" t="s">
        <v>931</v>
      </c>
      <c r="E334" s="1043"/>
      <c r="F334" s="1163"/>
      <c r="I334" s="986"/>
      <c r="J334" s="993"/>
      <c r="L334" s="946"/>
    </row>
    <row r="335" spans="2:12">
      <c r="B335" s="1148"/>
      <c r="C335" s="1149" t="s">
        <v>762</v>
      </c>
      <c r="D335" s="952">
        <f>EIAL!B40</f>
        <v>0</v>
      </c>
      <c r="E335" s="1043"/>
      <c r="F335" s="1163"/>
      <c r="I335" s="986"/>
      <c r="J335" s="993"/>
      <c r="L335" s="946"/>
    </row>
    <row r="336" spans="2:12">
      <c r="B336" s="1148"/>
      <c r="C336" s="1149" t="s">
        <v>763</v>
      </c>
      <c r="E336" s="1043">
        <f>D335</f>
        <v>0</v>
      </c>
      <c r="F336" s="1163"/>
      <c r="I336" s="986"/>
      <c r="J336" s="993"/>
      <c r="L336" s="946"/>
    </row>
    <row r="337" spans="2:12">
      <c r="B337" s="1150"/>
      <c r="C337" s="1151"/>
      <c r="D337" s="1046"/>
      <c r="E337" s="1134"/>
      <c r="I337" s="986"/>
      <c r="J337" s="993"/>
    </row>
    <row r="338" spans="2:12">
      <c r="I338" s="986"/>
      <c r="J338" s="993"/>
    </row>
    <row r="339" spans="2:12">
      <c r="I339" s="986"/>
      <c r="J339" s="993"/>
    </row>
    <row r="340" spans="2:12">
      <c r="C340" s="320" t="s">
        <v>871</v>
      </c>
      <c r="H340" s="1059">
        <v>9291597.5573329404</v>
      </c>
      <c r="I340" s="1186"/>
      <c r="J340" s="993"/>
      <c r="K340" s="985" t="s">
        <v>906</v>
      </c>
      <c r="L340" s="946">
        <v>246843941.98979947</v>
      </c>
    </row>
    <row r="341" spans="2:12">
      <c r="C341" s="320" t="s">
        <v>247</v>
      </c>
      <c r="H341" s="1059"/>
      <c r="I341" s="1186">
        <v>54238.670308858156</v>
      </c>
      <c r="J341" s="993"/>
      <c r="K341" s="985" t="s">
        <v>907</v>
      </c>
    </row>
    <row r="342" spans="2:12">
      <c r="C342" s="320" t="s">
        <v>872</v>
      </c>
      <c r="H342" s="1059"/>
      <c r="I342" s="1186">
        <v>9237358.8870240822</v>
      </c>
      <c r="J342" s="993"/>
      <c r="K342" s="320" t="s">
        <v>905</v>
      </c>
      <c r="L342" s="946">
        <v>246041002.75</v>
      </c>
    </row>
    <row r="343" spans="2:12">
      <c r="I343" s="986"/>
      <c r="J343" s="993"/>
    </row>
    <row r="344" spans="2:12">
      <c r="D344" s="320"/>
      <c r="E344" s="320"/>
      <c r="F344" s="1124"/>
      <c r="H344" s="472"/>
      <c r="I344" s="1036"/>
      <c r="J344" s="993"/>
      <c r="K344" s="993"/>
      <c r="L344" s="345"/>
    </row>
    <row r="345" spans="2:12">
      <c r="I345" s="1036"/>
      <c r="J345" s="993"/>
      <c r="K345" s="1523" t="s">
        <v>918</v>
      </c>
      <c r="L345" s="1059">
        <v>379414830.67000002</v>
      </c>
    </row>
    <row r="346" spans="2:12">
      <c r="B346" s="1056">
        <v>18</v>
      </c>
      <c r="C346" s="1077" t="s">
        <v>278</v>
      </c>
      <c r="D346" s="1060"/>
      <c r="E346" s="1060"/>
      <c r="F346" s="1160"/>
      <c r="K346" s="985" t="s">
        <v>919</v>
      </c>
      <c r="L346" s="1059">
        <v>287673522.32666337</v>
      </c>
    </row>
    <row r="347" spans="2:12">
      <c r="B347" s="1056"/>
      <c r="C347" s="1064" t="s">
        <v>257</v>
      </c>
      <c r="D347" s="1051">
        <f>SUM(E348:E352)</f>
        <v>-2121601.6179358782</v>
      </c>
      <c r="E347" s="1060"/>
      <c r="F347" s="1163" t="s">
        <v>830</v>
      </c>
      <c r="K347" s="985" t="s">
        <v>920</v>
      </c>
      <c r="L347" s="1059">
        <v>91741308.343336642</v>
      </c>
    </row>
    <row r="348" spans="2:12">
      <c r="B348" s="1056"/>
      <c r="C348" s="1064" t="s">
        <v>258</v>
      </c>
      <c r="D348" s="1060"/>
      <c r="E348" s="1045">
        <v>-3208569.5414973502</v>
      </c>
      <c r="F348" s="1163" t="s">
        <v>830</v>
      </c>
    </row>
    <row r="349" spans="2:12">
      <c r="B349" s="1056"/>
      <c r="C349" s="1064" t="s">
        <v>259</v>
      </c>
      <c r="D349" s="1060"/>
      <c r="E349" s="1060">
        <v>2349661.8055455899</v>
      </c>
      <c r="F349" s="1163" t="s">
        <v>830</v>
      </c>
    </row>
    <row r="350" spans="2:12">
      <c r="B350" s="1056"/>
      <c r="C350" s="1064" t="s">
        <v>279</v>
      </c>
      <c r="D350" s="1060"/>
      <c r="E350" s="1060">
        <v>-2168992.55035323</v>
      </c>
      <c r="F350" s="1163" t="s">
        <v>830</v>
      </c>
    </row>
    <row r="351" spans="2:12">
      <c r="B351" s="1056"/>
      <c r="C351" s="1064" t="s">
        <v>280</v>
      </c>
      <c r="D351" s="1060"/>
      <c r="E351" s="1083">
        <v>906298.66836911195</v>
      </c>
      <c r="F351" s="1163" t="s">
        <v>830</v>
      </c>
    </row>
    <row r="352" spans="2:12">
      <c r="C352" s="1064"/>
      <c r="D352" s="1060"/>
      <c r="E352" s="1060"/>
      <c r="F352" s="1160"/>
    </row>
    <row r="353" spans="3:6">
      <c r="C353" s="1064"/>
      <c r="D353" s="1060">
        <f>SUM(D5:D352)</f>
        <v>240396194.60365337</v>
      </c>
      <c r="E353" s="1060">
        <f>SUM(E5:E352)</f>
        <v>240396194.60365346</v>
      </c>
      <c r="F353" s="1160"/>
    </row>
    <row r="355" spans="3:6">
      <c r="E355" s="952">
        <f>D353-E353</f>
        <v>0</v>
      </c>
    </row>
    <row r="365" spans="3:6">
      <c r="D365" s="1000"/>
    </row>
    <row r="366" spans="3:6">
      <c r="D366" s="1000" t="s">
        <v>587</v>
      </c>
      <c r="E366" s="1102"/>
    </row>
    <row r="367" spans="3:6">
      <c r="D367" s="1000"/>
      <c r="E367" s="1102"/>
    </row>
    <row r="368" spans="3:6">
      <c r="E368" s="1102"/>
    </row>
  </sheetData>
  <autoFilter ref="B1:F368" xr:uid="{00000000-0001-0000-0800-000000000000}"/>
  <mergeCells count="1">
    <mergeCell ref="I266:K266"/>
  </mergeCells>
  <phoneticPr fontId="193" type="noConversion"/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6E50-B7A8-4DC2-9F7F-B80C046029D4}">
  <dimension ref="B2:D9"/>
  <sheetViews>
    <sheetView workbookViewId="0"/>
  </sheetViews>
  <sheetFormatPr defaultRowHeight="15"/>
  <cols>
    <col min="2" max="2" width="51.28515625" customWidth="1"/>
    <col min="3" max="3" width="14.28515625" bestFit="1" customWidth="1"/>
    <col min="4" max="4" width="14" bestFit="1" customWidth="1"/>
  </cols>
  <sheetData>
    <row r="2" spans="2:4">
      <c r="C2" t="s">
        <v>224</v>
      </c>
      <c r="D2" t="s">
        <v>225</v>
      </c>
    </row>
    <row r="3" spans="2:4">
      <c r="B3" t="s">
        <v>189</v>
      </c>
      <c r="C3" s="375" t="e">
        <f>'Consolidation  JVs'!D5+'Consolidation  JVs'!D11+'Consolidation  JVs'!D20+'Consolidation  JVs'!D27+'Consolidation  JVs'!D38+'Consolidation  JVs'!D53+'Consolidation  JVs'!D58+'Consolidation  JVs'!D64+'Consolidation  JVs'!D69+'Consolidation  JVs'!D70+'Consolidation  JVs'!D71+'Consolidation  JVs'!D83+'Consolidation  JVs'!D84+'Consolidation  JVs'!D85+'Consolidation  JVs'!D86+'Consolidation  JVs'!D87+'Consolidation  JVs'!D88+'Consolidation  JVs'!D89+'Consolidation  JVs'!D90+'Consolidation  JVs'!#REF!</f>
        <v>#REF!</v>
      </c>
      <c r="D3" s="375">
        <f>'Consolidation  JVs'!E349</f>
        <v>2349661.8055455899</v>
      </c>
    </row>
    <row r="4" spans="2:4">
      <c r="B4" t="s">
        <v>190</v>
      </c>
      <c r="C4" s="375" t="e">
        <f>'Consolidation  JVs'!D6+'Consolidation  JVs'!D12+'Consolidation  JVs'!D28+'Consolidation  JVs'!D54+'Consolidation  JVs'!D59+'Consolidation  JVs'!D72+'Consolidation  JVs'!#REF!</f>
        <v>#REF!</v>
      </c>
      <c r="D4" s="375">
        <f>'Consolidation  JVs'!E350</f>
        <v>-2168992.55035323</v>
      </c>
    </row>
    <row r="5" spans="2:4">
      <c r="B5" t="s">
        <v>803</v>
      </c>
      <c r="C5" s="375">
        <f>'Consolidation  JVs'!D16+'Consolidation  JVs'!D31+'Consolidation  JVs'!D60+'Consolidation  JVs'!D65+'Consolidation  JVs'!D77+'Consolidation  JVs'!D78+'Consolidation  JVs'!D79+'Consolidation  JVs'!D30+'Consolidation  JVs'!D96+'Consolidation  JVs'!D286+'Consolidation  JVs'!D117+'Consolidation  JVs'!D297+'Consolidation  JVs'!D347</f>
        <v>-1798704.0248980685</v>
      </c>
      <c r="D5" s="375">
        <f>'Consolidation  JVs'!E102+'Consolidation  JVs'!E292+'Consolidation  JVs'!E121+'Consolidation  JVs'!E218+'Consolidation  JVs'!E277+'Consolidation  JVs'!E306</f>
        <v>708198.55616811477</v>
      </c>
    </row>
    <row r="6" spans="2:4">
      <c r="B6" t="s">
        <v>804</v>
      </c>
      <c r="C6" s="375"/>
      <c r="D6" s="375"/>
    </row>
    <row r="7" spans="2:4">
      <c r="B7" t="s">
        <v>805</v>
      </c>
      <c r="C7" s="375" t="e">
        <f>'Consolidation  JVs'!D13+'Consolidation  JVs'!D14+'Consolidation  JVs'!D21+'Consolidation  JVs'!D22+'Consolidation  JVs'!D29+'Consolidation  JVs'!D39+'Consolidation  JVs'!D40+'Consolidation  JVs'!D48+'Consolidation  JVs'!D75+'Consolidation  JVs'!D76+'Consolidation  JVs'!D95+'Consolidation  JVs'!D107+'Consolidation  JVs'!#REF!+'Consolidation  JVs'!D291+'Consolidation  JVs'!#REF!+'Consolidation  JVs'!D124+'Consolidation  JVs'!D212</f>
        <v>#REF!</v>
      </c>
      <c r="D7" s="375" t="e">
        <f>'Consolidation  JVs'!#REF!+'Consolidation  JVs'!E287+'Consolidation  JVs'!E114+'Consolidation  JVs'!E348</f>
        <v>#REF!</v>
      </c>
    </row>
    <row r="8" spans="2:4">
      <c r="B8" t="s">
        <v>755</v>
      </c>
      <c r="C8" s="375"/>
      <c r="D8" s="375"/>
    </row>
    <row r="9" spans="2:4">
      <c r="B9" t="s">
        <v>815</v>
      </c>
      <c r="C9" s="375">
        <f>'Consolidation  JVs'!D7</f>
        <v>769212.10925999994</v>
      </c>
      <c r="D9" s="375">
        <f>'Consolidation  JVs'!E351</f>
        <v>906298.66836911195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00FF"/>
  </sheetPr>
  <dimension ref="A1:N111"/>
  <sheetViews>
    <sheetView topLeftCell="A89" workbookViewId="0">
      <selection activeCell="G102" sqref="G102"/>
    </sheetView>
  </sheetViews>
  <sheetFormatPr defaultColWidth="9.140625" defaultRowHeight="15"/>
  <cols>
    <col min="2" max="2" width="32.5703125" customWidth="1"/>
    <col min="3" max="3" width="21.5703125" customWidth="1"/>
    <col min="4" max="4" width="15.140625" customWidth="1"/>
    <col min="5" max="5" width="20" style="675" bestFit="1" customWidth="1"/>
    <col min="6" max="6" width="13.7109375" customWidth="1"/>
    <col min="7" max="7" width="24.140625" customWidth="1"/>
    <col min="8" max="9" width="20.42578125" bestFit="1" customWidth="1"/>
    <col min="10" max="10" width="15.28515625" bestFit="1" customWidth="1"/>
    <col min="11" max="11" width="16" bestFit="1" customWidth="1"/>
    <col min="12" max="12" width="15.28515625" bestFit="1" customWidth="1"/>
    <col min="13" max="13" width="18" bestFit="1" customWidth="1"/>
    <col min="14" max="14" width="15.28515625" bestFit="1" customWidth="1"/>
  </cols>
  <sheetData>
    <row r="1" spans="1:14">
      <c r="A1" s="719" t="s">
        <v>244</v>
      </c>
      <c r="B1" s="675"/>
      <c r="C1" s="675"/>
      <c r="D1" s="676"/>
    </row>
    <row r="2" spans="1:14" ht="15.75">
      <c r="A2" s="1550" t="s">
        <v>534</v>
      </c>
      <c r="B2" s="1551"/>
      <c r="C2" s="1552"/>
      <c r="D2" s="720"/>
      <c r="E2" s="721">
        <v>45046</v>
      </c>
    </row>
    <row r="3" spans="1:14" ht="15.75">
      <c r="A3" s="722" t="s">
        <v>322</v>
      </c>
      <c r="B3" s="722" t="s">
        <v>323</v>
      </c>
      <c r="C3" s="723" t="s">
        <v>324</v>
      </c>
      <c r="D3" s="724"/>
      <c r="E3" s="725" t="s">
        <v>325</v>
      </c>
      <c r="K3">
        <v>130.5</v>
      </c>
      <c r="L3" s="498">
        <f>J4*K3</f>
        <v>130500000</v>
      </c>
    </row>
    <row r="4" spans="1:14" ht="15.75">
      <c r="A4" s="1553" t="s">
        <v>326</v>
      </c>
      <c r="B4" s="1553"/>
      <c r="C4" s="1553"/>
      <c r="D4" s="1553"/>
      <c r="E4" s="1553"/>
      <c r="G4" s="435" t="s">
        <v>372</v>
      </c>
      <c r="J4" s="375">
        <v>1000000</v>
      </c>
      <c r="K4">
        <v>131.5</v>
      </c>
      <c r="L4" s="498">
        <f>J4*K4</f>
        <v>131500000</v>
      </c>
      <c r="M4" s="498">
        <f>L4-L3</f>
        <v>1000000</v>
      </c>
      <c r="N4" s="375"/>
    </row>
    <row r="5" spans="1:14">
      <c r="A5" s="726" t="s">
        <v>236</v>
      </c>
      <c r="B5" s="727" t="s">
        <v>327</v>
      </c>
      <c r="C5" s="728" t="s">
        <v>268</v>
      </c>
      <c r="D5" s="724">
        <f>D3+1</f>
        <v>1</v>
      </c>
      <c r="E5" s="892">
        <v>95192087.349999994</v>
      </c>
      <c r="F5" s="359">
        <f>VLOOKUP(A5,[8]Rates!$A$1:$B$23,2,0)</f>
        <v>1</v>
      </c>
      <c r="G5" s="375">
        <f>E5*F5</f>
        <v>95192087.349999994</v>
      </c>
      <c r="J5" s="375"/>
      <c r="N5" s="375"/>
    </row>
    <row r="6" spans="1:14">
      <c r="A6" s="726" t="s">
        <v>235</v>
      </c>
      <c r="B6" s="727" t="s">
        <v>328</v>
      </c>
      <c r="C6" s="728" t="s">
        <v>270</v>
      </c>
      <c r="D6" s="724">
        <f>D5+1</f>
        <v>2</v>
      </c>
      <c r="E6" s="892">
        <v>19536505.199999999</v>
      </c>
      <c r="F6" s="359">
        <f>VLOOKUP(A6,[8]Rates!$A$1:$B$23,2,0)</f>
        <v>136</v>
      </c>
      <c r="G6" s="457">
        <f>E6*F6</f>
        <v>2656964707.1999998</v>
      </c>
      <c r="J6" s="375">
        <v>1000000</v>
      </c>
      <c r="K6">
        <v>140.4</v>
      </c>
      <c r="L6" s="498">
        <f>J6*K6</f>
        <v>140400000</v>
      </c>
      <c r="N6" s="375"/>
    </row>
    <row r="7" spans="1:14">
      <c r="A7" s="726" t="s">
        <v>239</v>
      </c>
      <c r="B7" s="727" t="s">
        <v>329</v>
      </c>
      <c r="C7" s="728" t="s">
        <v>269</v>
      </c>
      <c r="D7" s="724">
        <f>D6+1</f>
        <v>3</v>
      </c>
      <c r="E7" s="892">
        <v>38337.760000000002</v>
      </c>
      <c r="F7" s="359">
        <f>VLOOKUP(A7,[8]Rates!$A$1:$B$23,2,0)</f>
        <v>149.65000000004832</v>
      </c>
      <c r="G7" s="457">
        <f>E7*F7</f>
        <v>5737245.7840018533</v>
      </c>
      <c r="J7" s="375"/>
      <c r="K7">
        <v>141</v>
      </c>
      <c r="N7" s="375"/>
    </row>
    <row r="8" spans="1:14">
      <c r="A8" s="726" t="s">
        <v>237</v>
      </c>
      <c r="B8" s="727" t="s">
        <v>330</v>
      </c>
      <c r="C8" s="728" t="s">
        <v>267</v>
      </c>
      <c r="D8" s="724">
        <f>D7+1</f>
        <v>4</v>
      </c>
      <c r="E8" s="892">
        <v>712681.91</v>
      </c>
      <c r="F8" s="359">
        <f>VLOOKUP(A8,[8]Rates!$A$1:$B$23,2,0)</f>
        <v>170.05442000000002</v>
      </c>
      <c r="G8" s="457">
        <f>E8*F8</f>
        <v>121194708.84954222</v>
      </c>
      <c r="I8" s="498"/>
      <c r="J8" s="375"/>
      <c r="L8" s="498">
        <f>L6-L4</f>
        <v>8900000</v>
      </c>
      <c r="N8" s="375"/>
    </row>
    <row r="9" spans="1:14" ht="15.75">
      <c r="A9" s="1548" t="s">
        <v>331</v>
      </c>
      <c r="B9" s="1548"/>
      <c r="C9" s="1548"/>
      <c r="D9" s="1548"/>
      <c r="E9" s="1548"/>
      <c r="F9" s="359"/>
      <c r="G9" s="457"/>
      <c r="J9" s="375"/>
      <c r="N9" s="375"/>
    </row>
    <row r="10" spans="1:14">
      <c r="A10" s="726" t="s">
        <v>240</v>
      </c>
      <c r="B10" s="727" t="s">
        <v>332</v>
      </c>
      <c r="C10" s="728">
        <v>2001211142620</v>
      </c>
      <c r="D10" s="724">
        <f>D8+1</f>
        <v>5</v>
      </c>
      <c r="E10" s="815">
        <v>940305.18</v>
      </c>
      <c r="F10" s="729">
        <f>'Reval rates'!$C$15</f>
        <v>0.15418627877974841</v>
      </c>
      <c r="G10" s="457">
        <f>E10*F10</f>
        <v>144982.15662152151</v>
      </c>
      <c r="J10" s="375"/>
      <c r="N10" s="375"/>
    </row>
    <row r="11" spans="1:14">
      <c r="A11" s="726" t="s">
        <v>235</v>
      </c>
      <c r="B11" s="727" t="s">
        <v>328</v>
      </c>
      <c r="C11" s="728">
        <v>2001211147105</v>
      </c>
      <c r="D11" s="724">
        <f>D10+1</f>
        <v>6</v>
      </c>
      <c r="E11" s="815">
        <v>395177.15</v>
      </c>
      <c r="F11" s="359">
        <f>VLOOKUP(A11,[8]Rates!$A$1:$B$23,2,0)</f>
        <v>136</v>
      </c>
      <c r="G11" s="457">
        <f>E11*F11</f>
        <v>53744092.400000006</v>
      </c>
      <c r="J11" s="375"/>
      <c r="L11" s="498"/>
      <c r="M11" s="499"/>
      <c r="N11" s="375"/>
    </row>
    <row r="12" spans="1:14" ht="15.75">
      <c r="A12" s="1548" t="s">
        <v>333</v>
      </c>
      <c r="B12" s="1548"/>
      <c r="C12" s="1548"/>
      <c r="D12" s="1548"/>
      <c r="E12" s="1548"/>
      <c r="F12" s="359"/>
      <c r="G12" s="457"/>
      <c r="J12" s="375"/>
      <c r="M12" s="499"/>
      <c r="N12" s="375"/>
    </row>
    <row r="13" spans="1:14">
      <c r="A13" s="726" t="s">
        <v>242</v>
      </c>
      <c r="B13" s="727" t="s">
        <v>334</v>
      </c>
      <c r="C13" s="728">
        <v>3006211122927</v>
      </c>
      <c r="D13" s="724">
        <f>D11+1</f>
        <v>7</v>
      </c>
      <c r="E13" s="815">
        <v>700074.47</v>
      </c>
      <c r="F13" s="359">
        <f>VLOOKUP(A13,[8]Rates!$A$1:$B$23,2,0)</f>
        <v>5.7870370325945067E-2</v>
      </c>
      <c r="G13" s="457">
        <f>E13*F13</f>
        <v>40513.568834639722</v>
      </c>
      <c r="J13" s="375"/>
      <c r="M13" s="499"/>
      <c r="N13" s="375"/>
    </row>
    <row r="14" spans="1:14">
      <c r="A14" s="726" t="s">
        <v>235</v>
      </c>
      <c r="B14" s="727" t="s">
        <v>328</v>
      </c>
      <c r="C14" s="728">
        <v>3006211122928</v>
      </c>
      <c r="D14" s="724">
        <f>D13+1</f>
        <v>8</v>
      </c>
      <c r="E14" s="815">
        <v>412983.21</v>
      </c>
      <c r="F14" s="359">
        <f>VLOOKUP(A14,[8]Rates!$A$1:$B$23,2,0)</f>
        <v>136</v>
      </c>
      <c r="G14" s="457">
        <f>E14*F14</f>
        <v>56165716.560000002</v>
      </c>
      <c r="J14" s="375"/>
      <c r="M14" s="499"/>
      <c r="N14" s="375"/>
    </row>
    <row r="15" spans="1:14">
      <c r="A15" s="726" t="s">
        <v>239</v>
      </c>
      <c r="B15" s="727" t="s">
        <v>329</v>
      </c>
      <c r="C15" s="728">
        <v>3006211122931</v>
      </c>
      <c r="D15" s="724">
        <f>D14+1</f>
        <v>9</v>
      </c>
      <c r="E15" s="815">
        <v>2630.33</v>
      </c>
      <c r="F15" s="359">
        <f>VLOOKUP(A15,[8]Rates!$A$1:$B$23,2,0)</f>
        <v>149.65000000004832</v>
      </c>
      <c r="G15" s="457">
        <f>E15*F15</f>
        <v>393628.88450012711</v>
      </c>
      <c r="J15" s="375"/>
      <c r="M15" s="499"/>
      <c r="N15" s="375"/>
    </row>
    <row r="16" spans="1:14">
      <c r="A16" s="726" t="s">
        <v>237</v>
      </c>
      <c r="B16" s="727" t="s">
        <v>330</v>
      </c>
      <c r="C16" s="728">
        <v>3006211122930</v>
      </c>
      <c r="D16" s="724">
        <f>D15+1</f>
        <v>10</v>
      </c>
      <c r="E16" s="815">
        <v>0</v>
      </c>
      <c r="F16" s="359">
        <f>VLOOKUP(A16,[8]Rates!$A$1:$B$23,2,0)</f>
        <v>170.05442000000002</v>
      </c>
      <c r="G16" s="457">
        <f>E16*F16</f>
        <v>0</v>
      </c>
      <c r="J16" s="375"/>
      <c r="L16" s="498"/>
      <c r="M16" s="499"/>
      <c r="N16" s="375"/>
    </row>
    <row r="17" spans="1:14" s="675" customFormat="1" ht="15.75">
      <c r="A17" s="1548" t="s">
        <v>335</v>
      </c>
      <c r="B17" s="1548"/>
      <c r="C17" s="1548"/>
      <c r="D17" s="1548"/>
      <c r="E17" s="1548"/>
      <c r="F17" s="673"/>
      <c r="G17" s="714"/>
      <c r="J17" s="375"/>
      <c r="M17" s="715"/>
      <c r="N17" s="375"/>
    </row>
    <row r="18" spans="1:14">
      <c r="A18" s="726" t="s">
        <v>241</v>
      </c>
      <c r="B18" s="727" t="s">
        <v>336</v>
      </c>
      <c r="C18" s="728">
        <v>4002200200380</v>
      </c>
      <c r="D18" s="724">
        <f>D16+1</f>
        <v>11</v>
      </c>
      <c r="E18" s="815">
        <v>34165127.409999996</v>
      </c>
      <c r="F18" s="359">
        <f>VLOOKUP(A18,[8]Rates!$A$1:$B$23,2,0)</f>
        <v>0.12191584036941759</v>
      </c>
      <c r="G18" s="457">
        <f>E18*F18</f>
        <v>4165270.2195183733</v>
      </c>
      <c r="J18" s="375"/>
      <c r="M18" s="499"/>
      <c r="N18" s="375"/>
    </row>
    <row r="19" spans="1:14">
      <c r="A19" s="726" t="s">
        <v>235</v>
      </c>
      <c r="B19" s="727" t="s">
        <v>328</v>
      </c>
      <c r="C19" s="728">
        <v>4002200200381</v>
      </c>
      <c r="D19" s="724">
        <f>D18+1</f>
        <v>12</v>
      </c>
      <c r="E19" s="815">
        <v>79446.820000000007</v>
      </c>
      <c r="F19" s="359">
        <f>VLOOKUP(A19,[8]Rates!$A$1:$B$23,2,0)</f>
        <v>136</v>
      </c>
      <c r="G19" s="457">
        <f>E19*F19</f>
        <v>10804767.520000001</v>
      </c>
      <c r="J19" s="375"/>
      <c r="M19" s="499"/>
      <c r="N19" s="375"/>
    </row>
    <row r="20" spans="1:14">
      <c r="A20" s="726" t="s">
        <v>239</v>
      </c>
      <c r="B20" s="727" t="s">
        <v>329</v>
      </c>
      <c r="C20" s="728">
        <v>4002200200383</v>
      </c>
      <c r="D20" s="724">
        <f>D19+1</f>
        <v>13</v>
      </c>
      <c r="E20" s="815">
        <v>37196.86</v>
      </c>
      <c r="F20" s="359">
        <f>VLOOKUP(A20,[8]Rates!$A$1:$B$23,2,0)</f>
        <v>149.65000000004832</v>
      </c>
      <c r="G20" s="457">
        <f>E20*F20</f>
        <v>5566510.0990017978</v>
      </c>
      <c r="J20" s="375"/>
      <c r="M20" s="499"/>
      <c r="N20" s="375"/>
    </row>
    <row r="21" spans="1:14">
      <c r="A21" s="726" t="s">
        <v>237</v>
      </c>
      <c r="B21" s="727" t="s">
        <v>337</v>
      </c>
      <c r="C21" s="728">
        <v>4002200200382</v>
      </c>
      <c r="D21" s="724">
        <f>D20+1</f>
        <v>14</v>
      </c>
      <c r="E21" s="815">
        <v>7651.4</v>
      </c>
      <c r="F21" s="359">
        <f>VLOOKUP(A21,[8]Rates!$A$1:$B$23,2,0)</f>
        <v>170.05442000000002</v>
      </c>
      <c r="G21" s="457">
        <f>E21*F21</f>
        <v>1301154.389188</v>
      </c>
      <c r="J21" s="375"/>
      <c r="L21" s="498"/>
      <c r="M21" s="499"/>
      <c r="N21" s="375"/>
    </row>
    <row r="22" spans="1:14" ht="15.75">
      <c r="A22" s="1549"/>
      <c r="B22" s="1549"/>
      <c r="C22" s="1549"/>
      <c r="D22" s="1549"/>
      <c r="E22" s="1549"/>
      <c r="F22" s="359"/>
      <c r="G22" s="641">
        <f>SUM(G5:G21)</f>
        <v>3011415384.9812078</v>
      </c>
      <c r="H22">
        <v>1246434406</v>
      </c>
      <c r="I22" s="457">
        <f>G22-H22</f>
        <v>1764980978.9812078</v>
      </c>
      <c r="J22" s="375"/>
      <c r="M22" s="499"/>
      <c r="N22" s="375"/>
    </row>
    <row r="23" spans="1:14">
      <c r="A23" s="675"/>
      <c r="B23" s="675"/>
      <c r="C23" s="675"/>
      <c r="D23" s="676"/>
      <c r="F23" s="359"/>
      <c r="G23" s="457"/>
      <c r="J23" s="375"/>
      <c r="M23" s="499"/>
      <c r="N23" s="375"/>
    </row>
    <row r="24" spans="1:14">
      <c r="A24" s="730" t="s">
        <v>350</v>
      </c>
      <c r="B24" s="675"/>
      <c r="C24" s="675"/>
      <c r="D24" s="676"/>
      <c r="F24" s="359"/>
      <c r="G24" s="457"/>
      <c r="J24" s="375"/>
      <c r="M24" s="499"/>
      <c r="N24" s="375"/>
    </row>
    <row r="25" spans="1:14" ht="15.75">
      <c r="A25" s="1559" t="s">
        <v>338</v>
      </c>
      <c r="B25" s="1559"/>
      <c r="C25" s="1559"/>
      <c r="D25" s="720"/>
      <c r="E25" s="721">
        <f>E2</f>
        <v>45046</v>
      </c>
      <c r="F25" s="359"/>
      <c r="G25" s="457"/>
      <c r="J25" s="375"/>
      <c r="M25" s="499"/>
      <c r="N25" s="375"/>
    </row>
    <row r="26" spans="1:14" ht="15.75">
      <c r="A26" s="722" t="s">
        <v>322</v>
      </c>
      <c r="B26" s="722" t="s">
        <v>323</v>
      </c>
      <c r="C26" s="723" t="s">
        <v>324</v>
      </c>
      <c r="D26" s="724"/>
      <c r="E26" s="725" t="s">
        <v>325</v>
      </c>
      <c r="F26" s="359"/>
      <c r="G26" s="457"/>
      <c r="J26" s="375"/>
      <c r="M26" s="499"/>
      <c r="N26" s="375"/>
    </row>
    <row r="27" spans="1:14" ht="15.75">
      <c r="A27" s="1548" t="s">
        <v>326</v>
      </c>
      <c r="B27" s="1548"/>
      <c r="C27" s="1548"/>
      <c r="D27" s="1548"/>
      <c r="E27" s="1548"/>
      <c r="F27" s="359"/>
      <c r="G27" s="457" t="s">
        <v>435</v>
      </c>
      <c r="J27" s="375"/>
      <c r="M27" s="499"/>
      <c r="N27" s="375"/>
    </row>
    <row r="28" spans="1:14">
      <c r="A28" s="726" t="s">
        <v>236</v>
      </c>
      <c r="B28" s="726" t="s">
        <v>339</v>
      </c>
      <c r="C28" s="728" t="s">
        <v>271</v>
      </c>
      <c r="D28" s="724">
        <v>1</v>
      </c>
      <c r="E28" s="815">
        <v>25697444.09</v>
      </c>
      <c r="F28" s="359">
        <f>VLOOKUP(A28,[8]Rates!$A$1:$B$23,2,0)</f>
        <v>1</v>
      </c>
      <c r="G28" s="457">
        <f>E28*F28</f>
        <v>25697444.09</v>
      </c>
      <c r="J28" s="375"/>
      <c r="M28" s="499"/>
      <c r="N28" s="375"/>
    </row>
    <row r="29" spans="1:14">
      <c r="A29" s="726" t="s">
        <v>235</v>
      </c>
      <c r="B29" s="726" t="s">
        <v>340</v>
      </c>
      <c r="C29" s="728" t="s">
        <v>274</v>
      </c>
      <c r="D29" s="724">
        <v>2</v>
      </c>
      <c r="E29" s="815">
        <v>44137727.609999999</v>
      </c>
      <c r="F29" s="359">
        <f>VLOOKUP(A29,[8]Rates!$A$1:$B$23,2,0)</f>
        <v>136</v>
      </c>
      <c r="G29" s="457">
        <f>E29*F29</f>
        <v>6002730954.96</v>
      </c>
      <c r="J29" s="375"/>
      <c r="M29" s="499"/>
      <c r="N29" s="375"/>
    </row>
    <row r="30" spans="1:14">
      <c r="A30" s="726" t="s">
        <v>239</v>
      </c>
      <c r="B30" s="726" t="s">
        <v>341</v>
      </c>
      <c r="C30" s="728" t="s">
        <v>273</v>
      </c>
      <c r="D30" s="724">
        <v>3</v>
      </c>
      <c r="E30" s="815">
        <v>366575</v>
      </c>
      <c r="F30" s="359">
        <f>VLOOKUP(A30,[8]Rates!$A$1:$B$23,2,0)</f>
        <v>149.65000000004832</v>
      </c>
      <c r="G30" s="457">
        <f>E30*F30</f>
        <v>54857948.750017717</v>
      </c>
      <c r="J30" s="375"/>
      <c r="M30" s="499"/>
      <c r="N30" s="375"/>
    </row>
    <row r="31" spans="1:14">
      <c r="A31" s="726" t="s">
        <v>237</v>
      </c>
      <c r="B31" s="726" t="s">
        <v>342</v>
      </c>
      <c r="C31" s="728" t="s">
        <v>272</v>
      </c>
      <c r="D31" s="724">
        <v>4</v>
      </c>
      <c r="E31" s="815">
        <v>22044.66</v>
      </c>
      <c r="F31" s="359">
        <f>VLOOKUP(A31,[8]Rates!$A$1:$B$23,2,0)</f>
        <v>170.05442000000002</v>
      </c>
      <c r="G31" s="457">
        <f>E31*F31</f>
        <v>3748791.8703972003</v>
      </c>
      <c r="I31" s="498"/>
      <c r="J31" s="375"/>
      <c r="M31" s="499"/>
      <c r="N31" s="375"/>
    </row>
    <row r="32" spans="1:14" ht="15.75">
      <c r="A32" s="1548" t="s">
        <v>343</v>
      </c>
      <c r="B32" s="1548"/>
      <c r="C32" s="1548"/>
      <c r="D32" s="1548"/>
      <c r="E32" s="1548"/>
      <c r="F32" s="359"/>
      <c r="G32" s="457"/>
      <c r="J32" s="375"/>
      <c r="M32" s="499"/>
      <c r="N32" s="375"/>
    </row>
    <row r="33" spans="1:14">
      <c r="A33" s="726" t="s">
        <v>344</v>
      </c>
      <c r="B33" s="726" t="s">
        <v>345</v>
      </c>
      <c r="C33" s="728" t="s">
        <v>346</v>
      </c>
      <c r="D33" s="731">
        <v>5</v>
      </c>
      <c r="E33" s="815">
        <v>14755792.630000001</v>
      </c>
      <c r="F33" s="359">
        <f>VLOOKUP(A33,[8]Rates!$A$1:$B$23,2,0)</f>
        <v>3.6392772992675598E-2</v>
      </c>
      <c r="G33" s="457">
        <f>E33*F33</f>
        <v>537004.21151058562</v>
      </c>
      <c r="J33" s="375"/>
      <c r="M33" s="499"/>
      <c r="N33" s="375"/>
    </row>
    <row r="34" spans="1:14">
      <c r="A34" s="726" t="s">
        <v>235</v>
      </c>
      <c r="B34" s="726" t="s">
        <v>340</v>
      </c>
      <c r="C34" s="728" t="s">
        <v>347</v>
      </c>
      <c r="D34" s="731">
        <v>6</v>
      </c>
      <c r="E34" s="815">
        <v>34155699.729999997</v>
      </c>
      <c r="F34" s="359">
        <f>VLOOKUP(A34,[8]Rates!$A$1:$B$23,2,0)</f>
        <v>136</v>
      </c>
      <c r="G34" s="457">
        <f>E34*F34</f>
        <v>4645175163.2799997</v>
      </c>
      <c r="J34" s="375"/>
      <c r="M34" s="499"/>
      <c r="N34" s="375"/>
    </row>
    <row r="35" spans="1:14">
      <c r="A35" s="726" t="s">
        <v>239</v>
      </c>
      <c r="B35" s="726" t="s">
        <v>341</v>
      </c>
      <c r="C35" s="728" t="s">
        <v>348</v>
      </c>
      <c r="D35" s="731">
        <v>7</v>
      </c>
      <c r="E35" s="815">
        <v>315.37</v>
      </c>
      <c r="F35" s="359">
        <f>VLOOKUP(A35,[8]Rates!$A$1:$B$23,2,0)</f>
        <v>149.65000000004832</v>
      </c>
      <c r="G35" s="457">
        <f>E35*F35</f>
        <v>47195.12050001524</v>
      </c>
      <c r="J35" s="375"/>
      <c r="M35" s="499"/>
      <c r="N35" s="375"/>
    </row>
    <row r="36" spans="1:14">
      <c r="A36" s="726" t="s">
        <v>237</v>
      </c>
      <c r="B36" s="726" t="s">
        <v>342</v>
      </c>
      <c r="C36" s="728" t="s">
        <v>349</v>
      </c>
      <c r="D36" s="731">
        <v>8</v>
      </c>
      <c r="E36" s="815">
        <v>829.02</v>
      </c>
      <c r="F36" s="359">
        <f>VLOOKUP(A36,[8]Rates!$A$1:$B$23,2,0)</f>
        <v>170.05442000000002</v>
      </c>
      <c r="G36" s="457">
        <f>E36*F36</f>
        <v>140978.51526840002</v>
      </c>
      <c r="J36" s="375"/>
      <c r="L36" s="498"/>
      <c r="M36" s="499"/>
      <c r="N36" s="375"/>
    </row>
    <row r="37" spans="1:14">
      <c r="A37" s="675"/>
      <c r="B37" s="675"/>
      <c r="C37" s="675"/>
      <c r="D37" s="676"/>
      <c r="F37" s="359"/>
      <c r="G37" s="641">
        <f>SUM(G28:G36)</f>
        <v>10732935480.797695</v>
      </c>
      <c r="H37" s="642">
        <v>4841402000</v>
      </c>
      <c r="I37" s="457">
        <f>G37-H37</f>
        <v>5891533480.7976952</v>
      </c>
      <c r="J37" s="375"/>
      <c r="N37" s="375"/>
    </row>
    <row r="38" spans="1:14">
      <c r="A38" s="730" t="s">
        <v>352</v>
      </c>
      <c r="B38" s="675"/>
      <c r="C38" s="675"/>
      <c r="D38" s="676"/>
      <c r="F38" s="359"/>
      <c r="G38" s="457"/>
      <c r="J38" s="375"/>
      <c r="N38" s="375"/>
    </row>
    <row r="39" spans="1:14" ht="15.75">
      <c r="A39" s="1548" t="s">
        <v>326</v>
      </c>
      <c r="B39" s="1548"/>
      <c r="C39" s="1548"/>
      <c r="D39" s="1548"/>
      <c r="E39" s="1548"/>
      <c r="F39" s="359"/>
      <c r="G39" s="457"/>
      <c r="J39" s="375"/>
      <c r="N39" s="375"/>
    </row>
    <row r="40" spans="1:14">
      <c r="A40" s="726" t="s">
        <v>235</v>
      </c>
      <c r="B40" s="726" t="s">
        <v>351</v>
      </c>
      <c r="C40" s="728" t="s">
        <v>535</v>
      </c>
      <c r="D40" s="731">
        <v>1</v>
      </c>
      <c r="E40" s="729">
        <v>0</v>
      </c>
      <c r="F40" s="359">
        <f>VLOOKUP(A40,[8]Rates!$A$1:$B$23,2,0)</f>
        <v>136</v>
      </c>
      <c r="G40" s="641">
        <f>E40*F40</f>
        <v>0</v>
      </c>
      <c r="H40" s="851" t="s">
        <v>645</v>
      </c>
      <c r="I40" s="498"/>
      <c r="J40" s="375"/>
      <c r="N40" s="375"/>
    </row>
    <row r="41" spans="1:14">
      <c r="A41" s="675"/>
      <c r="B41" s="675"/>
      <c r="C41" s="675"/>
      <c r="D41" s="676"/>
      <c r="F41" s="359"/>
      <c r="G41" s="457"/>
      <c r="J41" s="375"/>
      <c r="N41" s="375"/>
    </row>
    <row r="42" spans="1:14" ht="15.75" thickBot="1">
      <c r="A42" s="719" t="s">
        <v>256</v>
      </c>
      <c r="B42" s="675"/>
      <c r="C42" s="675"/>
      <c r="D42" s="676"/>
      <c r="F42" s="359"/>
      <c r="G42" s="457"/>
      <c r="J42" s="375"/>
      <c r="N42" s="375"/>
    </row>
    <row r="43" spans="1:14" ht="15.75">
      <c r="A43" s="1560" t="s">
        <v>353</v>
      </c>
      <c r="B43" s="1561"/>
      <c r="C43" s="1562"/>
      <c r="D43" s="732"/>
      <c r="E43" s="721">
        <f>E25</f>
        <v>45046</v>
      </c>
      <c r="F43" s="359"/>
      <c r="G43" s="457"/>
      <c r="J43" s="375"/>
      <c r="N43" s="375"/>
    </row>
    <row r="44" spans="1:14">
      <c r="A44" s="733" t="s">
        <v>322</v>
      </c>
      <c r="B44" s="733" t="s">
        <v>323</v>
      </c>
      <c r="C44" s="734" t="s">
        <v>324</v>
      </c>
      <c r="D44" s="735"/>
      <c r="E44" s="736" t="s">
        <v>325</v>
      </c>
      <c r="F44" s="359"/>
      <c r="G44" s="457"/>
      <c r="J44" s="375"/>
      <c r="N44" s="375"/>
    </row>
    <row r="45" spans="1:14">
      <c r="A45" s="737" t="s">
        <v>236</v>
      </c>
      <c r="B45" s="360" t="s">
        <v>354</v>
      </c>
      <c r="C45" s="738" t="s">
        <v>263</v>
      </c>
      <c r="D45" s="739">
        <v>1</v>
      </c>
      <c r="E45" s="815">
        <v>182876.89</v>
      </c>
      <c r="F45" s="359">
        <f>VLOOKUP(A45,[8]Rates!$A$1:$B$23,2,0)</f>
        <v>1</v>
      </c>
      <c r="G45" s="457">
        <f>E45*F45</f>
        <v>182876.89</v>
      </c>
      <c r="J45" s="375"/>
      <c r="N45" s="375"/>
    </row>
    <row r="46" spans="1:14">
      <c r="A46" s="740" t="s">
        <v>235</v>
      </c>
      <c r="B46" s="361" t="s">
        <v>354</v>
      </c>
      <c r="C46" s="741" t="s">
        <v>266</v>
      </c>
      <c r="D46" s="735">
        <f>D45+1</f>
        <v>2</v>
      </c>
      <c r="E46" s="815">
        <v>2494088.61</v>
      </c>
      <c r="F46" s="359">
        <f>VLOOKUP(A46,[8]Rates!$A$1:$B$23,2,0)</f>
        <v>136</v>
      </c>
      <c r="G46" s="457">
        <f>E46*F46</f>
        <v>339196050.95999998</v>
      </c>
      <c r="J46" s="375"/>
      <c r="N46" s="375"/>
    </row>
    <row r="47" spans="1:14">
      <c r="A47" s="737" t="s">
        <v>239</v>
      </c>
      <c r="B47" s="360" t="s">
        <v>354</v>
      </c>
      <c r="C47" s="738" t="s">
        <v>265</v>
      </c>
      <c r="D47" s="735">
        <f>D46+1</f>
        <v>3</v>
      </c>
      <c r="E47" s="815">
        <v>665873.49</v>
      </c>
      <c r="F47" s="359">
        <f>VLOOKUP(A47,[8]Rates!$A$1:$B$23,2,0)</f>
        <v>149.65000000004832</v>
      </c>
      <c r="G47" s="457">
        <f>E47*F47</f>
        <v>99647967.778532177</v>
      </c>
      <c r="H47" s="729"/>
      <c r="J47" s="375"/>
      <c r="N47" s="375"/>
    </row>
    <row r="48" spans="1:14">
      <c r="A48" s="737" t="s">
        <v>237</v>
      </c>
      <c r="B48" s="360" t="s">
        <v>354</v>
      </c>
      <c r="C48" s="738" t="s">
        <v>264</v>
      </c>
      <c r="D48" s="735">
        <f>D47+1</f>
        <v>4</v>
      </c>
      <c r="E48" s="815">
        <v>45099.53</v>
      </c>
      <c r="F48" s="359">
        <f>VLOOKUP(A48,[8]Rates!$A$1:$B$23,2,0)</f>
        <v>170.05442000000002</v>
      </c>
      <c r="G48" s="457">
        <f>E48*F48</f>
        <v>7669374.4164226009</v>
      </c>
      <c r="I48" s="498"/>
      <c r="J48" s="375"/>
      <c r="N48" s="375"/>
    </row>
    <row r="49" spans="1:14">
      <c r="A49" s="1557" t="s">
        <v>355</v>
      </c>
      <c r="B49" s="1558"/>
      <c r="C49" s="1563"/>
      <c r="D49" s="742"/>
      <c r="E49" s="743"/>
      <c r="F49" s="359"/>
      <c r="G49" s="457"/>
      <c r="J49" s="375"/>
      <c r="N49" s="375"/>
    </row>
    <row r="50" spans="1:14">
      <c r="A50" s="737" t="s">
        <v>344</v>
      </c>
      <c r="B50" s="360" t="s">
        <v>354</v>
      </c>
      <c r="C50" s="744">
        <v>1003200640509</v>
      </c>
      <c r="D50" s="735">
        <f>D48+1</f>
        <v>5</v>
      </c>
      <c r="E50" s="815">
        <v>5164299.8899999997</v>
      </c>
      <c r="F50" s="359">
        <f>VLOOKUP(A50,[8]Rates!$A$1:$B$23,2,0)</f>
        <v>3.6392772992675598E-2</v>
      </c>
      <c r="G50" s="457">
        <f>E50*F50</f>
        <v>187943.19356286956</v>
      </c>
      <c r="H50" t="s">
        <v>473</v>
      </c>
      <c r="J50" s="375"/>
      <c r="N50" s="375"/>
    </row>
    <row r="51" spans="1:14">
      <c r="A51" s="737" t="s">
        <v>235</v>
      </c>
      <c r="B51" s="360" t="s">
        <v>354</v>
      </c>
      <c r="C51" s="744">
        <v>1003200640512</v>
      </c>
      <c r="D51" s="735">
        <f>D50+1</f>
        <v>6</v>
      </c>
      <c r="E51" s="815">
        <v>11659.28</v>
      </c>
      <c r="F51" s="359">
        <f>VLOOKUP(A51,[8]Rates!$A$1:$B$23,2,0)</f>
        <v>136</v>
      </c>
      <c r="G51" s="457">
        <f>E51*F51</f>
        <v>1585662.08</v>
      </c>
      <c r="J51" s="375"/>
      <c r="N51" s="375"/>
    </row>
    <row r="52" spans="1:14">
      <c r="A52" s="737" t="s">
        <v>239</v>
      </c>
      <c r="B52" s="360" t="s">
        <v>354</v>
      </c>
      <c r="C52" s="744">
        <v>1003200640514</v>
      </c>
      <c r="D52" s="735">
        <f>D51+1</f>
        <v>7</v>
      </c>
      <c r="E52" s="684">
        <v>0</v>
      </c>
      <c r="F52" s="359">
        <f>VLOOKUP(A52,[8]Rates!$A$1:$B$23,2,0)</f>
        <v>149.65000000004832</v>
      </c>
      <c r="G52" s="457">
        <f>E52*F52</f>
        <v>0</v>
      </c>
      <c r="H52" s="851" t="s">
        <v>645</v>
      </c>
      <c r="J52" s="375"/>
      <c r="N52" s="375"/>
    </row>
    <row r="53" spans="1:14">
      <c r="A53" s="737" t="s">
        <v>237</v>
      </c>
      <c r="B53" s="360" t="s">
        <v>354</v>
      </c>
      <c r="C53" s="744">
        <v>1003200640513</v>
      </c>
      <c r="D53" s="735">
        <f>D52+1</f>
        <v>8</v>
      </c>
      <c r="E53" s="684"/>
      <c r="F53" s="359">
        <f>VLOOKUP(A53,[8]Rates!$A$1:$B$23,2,0)</f>
        <v>170.05442000000002</v>
      </c>
      <c r="G53" s="457">
        <f>E53*F53</f>
        <v>0</v>
      </c>
      <c r="J53" s="375"/>
      <c r="N53" s="375"/>
    </row>
    <row r="54" spans="1:14" ht="15.75" thickBot="1">
      <c r="A54" s="1554" t="s">
        <v>356</v>
      </c>
      <c r="B54" s="1555"/>
      <c r="C54" s="1556"/>
      <c r="D54" s="745"/>
      <c r="E54" s="364"/>
      <c r="F54" s="359"/>
      <c r="G54" s="457"/>
      <c r="J54" s="375"/>
      <c r="N54" s="375"/>
    </row>
    <row r="55" spans="1:14" ht="15.75" thickBot="1">
      <c r="A55" s="746" t="s">
        <v>241</v>
      </c>
      <c r="B55" s="362" t="s">
        <v>354</v>
      </c>
      <c r="C55" s="747">
        <v>4002200201367</v>
      </c>
      <c r="D55" s="735">
        <f>D53+1</f>
        <v>9</v>
      </c>
      <c r="E55" s="815">
        <v>7909102.04</v>
      </c>
      <c r="F55" s="359">
        <f>VLOOKUP(A55,[8]Rates!$A$1:$B$23,2,0)</f>
        <v>0.12191584036941759</v>
      </c>
      <c r="G55" s="457">
        <f>E55*F55</f>
        <v>964244.82177407504</v>
      </c>
      <c r="J55" s="375"/>
      <c r="N55" s="375"/>
    </row>
    <row r="56" spans="1:14" ht="15.75" thickBot="1">
      <c r="A56" s="748" t="s">
        <v>235</v>
      </c>
      <c r="B56" s="363" t="s">
        <v>354</v>
      </c>
      <c r="C56" s="747">
        <v>4002200201369</v>
      </c>
      <c r="D56" s="735">
        <f>D55+1</f>
        <v>10</v>
      </c>
      <c r="E56" s="815">
        <v>100000</v>
      </c>
      <c r="F56" s="359">
        <f>VLOOKUP(A56,[8]Rates!$A$1:$B$23,2,0)</f>
        <v>136</v>
      </c>
      <c r="G56" s="457">
        <f>E56*F56</f>
        <v>13600000</v>
      </c>
      <c r="J56" s="375"/>
      <c r="N56" s="375"/>
    </row>
    <row r="57" spans="1:14" ht="15.75" thickBot="1">
      <c r="A57" s="1557" t="s">
        <v>357</v>
      </c>
      <c r="B57" s="1558"/>
      <c r="C57" s="1558"/>
      <c r="D57" s="749"/>
      <c r="E57" s="364"/>
      <c r="F57" s="359"/>
      <c r="G57" s="457"/>
      <c r="J57" s="375"/>
      <c r="N57" s="375"/>
    </row>
    <row r="58" spans="1:14">
      <c r="A58" s="750" t="s">
        <v>240</v>
      </c>
      <c r="B58" s="362" t="s">
        <v>354</v>
      </c>
      <c r="C58" s="747">
        <v>2001211167726</v>
      </c>
      <c r="D58" s="751">
        <v>11</v>
      </c>
      <c r="E58" s="752">
        <v>0</v>
      </c>
      <c r="F58" s="775">
        <f>'Reval rates'!$C$15</f>
        <v>0.15418627877974841</v>
      </c>
      <c r="G58" s="457">
        <f>E58*F58</f>
        <v>0</v>
      </c>
      <c r="J58" s="375"/>
      <c r="N58" s="375"/>
    </row>
    <row r="59" spans="1:14">
      <c r="A59" s="753" t="s">
        <v>235</v>
      </c>
      <c r="B59" s="360" t="s">
        <v>354</v>
      </c>
      <c r="C59" s="754">
        <v>2001211167729</v>
      </c>
      <c r="D59" s="755">
        <f>D58+1</f>
        <v>12</v>
      </c>
      <c r="E59" s="815">
        <v>217960.81</v>
      </c>
      <c r="F59" s="359">
        <f>VLOOKUP(A59,[8]Rates!$A$1:$B$23,2,0)</f>
        <v>136</v>
      </c>
      <c r="G59" s="457">
        <f>E59*F59</f>
        <v>29642670.16</v>
      </c>
      <c r="H59" s="729"/>
      <c r="J59" s="375"/>
      <c r="N59" s="375"/>
    </row>
    <row r="60" spans="1:14">
      <c r="A60" s="753" t="s">
        <v>239</v>
      </c>
      <c r="B60" s="360" t="s">
        <v>354</v>
      </c>
      <c r="C60" s="744">
        <v>2001211167733</v>
      </c>
      <c r="D60" s="755">
        <f>D59+1</f>
        <v>13</v>
      </c>
      <c r="E60" s="661">
        <v>0</v>
      </c>
      <c r="F60" s="359">
        <f>VLOOKUP(A60,[8]Rates!$A$1:$B$23,2,0)</f>
        <v>149.65000000004832</v>
      </c>
      <c r="G60" s="457">
        <f>E60*F60</f>
        <v>0</v>
      </c>
      <c r="J60" s="375"/>
      <c r="N60" s="375"/>
    </row>
    <row r="61" spans="1:14" ht="15.75" thickBot="1">
      <c r="A61" s="756" t="s">
        <v>237</v>
      </c>
      <c r="B61" s="363" t="s">
        <v>354</v>
      </c>
      <c r="C61" s="744">
        <v>2001211167730</v>
      </c>
      <c r="D61" s="757">
        <f>D60+1</f>
        <v>14</v>
      </c>
      <c r="E61" s="662">
        <v>0</v>
      </c>
      <c r="F61" s="359">
        <f>VLOOKUP(A61,[8]Rates!$A$1:$B$23,2,0)</f>
        <v>170.05442000000002</v>
      </c>
      <c r="G61" s="457">
        <f>E61*F61</f>
        <v>0</v>
      </c>
      <c r="J61" s="375"/>
      <c r="N61" s="375"/>
    </row>
    <row r="62" spans="1:14" ht="15.75" thickBot="1">
      <c r="A62" s="675"/>
      <c r="B62" s="675"/>
      <c r="C62" s="675"/>
      <c r="D62" s="676"/>
      <c r="F62" s="359"/>
      <c r="G62" s="641">
        <f>SUM(G45:G61)</f>
        <v>492676790.30029172</v>
      </c>
      <c r="H62">
        <v>467659187</v>
      </c>
      <c r="I62" s="457">
        <f>G62-H62</f>
        <v>25017603.300291717</v>
      </c>
      <c r="J62" s="375"/>
      <c r="N62" s="375"/>
    </row>
    <row r="63" spans="1:14" ht="16.5" thickBot="1">
      <c r="A63" s="674" t="s">
        <v>285</v>
      </c>
      <c r="B63" s="675"/>
      <c r="C63" s="675"/>
      <c r="D63" s="676"/>
      <c r="E63" s="721">
        <f>E43</f>
        <v>45046</v>
      </c>
      <c r="F63" s="359"/>
      <c r="G63" s="457"/>
      <c r="J63" s="375"/>
      <c r="N63" s="375"/>
    </row>
    <row r="64" spans="1:14" ht="15.75" thickBot="1">
      <c r="A64" s="677" t="s">
        <v>236</v>
      </c>
      <c r="B64" s="678" t="s">
        <v>487</v>
      </c>
      <c r="C64" s="679" t="s">
        <v>488</v>
      </c>
      <c r="D64" s="680"/>
      <c r="E64" s="815">
        <v>7021582.9900000002</v>
      </c>
      <c r="F64" s="359">
        <f>VLOOKUP(A64,[8]Rates!$A$1:$B$23,2,0)</f>
        <v>1</v>
      </c>
      <c r="G64" s="457">
        <f>E64*F64</f>
        <v>7021582.9900000002</v>
      </c>
      <c r="J64" s="375"/>
      <c r="N64" s="375"/>
    </row>
    <row r="65" spans="1:14" ht="15.75" thickBot="1">
      <c r="A65" s="677" t="s">
        <v>235</v>
      </c>
      <c r="B65" s="678" t="s">
        <v>487</v>
      </c>
      <c r="C65" s="679" t="s">
        <v>489</v>
      </c>
      <c r="D65" s="680"/>
      <c r="E65" s="815">
        <v>14316928.18</v>
      </c>
      <c r="F65" s="359">
        <f>VLOOKUP(A65,[8]Rates!$A$1:$B$23,2,0)</f>
        <v>136</v>
      </c>
      <c r="G65" s="457">
        <f t="shared" ref="G65:G77" si="0">E65*F65</f>
        <v>1947102232.48</v>
      </c>
      <c r="J65" s="375"/>
      <c r="N65" s="375"/>
    </row>
    <row r="66" spans="1:14" ht="15.75" thickBot="1">
      <c r="A66" s="677" t="s">
        <v>239</v>
      </c>
      <c r="B66" s="678" t="s">
        <v>487</v>
      </c>
      <c r="C66" s="679" t="s">
        <v>490</v>
      </c>
      <c r="D66" s="680"/>
      <c r="E66" s="815">
        <v>3755889.63</v>
      </c>
      <c r="F66" s="359">
        <f>VLOOKUP(A66,[8]Rates!$A$1:$B$23,2,0)</f>
        <v>149.65000000004832</v>
      </c>
      <c r="G66" s="457">
        <f t="shared" si="0"/>
        <v>562068883.12968147</v>
      </c>
      <c r="J66" s="375"/>
      <c r="N66" s="375"/>
    </row>
    <row r="67" spans="1:14" ht="15.75" thickBot="1">
      <c r="A67" s="677" t="s">
        <v>237</v>
      </c>
      <c r="B67" s="678" t="s">
        <v>487</v>
      </c>
      <c r="C67" s="679" t="s">
        <v>491</v>
      </c>
      <c r="D67" s="680"/>
      <c r="E67" s="815">
        <v>69597.37</v>
      </c>
      <c r="F67" s="359">
        <f>VLOOKUP(A67,[8]Rates!$A$1:$B$23,2,0)</f>
        <v>170.05442000000002</v>
      </c>
      <c r="G67" s="457">
        <f t="shared" si="0"/>
        <v>11835340.388875401</v>
      </c>
      <c r="I67" s="498"/>
      <c r="J67" s="375"/>
      <c r="N67" s="375"/>
    </row>
    <row r="68" spans="1:14" ht="15.75" thickBot="1">
      <c r="A68" s="678"/>
      <c r="B68" s="675"/>
      <c r="C68" s="678"/>
      <c r="D68" s="680"/>
      <c r="E68" s="678"/>
      <c r="F68" s="359"/>
      <c r="G68" s="457"/>
      <c r="J68" s="375"/>
      <c r="N68" s="375"/>
    </row>
    <row r="69" spans="1:14" ht="15.75" thickBot="1">
      <c r="A69" s="677" t="s">
        <v>239</v>
      </c>
      <c r="B69" s="678" t="s">
        <v>487</v>
      </c>
      <c r="C69" s="681" t="s">
        <v>492</v>
      </c>
      <c r="D69" s="680"/>
      <c r="E69" s="815">
        <v>3554.25</v>
      </c>
      <c r="F69" s="359">
        <f>VLOOKUP(A69,[8]Rates!$A$1:$B$23,2,0)</f>
        <v>149.65000000004832</v>
      </c>
      <c r="G69" s="457">
        <f>E69*F69</f>
        <v>531893.51250017178</v>
      </c>
      <c r="J69" s="375"/>
      <c r="N69" s="375"/>
    </row>
    <row r="70" spans="1:14" ht="15.75" thickBot="1">
      <c r="A70" s="682" t="s">
        <v>237</v>
      </c>
      <c r="B70" s="678" t="s">
        <v>487</v>
      </c>
      <c r="C70" s="681" t="s">
        <v>493</v>
      </c>
      <c r="D70" s="680"/>
      <c r="E70" s="815">
        <v>6157.95</v>
      </c>
      <c r="F70" s="359">
        <f>VLOOKUP(A70,[8]Rates!$A$1:$B$23,2,0)</f>
        <v>170.05442000000002</v>
      </c>
      <c r="G70" s="457">
        <f t="shared" si="0"/>
        <v>1047186.6156390001</v>
      </c>
      <c r="H70" s="815"/>
      <c r="J70" s="375"/>
      <c r="N70" s="375"/>
    </row>
    <row r="71" spans="1:14" ht="15.75" thickBot="1">
      <c r="A71" s="682" t="s">
        <v>344</v>
      </c>
      <c r="B71" s="678" t="s">
        <v>487</v>
      </c>
      <c r="C71" s="681" t="s">
        <v>494</v>
      </c>
      <c r="D71" s="680"/>
      <c r="E71" s="815">
        <v>372480420.87</v>
      </c>
      <c r="F71" s="359">
        <f>VLOOKUP(A71,[8]Rates!$A$1:$B$23,2,0)</f>
        <v>3.6392772992675598E-2</v>
      </c>
      <c r="G71" s="457">
        <f>E71*F71</f>
        <v>13555595.400938176</v>
      </c>
      <c r="J71" s="375"/>
      <c r="N71" s="375"/>
    </row>
    <row r="72" spans="1:14" ht="15.75" thickBot="1">
      <c r="A72" s="682" t="s">
        <v>235</v>
      </c>
      <c r="B72" s="678" t="s">
        <v>487</v>
      </c>
      <c r="C72" s="681" t="s">
        <v>495</v>
      </c>
      <c r="D72" s="680"/>
      <c r="E72" s="815">
        <v>1329448.93</v>
      </c>
      <c r="F72" s="359">
        <f>VLOOKUP(A72,[8]Rates!$A$1:$B$23,2,0)</f>
        <v>136</v>
      </c>
      <c r="G72" s="457">
        <f t="shared" si="0"/>
        <v>180805054.47999999</v>
      </c>
      <c r="H72" s="815"/>
      <c r="J72" s="375"/>
      <c r="N72" s="375"/>
    </row>
    <row r="73" spans="1:14">
      <c r="A73" s="678"/>
      <c r="B73" s="678"/>
      <c r="C73" s="678"/>
      <c r="D73" s="680"/>
      <c r="E73" s="678"/>
      <c r="F73" s="359"/>
      <c r="G73" s="457"/>
      <c r="J73" s="375"/>
      <c r="L73" s="500"/>
      <c r="N73" s="375"/>
    </row>
    <row r="74" spans="1:14">
      <c r="A74" s="683" t="s">
        <v>235</v>
      </c>
      <c r="B74" s="678" t="s">
        <v>487</v>
      </c>
      <c r="C74" s="681" t="s">
        <v>496</v>
      </c>
      <c r="D74" s="680"/>
      <c r="E74" s="815">
        <v>6866.88</v>
      </c>
      <c r="F74" s="359">
        <f>VLOOKUP(A74,[8]Rates!$A$1:$B$23,2,0)</f>
        <v>136</v>
      </c>
      <c r="G74" s="457">
        <f t="shared" si="0"/>
        <v>933895.68000000005</v>
      </c>
      <c r="J74" s="375"/>
      <c r="N74" s="375"/>
    </row>
    <row r="75" spans="1:14">
      <c r="A75" s="683" t="s">
        <v>536</v>
      </c>
      <c r="B75" s="678" t="s">
        <v>487</v>
      </c>
      <c r="C75" s="681" t="s">
        <v>497</v>
      </c>
      <c r="D75" s="680"/>
      <c r="E75" s="815">
        <v>3797.83</v>
      </c>
      <c r="F75" s="775">
        <f>'Reval rates'!$C$15</f>
        <v>0.15418627877974841</v>
      </c>
      <c r="G75" s="457">
        <f t="shared" si="0"/>
        <v>585.57327513809196</v>
      </c>
      <c r="H75" s="815"/>
      <c r="J75" s="375"/>
      <c r="N75" s="375"/>
    </row>
    <row r="76" spans="1:14">
      <c r="A76" s="683" t="s">
        <v>537</v>
      </c>
      <c r="B76" s="678" t="s">
        <v>498</v>
      </c>
      <c r="C76" s="681" t="s">
        <v>499</v>
      </c>
      <c r="D76" s="680"/>
      <c r="E76" s="684">
        <v>0</v>
      </c>
      <c r="F76" s="359">
        <v>0</v>
      </c>
      <c r="G76" s="457">
        <f t="shared" si="0"/>
        <v>0</v>
      </c>
      <c r="J76" s="375"/>
      <c r="N76" s="375"/>
    </row>
    <row r="77" spans="1:14">
      <c r="A77" s="683" t="s">
        <v>538</v>
      </c>
      <c r="B77" s="678" t="s">
        <v>498</v>
      </c>
      <c r="C77" s="681" t="s">
        <v>500</v>
      </c>
      <c r="D77" s="680"/>
      <c r="E77" s="684">
        <v>0</v>
      </c>
      <c r="F77" s="359">
        <v>0</v>
      </c>
      <c r="G77" s="457">
        <f t="shared" si="0"/>
        <v>0</v>
      </c>
      <c r="J77" s="375"/>
      <c r="N77" s="375"/>
    </row>
    <row r="78" spans="1:14">
      <c r="A78" s="675"/>
      <c r="B78" s="675"/>
      <c r="C78" s="675"/>
      <c r="D78" s="675"/>
      <c r="F78" s="359"/>
      <c r="G78" s="457"/>
      <c r="J78" s="375"/>
      <c r="N78" s="375"/>
    </row>
    <row r="79" spans="1:14">
      <c r="A79" s="678"/>
      <c r="B79" s="678"/>
      <c r="C79" s="678"/>
      <c r="D79" s="680"/>
      <c r="E79" s="678"/>
      <c r="F79" s="359"/>
      <c r="G79" s="457"/>
      <c r="J79" s="375"/>
      <c r="N79" s="375"/>
    </row>
    <row r="80" spans="1:14" ht="16.5" thickBot="1">
      <c r="A80" s="685" t="s">
        <v>537</v>
      </c>
      <c r="B80" s="678" t="s">
        <v>487</v>
      </c>
      <c r="C80" s="681" t="s">
        <v>501</v>
      </c>
      <c r="D80" s="680"/>
      <c r="E80" s="815">
        <v>704.71</v>
      </c>
      <c r="F80" s="359">
        <f>F47</f>
        <v>149.65000000004832</v>
      </c>
      <c r="G80" s="457">
        <f>E80*F80</f>
        <v>105459.85150003406</v>
      </c>
      <c r="J80" s="375"/>
      <c r="N80" s="375"/>
    </row>
    <row r="81" spans="1:14" ht="16.5" thickBot="1">
      <c r="A81" s="685" t="s">
        <v>237</v>
      </c>
      <c r="B81" s="678" t="s">
        <v>487</v>
      </c>
      <c r="C81" s="681" t="s">
        <v>502</v>
      </c>
      <c r="D81" s="680"/>
      <c r="E81" s="815">
        <v>0</v>
      </c>
      <c r="F81" s="359">
        <f>VLOOKUP(A81,[8]Rates!$A$1:$B$23,2,0)</f>
        <v>170.05442000000002</v>
      </c>
      <c r="G81" s="457">
        <f>E81*F81</f>
        <v>0</v>
      </c>
      <c r="J81" s="375"/>
      <c r="N81" s="375"/>
    </row>
    <row r="82" spans="1:14" ht="16.5" thickBot="1">
      <c r="A82" s="685" t="s">
        <v>235</v>
      </c>
      <c r="B82" s="678" t="s">
        <v>487</v>
      </c>
      <c r="C82" s="681" t="s">
        <v>503</v>
      </c>
      <c r="D82" s="680"/>
      <c r="E82" s="815">
        <v>1370859.47</v>
      </c>
      <c r="F82" s="359">
        <f>VLOOKUP(A82,[8]Rates!$A$1:$B$23,2,0)</f>
        <v>136</v>
      </c>
      <c r="G82" s="457">
        <f>E82*F82</f>
        <v>186436887.91999999</v>
      </c>
      <c r="J82" s="375"/>
      <c r="N82" s="375"/>
    </row>
    <row r="83" spans="1:14" ht="16.5" thickBot="1">
      <c r="A83" s="685" t="s">
        <v>242</v>
      </c>
      <c r="B83" s="678" t="s">
        <v>487</v>
      </c>
      <c r="C83" s="681" t="s">
        <v>504</v>
      </c>
      <c r="D83" s="680"/>
      <c r="E83" s="815">
        <v>42696152.859999999</v>
      </c>
      <c r="F83" s="359">
        <f>VLOOKUP(A83,[8]Rates!$A$1:$B$23,2,0)</f>
        <v>5.7870370325945067E-2</v>
      </c>
      <c r="G83" s="457">
        <f>E83*F83</f>
        <v>2470842.1775013586</v>
      </c>
      <c r="H83" s="729"/>
      <c r="J83" s="375"/>
      <c r="M83" s="642"/>
      <c r="N83" s="375"/>
    </row>
    <row r="84" spans="1:14">
      <c r="A84" s="675"/>
      <c r="B84" s="675"/>
      <c r="C84" s="675"/>
      <c r="D84" s="676"/>
      <c r="F84" s="359"/>
      <c r="G84" s="782">
        <f>SUM(G64:G83)</f>
        <v>2913915440.1999106</v>
      </c>
      <c r="H84">
        <v>2868576330</v>
      </c>
      <c r="I84" s="457">
        <f>G84-H84</f>
        <v>45339110.199910641</v>
      </c>
      <c r="J84" s="375"/>
      <c r="N84" s="375"/>
    </row>
    <row r="85" spans="1:14">
      <c r="A85" s="719" t="s">
        <v>284</v>
      </c>
      <c r="B85" s="675"/>
      <c r="C85" s="675"/>
      <c r="D85" s="676"/>
      <c r="F85" s="359"/>
      <c r="G85" s="642"/>
      <c r="J85" s="375"/>
      <c r="N85" s="375"/>
    </row>
    <row r="86" spans="1:14" ht="15.75">
      <c r="A86" s="1559" t="s">
        <v>358</v>
      </c>
      <c r="B86" s="1559"/>
      <c r="C86" s="1559"/>
      <c r="D86" s="758"/>
      <c r="E86" s="721">
        <f>E63</f>
        <v>45046</v>
      </c>
      <c r="F86" s="359"/>
      <c r="G86" s="643"/>
      <c r="I86" s="498"/>
      <c r="J86" s="375"/>
      <c r="N86" s="375"/>
    </row>
    <row r="87" spans="1:14" ht="16.5" thickBot="1">
      <c r="A87" s="759"/>
      <c r="B87" s="759"/>
      <c r="C87" s="759"/>
      <c r="D87" s="760"/>
      <c r="F87" s="359"/>
      <c r="H87" t="s">
        <v>649</v>
      </c>
      <c r="I87" s="498"/>
      <c r="J87" s="375"/>
      <c r="N87" s="375"/>
    </row>
    <row r="88" spans="1:14" ht="15.75">
      <c r="A88" s="761" t="s">
        <v>322</v>
      </c>
      <c r="B88" s="762" t="s">
        <v>323</v>
      </c>
      <c r="C88" s="763" t="s">
        <v>324</v>
      </c>
      <c r="D88" s="764"/>
      <c r="E88" s="765" t="s">
        <v>325</v>
      </c>
      <c r="F88" s="359"/>
      <c r="J88" s="375"/>
      <c r="M88" s="375"/>
      <c r="N88" s="375"/>
    </row>
    <row r="89" spans="1:14">
      <c r="A89" s="766" t="s">
        <v>235</v>
      </c>
      <c r="B89" s="767" t="s">
        <v>359</v>
      </c>
      <c r="C89" s="768" t="s">
        <v>262</v>
      </c>
      <c r="D89" s="769"/>
      <c r="E89" s="815">
        <v>6029737.9900000002</v>
      </c>
      <c r="F89" s="359">
        <f>VLOOKUP(A89,[8]Rates!$A$1:$B$23,2,0)</f>
        <v>136</v>
      </c>
      <c r="G89" s="642">
        <f t="shared" ref="G89:G95" si="1">E89*F89</f>
        <v>820044366.63999999</v>
      </c>
      <c r="J89" s="375"/>
      <c r="M89" s="375"/>
      <c r="N89" s="375"/>
    </row>
    <row r="90" spans="1:14">
      <c r="A90" s="770" t="s">
        <v>240</v>
      </c>
      <c r="B90" s="365" t="s">
        <v>360</v>
      </c>
      <c r="C90" s="728" t="s">
        <v>361</v>
      </c>
      <c r="D90" s="771"/>
      <c r="E90" s="815">
        <v>8199722.6600000001</v>
      </c>
      <c r="F90" s="775">
        <f>'Reval rates'!$C$15</f>
        <v>0.15418627877974841</v>
      </c>
      <c r="G90" s="642">
        <f t="shared" si="1"/>
        <v>1264284.7239713802</v>
      </c>
      <c r="J90" s="375"/>
      <c r="N90" s="375"/>
    </row>
    <row r="91" spans="1:14">
      <c r="A91" s="770" t="s">
        <v>344</v>
      </c>
      <c r="B91" s="767" t="s">
        <v>362</v>
      </c>
      <c r="C91" s="728" t="s">
        <v>363</v>
      </c>
      <c r="D91" s="771"/>
      <c r="E91" s="815">
        <v>468539683.69</v>
      </c>
      <c r="F91" s="359">
        <f>VLOOKUP(A91,[8]Rates!$A$1:$B$23,2,0)</f>
        <v>3.6392772992675598E-2</v>
      </c>
      <c r="G91" s="642">
        <f t="shared" si="1"/>
        <v>17051458.346590199</v>
      </c>
      <c r="H91" s="729"/>
      <c r="J91" s="375"/>
      <c r="N91" s="375"/>
    </row>
    <row r="92" spans="1:14">
      <c r="A92" s="770" t="s">
        <v>241</v>
      </c>
      <c r="B92" s="365" t="s">
        <v>364</v>
      </c>
      <c r="C92" s="728" t="s">
        <v>365</v>
      </c>
      <c r="D92" s="771"/>
      <c r="E92" s="815">
        <v>14277146.189999999</v>
      </c>
      <c r="F92" s="359">
        <f>VLOOKUP(A92,[8]Rates!$A$1:$B$23,2,0)</f>
        <v>0.12191584036941759</v>
      </c>
      <c r="G92" s="642">
        <f t="shared" si="1"/>
        <v>1740610.2758308784</v>
      </c>
      <c r="J92" s="375"/>
      <c r="N92" s="375"/>
    </row>
    <row r="93" spans="1:14">
      <c r="A93" s="770" t="s">
        <v>235</v>
      </c>
      <c r="B93" s="365" t="s">
        <v>366</v>
      </c>
      <c r="C93" s="728" t="s">
        <v>367</v>
      </c>
      <c r="D93" s="771"/>
      <c r="E93" s="815">
        <v>11890410.699999999</v>
      </c>
      <c r="F93" s="359">
        <f>VLOOKUP(A93,[8]Rates!$A$1:$B$23,2,0)</f>
        <v>136</v>
      </c>
      <c r="G93" s="642">
        <f t="shared" si="1"/>
        <v>1617095855.1999998</v>
      </c>
      <c r="H93" s="729"/>
      <c r="J93" s="375"/>
      <c r="N93" s="375"/>
    </row>
    <row r="94" spans="1:14">
      <c r="A94" s="770" t="s">
        <v>242</v>
      </c>
      <c r="B94" s="365" t="s">
        <v>368</v>
      </c>
      <c r="C94" s="728" t="s">
        <v>369</v>
      </c>
      <c r="D94" s="771"/>
      <c r="E94" s="815">
        <v>146417232.28</v>
      </c>
      <c r="F94" s="359">
        <f>VLOOKUP(A94,[8]Rates!$A$1:$B$23,2,0)</f>
        <v>5.7870370325945067E-2</v>
      </c>
      <c r="G94" s="642">
        <f t="shared" si="1"/>
        <v>8473219.4541435186</v>
      </c>
      <c r="J94" s="375"/>
      <c r="N94" s="375"/>
    </row>
    <row r="95" spans="1:14">
      <c r="A95" s="770" t="s">
        <v>235</v>
      </c>
      <c r="B95" s="365" t="s">
        <v>370</v>
      </c>
      <c r="C95" s="728" t="s">
        <v>371</v>
      </c>
      <c r="D95" s="771"/>
      <c r="E95" s="729"/>
      <c r="F95" s="359">
        <f>VLOOKUP(A95,[8]Rates!$A$1:$B$23,2,0)</f>
        <v>136</v>
      </c>
      <c r="G95" s="642">
        <f t="shared" si="1"/>
        <v>0</v>
      </c>
      <c r="J95" s="375"/>
      <c r="N95" s="375"/>
    </row>
    <row r="96" spans="1:14">
      <c r="G96" s="781">
        <f>SUM(G89:G95)</f>
        <v>2465669794.6405358</v>
      </c>
      <c r="H96">
        <v>0</v>
      </c>
      <c r="I96" s="457">
        <f>G96-H96</f>
        <v>2465669794.6405358</v>
      </c>
      <c r="J96" s="457">
        <f>I96+I84+I62+I37+I22</f>
        <v>10192540967.91964</v>
      </c>
      <c r="K96" s="500"/>
      <c r="N96" s="375"/>
    </row>
    <row r="97" spans="1:14" ht="15.75">
      <c r="A97" s="1548" t="s">
        <v>326</v>
      </c>
      <c r="B97" s="1548"/>
      <c r="C97" s="1548"/>
      <c r="D97" s="1548"/>
      <c r="E97" s="1548"/>
      <c r="F97" s="359"/>
      <c r="G97" s="457"/>
      <c r="N97" s="375"/>
    </row>
    <row r="98" spans="1:14">
      <c r="A98" s="726" t="s">
        <v>235</v>
      </c>
      <c r="B98" s="726" t="s">
        <v>585</v>
      </c>
      <c r="C98" s="728" t="s">
        <v>604</v>
      </c>
      <c r="D98" s="731">
        <v>1</v>
      </c>
      <c r="E98" s="815">
        <v>387724124.80000001</v>
      </c>
      <c r="F98" s="359">
        <f>VLOOKUP(A98,[8]Rates!$A$1:$B$23,2,0)</f>
        <v>136</v>
      </c>
      <c r="G98" s="641">
        <f>(E98*F98)</f>
        <v>52730480972.800003</v>
      </c>
      <c r="H98" s="375">
        <v>128858000190.54599</v>
      </c>
      <c r="I98" s="457">
        <f>G98-H98</f>
        <v>-76127519217.745987</v>
      </c>
      <c r="N98" s="375"/>
    </row>
    <row r="99" spans="1:14" ht="15.75" thickBot="1">
      <c r="A99" s="726"/>
      <c r="B99" s="726" t="s">
        <v>846</v>
      </c>
      <c r="C99" s="728"/>
      <c r="D99" s="731"/>
      <c r="E99" s="815">
        <f>151138816+101036922+50384782+35256487</f>
        <v>337817007</v>
      </c>
      <c r="F99" s="359">
        <f>F98</f>
        <v>136</v>
      </c>
      <c r="G99" s="781">
        <f>E99*F99</f>
        <v>45943112952</v>
      </c>
      <c r="K99" s="818"/>
    </row>
    <row r="100" spans="1:14" ht="15.75" thickTop="1">
      <c r="E100" s="884">
        <f>50000000*F98</f>
        <v>6800000000</v>
      </c>
      <c r="G100" s="781">
        <f>G96+G84+G62+G40+G37+G22+G98+G99</f>
        <v>118290206815.71965</v>
      </c>
      <c r="H100" s="375">
        <f>EBKL!B33*1000</f>
        <v>110486369578.15465</v>
      </c>
      <c r="I100" s="375">
        <f>G100-H100</f>
        <v>7803837237.5650024</v>
      </c>
    </row>
    <row r="101" spans="1:14">
      <c r="B101" s="1" t="s">
        <v>373</v>
      </c>
    </row>
    <row r="102" spans="1:14">
      <c r="B102" t="s">
        <v>277</v>
      </c>
      <c r="G102" s="642">
        <f>'EGH Plc'!B7</f>
        <v>14773106.155630002</v>
      </c>
    </row>
    <row r="103" spans="1:14">
      <c r="B103" t="s">
        <v>374</v>
      </c>
      <c r="G103" s="642">
        <f>'FinAL&amp;Azenia'!F6</f>
        <v>1292214.1063900001</v>
      </c>
    </row>
    <row r="104" spans="1:14">
      <c r="B104" t="s">
        <v>163</v>
      </c>
      <c r="G104" s="642">
        <f>EIAL!B8</f>
        <v>214098.81602999999</v>
      </c>
    </row>
    <row r="105" spans="1:14">
      <c r="B105" t="s">
        <v>164</v>
      </c>
      <c r="G105" s="642">
        <f>EIBL!B6</f>
        <v>306083.23533999996</v>
      </c>
    </row>
    <row r="106" spans="1:14">
      <c r="B106" t="s">
        <v>656</v>
      </c>
      <c r="G106" s="642">
        <f>'EIGHL&amp;ELAK'!B7</f>
        <v>291218.77483999991</v>
      </c>
    </row>
    <row r="107" spans="1:14">
      <c r="B107" t="s">
        <v>420</v>
      </c>
      <c r="G107" s="642">
        <f>Others!B8</f>
        <v>69053.968838000001</v>
      </c>
    </row>
    <row r="108" spans="1:14">
      <c r="G108" s="781">
        <f>SUM(G102:G107)</f>
        <v>16945775.057067998</v>
      </c>
    </row>
    <row r="110" spans="1:14" ht="15.75" thickBot="1">
      <c r="G110" s="780">
        <f>G100+G108*10^3</f>
        <v>135235981872.78764</v>
      </c>
    </row>
    <row r="111" spans="1:14" ht="15.75" thickTop="1"/>
  </sheetData>
  <mergeCells count="16">
    <mergeCell ref="A97:E97"/>
    <mergeCell ref="A22:E22"/>
    <mergeCell ref="A2:C2"/>
    <mergeCell ref="A4:E4"/>
    <mergeCell ref="A9:E9"/>
    <mergeCell ref="A12:E12"/>
    <mergeCell ref="A17:E17"/>
    <mergeCell ref="A54:C54"/>
    <mergeCell ref="A57:C57"/>
    <mergeCell ref="A86:C86"/>
    <mergeCell ref="A25:C25"/>
    <mergeCell ref="A27:E27"/>
    <mergeCell ref="A32:E32"/>
    <mergeCell ref="A39:E39"/>
    <mergeCell ref="A43:C43"/>
    <mergeCell ref="A49:C49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7AD4-4A47-433C-8886-9CA5CFD24E20}">
  <dimension ref="A1:V42"/>
  <sheetViews>
    <sheetView workbookViewId="0">
      <selection activeCell="H12" sqref="H12"/>
    </sheetView>
  </sheetViews>
  <sheetFormatPr defaultColWidth="8.7109375" defaultRowHeight="12.75"/>
  <cols>
    <col min="1" max="1" width="8.7109375" style="320"/>
    <col min="2" max="2" width="44.140625" style="320" customWidth="1"/>
    <col min="3" max="3" width="9.140625" style="320" bestFit="1" customWidth="1"/>
    <col min="4" max="4" width="10.140625" style="320" bestFit="1" customWidth="1"/>
    <col min="5" max="5" width="10.5703125" style="320" bestFit="1" customWidth="1"/>
    <col min="6" max="9" width="9.7109375" style="320" customWidth="1"/>
    <col min="10" max="10" width="11.140625" style="320" bestFit="1" customWidth="1"/>
    <col min="11" max="11" width="15" style="320" bestFit="1" customWidth="1"/>
    <col min="12" max="12" width="11.140625" style="320" bestFit="1" customWidth="1"/>
    <col min="13" max="13" width="8.7109375" style="320"/>
    <col min="14" max="14" width="15" style="320" bestFit="1" customWidth="1"/>
    <col min="15" max="15" width="14.28515625" style="320" bestFit="1" customWidth="1"/>
    <col min="16" max="19" width="8.7109375" style="320"/>
    <col min="20" max="20" width="22.7109375" style="320" customWidth="1"/>
    <col min="21" max="22" width="15" style="320" bestFit="1" customWidth="1"/>
    <col min="23" max="16384" width="8.7109375" style="320"/>
  </cols>
  <sheetData>
    <row r="1" spans="1:21">
      <c r="B1" s="1564"/>
      <c r="C1" s="1165" t="s">
        <v>768</v>
      </c>
      <c r="D1" s="1165" t="s">
        <v>768</v>
      </c>
      <c r="E1" s="1166" t="s">
        <v>831</v>
      </c>
      <c r="F1" s="1166" t="s">
        <v>815</v>
      </c>
      <c r="G1" s="1166" t="s">
        <v>833</v>
      </c>
      <c r="H1" s="1166" t="s">
        <v>834</v>
      </c>
      <c r="I1" s="1166" t="s">
        <v>836</v>
      </c>
      <c r="J1" s="1565" t="s">
        <v>171</v>
      </c>
      <c r="K1" s="1567" t="s">
        <v>769</v>
      </c>
      <c r="L1" s="1566" t="s">
        <v>770</v>
      </c>
      <c r="T1" s="1168" t="s">
        <v>787</v>
      </c>
      <c r="U1" s="319"/>
    </row>
    <row r="2" spans="1:21">
      <c r="B2" s="1564"/>
      <c r="C2" s="1166" t="s">
        <v>771</v>
      </c>
      <c r="D2" s="1166" t="s">
        <v>772</v>
      </c>
      <c r="E2" s="1166" t="s">
        <v>832</v>
      </c>
      <c r="F2" s="1166" t="s">
        <v>773</v>
      </c>
      <c r="G2" s="1166" t="s">
        <v>773</v>
      </c>
      <c r="H2" s="1166" t="s">
        <v>835</v>
      </c>
      <c r="I2" s="1166" t="s">
        <v>837</v>
      </c>
      <c r="J2" s="1566"/>
      <c r="K2" s="1567"/>
      <c r="L2" s="1566"/>
      <c r="T2" s="328" t="s">
        <v>788</v>
      </c>
      <c r="U2" s="672" t="s">
        <v>789</v>
      </c>
    </row>
    <row r="3" spans="1:21" ht="25.5">
      <c r="B3" s="1169" t="s">
        <v>774</v>
      </c>
      <c r="C3" s="1166" t="s">
        <v>775</v>
      </c>
      <c r="D3" s="1166" t="s">
        <v>775</v>
      </c>
      <c r="E3" s="1166" t="s">
        <v>775</v>
      </c>
      <c r="F3" s="1166" t="s">
        <v>775</v>
      </c>
      <c r="G3" s="1166" t="s">
        <v>775</v>
      </c>
      <c r="H3" s="1166" t="s">
        <v>775</v>
      </c>
      <c r="I3" s="1166" t="s">
        <v>775</v>
      </c>
      <c r="J3" s="1167" t="s">
        <v>775</v>
      </c>
      <c r="K3" s="1166" t="s">
        <v>775</v>
      </c>
      <c r="L3" s="1167" t="s">
        <v>775</v>
      </c>
      <c r="T3" s="323" t="s">
        <v>790</v>
      </c>
      <c r="U3" s="1170">
        <v>27166135.456767999</v>
      </c>
    </row>
    <row r="4" spans="1:21">
      <c r="B4" s="1164" t="s">
        <v>908</v>
      </c>
      <c r="J4" s="1171"/>
      <c r="L4" s="1171"/>
      <c r="T4" s="323" t="s">
        <v>352</v>
      </c>
      <c r="U4" s="1170">
        <v>7093625.0813119998</v>
      </c>
    </row>
    <row r="5" spans="1:21">
      <c r="B5" s="1164" t="s">
        <v>776</v>
      </c>
      <c r="C5" s="1172">
        <v>1887</v>
      </c>
      <c r="D5" s="1172">
        <v>15325</v>
      </c>
      <c r="E5" s="1172">
        <v>189573</v>
      </c>
      <c r="F5" s="1172">
        <v>1582</v>
      </c>
      <c r="G5" s="1172">
        <v>-30033</v>
      </c>
      <c r="H5" s="1172">
        <v>-2191</v>
      </c>
      <c r="I5" s="1172">
        <v>52</v>
      </c>
      <c r="J5" s="1173">
        <f>SUM(C5:I5)</f>
        <v>176195</v>
      </c>
      <c r="K5" s="1172">
        <v>6016</v>
      </c>
      <c r="L5" s="1173">
        <f>J5+K5</f>
        <v>182211</v>
      </c>
      <c r="T5" s="323" t="s">
        <v>791</v>
      </c>
      <c r="U5" s="1170">
        <v>161567.41216000001</v>
      </c>
    </row>
    <row r="6" spans="1:21">
      <c r="B6" s="1174"/>
      <c r="C6" s="345"/>
      <c r="D6" s="345"/>
      <c r="E6" s="345"/>
      <c r="F6" s="345"/>
      <c r="G6" s="345"/>
      <c r="H6" s="345"/>
      <c r="I6" s="345"/>
      <c r="J6" s="1173"/>
      <c r="K6" s="345"/>
      <c r="L6" s="1173">
        <f t="shared" ref="L6:L9" si="0">J6+K6</f>
        <v>0</v>
      </c>
      <c r="T6" s="323"/>
      <c r="U6" s="1170"/>
    </row>
    <row r="7" spans="1:21">
      <c r="B7" s="1174" t="s">
        <v>913</v>
      </c>
      <c r="C7" s="345"/>
      <c r="D7" s="345"/>
      <c r="E7" s="345">
        <f>-'Consolidation  JVs'!D304/1000</f>
        <v>-0.83221782175511727</v>
      </c>
      <c r="F7" s="345"/>
      <c r="G7" s="345"/>
      <c r="H7" s="345"/>
      <c r="I7" s="345"/>
      <c r="J7" s="1173"/>
      <c r="K7" s="345">
        <f>-'Consolidation  JVs'!D303/1000</f>
        <v>-5.4114571782448833</v>
      </c>
      <c r="L7" s="1173">
        <f t="shared" si="0"/>
        <v>-5.4114571782448833</v>
      </c>
      <c r="T7" s="323"/>
      <c r="U7" s="1170"/>
    </row>
    <row r="8" spans="1:21" ht="13.5" thickBot="1">
      <c r="B8" s="1174"/>
      <c r="C8" s="345"/>
      <c r="D8" s="345"/>
      <c r="E8" s="345"/>
      <c r="F8" s="345"/>
      <c r="G8" s="345"/>
      <c r="H8" s="345"/>
      <c r="I8" s="345"/>
      <c r="J8" s="1173"/>
      <c r="K8" s="345"/>
      <c r="L8" s="1173">
        <f t="shared" si="0"/>
        <v>0</v>
      </c>
      <c r="T8" s="323"/>
      <c r="U8" s="1170"/>
    </row>
    <row r="9" spans="1:21" ht="13.5" thickBot="1">
      <c r="B9" s="1174"/>
      <c r="C9" s="345"/>
      <c r="D9" s="345"/>
      <c r="E9" s="1176"/>
      <c r="F9" s="1176"/>
      <c r="G9" s="1176"/>
      <c r="H9" s="1176"/>
      <c r="I9" s="1176"/>
      <c r="J9" s="1173"/>
      <c r="K9" s="345"/>
      <c r="L9" s="1173">
        <f t="shared" si="0"/>
        <v>0</v>
      </c>
      <c r="T9" s="1177"/>
      <c r="U9" s="1178"/>
    </row>
    <row r="10" spans="1:21">
      <c r="B10" s="1174" t="s">
        <v>901</v>
      </c>
      <c r="C10" s="345"/>
      <c r="D10" s="345"/>
      <c r="E10" s="345">
        <f>GROUP!G101/1000</f>
        <v>15742.086494681238</v>
      </c>
      <c r="F10" s="345"/>
      <c r="G10" s="345"/>
      <c r="H10" s="345"/>
      <c r="I10" s="345"/>
      <c r="J10" s="1173">
        <f t="shared" ref="J10:J14" si="1">SUM(C10:I10)</f>
        <v>15742.086494681238</v>
      </c>
      <c r="K10" s="345">
        <f>'R_parties workings'!I15/1000</f>
        <v>592.20372296716778</v>
      </c>
      <c r="L10" s="1173">
        <f t="shared" ref="L10:L14" si="2">J10+K10</f>
        <v>16334.290217648406</v>
      </c>
    </row>
    <row r="11" spans="1:21" s="324" customFormat="1">
      <c r="A11" s="320"/>
      <c r="B11" s="1174" t="s">
        <v>777</v>
      </c>
      <c r="C11" s="345"/>
      <c r="D11" s="345"/>
      <c r="E11" s="320"/>
      <c r="F11" s="345"/>
      <c r="G11" s="345">
        <f>'[21]Amortised and FVOCI split'!$I$26/1000</f>
        <v>-7816.7432442654654</v>
      </c>
      <c r="H11" s="345">
        <v>-1521.41757593583</v>
      </c>
      <c r="I11" s="345"/>
      <c r="J11" s="1173">
        <f t="shared" si="1"/>
        <v>-9338.1608202012958</v>
      </c>
      <c r="K11" s="345">
        <f>('R_parties workings'!I16+'R_parties workings'!I18)/1000</f>
        <v>939.6046661230107</v>
      </c>
      <c r="L11" s="1173">
        <f>J11+K11</f>
        <v>-8398.5561540782855</v>
      </c>
      <c r="N11" s="1084">
        <v>-30356345.396724638</v>
      </c>
      <c r="O11" s="1179">
        <f>N11/1000-K11</f>
        <v>-31295.950062847649</v>
      </c>
      <c r="T11" s="324" t="s">
        <v>792</v>
      </c>
      <c r="U11" s="1084">
        <v>-29660906.343957506</v>
      </c>
    </row>
    <row r="12" spans="1:21" s="324" customFormat="1">
      <c r="A12" s="320"/>
      <c r="B12" s="1174" t="s">
        <v>917</v>
      </c>
      <c r="C12" s="345"/>
      <c r="D12" s="345"/>
      <c r="E12" s="345">
        <f>-F12</f>
        <v>0</v>
      </c>
      <c r="F12" s="345">
        <f>'R_parties workings'!K8/1000</f>
        <v>0</v>
      </c>
      <c r="G12" s="345"/>
      <c r="H12" s="345"/>
      <c r="I12" s="345"/>
      <c r="J12" s="1173"/>
      <c r="K12" s="345"/>
      <c r="L12" s="1173"/>
      <c r="N12" s="1084"/>
      <c r="O12" s="1179"/>
      <c r="U12" s="1084"/>
    </row>
    <row r="13" spans="1:21">
      <c r="B13" s="1174"/>
      <c r="C13" s="345"/>
      <c r="D13" s="345"/>
      <c r="E13" s="345"/>
      <c r="F13" s="345"/>
      <c r="G13" s="345"/>
      <c r="H13" s="345"/>
      <c r="I13" s="345"/>
      <c r="J13" s="1173"/>
      <c r="K13" s="345"/>
      <c r="L13" s="1173"/>
      <c r="N13" s="1012"/>
      <c r="O13" s="345"/>
      <c r="U13" s="1012"/>
    </row>
    <row r="14" spans="1:21">
      <c r="B14" s="1175" t="s">
        <v>778</v>
      </c>
      <c r="C14" s="345">
        <v>0</v>
      </c>
      <c r="D14" s="345">
        <v>0</v>
      </c>
      <c r="E14" s="345">
        <f>-'R_parties workings'!I22/1000</f>
        <v>-15094.699208</v>
      </c>
      <c r="F14" s="345"/>
      <c r="G14" s="345"/>
      <c r="H14" s="345"/>
      <c r="I14" s="345"/>
      <c r="J14" s="1173">
        <f t="shared" si="1"/>
        <v>-15094.699208</v>
      </c>
      <c r="K14" s="345">
        <v>0</v>
      </c>
      <c r="L14" s="1173">
        <f t="shared" si="2"/>
        <v>-15094.699208</v>
      </c>
      <c r="O14" s="472">
        <f>U11/1000</f>
        <v>-29660.906343957507</v>
      </c>
    </row>
    <row r="15" spans="1:21" ht="13.5" thickBot="1">
      <c r="B15" s="1169" t="s">
        <v>779</v>
      </c>
      <c r="C15" s="1180">
        <f>SUM(C5:C14)</f>
        <v>1887</v>
      </c>
      <c r="D15" s="1180">
        <f t="shared" ref="D15:L15" si="3">SUM(D5:D14)</f>
        <v>15325</v>
      </c>
      <c r="E15" s="1180">
        <f>SUM(E5:E14)</f>
        <v>190219.55506885948</v>
      </c>
      <c r="F15" s="1180">
        <f>SUM(F5:F14)</f>
        <v>1582</v>
      </c>
      <c r="G15" s="1180">
        <f>SUM(G5:G14)</f>
        <v>-37849.743244265468</v>
      </c>
      <c r="H15" s="1180">
        <f>SUM(H5:H14)</f>
        <v>-3712.41757593583</v>
      </c>
      <c r="I15" s="1180">
        <f>SUM(I5:I14)</f>
        <v>52</v>
      </c>
      <c r="J15" s="1181">
        <f t="shared" si="3"/>
        <v>167504.22646647994</v>
      </c>
      <c r="K15" s="1180">
        <f t="shared" si="3"/>
        <v>7542.3969319119333</v>
      </c>
      <c r="L15" s="1181">
        <f t="shared" si="3"/>
        <v>175046.62339839188</v>
      </c>
      <c r="O15" s="472">
        <f>O14-L11</f>
        <v>-21262.350189879224</v>
      </c>
      <c r="T15" s="320" t="s">
        <v>793</v>
      </c>
      <c r="U15" s="946">
        <v>-6316207</v>
      </c>
    </row>
    <row r="16" spans="1:21">
      <c r="J16" s="1171"/>
      <c r="L16" s="1171"/>
      <c r="T16" s="320" t="s">
        <v>794</v>
      </c>
      <c r="U16" s="345">
        <f>[22]Sheet1!$F$13</f>
        <v>-29660906.343957506</v>
      </c>
    </row>
    <row r="17" spans="2:22">
      <c r="B17" s="320" t="s">
        <v>780</v>
      </c>
      <c r="C17" s="946">
        <f>GROUP!G46/1000</f>
        <v>1886.8368895063763</v>
      </c>
      <c r="D17" s="946">
        <f>GROUP!G47/1000</f>
        <v>15325.263640507139</v>
      </c>
      <c r="E17" s="946">
        <f>(GROUP!G49)/1000</f>
        <v>190219.52119129384</v>
      </c>
      <c r="F17" s="946">
        <f>GROUP!G50/1000</f>
        <v>1582.3274737255842</v>
      </c>
      <c r="G17" s="946">
        <f>GROUP!G48/1000</f>
        <v>-41510.160820201301</v>
      </c>
      <c r="H17" s="946">
        <v>0</v>
      </c>
      <c r="I17" s="946">
        <v>0</v>
      </c>
      <c r="J17" s="1173">
        <f>SUM(C17:I17)</f>
        <v>167503.78837483161</v>
      </c>
      <c r="K17" s="946">
        <f>GROUP!G53/1000</f>
        <v>7542.8391269223293</v>
      </c>
      <c r="L17" s="1173">
        <f>J17+K17</f>
        <v>175046.62750175394</v>
      </c>
      <c r="O17" s="320">
        <v>-29229.785221016024</v>
      </c>
      <c r="T17" s="320" t="s">
        <v>795</v>
      </c>
      <c r="U17" s="345">
        <f>-44921352.7942689*0.7</f>
        <v>-31444946.955988228</v>
      </c>
      <c r="V17" s="472"/>
    </row>
    <row r="18" spans="2:22">
      <c r="C18" s="1182">
        <f>C15-C17</f>
        <v>0.16311049362366248</v>
      </c>
      <c r="D18" s="1182">
        <f t="shared" ref="D18:K18" si="4">D15-D17</f>
        <v>-0.26364050713891629</v>
      </c>
      <c r="E18" s="1182">
        <f t="shared" si="4"/>
        <v>3.3877565641887486E-2</v>
      </c>
      <c r="F18" s="1182">
        <f t="shared" si="4"/>
        <v>-0.32747372558424104</v>
      </c>
      <c r="G18" s="1182">
        <f t="shared" si="4"/>
        <v>3660.4175759358332</v>
      </c>
      <c r="H18" s="1182">
        <f t="shared" si="4"/>
        <v>-3712.41757593583</v>
      </c>
      <c r="I18" s="1182">
        <f t="shared" si="4"/>
        <v>52</v>
      </c>
      <c r="J18" s="1182">
        <f t="shared" si="4"/>
        <v>0.43809164833510295</v>
      </c>
      <c r="K18" s="1182">
        <f t="shared" si="4"/>
        <v>-0.44219501039606257</v>
      </c>
      <c r="L18" s="1182">
        <f>L15-L17</f>
        <v>-4.103362065507099E-3</v>
      </c>
      <c r="T18" s="1149" t="s">
        <v>796</v>
      </c>
      <c r="U18" s="1183">
        <f>U11-U17</f>
        <v>1784040.6120307222</v>
      </c>
    </row>
    <row r="19" spans="2:22">
      <c r="U19" s="345">
        <f>SUM(U17:U18)</f>
        <v>-29660906.343957506</v>
      </c>
    </row>
    <row r="20" spans="2:22">
      <c r="G20" s="345"/>
      <c r="H20" s="345">
        <f>G18+H18+I18</f>
        <v>3.1832314562052488E-12</v>
      </c>
    </row>
    <row r="21" spans="2:22">
      <c r="G21" s="345"/>
    </row>
    <row r="22" spans="2:22">
      <c r="G22" s="345"/>
    </row>
    <row r="24" spans="2:22">
      <c r="J24" s="320" t="s">
        <v>848</v>
      </c>
      <c r="K24" s="345">
        <f>K5</f>
        <v>6016</v>
      </c>
    </row>
    <row r="26" spans="2:22">
      <c r="J26" s="320" t="s">
        <v>849</v>
      </c>
    </row>
    <row r="27" spans="2:22">
      <c r="J27" s="320" t="s">
        <v>850</v>
      </c>
    </row>
    <row r="28" spans="2:22">
      <c r="J28" s="320" t="s">
        <v>851</v>
      </c>
    </row>
    <row r="29" spans="2:22">
      <c r="J29" s="320" t="s">
        <v>852</v>
      </c>
    </row>
    <row r="31" spans="2:22">
      <c r="J31" s="320" t="s">
        <v>290</v>
      </c>
    </row>
    <row r="32" spans="2:22">
      <c r="J32" s="320" t="s">
        <v>853</v>
      </c>
    </row>
    <row r="34" spans="10:15">
      <c r="J34" s="320" t="s">
        <v>854</v>
      </c>
    </row>
    <row r="37" spans="10:15">
      <c r="K37" s="320" t="s">
        <v>855</v>
      </c>
      <c r="L37" s="320" t="s">
        <v>856</v>
      </c>
      <c r="M37" s="320" t="s">
        <v>857</v>
      </c>
      <c r="N37" s="320" t="s">
        <v>858</v>
      </c>
    </row>
    <row r="38" spans="10:15">
      <c r="J38" s="320" t="s">
        <v>165</v>
      </c>
    </row>
    <row r="39" spans="10:15">
      <c r="J39" s="320" t="s">
        <v>248</v>
      </c>
      <c r="K39" s="320">
        <f>K38</f>
        <v>0</v>
      </c>
    </row>
    <row r="41" spans="10:15">
      <c r="J41" s="320" t="s">
        <v>859</v>
      </c>
      <c r="K41" s="320">
        <v>0.22500000000000001</v>
      </c>
    </row>
    <row r="42" spans="10:15">
      <c r="J42" s="320" t="s">
        <v>768</v>
      </c>
      <c r="K42" s="320">
        <f>K41*K39</f>
        <v>0</v>
      </c>
      <c r="L42" s="320">
        <f>L41*L39</f>
        <v>0</v>
      </c>
      <c r="M42" s="320">
        <f>M41*M39</f>
        <v>0</v>
      </c>
      <c r="N42" s="320">
        <f>N41*N39</f>
        <v>0</v>
      </c>
      <c r="O42" s="320">
        <f>SUM(K42:N42)</f>
        <v>0</v>
      </c>
    </row>
  </sheetData>
  <mergeCells count="4">
    <mergeCell ref="B1:B2"/>
    <mergeCell ref="J1:J2"/>
    <mergeCell ref="K1:K2"/>
    <mergeCell ref="L1:L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15"/>
  <sheetViews>
    <sheetView workbookViewId="0">
      <selection activeCell="K25" sqref="K25"/>
    </sheetView>
  </sheetViews>
  <sheetFormatPr defaultColWidth="9.140625" defaultRowHeight="12.75"/>
  <cols>
    <col min="1" max="1" width="8.140625" style="199" customWidth="1"/>
    <col min="2" max="2" width="35.5703125" style="203" customWidth="1"/>
    <col min="3" max="3" width="12" style="199" bestFit="1" customWidth="1"/>
    <col min="4" max="4" width="12.7109375" style="199" bestFit="1" customWidth="1"/>
    <col min="5" max="5" width="12" style="199" bestFit="1" customWidth="1"/>
    <col min="6" max="6" width="15.85546875" style="199" customWidth="1"/>
    <col min="7" max="7" width="11" style="199" bestFit="1" customWidth="1"/>
    <col min="8" max="8" width="28.140625" style="491" customWidth="1"/>
    <col min="9" max="9" width="16.140625" style="199" bestFit="1" customWidth="1"/>
    <col min="10" max="10" width="13" style="199" bestFit="1" customWidth="1"/>
    <col min="11" max="11" width="12.42578125" style="199" bestFit="1" customWidth="1"/>
    <col min="12" max="16384" width="9.140625" style="199"/>
  </cols>
  <sheetData>
    <row r="1" spans="2:11" ht="13.5" thickBot="1"/>
    <row r="2" spans="2:11" ht="13.5" thickBot="1">
      <c r="B2" s="232" t="s">
        <v>470</v>
      </c>
      <c r="C2" s="233"/>
      <c r="D2" s="231"/>
      <c r="E2" s="235"/>
      <c r="F2" s="237" t="s">
        <v>255</v>
      </c>
      <c r="H2" s="198"/>
    </row>
    <row r="3" spans="2:11">
      <c r="B3" s="227"/>
      <c r="C3" s="1284">
        <f>GROUP!B3</f>
        <v>45046</v>
      </c>
      <c r="D3" s="1285" t="s">
        <v>248</v>
      </c>
      <c r="E3" s="1286">
        <v>44896</v>
      </c>
      <c r="F3" s="238"/>
      <c r="H3" s="852"/>
    </row>
    <row r="4" spans="2:11">
      <c r="B4" s="228" t="s">
        <v>249</v>
      </c>
      <c r="C4" s="487">
        <f>GROUP!G46</f>
        <v>1886836.8895063763</v>
      </c>
      <c r="D4" s="486">
        <v>0</v>
      </c>
      <c r="E4" s="488">
        <v>1886836.8895063763</v>
      </c>
      <c r="F4" s="440">
        <f>C4-E4</f>
        <v>0</v>
      </c>
      <c r="H4" s="852"/>
    </row>
    <row r="5" spans="2:11">
      <c r="B5" s="228" t="s">
        <v>250</v>
      </c>
      <c r="C5" s="487">
        <f>GROUP!G47</f>
        <v>15325263.640507139</v>
      </c>
      <c r="D5" s="486">
        <v>0</v>
      </c>
      <c r="E5" s="488">
        <v>15325263.640507143</v>
      </c>
      <c r="F5" s="440">
        <f>C5-E5</f>
        <v>0</v>
      </c>
      <c r="H5" s="852"/>
    </row>
    <row r="6" spans="2:11">
      <c r="B6" s="228" t="s">
        <v>251</v>
      </c>
      <c r="C6" s="487">
        <f>GROUP!G48</f>
        <v>-41510160.8202013</v>
      </c>
      <c r="D6" s="486"/>
      <c r="E6" s="488">
        <v>-32172563.619285613</v>
      </c>
      <c r="F6" s="440">
        <f>C6-E6</f>
        <v>-9337597.2009156868</v>
      </c>
      <c r="G6" s="640"/>
    </row>
    <row r="7" spans="2:11" ht="24">
      <c r="B7" s="228" t="s">
        <v>252</v>
      </c>
      <c r="C7" s="487">
        <f>GROUP!G49</f>
        <v>190219521.19129384</v>
      </c>
      <c r="D7" s="486">
        <f>D21-K8-I22</f>
        <v>646555.06885948218</v>
      </c>
      <c r="E7" s="488">
        <v>189572966.12243435</v>
      </c>
      <c r="F7" s="440">
        <f>C7-(E7+D7)</f>
        <v>0</v>
      </c>
      <c r="G7" s="501"/>
    </row>
    <row r="8" spans="2:11">
      <c r="B8" s="228" t="s">
        <v>253</v>
      </c>
      <c r="C8" s="487">
        <f>GROUP!G50</f>
        <v>1582327.4737255843</v>
      </c>
      <c r="D8" s="486">
        <f>K8</f>
        <v>0</v>
      </c>
      <c r="E8" s="488">
        <v>1582327.4737255848</v>
      </c>
      <c r="F8" s="440">
        <f>C8-(E8+D8)</f>
        <v>0</v>
      </c>
      <c r="H8" s="491" t="s">
        <v>761</v>
      </c>
      <c r="I8" s="491">
        <v>1411288.9223583436</v>
      </c>
      <c r="J8" s="491">
        <f>EBUL!C51</f>
        <v>1445240.9146072147</v>
      </c>
      <c r="K8" s="501"/>
    </row>
    <row r="9" spans="2:11">
      <c r="B9" s="228" t="s">
        <v>44</v>
      </c>
      <c r="C9" s="487">
        <f>GROUP!G51</f>
        <v>15094699.208000001</v>
      </c>
      <c r="D9" s="486">
        <f>I22</f>
        <v>15094699.208000001</v>
      </c>
      <c r="E9" s="488">
        <v>0</v>
      </c>
      <c r="F9" s="440">
        <f>C9-(E9+D9)</f>
        <v>0</v>
      </c>
      <c r="I9" s="491"/>
    </row>
    <row r="10" spans="2:11">
      <c r="B10" s="228" t="s">
        <v>254</v>
      </c>
      <c r="C10" s="487">
        <f>GROUP!G53</f>
        <v>7542839.126922329</v>
      </c>
      <c r="D10" s="486">
        <f>I20</f>
        <v>1526396.9319119335</v>
      </c>
      <c r="E10" s="488">
        <v>6016442.1950103939</v>
      </c>
      <c r="F10" s="440">
        <f>C10-(E10+D10)</f>
        <v>0</v>
      </c>
    </row>
    <row r="11" spans="2:11" ht="13.5" thickBot="1">
      <c r="B11" s="227"/>
      <c r="C11" s="918">
        <f>SUM(C4:C10)</f>
        <v>190141326.70975399</v>
      </c>
      <c r="D11" s="919"/>
      <c r="E11" s="920">
        <f>SUM(E4:E10)</f>
        <v>182211272.70189825</v>
      </c>
      <c r="F11" s="238"/>
    </row>
    <row r="12" spans="2:11" ht="13.5" thickBot="1">
      <c r="B12" s="229"/>
      <c r="C12" s="234"/>
      <c r="D12" s="230"/>
      <c r="E12" s="236"/>
      <c r="F12" s="239"/>
    </row>
    <row r="14" spans="2:11">
      <c r="C14" s="198" t="s">
        <v>910</v>
      </c>
      <c r="D14" s="852"/>
      <c r="H14" s="198" t="s">
        <v>911</v>
      </c>
    </row>
    <row r="15" spans="2:11">
      <c r="B15" s="717"/>
      <c r="C15" s="199" t="s">
        <v>755</v>
      </c>
      <c r="D15" s="491">
        <f>-'Consolidation  JVs'!D304</f>
        <v>-832.21782175511726</v>
      </c>
      <c r="E15" s="379"/>
      <c r="H15" s="491" t="s">
        <v>912</v>
      </c>
      <c r="I15" s="491">
        <f>-E_BCDC!C97</f>
        <v>592203.72296716773</v>
      </c>
    </row>
    <row r="16" spans="2:11">
      <c r="C16" s="199" t="s">
        <v>702</v>
      </c>
      <c r="D16" s="491">
        <f>GROUP!G101</f>
        <v>15742086.494681237</v>
      </c>
      <c r="F16" s="501"/>
      <c r="H16" s="491" t="s">
        <v>914</v>
      </c>
      <c r="I16" s="491">
        <f>-'Consolidation  JVs'!D217</f>
        <v>-207563.36180965928</v>
      </c>
    </row>
    <row r="17" spans="1:11">
      <c r="C17" s="199" t="s">
        <v>754</v>
      </c>
      <c r="D17" s="491"/>
      <c r="H17" s="491" t="s">
        <v>915</v>
      </c>
      <c r="I17" s="491">
        <f>-'Consolidation  JVs'!D303</f>
        <v>-5411.4571782448829</v>
      </c>
    </row>
    <row r="18" spans="1:11">
      <c r="A18" s="198"/>
      <c r="B18" s="199"/>
      <c r="C18" s="199" t="s">
        <v>785</v>
      </c>
      <c r="D18" s="491"/>
      <c r="E18" s="501"/>
      <c r="H18" s="491" t="s">
        <v>916</v>
      </c>
      <c r="I18" s="491">
        <v>1147168.02793267</v>
      </c>
    </row>
    <row r="19" spans="1:11">
      <c r="A19" s="200"/>
      <c r="B19" s="200"/>
      <c r="C19" s="200" t="s">
        <v>786</v>
      </c>
      <c r="D19" s="491"/>
      <c r="E19" s="200"/>
      <c r="I19" s="200"/>
    </row>
    <row r="20" spans="1:11" ht="13.5" thickBot="1">
      <c r="A20" s="200"/>
      <c r="B20" s="200"/>
      <c r="C20" s="200"/>
      <c r="D20" s="491"/>
      <c r="E20" s="200"/>
      <c r="I20" s="917">
        <f>SUM(I15:I19)</f>
        <v>1526396.9319119335</v>
      </c>
    </row>
    <row r="21" spans="1:11" ht="14.25" thickTop="1" thickBot="1">
      <c r="A21" s="200"/>
      <c r="B21" s="200"/>
      <c r="C21" s="200"/>
      <c r="D21" s="917">
        <f>SUM(D14:D20)</f>
        <v>15741254.276859483</v>
      </c>
      <c r="E21" s="200"/>
    </row>
    <row r="22" spans="1:11" ht="13.5" thickTop="1">
      <c r="A22" s="200"/>
      <c r="B22" s="200"/>
      <c r="C22" s="200"/>
      <c r="D22" s="200"/>
      <c r="E22" s="200"/>
      <c r="I22" s="199">
        <v>15094699.208000001</v>
      </c>
    </row>
    <row r="23" spans="1:11">
      <c r="A23" s="200"/>
      <c r="B23" s="200"/>
      <c r="C23" s="200"/>
      <c r="D23" s="200"/>
      <c r="E23" s="200"/>
    </row>
    <row r="24" spans="1:11">
      <c r="A24" s="200"/>
      <c r="B24" s="200"/>
      <c r="C24" s="200"/>
      <c r="D24" s="200"/>
      <c r="E24" s="200"/>
      <c r="K24" s="501"/>
    </row>
    <row r="25" spans="1:11">
      <c r="A25" s="200"/>
      <c r="B25" s="200"/>
      <c r="C25" s="200"/>
      <c r="D25" s="200"/>
      <c r="E25" s="200"/>
      <c r="H25" s="491" t="s">
        <v>923</v>
      </c>
      <c r="I25" s="491">
        <f>E_BCDC!C52*E_BCDC!N93</f>
        <v>7542839.126922329</v>
      </c>
    </row>
    <row r="26" spans="1:11">
      <c r="A26" s="200"/>
      <c r="B26" s="200"/>
      <c r="C26" s="200"/>
      <c r="D26" s="200"/>
      <c r="E26" s="200"/>
      <c r="H26" s="491" t="s">
        <v>924</v>
      </c>
      <c r="I26" s="501">
        <f>C10</f>
        <v>7542839.126922329</v>
      </c>
    </row>
    <row r="27" spans="1:11" ht="13.5" thickBot="1">
      <c r="A27" s="200"/>
      <c r="B27" s="200"/>
      <c r="C27" s="200"/>
      <c r="D27" s="200"/>
      <c r="E27" s="200"/>
      <c r="I27" s="1524">
        <f>I25-I26</f>
        <v>0</v>
      </c>
    </row>
    <row r="28" spans="1:11">
      <c r="A28" s="200"/>
      <c r="B28" s="200"/>
      <c r="C28" s="200"/>
      <c r="D28" s="200"/>
      <c r="E28" s="200"/>
    </row>
    <row r="29" spans="1:11">
      <c r="A29" s="200"/>
      <c r="B29" s="200"/>
      <c r="C29" s="200"/>
      <c r="D29" s="200"/>
      <c r="E29" s="200"/>
    </row>
    <row r="30" spans="1:11">
      <c r="A30" s="200"/>
      <c r="B30" s="200"/>
      <c r="C30" s="200"/>
      <c r="D30" s="200"/>
      <c r="E30" s="200"/>
    </row>
    <row r="31" spans="1:11">
      <c r="A31" s="200"/>
      <c r="B31" s="200"/>
      <c r="C31" s="200"/>
      <c r="D31" s="200"/>
      <c r="E31" s="200"/>
      <c r="H31" s="491" t="s">
        <v>925</v>
      </c>
      <c r="I31" s="491">
        <f>[23]E_BCDC!$C$52</f>
        <v>44561753.664686926</v>
      </c>
    </row>
    <row r="32" spans="1:11">
      <c r="A32" s="200"/>
      <c r="B32" s="200"/>
      <c r="C32" s="200"/>
      <c r="D32" s="200"/>
      <c r="E32" s="200"/>
      <c r="H32" s="491" t="s">
        <v>926</v>
      </c>
      <c r="I32" s="491">
        <f>E_BCDC!C52</f>
        <v>51880451.29916922</v>
      </c>
    </row>
    <row r="33" spans="1:9">
      <c r="A33" s="200"/>
      <c r="B33" s="200"/>
      <c r="C33" s="200"/>
      <c r="D33" s="200"/>
      <c r="E33" s="200"/>
      <c r="H33" s="491" t="s">
        <v>903</v>
      </c>
      <c r="I33" s="501">
        <f>I32-I31</f>
        <v>7318697.6344822943</v>
      </c>
    </row>
    <row r="34" spans="1:9">
      <c r="A34" s="200"/>
      <c r="B34" s="200"/>
      <c r="C34" s="200"/>
      <c r="D34" s="200"/>
      <c r="E34" s="200"/>
      <c r="I34" s="501">
        <f>I33*E_BCDC!N93</f>
        <v>1064057.0290561628</v>
      </c>
    </row>
    <row r="35" spans="1:9">
      <c r="A35" s="200"/>
      <c r="B35" s="200"/>
      <c r="C35" s="200"/>
      <c r="D35" s="200"/>
      <c r="E35" s="200"/>
      <c r="I35" s="199">
        <v>903623.81619165908</v>
      </c>
    </row>
    <row r="36" spans="1:9">
      <c r="A36" s="200"/>
      <c r="B36" s="200"/>
      <c r="C36" s="200"/>
      <c r="D36" s="200"/>
      <c r="E36" s="200"/>
    </row>
    <row r="37" spans="1:9">
      <c r="A37" s="200"/>
      <c r="B37" s="200"/>
      <c r="C37" s="200"/>
      <c r="D37" s="200"/>
      <c r="E37" s="200"/>
      <c r="I37" s="1525">
        <f>I35-I20</f>
        <v>-622773.11572027439</v>
      </c>
    </row>
    <row r="38" spans="1:9">
      <c r="A38" s="200"/>
      <c r="B38" s="200"/>
      <c r="C38" s="200"/>
      <c r="D38" s="200"/>
      <c r="E38" s="200"/>
    </row>
    <row r="39" spans="1:9">
      <c r="A39" s="200"/>
      <c r="B39" s="200"/>
      <c r="C39" s="200"/>
      <c r="D39" s="200"/>
      <c r="E39" s="200"/>
    </row>
    <row r="40" spans="1:9">
      <c r="A40" s="200"/>
      <c r="B40" s="200"/>
      <c r="C40" s="200"/>
      <c r="D40" s="200"/>
      <c r="E40" s="200"/>
    </row>
    <row r="41" spans="1:9">
      <c r="A41" s="200"/>
      <c r="B41" s="200"/>
      <c r="C41" s="200"/>
      <c r="D41" s="200"/>
      <c r="E41" s="200"/>
    </row>
    <row r="42" spans="1:9">
      <c r="A42" s="200"/>
      <c r="B42" s="200"/>
      <c r="C42" s="200"/>
      <c r="D42" s="200"/>
      <c r="E42" s="200"/>
    </row>
    <row r="43" spans="1:9">
      <c r="A43" s="200"/>
      <c r="B43" s="200"/>
      <c r="C43" s="200"/>
      <c r="D43" s="200"/>
      <c r="E43" s="200"/>
    </row>
    <row r="44" spans="1:9">
      <c r="A44" s="200"/>
      <c r="B44" s="200"/>
      <c r="C44" s="200"/>
      <c r="D44" s="200"/>
      <c r="E44" s="200"/>
    </row>
    <row r="45" spans="1:9" ht="15.75" thickBot="1">
      <c r="A45" s="1"/>
      <c r="B45"/>
      <c r="C45"/>
      <c r="D45" s="200"/>
      <c r="E45" s="240"/>
    </row>
    <row r="46" spans="1:9" ht="16.5" thickTop="1" thickBot="1">
      <c r="A46"/>
      <c r="B46"/>
      <c r="C46"/>
      <c r="D46" s="240"/>
      <c r="E46"/>
    </row>
    <row r="47" spans="1:9" ht="15.75" thickTop="1">
      <c r="D47"/>
    </row>
    <row r="48" spans="1:9">
      <c r="A48" s="242"/>
    </row>
    <row r="49" spans="5:5">
      <c r="E49" s="200"/>
    </row>
    <row r="50" spans="5:5">
      <c r="E50" s="200"/>
    </row>
    <row r="51" spans="5:5">
      <c r="E51" s="200"/>
    </row>
    <row r="52" spans="5:5" ht="13.5" thickBot="1">
      <c r="E52" s="241"/>
    </row>
    <row r="113" spans="3:5">
      <c r="E113" s="200"/>
    </row>
    <row r="115" spans="3:5">
      <c r="C115" s="199">
        <f>88891550/1000</f>
        <v>88891.55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  <pageSetUpPr fitToPage="1"/>
  </sheetPr>
  <dimension ref="A1:L256"/>
  <sheetViews>
    <sheetView workbookViewId="0">
      <selection activeCell="J54" sqref="J54"/>
    </sheetView>
  </sheetViews>
  <sheetFormatPr defaultColWidth="9.140625" defaultRowHeight="12.75"/>
  <cols>
    <col min="1" max="1" width="59.7109375" style="304" customWidth="1"/>
    <col min="2" max="2" width="14.5703125" style="52" bestFit="1" customWidth="1"/>
    <col min="3" max="3" width="16.7109375" style="52" customWidth="1"/>
    <col min="4" max="4" width="13.5703125" style="52" bestFit="1" customWidth="1"/>
    <col min="5" max="5" width="13.28515625" style="70" customWidth="1"/>
    <col min="6" max="6" width="5.5703125" style="52" customWidth="1"/>
    <col min="7" max="7" width="28" style="52" customWidth="1"/>
    <col min="8" max="8" width="12.7109375" style="52" customWidth="1"/>
    <col min="9" max="9" width="14" style="52" customWidth="1"/>
    <col min="10" max="10" width="15" style="52" bestFit="1" customWidth="1"/>
    <col min="11" max="11" width="12.7109375" style="52" customWidth="1"/>
    <col min="12" max="12" width="18.42578125" style="52" bestFit="1" customWidth="1"/>
    <col min="13" max="13" width="14.85546875" style="52" customWidth="1"/>
    <col min="14" max="14" width="11.85546875" style="52" bestFit="1" customWidth="1"/>
    <col min="15" max="16384" width="9.140625" style="52"/>
  </cols>
  <sheetData>
    <row r="1" spans="1:12" ht="13.5" thickBot="1">
      <c r="A1" s="290"/>
    </row>
    <row r="2" spans="1:12" ht="20.25">
      <c r="A2" s="1545" t="s">
        <v>471</v>
      </c>
      <c r="B2" s="1546"/>
      <c r="C2" s="1568"/>
      <c r="D2" s="153"/>
      <c r="E2" s="210"/>
    </row>
    <row r="3" spans="1:12" ht="12.75" customHeight="1">
      <c r="A3" s="291" t="s">
        <v>862</v>
      </c>
      <c r="B3" s="1191">
        <f>GROUP!G3</f>
        <v>45046</v>
      </c>
      <c r="C3" s="1191">
        <f>GROUP!H3</f>
        <v>44681</v>
      </c>
      <c r="D3" s="1569" t="s">
        <v>85</v>
      </c>
      <c r="E3" s="1571" t="s">
        <v>86</v>
      </c>
    </row>
    <row r="4" spans="1:12">
      <c r="A4" s="292" t="s">
        <v>784</v>
      </c>
      <c r="B4" s="19" t="s">
        <v>82</v>
      </c>
      <c r="C4" s="19" t="s">
        <v>96</v>
      </c>
      <c r="D4" s="1570"/>
      <c r="E4" s="1572"/>
      <c r="G4" s="1287"/>
      <c r="L4" s="70"/>
    </row>
    <row r="5" spans="1:12">
      <c r="A5" s="292"/>
      <c r="B5" s="19" t="s">
        <v>97</v>
      </c>
      <c r="C5" s="19" t="s">
        <v>97</v>
      </c>
      <c r="D5" s="21"/>
      <c r="E5" s="22"/>
      <c r="G5" s="1287"/>
      <c r="L5" s="1287"/>
    </row>
    <row r="6" spans="1:12">
      <c r="A6" s="291" t="s">
        <v>1</v>
      </c>
      <c r="B6" s="19" t="s">
        <v>879</v>
      </c>
      <c r="C6" s="19" t="s">
        <v>879</v>
      </c>
      <c r="D6" s="21"/>
      <c r="E6" s="22"/>
      <c r="I6" s="1288"/>
      <c r="L6" s="697"/>
    </row>
    <row r="7" spans="1:12">
      <c r="A7" s="293" t="s">
        <v>2</v>
      </c>
      <c r="B7" s="24">
        <f>'[12]EGH PLC 2022 CBK FORMAT'!$B$7+'[12]EGH PLC 2022 CBK FORMAT'!$B$11</f>
        <v>14773106.155630002</v>
      </c>
      <c r="C7" s="24">
        <f>'[4]EGH Plc'!$B$7</f>
        <v>18282376.298840001</v>
      </c>
      <c r="D7" s="75">
        <f>B7-C7</f>
        <v>-3509270.1432099994</v>
      </c>
      <c r="E7" s="1291">
        <f>IFERROR(D7/C7,0)</f>
        <v>-0.19194825037228117</v>
      </c>
      <c r="H7" s="1287"/>
      <c r="J7" s="1288"/>
    </row>
    <row r="8" spans="1:12">
      <c r="A8" s="294" t="s">
        <v>3</v>
      </c>
      <c r="B8" s="24">
        <v>0</v>
      </c>
      <c r="C8" s="24">
        <f>'[4]EGH Plc'!$B8</f>
        <v>0</v>
      </c>
      <c r="D8" s="75">
        <f t="shared" ref="D8:D27" si="0">B8-C8</f>
        <v>0</v>
      </c>
      <c r="E8" s="1291">
        <f>IFERROR(D8/C8,0)</f>
        <v>0</v>
      </c>
    </row>
    <row r="9" spans="1:12">
      <c r="A9" s="294" t="s">
        <v>4</v>
      </c>
      <c r="B9" s="24">
        <v>0</v>
      </c>
      <c r="C9" s="24">
        <f>'[4]EGH Plc'!$B9</f>
        <v>0</v>
      </c>
      <c r="D9" s="75">
        <f t="shared" si="0"/>
        <v>0</v>
      </c>
      <c r="E9" s="1291">
        <f>IFERROR(D9/C9,0)</f>
        <v>0</v>
      </c>
      <c r="H9" s="71"/>
    </row>
    <row r="10" spans="1:12">
      <c r="A10" s="294" t="s">
        <v>5</v>
      </c>
      <c r="B10" s="24">
        <v>0</v>
      </c>
      <c r="C10" s="24">
        <f>'[4]EGH Plc'!$B10</f>
        <v>0</v>
      </c>
      <c r="D10" s="75">
        <f t="shared" si="0"/>
        <v>0</v>
      </c>
      <c r="E10" s="1291">
        <f>IFERROR(D10/C10,0)</f>
        <v>0</v>
      </c>
    </row>
    <row r="11" spans="1:12">
      <c r="A11" s="294" t="s">
        <v>6</v>
      </c>
      <c r="B11" s="24">
        <v>0</v>
      </c>
      <c r="C11" s="24">
        <f>'[4]EGH Plc'!$B$11</f>
        <v>0</v>
      </c>
      <c r="D11" s="75">
        <f t="shared" si="0"/>
        <v>0</v>
      </c>
      <c r="E11" s="1291">
        <f t="shared" ref="E11:E28" si="1">IFERROR(D11/C11,0)</f>
        <v>0</v>
      </c>
      <c r="H11" s="71"/>
    </row>
    <row r="12" spans="1:12">
      <c r="A12" s="294" t="s">
        <v>7</v>
      </c>
      <c r="B12" s="24">
        <v>0</v>
      </c>
      <c r="C12" s="24">
        <f>'[4]EGH Plc'!$B12</f>
        <v>0</v>
      </c>
      <c r="D12" s="75">
        <f t="shared" si="0"/>
        <v>0</v>
      </c>
      <c r="E12" s="1291">
        <f t="shared" si="1"/>
        <v>0</v>
      </c>
    </row>
    <row r="13" spans="1:12">
      <c r="A13" s="294" t="s">
        <v>8</v>
      </c>
      <c r="B13" s="24">
        <v>0</v>
      </c>
      <c r="C13" s="24">
        <f>'[4]EGH Plc'!$B13</f>
        <v>0</v>
      </c>
      <c r="D13" s="75">
        <f t="shared" si="0"/>
        <v>0</v>
      </c>
      <c r="E13" s="1291">
        <f t="shared" si="1"/>
        <v>0</v>
      </c>
    </row>
    <row r="14" spans="1:12">
      <c r="A14" s="294" t="s">
        <v>9</v>
      </c>
      <c r="B14" s="24">
        <f>'[12]EGH PLC 2022 CBK FORMAT'!$B$14</f>
        <v>165702.64564999999</v>
      </c>
      <c r="C14" s="24">
        <f>'[4]EGH Plc'!$B14</f>
        <v>52535.509140000002</v>
      </c>
      <c r="D14" s="75">
        <f t="shared" si="0"/>
        <v>113167.13650999998</v>
      </c>
      <c r="E14" s="1291">
        <f t="shared" si="1"/>
        <v>2.1541075429272976</v>
      </c>
    </row>
    <row r="15" spans="1:12">
      <c r="A15" s="294" t="s">
        <v>10</v>
      </c>
      <c r="B15" s="24">
        <v>0</v>
      </c>
      <c r="C15" s="24">
        <f>'[4]EGH Plc'!$B15</f>
        <v>0</v>
      </c>
      <c r="D15" s="75">
        <f t="shared" si="0"/>
        <v>0</v>
      </c>
      <c r="E15" s="1291">
        <f t="shared" si="1"/>
        <v>0</v>
      </c>
    </row>
    <row r="16" spans="1:12">
      <c r="A16" s="294" t="s">
        <v>11</v>
      </c>
      <c r="B16" s="24">
        <v>0</v>
      </c>
      <c r="C16" s="24">
        <f>'[4]EGH Plc'!$B16</f>
        <v>0</v>
      </c>
      <c r="D16" s="75">
        <f t="shared" si="0"/>
        <v>0</v>
      </c>
      <c r="E16" s="1291">
        <f t="shared" si="1"/>
        <v>0</v>
      </c>
    </row>
    <row r="17" spans="1:12">
      <c r="A17" s="294" t="s">
        <v>12</v>
      </c>
      <c r="B17" s="24">
        <v>0</v>
      </c>
      <c r="C17" s="24">
        <f>'[4]EGH Plc'!$B17</f>
        <v>0</v>
      </c>
      <c r="D17" s="75">
        <f t="shared" si="0"/>
        <v>0</v>
      </c>
      <c r="E17" s="1291">
        <f>IFERROR(D17/C17,0)</f>
        <v>0</v>
      </c>
    </row>
    <row r="18" spans="1:12">
      <c r="A18" s="294" t="s">
        <v>13</v>
      </c>
      <c r="B18" s="24">
        <v>0</v>
      </c>
      <c r="C18" s="24">
        <f>'[4]EGH Plc'!$B18</f>
        <v>0</v>
      </c>
      <c r="D18" s="75">
        <f t="shared" si="0"/>
        <v>0</v>
      </c>
      <c r="E18" s="1291">
        <f t="shared" si="1"/>
        <v>0</v>
      </c>
    </row>
    <row r="19" spans="1:12">
      <c r="A19" s="294" t="s">
        <v>14</v>
      </c>
      <c r="B19" s="24">
        <f>'[12]EGH PLC 2022 CBK FORMAT'!$B$19+H21</f>
        <v>93339182.712720007</v>
      </c>
      <c r="C19" s="24">
        <f>'[4]EGH Plc'!$B19</f>
        <v>81234820.236220002</v>
      </c>
      <c r="D19" s="75">
        <f t="shared" si="0"/>
        <v>12104362.476500005</v>
      </c>
      <c r="E19" s="1291">
        <f t="shared" si="1"/>
        <v>0.14900460715370745</v>
      </c>
      <c r="F19" s="55"/>
      <c r="G19" s="55"/>
      <c r="H19" s="70"/>
      <c r="I19" s="70"/>
      <c r="L19" s="55"/>
    </row>
    <row r="20" spans="1:12">
      <c r="A20" s="294" t="s">
        <v>15</v>
      </c>
      <c r="B20" s="24">
        <v>0</v>
      </c>
      <c r="C20" s="24">
        <f>'[4]EGH Plc'!$B20</f>
        <v>0</v>
      </c>
      <c r="D20" s="75">
        <f t="shared" si="0"/>
        <v>0</v>
      </c>
      <c r="E20" s="1291">
        <f t="shared" si="1"/>
        <v>0</v>
      </c>
      <c r="F20" s="55"/>
      <c r="H20" s="70"/>
      <c r="I20" s="70"/>
    </row>
    <row r="21" spans="1:12">
      <c r="A21" s="294" t="s">
        <v>16</v>
      </c>
      <c r="B21" s="24">
        <v>0</v>
      </c>
      <c r="C21" s="24">
        <f>'[4]EGH Plc'!$B21</f>
        <v>0</v>
      </c>
      <c r="D21" s="75">
        <f t="shared" si="0"/>
        <v>0</v>
      </c>
      <c r="E21" s="1291">
        <f t="shared" si="1"/>
        <v>0</v>
      </c>
      <c r="G21" s="52" t="s">
        <v>841</v>
      </c>
      <c r="H21" s="70"/>
      <c r="I21" s="70"/>
    </row>
    <row r="22" spans="1:12">
      <c r="A22" s="294" t="s">
        <v>17</v>
      </c>
      <c r="B22" s="24">
        <f>'[12]EGH PLC 2022 CBK FORMAT'!$B$22</f>
        <v>8850.6281200000012</v>
      </c>
      <c r="C22" s="24">
        <f>'[4]EGH Plc'!$B22</f>
        <v>9572.9935000000005</v>
      </c>
      <c r="D22" s="75">
        <f t="shared" si="0"/>
        <v>-722.36537999999928</v>
      </c>
      <c r="E22" s="1291">
        <f t="shared" si="1"/>
        <v>-7.5458672357815684E-2</v>
      </c>
      <c r="G22" s="52" t="s">
        <v>799</v>
      </c>
    </row>
    <row r="23" spans="1:12">
      <c r="A23" s="294" t="s">
        <v>18</v>
      </c>
      <c r="B23" s="24">
        <v>0</v>
      </c>
      <c r="C23" s="24">
        <f>'[4]EGH Plc'!$B23</f>
        <v>0</v>
      </c>
      <c r="D23" s="75">
        <f t="shared" si="0"/>
        <v>0</v>
      </c>
      <c r="E23" s="1291">
        <f t="shared" si="1"/>
        <v>0</v>
      </c>
    </row>
    <row r="24" spans="1:12">
      <c r="A24" s="294" t="s">
        <v>19</v>
      </c>
      <c r="B24" s="24">
        <v>0</v>
      </c>
      <c r="C24" s="24">
        <f>'[4]EGH Plc'!$B24</f>
        <v>0</v>
      </c>
      <c r="D24" s="75">
        <f t="shared" si="0"/>
        <v>0</v>
      </c>
      <c r="E24" s="1291">
        <f t="shared" si="1"/>
        <v>0</v>
      </c>
    </row>
    <row r="25" spans="1:12">
      <c r="A25" s="294" t="s">
        <v>20</v>
      </c>
      <c r="B25" s="24">
        <f>'[12]EGH PLC 2022 CBK FORMAT'!$B$25</f>
        <v>753300.16311982798</v>
      </c>
      <c r="C25" s="24">
        <f>'[4]EGH Plc'!$B25</f>
        <v>113861.24834300001</v>
      </c>
      <c r="D25" s="75">
        <f t="shared" si="0"/>
        <v>639438.91477682791</v>
      </c>
      <c r="E25" s="1291">
        <f t="shared" si="1"/>
        <v>5.615948569706152</v>
      </c>
      <c r="I25" s="52" t="s">
        <v>928</v>
      </c>
    </row>
    <row r="26" spans="1:12">
      <c r="A26" s="294" t="s">
        <v>21</v>
      </c>
      <c r="B26" s="24">
        <v>0</v>
      </c>
      <c r="C26" s="24">
        <f>'[4]EGH Plc'!$B26</f>
        <v>0</v>
      </c>
      <c r="D26" s="75">
        <f t="shared" si="0"/>
        <v>0</v>
      </c>
      <c r="E26" s="1291">
        <f t="shared" si="1"/>
        <v>0</v>
      </c>
      <c r="I26" s="1288">
        <v>3773674802</v>
      </c>
      <c r="J26" s="177">
        <f>I26*4</f>
        <v>15094699208</v>
      </c>
    </row>
    <row r="27" spans="1:12" ht="13.5" thickBot="1">
      <c r="A27" s="295" t="s">
        <v>22</v>
      </c>
      <c r="B27" s="24">
        <f>'[12]EGH PLC 2022 CBK FORMAT'!$B$27+'[12]EGH PLC 2022 CBK FORMAT'!$B$17+I61+G19</f>
        <v>1810129.2487300001</v>
      </c>
      <c r="C27" s="24">
        <f>'[4]EGH Plc'!$B27</f>
        <v>298286.00566999998</v>
      </c>
      <c r="D27" s="75">
        <f t="shared" si="0"/>
        <v>1511843.2430600002</v>
      </c>
      <c r="E27" s="1291">
        <f t="shared" si="1"/>
        <v>5.0684350399347391</v>
      </c>
      <c r="H27" s="55"/>
      <c r="J27" s="177">
        <f>J26/1000</f>
        <v>15094699.208000001</v>
      </c>
    </row>
    <row r="28" spans="1:12" ht="13.5" thickBot="1">
      <c r="A28" s="296" t="s">
        <v>23</v>
      </c>
      <c r="B28" s="212">
        <f>SUM(B7:B27)</f>
        <v>110850271.55396985</v>
      </c>
      <c r="C28" s="212">
        <f>SUM(C7:C27)</f>
        <v>99991452.291712999</v>
      </c>
      <c r="D28" s="213">
        <f>B28-C28</f>
        <v>10858819.262256846</v>
      </c>
      <c r="E28" s="1292">
        <f t="shared" si="1"/>
        <v>0.10859747521795714</v>
      </c>
    </row>
    <row r="29" spans="1:12">
      <c r="A29" s="297"/>
      <c r="B29" s="217"/>
      <c r="C29" s="215"/>
      <c r="D29" s="25"/>
      <c r="E29" s="1293"/>
    </row>
    <row r="30" spans="1:12">
      <c r="A30" s="298" t="s">
        <v>24</v>
      </c>
      <c r="B30" s="218"/>
      <c r="C30" s="116"/>
      <c r="D30" s="24"/>
      <c r="E30" s="1294"/>
    </row>
    <row r="31" spans="1:12">
      <c r="A31" s="294" t="s">
        <v>25</v>
      </c>
      <c r="B31" s="24">
        <v>0</v>
      </c>
      <c r="C31" s="24">
        <f>'[4]EGH Plc'!$B31</f>
        <v>0</v>
      </c>
      <c r="D31" s="25">
        <f t="shared" ref="D31:D43" si="2">B31-C31</f>
        <v>0</v>
      </c>
      <c r="E31" s="1291">
        <f t="shared" ref="E31:E43" si="3">IFERROR(D31/C31,0)</f>
        <v>0</v>
      </c>
      <c r="H31" s="177"/>
    </row>
    <row r="32" spans="1:12">
      <c r="A32" s="294" t="s">
        <v>26</v>
      </c>
      <c r="B32" s="24">
        <v>0</v>
      </c>
      <c r="C32" s="24">
        <f>'[4]EGH Plc'!$B32</f>
        <v>0</v>
      </c>
      <c r="D32" s="25">
        <f t="shared" si="2"/>
        <v>0</v>
      </c>
      <c r="E32" s="1291">
        <f t="shared" si="3"/>
        <v>0</v>
      </c>
      <c r="H32" s="177"/>
    </row>
    <row r="33" spans="1:10">
      <c r="A33" s="294" t="s">
        <v>27</v>
      </c>
      <c r="B33" s="24">
        <v>0</v>
      </c>
      <c r="C33" s="24">
        <f>'[4]EGH Plc'!$B33</f>
        <v>0</v>
      </c>
      <c r="D33" s="25">
        <f t="shared" si="2"/>
        <v>0</v>
      </c>
      <c r="E33" s="1291">
        <f t="shared" si="3"/>
        <v>0</v>
      </c>
    </row>
    <row r="34" spans="1:10">
      <c r="A34" s="294" t="s">
        <v>28</v>
      </c>
      <c r="B34" s="24">
        <v>0</v>
      </c>
      <c r="C34" s="24">
        <f>'[4]EGH Plc'!$B34</f>
        <v>0</v>
      </c>
      <c r="D34" s="25">
        <f t="shared" si="2"/>
        <v>0</v>
      </c>
      <c r="E34" s="1291">
        <f t="shared" si="3"/>
        <v>0</v>
      </c>
    </row>
    <row r="35" spans="1:10">
      <c r="A35" s="294" t="s">
        <v>29</v>
      </c>
      <c r="B35" s="24">
        <v>0</v>
      </c>
      <c r="C35" s="24">
        <f>'[4]EGH Plc'!$B35</f>
        <v>0</v>
      </c>
      <c r="D35" s="25">
        <f t="shared" si="2"/>
        <v>0</v>
      </c>
      <c r="E35" s="1291">
        <f t="shared" si="3"/>
        <v>0</v>
      </c>
    </row>
    <row r="36" spans="1:10">
      <c r="A36" s="294" t="s">
        <v>30</v>
      </c>
      <c r="B36" s="24">
        <f>'[12]EGH PLC 2022 CBK FORMAT'!$B$36</f>
        <v>13711889.087680001</v>
      </c>
      <c r="C36" s="24">
        <f>'[4]EGH Plc'!$B36</f>
        <v>11646516.351159999</v>
      </c>
      <c r="D36" s="25">
        <f t="shared" si="2"/>
        <v>2065372.7365200017</v>
      </c>
      <c r="E36" s="1291">
        <f t="shared" si="3"/>
        <v>0.17733824211857904</v>
      </c>
      <c r="J36" s="55"/>
    </row>
    <row r="37" spans="1:10">
      <c r="A37" s="294" t="s">
        <v>31</v>
      </c>
      <c r="B37" s="24">
        <v>0</v>
      </c>
      <c r="C37" s="24"/>
      <c r="D37" s="25">
        <f t="shared" si="2"/>
        <v>0</v>
      </c>
      <c r="E37" s="1291">
        <f t="shared" si="3"/>
        <v>0</v>
      </c>
      <c r="J37" s="55"/>
    </row>
    <row r="38" spans="1:10">
      <c r="A38" s="294" t="s">
        <v>32</v>
      </c>
      <c r="B38" s="24">
        <f>'[12]EGH PLC 2022 CBK FORMAT'!$B$38</f>
        <v>0</v>
      </c>
      <c r="C38" s="24">
        <f>'[4]EGH Plc'!$B38</f>
        <v>0</v>
      </c>
      <c r="D38" s="25">
        <f t="shared" si="2"/>
        <v>0</v>
      </c>
      <c r="E38" s="1291">
        <f t="shared" si="3"/>
        <v>0</v>
      </c>
      <c r="G38" s="55"/>
      <c r="I38" s="71"/>
    </row>
    <row r="39" spans="1:10">
      <c r="A39" s="294" t="s">
        <v>33</v>
      </c>
      <c r="B39" s="24">
        <f>'[12]EGH PLC 2022 CBK FORMAT'!$B$39</f>
        <v>0</v>
      </c>
      <c r="C39" s="24">
        <f>'[4]EGH Plc'!$B39</f>
        <v>0</v>
      </c>
      <c r="D39" s="25">
        <f t="shared" si="2"/>
        <v>0</v>
      </c>
      <c r="E39" s="1291">
        <f t="shared" si="3"/>
        <v>0</v>
      </c>
      <c r="G39" s="70"/>
    </row>
    <row r="40" spans="1:10">
      <c r="A40" s="294" t="s">
        <v>34</v>
      </c>
      <c r="B40" s="24">
        <f>I31</f>
        <v>0</v>
      </c>
      <c r="C40" s="24">
        <f>'[4]EGH Plc'!$B40</f>
        <v>0</v>
      </c>
      <c r="D40" s="25">
        <f t="shared" si="2"/>
        <v>0</v>
      </c>
      <c r="E40" s="1291">
        <f t="shared" si="3"/>
        <v>0</v>
      </c>
      <c r="G40" s="71"/>
    </row>
    <row r="41" spans="1:10">
      <c r="A41" s="294" t="s">
        <v>35</v>
      </c>
      <c r="B41" s="24">
        <v>0</v>
      </c>
      <c r="C41" s="24">
        <f>'[4]EGH Plc'!$B41</f>
        <v>0</v>
      </c>
      <c r="D41" s="25">
        <f t="shared" si="2"/>
        <v>0</v>
      </c>
      <c r="E41" s="1291">
        <f t="shared" si="3"/>
        <v>0</v>
      </c>
    </row>
    <row r="42" spans="1:10" ht="13.5" thickBot="1">
      <c r="A42" s="299" t="s">
        <v>36</v>
      </c>
      <c r="B42" s="24">
        <f>'[12]EGH PLC 2022 CBK FORMAT'!$B$42+'[12]EGH PLC 2022 CBK FORMAT'!$B$37+J19</f>
        <v>1297084.86696</v>
      </c>
      <c r="C42" s="24">
        <f>'[4]EGH Plc'!$B42+'[4]EGH Plc'!$B37</f>
        <v>1447099.5364399999</v>
      </c>
      <c r="D42" s="219">
        <f t="shared" si="2"/>
        <v>-150014.66947999992</v>
      </c>
      <c r="E42" s="1291">
        <f t="shared" si="3"/>
        <v>-0.10366575740121514</v>
      </c>
    </row>
    <row r="43" spans="1:10" ht="13.5" thickBot="1">
      <c r="A43" s="296" t="s">
        <v>37</v>
      </c>
      <c r="B43" s="221">
        <f>SUM(B31:B42)</f>
        <v>15008973.954640001</v>
      </c>
      <c r="C43" s="222">
        <f>SUM(C31:C42)</f>
        <v>13093615.887599999</v>
      </c>
      <c r="D43" s="213">
        <f t="shared" si="2"/>
        <v>1915358.067040002</v>
      </c>
      <c r="E43" s="1292">
        <f t="shared" si="3"/>
        <v>0.14628182799022665</v>
      </c>
    </row>
    <row r="44" spans="1:10">
      <c r="A44" s="297"/>
      <c r="B44" s="216"/>
      <c r="C44" s="216"/>
      <c r="D44" s="25"/>
      <c r="E44" s="1294"/>
    </row>
    <row r="45" spans="1:10">
      <c r="A45" s="298" t="s">
        <v>38</v>
      </c>
      <c r="B45" s="193"/>
      <c r="C45" s="193"/>
      <c r="D45" s="24"/>
      <c r="E45" s="1292"/>
    </row>
    <row r="46" spans="1:10">
      <c r="A46" s="294" t="s">
        <v>39</v>
      </c>
      <c r="B46" s="24">
        <f>'[12]EGH PLC 2022 CBK FORMAT'!$B$46</f>
        <v>1886837.3448800002</v>
      </c>
      <c r="C46" s="24">
        <f>'[4]EGH Plc'!$B46</f>
        <v>1886837.3448800002</v>
      </c>
      <c r="D46" s="24">
        <f t="shared" ref="D46:D53" si="4">B46-C46</f>
        <v>0</v>
      </c>
      <c r="E46" s="1291">
        <f t="shared" ref="E46:E53" si="5">IFERROR(D46/C46,0)</f>
        <v>0</v>
      </c>
    </row>
    <row r="47" spans="1:10">
      <c r="A47" s="294" t="s">
        <v>40</v>
      </c>
      <c r="B47" s="24">
        <f>'[12]EGH PLC 2022 CBK FORMAT'!$B$47</f>
        <v>15325263.83735</v>
      </c>
      <c r="C47" s="24">
        <f>'[4]EGH Plc'!$B47</f>
        <v>15325263.83735</v>
      </c>
      <c r="D47" s="24">
        <f t="shared" si="4"/>
        <v>0</v>
      </c>
      <c r="E47" s="1291">
        <f t="shared" si="5"/>
        <v>0</v>
      </c>
      <c r="F47" s="55"/>
    </row>
    <row r="48" spans="1:10">
      <c r="A48" s="294" t="s">
        <v>41</v>
      </c>
      <c r="B48" s="24">
        <v>0</v>
      </c>
      <c r="C48" s="24">
        <f>'[4]EGH Plc'!$B48</f>
        <v>0</v>
      </c>
      <c r="D48" s="24">
        <f t="shared" si="4"/>
        <v>0</v>
      </c>
      <c r="E48" s="1291">
        <f t="shared" si="5"/>
        <v>0</v>
      </c>
      <c r="F48" s="55"/>
    </row>
    <row r="49" spans="1:12">
      <c r="A49" s="294" t="s">
        <v>42</v>
      </c>
      <c r="B49" s="24">
        <f>'[12]EGH PLC 2022 CBK FORMAT'!$B$49-J27</f>
        <v>63534497.209099829</v>
      </c>
      <c r="C49" s="24">
        <f>'[4]EGH Plc'!$B49</f>
        <v>58364710.815883011</v>
      </c>
      <c r="D49" s="24">
        <f>B49-C49</f>
        <v>5169786.3932168186</v>
      </c>
      <c r="E49" s="1291">
        <f t="shared" si="5"/>
        <v>8.8577263914240881E-2</v>
      </c>
      <c r="F49" s="55"/>
      <c r="G49" s="52" t="s">
        <v>520</v>
      </c>
      <c r="H49" s="55">
        <f>'[23]EGH Plc'!$B$49</f>
        <v>79642872.181403831</v>
      </c>
      <c r="I49" s="55">
        <f>B49-H49</f>
        <v>-16108374.972304001</v>
      </c>
      <c r="J49" s="55"/>
      <c r="K49" s="55"/>
    </row>
    <row r="50" spans="1:12">
      <c r="A50" s="294" t="s">
        <v>43</v>
      </c>
      <c r="B50" s="24">
        <v>0</v>
      </c>
      <c r="C50" s="24">
        <f>'[4]EGH Plc'!$B50</f>
        <v>0</v>
      </c>
      <c r="D50" s="24">
        <f t="shared" si="4"/>
        <v>0</v>
      </c>
      <c r="E50" s="1291">
        <f t="shared" si="5"/>
        <v>0</v>
      </c>
      <c r="G50" s="52" t="s">
        <v>521</v>
      </c>
      <c r="H50" s="55"/>
      <c r="I50" s="55">
        <f>B98</f>
        <v>-1013675.7643040001</v>
      </c>
      <c r="J50" s="55"/>
      <c r="K50" s="55"/>
      <c r="L50" s="55"/>
    </row>
    <row r="51" spans="1:12">
      <c r="A51" s="294" t="s">
        <v>44</v>
      </c>
      <c r="B51" s="24">
        <f>J27</f>
        <v>15094699.208000001</v>
      </c>
      <c r="C51" s="24">
        <f>'[4]EGH Plc'!$B51</f>
        <v>11321024.405999999</v>
      </c>
      <c r="D51" s="24">
        <f t="shared" si="4"/>
        <v>3773674.8020000011</v>
      </c>
      <c r="E51" s="1291">
        <v>1</v>
      </c>
      <c r="G51" s="52" t="s">
        <v>928</v>
      </c>
      <c r="H51" s="55"/>
      <c r="I51" s="55">
        <f>B51</f>
        <v>15094699.208000001</v>
      </c>
      <c r="J51" s="55"/>
      <c r="K51" s="55"/>
    </row>
    <row r="52" spans="1:12" ht="13.5" thickBot="1">
      <c r="A52" s="299" t="s">
        <v>45</v>
      </c>
      <c r="B52" s="24">
        <v>0</v>
      </c>
      <c r="C52" s="24">
        <f>'[4]EGH Plc'!$B52</f>
        <v>0</v>
      </c>
      <c r="D52" s="224">
        <f t="shared" si="4"/>
        <v>0</v>
      </c>
      <c r="E52" s="1291">
        <f t="shared" si="5"/>
        <v>0</v>
      </c>
      <c r="I52" s="776">
        <f>I49-I50+I51</f>
        <v>0</v>
      </c>
      <c r="L52" s="55"/>
    </row>
    <row r="53" spans="1:12" ht="13.5" thickBot="1">
      <c r="A53" s="296" t="s">
        <v>46</v>
      </c>
      <c r="B53" s="212">
        <f>SUM(B46:B52)</f>
        <v>95841297.599329829</v>
      </c>
      <c r="C53" s="212">
        <f>SUM(C46:C52)</f>
        <v>86897836.40411301</v>
      </c>
      <c r="D53" s="225">
        <f t="shared" si="4"/>
        <v>8943461.1952168196</v>
      </c>
      <c r="E53" s="1297">
        <f t="shared" si="5"/>
        <v>0.10291926203577506</v>
      </c>
    </row>
    <row r="54" spans="1:12" ht="13.5" thickBot="1">
      <c r="A54" s="300"/>
      <c r="B54" s="226"/>
      <c r="C54" s="226"/>
      <c r="D54" s="190"/>
      <c r="E54" s="1291"/>
    </row>
    <row r="55" spans="1:12" ht="13.5" thickBot="1">
      <c r="A55" s="296" t="s">
        <v>47</v>
      </c>
      <c r="B55" s="212">
        <f>B43+B53</f>
        <v>110850271.55396983</v>
      </c>
      <c r="C55" s="212">
        <f>C43+C53</f>
        <v>99991452.291713014</v>
      </c>
      <c r="D55" s="225">
        <f>B55-C55</f>
        <v>10858819.262256816</v>
      </c>
      <c r="E55" s="1298">
        <f>IFERROR(D55/C55,0)</f>
        <v>0.10859747521795682</v>
      </c>
    </row>
    <row r="56" spans="1:12" ht="13.5" thickBot="1">
      <c r="A56" s="300"/>
      <c r="B56" s="191">
        <f>B55-B28</f>
        <v>0</v>
      </c>
      <c r="C56" s="191">
        <f>C55-C28</f>
        <v>0</v>
      </c>
      <c r="D56" s="191"/>
      <c r="E56" s="192"/>
      <c r="G56" s="55"/>
    </row>
    <row r="57" spans="1:12" ht="18">
      <c r="A57" s="1573" t="s">
        <v>471</v>
      </c>
      <c r="B57" s="1574"/>
      <c r="C57" s="1574"/>
      <c r="D57" s="1289"/>
      <c r="E57" s="861"/>
    </row>
    <row r="58" spans="1:12" ht="12.75" customHeight="1">
      <c r="A58" s="1290" t="s">
        <v>48</v>
      </c>
      <c r="B58" s="1191">
        <f>B3</f>
        <v>45046</v>
      </c>
      <c r="C58" s="1191">
        <f>C3</f>
        <v>44681</v>
      </c>
      <c r="D58" s="1575" t="s">
        <v>85</v>
      </c>
      <c r="E58" s="1577" t="s">
        <v>86</v>
      </c>
    </row>
    <row r="59" spans="1:12">
      <c r="A59" s="301"/>
      <c r="B59" s="19" t="s">
        <v>97</v>
      </c>
      <c r="C59" s="19" t="s">
        <v>97</v>
      </c>
      <c r="D59" s="1576"/>
      <c r="E59" s="1572"/>
    </row>
    <row r="60" spans="1:12" ht="13.5" thickBot="1">
      <c r="A60" s="437"/>
      <c r="B60" s="438" t="s">
        <v>879</v>
      </c>
      <c r="C60" s="438" t="s">
        <v>879</v>
      </c>
      <c r="D60" s="439"/>
      <c r="E60" s="439"/>
    </row>
    <row r="61" spans="1:12">
      <c r="A61" s="297" t="s">
        <v>49</v>
      </c>
      <c r="B61" s="25"/>
      <c r="C61" s="25"/>
      <c r="D61" s="25"/>
      <c r="E61" s="26"/>
    </row>
    <row r="62" spans="1:12">
      <c r="A62" s="294" t="s">
        <v>50</v>
      </c>
      <c r="B62" s="24">
        <v>0</v>
      </c>
      <c r="C62" s="24">
        <f>'[4]EGH Plc'!$B62</f>
        <v>0</v>
      </c>
      <c r="D62" s="24">
        <f>B62-C62</f>
        <v>0</v>
      </c>
      <c r="E62" s="1294">
        <f>IFERROR(D62/C62,0)</f>
        <v>0</v>
      </c>
    </row>
    <row r="63" spans="1:12">
      <c r="A63" s="294" t="s">
        <v>51</v>
      </c>
      <c r="B63" s="24">
        <v>0</v>
      </c>
      <c r="C63" s="24">
        <f>'[4]EGH Plc'!$B63</f>
        <v>0</v>
      </c>
      <c r="D63" s="24">
        <f t="shared" ref="D63:D98" si="6">B63-C63</f>
        <v>0</v>
      </c>
      <c r="E63" s="1294">
        <f t="shared" ref="E63:E98" si="7">IFERROR(D63/C63,0)</f>
        <v>0</v>
      </c>
    </row>
    <row r="64" spans="1:12">
      <c r="A64" s="294" t="s">
        <v>52</v>
      </c>
      <c r="B64" s="24">
        <f>'[12]EGH PLC 2022 CBK FORMAT'!$B$64</f>
        <v>366668.01299999998</v>
      </c>
      <c r="C64" s="24">
        <f>'[4]EGH Plc'!$B64</f>
        <v>305638.37805</v>
      </c>
      <c r="D64" s="24">
        <f t="shared" si="6"/>
        <v>61029.634949999978</v>
      </c>
      <c r="E64" s="1294">
        <f t="shared" si="7"/>
        <v>0.19967922660555415</v>
      </c>
    </row>
    <row r="65" spans="1:11">
      <c r="A65" s="294" t="s">
        <v>53</v>
      </c>
      <c r="B65" s="24">
        <v>0</v>
      </c>
      <c r="C65" s="24">
        <f>'[4]EGH Plc'!$B65</f>
        <v>0</v>
      </c>
      <c r="D65" s="24">
        <f t="shared" si="6"/>
        <v>0</v>
      </c>
      <c r="E65" s="1294">
        <f t="shared" si="7"/>
        <v>0</v>
      </c>
    </row>
    <row r="66" spans="1:11">
      <c r="A66" s="303" t="s">
        <v>54</v>
      </c>
      <c r="B66" s="189">
        <f>SUM(B62:B65)</f>
        <v>366668.01299999998</v>
      </c>
      <c r="C66" s="189">
        <f>SUM(C62:C65)</f>
        <v>305638.37805</v>
      </c>
      <c r="D66" s="197">
        <f t="shared" si="6"/>
        <v>61029.634949999978</v>
      </c>
      <c r="E66" s="1304">
        <f t="shared" si="7"/>
        <v>0.19967922660555415</v>
      </c>
    </row>
    <row r="67" spans="1:11">
      <c r="A67" s="298"/>
      <c r="B67" s="24"/>
      <c r="C67" s="24"/>
      <c r="D67" s="24"/>
      <c r="E67" s="1294"/>
    </row>
    <row r="68" spans="1:11">
      <c r="A68" s="298" t="s">
        <v>55</v>
      </c>
      <c r="B68" s="24"/>
      <c r="C68" s="24"/>
      <c r="D68" s="24"/>
      <c r="E68" s="1294"/>
    </row>
    <row r="69" spans="1:11">
      <c r="A69" s="294" t="s">
        <v>56</v>
      </c>
      <c r="B69" s="24">
        <v>0</v>
      </c>
      <c r="C69" s="24">
        <f>'[4]EGH Plc'!$B69</f>
        <v>0</v>
      </c>
      <c r="D69" s="24">
        <f t="shared" si="6"/>
        <v>0</v>
      </c>
      <c r="E69" s="1294">
        <f t="shared" si="7"/>
        <v>0</v>
      </c>
    </row>
    <row r="70" spans="1:11">
      <c r="A70" s="294" t="s">
        <v>57</v>
      </c>
      <c r="B70" s="24">
        <v>0</v>
      </c>
      <c r="C70" s="24">
        <f>'[4]EGH Plc'!$B70</f>
        <v>0</v>
      </c>
      <c r="D70" s="24">
        <f t="shared" si="6"/>
        <v>0</v>
      </c>
      <c r="E70" s="1294">
        <f t="shared" si="7"/>
        <v>0</v>
      </c>
    </row>
    <row r="71" spans="1:11">
      <c r="A71" s="294" t="s">
        <v>58</v>
      </c>
      <c r="B71" s="24">
        <f>-'[12]EGH PLC 2022 CBK FORMAT'!$B$71</f>
        <v>406855.48992000002</v>
      </c>
      <c r="C71" s="24">
        <f>'[4]EGH Plc'!$B71</f>
        <v>206023.92402999999</v>
      </c>
      <c r="D71" s="24">
        <f t="shared" si="6"/>
        <v>200831.56589000003</v>
      </c>
      <c r="E71" s="1294">
        <f t="shared" si="7"/>
        <v>0.97479730490307581</v>
      </c>
      <c r="G71" s="55"/>
    </row>
    <row r="72" spans="1:11">
      <c r="A72" s="303" t="s">
        <v>59</v>
      </c>
      <c r="B72" s="189">
        <f>SUM(B69:B71)</f>
        <v>406855.48992000002</v>
      </c>
      <c r="C72" s="189">
        <v>0</v>
      </c>
      <c r="D72" s="197">
        <f t="shared" si="6"/>
        <v>406855.48992000002</v>
      </c>
      <c r="E72" s="1304">
        <f t="shared" si="7"/>
        <v>0</v>
      </c>
    </row>
    <row r="73" spans="1:11">
      <c r="A73" s="303" t="s">
        <v>60</v>
      </c>
      <c r="B73" s="189">
        <f>B66-B72</f>
        <v>-40187.476920000045</v>
      </c>
      <c r="C73" s="189">
        <f>C66</f>
        <v>305638.37805</v>
      </c>
      <c r="D73" s="197">
        <f t="shared" si="6"/>
        <v>-345825.85497000004</v>
      </c>
      <c r="E73" s="1304">
        <f t="shared" si="7"/>
        <v>-1.1314870114689122</v>
      </c>
    </row>
    <row r="74" spans="1:11">
      <c r="A74" s="298"/>
      <c r="B74" s="24"/>
      <c r="C74" s="24"/>
      <c r="D74" s="24"/>
      <c r="E74" s="1294"/>
    </row>
    <row r="75" spans="1:11">
      <c r="A75" s="298" t="s">
        <v>61</v>
      </c>
      <c r="B75" s="24"/>
      <c r="C75" s="24"/>
      <c r="D75" s="24"/>
      <c r="E75" s="1294"/>
    </row>
    <row r="76" spans="1:11">
      <c r="A76" s="294" t="s">
        <v>62</v>
      </c>
      <c r="B76" s="24">
        <v>0</v>
      </c>
      <c r="C76" s="24">
        <f>'[4]EGH Plc'!$B76</f>
        <v>0</v>
      </c>
      <c r="D76" s="24">
        <f t="shared" si="6"/>
        <v>0</v>
      </c>
      <c r="E76" s="1294">
        <f t="shared" si="7"/>
        <v>0</v>
      </c>
    </row>
    <row r="77" spans="1:11">
      <c r="A77" s="294" t="s">
        <v>63</v>
      </c>
      <c r="B77" s="24">
        <v>0</v>
      </c>
      <c r="C77" s="24">
        <f>'[4]EGH Plc'!$B77</f>
        <v>0</v>
      </c>
      <c r="D77" s="24">
        <f t="shared" si="6"/>
        <v>0</v>
      </c>
      <c r="E77" s="1294">
        <f t="shared" si="7"/>
        <v>0</v>
      </c>
    </row>
    <row r="78" spans="1:11">
      <c r="A78" s="294" t="s">
        <v>64</v>
      </c>
      <c r="B78" s="24">
        <v>0</v>
      </c>
      <c r="C78" s="24">
        <f>'[4]EGH Plc'!$B78</f>
        <v>0</v>
      </c>
      <c r="D78" s="24">
        <f t="shared" si="6"/>
        <v>0</v>
      </c>
      <c r="E78" s="1294">
        <f t="shared" si="7"/>
        <v>0</v>
      </c>
    </row>
    <row r="79" spans="1:11">
      <c r="A79" s="294" t="s">
        <v>65</v>
      </c>
      <c r="B79" s="24">
        <f>'[12]EGH PLC 2022 CBK FORMAT'!$B$79+I22</f>
        <v>0</v>
      </c>
      <c r="C79" s="24">
        <f>'[4]EGH Plc'!$B79</f>
        <v>0</v>
      </c>
      <c r="D79" s="24">
        <f t="shared" si="6"/>
        <v>0</v>
      </c>
      <c r="E79" s="1294">
        <f t="shared" si="7"/>
        <v>0</v>
      </c>
      <c r="J79" s="55"/>
    </row>
    <row r="80" spans="1:11">
      <c r="A80" s="294" t="s">
        <v>66</v>
      </c>
      <c r="B80" s="24">
        <f>'[12]EGH PLC 2022 CBK FORMAT'!$B$80</f>
        <v>-1329921.5751</v>
      </c>
      <c r="C80" s="24">
        <f>'[4]EGH Plc'!$B80</f>
        <v>-50987.589030000003</v>
      </c>
      <c r="D80" s="24">
        <f t="shared" si="6"/>
        <v>-1278933.9860700001</v>
      </c>
      <c r="E80" s="1294">
        <f t="shared" si="7"/>
        <v>25.083241047493004</v>
      </c>
      <c r="K80" s="71"/>
    </row>
    <row r="81" spans="1:12">
      <c r="A81" s="303" t="s">
        <v>67</v>
      </c>
      <c r="B81" s="189">
        <f>SUM(B76:B80)</f>
        <v>-1329921.5751</v>
      </c>
      <c r="C81" s="189">
        <f>SUM(C76:C80)</f>
        <v>-50987.589030000003</v>
      </c>
      <c r="D81" s="197">
        <f t="shared" si="6"/>
        <v>-1278933.9860700001</v>
      </c>
      <c r="E81" s="1304">
        <f t="shared" si="7"/>
        <v>25.083241047493004</v>
      </c>
    </row>
    <row r="82" spans="1:12">
      <c r="A82" s="303" t="s">
        <v>68</v>
      </c>
      <c r="B82" s="189">
        <f>B73+B81</f>
        <v>-1370109.0520200001</v>
      </c>
      <c r="C82" s="189">
        <f>C73+C81</f>
        <v>254650.78902</v>
      </c>
      <c r="D82" s="197">
        <f t="shared" si="6"/>
        <v>-1624759.8410400001</v>
      </c>
      <c r="E82" s="1304">
        <f t="shared" si="7"/>
        <v>-6.3803448137456709</v>
      </c>
    </row>
    <row r="83" spans="1:12">
      <c r="A83" s="298"/>
      <c r="B83" s="24"/>
      <c r="C83" s="24"/>
      <c r="D83" s="24"/>
      <c r="E83" s="1294"/>
    </row>
    <row r="84" spans="1:12">
      <c r="A84" s="298" t="s">
        <v>69</v>
      </c>
      <c r="B84" s="24"/>
      <c r="C84" s="24"/>
      <c r="D84" s="24"/>
      <c r="E84" s="1294"/>
      <c r="H84" s="52" t="s">
        <v>929</v>
      </c>
      <c r="I84" s="177">
        <f>292.165479618124</f>
        <v>292.16547961812398</v>
      </c>
      <c r="J84" s="177"/>
    </row>
    <row r="85" spans="1:12">
      <c r="A85" s="294" t="s">
        <v>70</v>
      </c>
      <c r="B85" s="24">
        <f>'[12]EGH PLC 2022 CBK FORMAT'!$B$85</f>
        <v>0</v>
      </c>
      <c r="C85" s="24">
        <f>'[4]EGH Plc'!$B85</f>
        <v>0</v>
      </c>
      <c r="D85" s="24">
        <f t="shared" si="6"/>
        <v>0</v>
      </c>
      <c r="E85" s="1294">
        <f>IFERROR(D85/C85,0)</f>
        <v>0</v>
      </c>
      <c r="H85" s="52" t="s">
        <v>930</v>
      </c>
      <c r="I85" s="177"/>
      <c r="J85" s="177">
        <f>I84</f>
        <v>292.16547961812398</v>
      </c>
    </row>
    <row r="86" spans="1:12">
      <c r="A86" s="294" t="s">
        <v>71</v>
      </c>
      <c r="B86" s="24">
        <f>'[12]EGH PLC 2022 CBK FORMAT'!$B$86</f>
        <v>4701.4614299999994</v>
      </c>
      <c r="C86" s="24">
        <f>'[4]EGH Plc'!$B86</f>
        <v>4349.8215999999993</v>
      </c>
      <c r="D86" s="24">
        <f t="shared" si="6"/>
        <v>351.63983000000007</v>
      </c>
      <c r="E86" s="1294">
        <f t="shared" si="7"/>
        <v>8.0840057900305642E-2</v>
      </c>
    </row>
    <row r="87" spans="1:12">
      <c r="A87" s="294" t="s">
        <v>72</v>
      </c>
      <c r="B87" s="24">
        <f>'[12]EGH PLC 2022 CBK FORMAT'!$B$87</f>
        <v>23949.64286</v>
      </c>
      <c r="C87" s="24">
        <f>'[4]EGH Plc'!$B87</f>
        <v>8913.19</v>
      </c>
      <c r="D87" s="24">
        <f t="shared" si="6"/>
        <v>15036.452859999999</v>
      </c>
      <c r="E87" s="1294">
        <f t="shared" si="7"/>
        <v>1.6869889298892988</v>
      </c>
    </row>
    <row r="88" spans="1:12">
      <c r="A88" s="294" t="s">
        <v>73</v>
      </c>
      <c r="B88" s="24">
        <f>'[12]EGH PLC 2022 CBK FORMAT'!$B$88+I84</f>
        <v>876.49643961812399</v>
      </c>
      <c r="C88" s="24">
        <f>'[4]EGH Plc'!$B88</f>
        <v>1084.1354099999999</v>
      </c>
      <c r="D88" s="24">
        <f t="shared" si="6"/>
        <v>-207.63897038187588</v>
      </c>
      <c r="E88" s="1294">
        <f t="shared" si="7"/>
        <v>-0.19152494094983569</v>
      </c>
    </row>
    <row r="89" spans="1:12">
      <c r="A89" s="294" t="s">
        <v>74</v>
      </c>
      <c r="B89" s="24">
        <f>'[12]EGH PLC 2022 CBK FORMAT'!$B$89</f>
        <v>973.45431000000008</v>
      </c>
      <c r="C89" s="24">
        <f>'[4]EGH Plc'!$B89</f>
        <v>900.1857</v>
      </c>
      <c r="D89" s="24">
        <f t="shared" si="6"/>
        <v>73.268610000000081</v>
      </c>
      <c r="E89" s="1294">
        <f t="shared" si="7"/>
        <v>8.1392772624581888E-2</v>
      </c>
    </row>
    <row r="90" spans="1:12">
      <c r="A90" s="294" t="s">
        <v>75</v>
      </c>
      <c r="B90" s="24">
        <f>'[12]EGH PLC 2022 CBK FORMAT'!$B$90</f>
        <v>0</v>
      </c>
      <c r="C90" s="24">
        <f>'[4]EGH Plc'!$B90</f>
        <v>0</v>
      </c>
      <c r="D90" s="24">
        <f t="shared" si="6"/>
        <v>0</v>
      </c>
      <c r="E90" s="1294">
        <f>IFERROR(D90/C90,0)</f>
        <v>0</v>
      </c>
      <c r="J90" s="55"/>
    </row>
    <row r="91" spans="1:12">
      <c r="A91" s="294" t="s">
        <v>76</v>
      </c>
      <c r="B91" s="24">
        <f>'[12]EGH PLC 2022 CBK FORMAT'!$B$91-J85</f>
        <v>47498.127660381884</v>
      </c>
      <c r="C91" s="24">
        <f>'[4]EGH Plc'!$B91</f>
        <v>35191.488289999994</v>
      </c>
      <c r="D91" s="24">
        <f t="shared" si="6"/>
        <v>12306.63937038189</v>
      </c>
      <c r="E91" s="1294">
        <f t="shared" si="7"/>
        <v>0.34970499880446781</v>
      </c>
    </row>
    <row r="92" spans="1:12">
      <c r="A92" s="303" t="s">
        <v>77</v>
      </c>
      <c r="B92" s="189">
        <f>SUM(B85:B91)</f>
        <v>77999.182700000005</v>
      </c>
      <c r="C92" s="189">
        <f>SUM(C85:C91)</f>
        <v>50438.820999999996</v>
      </c>
      <c r="D92" s="197">
        <f t="shared" si="6"/>
        <v>27560.361700000009</v>
      </c>
      <c r="E92" s="1304">
        <f t="shared" si="7"/>
        <v>0.54641169546766388</v>
      </c>
    </row>
    <row r="93" spans="1:12">
      <c r="A93" s="303" t="s">
        <v>78</v>
      </c>
      <c r="B93" s="189">
        <f>B82-B92</f>
        <v>-1448108.2347200001</v>
      </c>
      <c r="C93" s="189">
        <f>C82-C92</f>
        <v>204211.96802</v>
      </c>
      <c r="D93" s="197">
        <f t="shared" si="6"/>
        <v>-1652320.2027400001</v>
      </c>
      <c r="E93" s="1304">
        <f t="shared" si="7"/>
        <v>-8.0912016017502761</v>
      </c>
    </row>
    <row r="94" spans="1:12">
      <c r="A94" s="294" t="s">
        <v>80</v>
      </c>
      <c r="B94" s="24">
        <v>0</v>
      </c>
      <c r="C94" s="24">
        <v>0</v>
      </c>
      <c r="D94" s="24">
        <f t="shared" si="6"/>
        <v>0</v>
      </c>
      <c r="E94" s="1294">
        <f t="shared" si="7"/>
        <v>0</v>
      </c>
    </row>
    <row r="95" spans="1:12">
      <c r="A95" s="303" t="s">
        <v>81</v>
      </c>
      <c r="B95" s="189">
        <f>B93</f>
        <v>-1448108.2347200001</v>
      </c>
      <c r="C95" s="189">
        <f>C93</f>
        <v>204211.96802</v>
      </c>
      <c r="D95" s="197">
        <f t="shared" si="6"/>
        <v>-1652320.2027400001</v>
      </c>
      <c r="E95" s="1304">
        <f t="shared" si="7"/>
        <v>-8.0912016017502761</v>
      </c>
    </row>
    <row r="96" spans="1:12">
      <c r="A96" s="294" t="s">
        <v>91</v>
      </c>
      <c r="B96" s="612">
        <f>'[12]EGH PLC 2022 CBK FORMAT'!$B$96</f>
        <v>0</v>
      </c>
      <c r="C96" s="24">
        <f>'[4]EGH Plc'!$B96</f>
        <v>0</v>
      </c>
      <c r="D96" s="24">
        <f t="shared" si="6"/>
        <v>0</v>
      </c>
      <c r="E96" s="1294">
        <f t="shared" si="7"/>
        <v>0</v>
      </c>
      <c r="G96" s="178" t="s">
        <v>644</v>
      </c>
      <c r="L96" s="847"/>
    </row>
    <row r="97" spans="1:7">
      <c r="A97" s="294" t="s">
        <v>92</v>
      </c>
      <c r="B97" s="390">
        <f>'[12]EGH PLC 2022 CBK FORMAT'!$B$97</f>
        <v>434432.470416</v>
      </c>
      <c r="C97" s="24">
        <f>'[4]EGH Plc'!$B97</f>
        <v>543.58680299999833</v>
      </c>
      <c r="D97" s="24">
        <f t="shared" si="6"/>
        <v>433888.88361299998</v>
      </c>
      <c r="E97" s="1294">
        <f t="shared" si="7"/>
        <v>798.19613209594661</v>
      </c>
      <c r="G97" s="177"/>
    </row>
    <row r="98" spans="1:7">
      <c r="A98" s="303" t="s">
        <v>93</v>
      </c>
      <c r="B98" s="189">
        <f>SUM(B95:B97)</f>
        <v>-1013675.7643040001</v>
      </c>
      <c r="C98" s="189">
        <f>SUM(C95:C97)</f>
        <v>204755.55482299998</v>
      </c>
      <c r="D98" s="197">
        <f t="shared" si="6"/>
        <v>-1218431.3191269999</v>
      </c>
      <c r="E98" s="1304">
        <f t="shared" si="7"/>
        <v>-5.9506630732449111</v>
      </c>
    </row>
    <row r="99" spans="1:7">
      <c r="A99" s="201"/>
    </row>
    <row r="100" spans="1:7">
      <c r="A100" s="201"/>
      <c r="B100" s="403"/>
      <c r="E100" s="52"/>
    </row>
    <row r="101" spans="1:7">
      <c r="A101" s="201"/>
      <c r="B101" s="71"/>
      <c r="E101" s="52"/>
    </row>
    <row r="102" spans="1:7">
      <c r="A102" s="201"/>
      <c r="E102" s="52"/>
    </row>
    <row r="103" spans="1:7">
      <c r="A103" s="201"/>
      <c r="B103" s="55"/>
      <c r="E103" s="52"/>
    </row>
    <row r="104" spans="1:7">
      <c r="A104" s="201"/>
      <c r="E104" s="52"/>
    </row>
    <row r="105" spans="1:7">
      <c r="A105" s="201"/>
      <c r="E105" s="52"/>
    </row>
    <row r="106" spans="1:7">
      <c r="A106" s="201"/>
      <c r="E106" s="52"/>
    </row>
    <row r="107" spans="1:7">
      <c r="A107" s="201"/>
      <c r="E107" s="52"/>
    </row>
    <row r="108" spans="1:7">
      <c r="A108" s="201"/>
      <c r="E108" s="52"/>
    </row>
    <row r="109" spans="1:7">
      <c r="A109" s="201"/>
      <c r="E109" s="52"/>
    </row>
    <row r="110" spans="1:7">
      <c r="A110" s="201"/>
      <c r="E110" s="52"/>
    </row>
    <row r="111" spans="1:7">
      <c r="A111" s="201"/>
      <c r="E111" s="52"/>
    </row>
    <row r="112" spans="1:7">
      <c r="A112" s="201"/>
      <c r="E112" s="52"/>
    </row>
    <row r="113" spans="1:5">
      <c r="A113" s="201"/>
      <c r="E113" s="52"/>
    </row>
    <row r="114" spans="1:5">
      <c r="A114" s="201"/>
      <c r="E114" s="52"/>
    </row>
    <row r="115" spans="1:5">
      <c r="A115" s="201"/>
      <c r="E115" s="52"/>
    </row>
    <row r="116" spans="1:5">
      <c r="A116" s="201"/>
      <c r="E116" s="52"/>
    </row>
    <row r="117" spans="1:5">
      <c r="A117" s="201"/>
      <c r="E117" s="52"/>
    </row>
    <row r="118" spans="1:5">
      <c r="A118" s="201"/>
      <c r="E118" s="52"/>
    </row>
    <row r="119" spans="1:5">
      <c r="A119" s="201"/>
      <c r="E119" s="52"/>
    </row>
    <row r="120" spans="1:5">
      <c r="A120" s="201"/>
      <c r="E120" s="52"/>
    </row>
    <row r="121" spans="1:5">
      <c r="A121" s="201"/>
      <c r="E121" s="52"/>
    </row>
    <row r="122" spans="1:5">
      <c r="A122" s="201"/>
      <c r="E122" s="52"/>
    </row>
    <row r="123" spans="1:5">
      <c r="A123" s="201"/>
      <c r="E123" s="52"/>
    </row>
    <row r="124" spans="1:5">
      <c r="A124" s="201"/>
      <c r="E124" s="52"/>
    </row>
    <row r="125" spans="1:5">
      <c r="A125" s="201"/>
      <c r="E125" s="52"/>
    </row>
    <row r="126" spans="1:5">
      <c r="A126" s="201"/>
      <c r="E126" s="52"/>
    </row>
    <row r="127" spans="1:5">
      <c r="A127" s="201"/>
      <c r="E127" s="52"/>
    </row>
    <row r="128" spans="1:5">
      <c r="A128" s="201"/>
      <c r="E128" s="52"/>
    </row>
    <row r="129" spans="1:5">
      <c r="A129" s="201"/>
      <c r="E129" s="52"/>
    </row>
    <row r="130" spans="1:5">
      <c r="A130" s="201"/>
      <c r="E130" s="52"/>
    </row>
    <row r="131" spans="1:5">
      <c r="A131" s="201"/>
      <c r="E131" s="52"/>
    </row>
    <row r="132" spans="1:5">
      <c r="A132" s="201"/>
      <c r="E132" s="52"/>
    </row>
    <row r="133" spans="1:5">
      <c r="A133" s="201"/>
      <c r="E133" s="52"/>
    </row>
    <row r="134" spans="1:5">
      <c r="A134" s="201"/>
      <c r="E134" s="52"/>
    </row>
    <row r="135" spans="1:5">
      <c r="A135" s="201"/>
      <c r="E135" s="52"/>
    </row>
    <row r="136" spans="1:5">
      <c r="A136" s="201"/>
      <c r="E136" s="52"/>
    </row>
    <row r="137" spans="1:5">
      <c r="A137" s="201"/>
      <c r="E137" s="52"/>
    </row>
    <row r="138" spans="1:5">
      <c r="A138" s="201"/>
      <c r="E138" s="52"/>
    </row>
    <row r="139" spans="1:5">
      <c r="A139" s="201"/>
      <c r="E139" s="52"/>
    </row>
    <row r="140" spans="1:5">
      <c r="A140" s="201"/>
      <c r="E140" s="52"/>
    </row>
    <row r="141" spans="1:5">
      <c r="A141" s="201"/>
      <c r="E141" s="52"/>
    </row>
    <row r="142" spans="1:5">
      <c r="A142" s="201"/>
      <c r="E142" s="52"/>
    </row>
    <row r="143" spans="1:5">
      <c r="A143" s="201"/>
      <c r="E143" s="52"/>
    </row>
    <row r="144" spans="1:5">
      <c r="A144" s="201"/>
      <c r="E144" s="52"/>
    </row>
    <row r="145" spans="1:5">
      <c r="A145" s="201"/>
      <c r="E145" s="52"/>
    </row>
    <row r="146" spans="1:5">
      <c r="A146" s="201"/>
      <c r="E146" s="52"/>
    </row>
    <row r="147" spans="1:5">
      <c r="A147" s="201"/>
      <c r="E147" s="52"/>
    </row>
    <row r="148" spans="1:5">
      <c r="A148" s="201"/>
      <c r="E148" s="52"/>
    </row>
    <row r="149" spans="1:5">
      <c r="A149" s="201"/>
      <c r="E149" s="52"/>
    </row>
    <row r="150" spans="1:5">
      <c r="A150" s="201"/>
      <c r="E150" s="52"/>
    </row>
    <row r="151" spans="1:5">
      <c r="A151" s="201"/>
      <c r="E151" s="52"/>
    </row>
    <row r="152" spans="1:5">
      <c r="A152" s="201"/>
      <c r="E152" s="52"/>
    </row>
    <row r="153" spans="1:5">
      <c r="A153" s="201"/>
      <c r="E153" s="52"/>
    </row>
    <row r="154" spans="1:5">
      <c r="A154" s="201"/>
      <c r="E154" s="52"/>
    </row>
    <row r="155" spans="1:5">
      <c r="A155" s="201"/>
      <c r="E155" s="52"/>
    </row>
    <row r="156" spans="1:5">
      <c r="A156" s="201"/>
      <c r="E156" s="52"/>
    </row>
    <row r="157" spans="1:5">
      <c r="A157" s="201"/>
      <c r="E157" s="52"/>
    </row>
    <row r="158" spans="1:5">
      <c r="A158" s="201"/>
      <c r="E158" s="52"/>
    </row>
    <row r="159" spans="1:5">
      <c r="A159" s="201"/>
      <c r="E159" s="52"/>
    </row>
    <row r="160" spans="1:5">
      <c r="A160" s="201"/>
      <c r="E160" s="52"/>
    </row>
    <row r="161" spans="1:5">
      <c r="A161" s="201"/>
      <c r="E161" s="52"/>
    </row>
    <row r="162" spans="1:5">
      <c r="A162" s="201"/>
      <c r="E162" s="52"/>
    </row>
    <row r="163" spans="1:5">
      <c r="A163" s="201"/>
      <c r="E163" s="52"/>
    </row>
    <row r="164" spans="1:5">
      <c r="A164" s="201"/>
      <c r="E164" s="52"/>
    </row>
    <row r="165" spans="1:5">
      <c r="A165" s="201"/>
      <c r="E165" s="52"/>
    </row>
    <row r="166" spans="1:5">
      <c r="A166" s="201"/>
      <c r="E166" s="52"/>
    </row>
    <row r="167" spans="1:5">
      <c r="A167" s="201"/>
      <c r="E167" s="52"/>
    </row>
    <row r="168" spans="1:5">
      <c r="A168" s="201"/>
      <c r="E168" s="52"/>
    </row>
    <row r="169" spans="1:5">
      <c r="A169" s="201"/>
      <c r="E169" s="52"/>
    </row>
    <row r="170" spans="1:5">
      <c r="A170" s="201"/>
      <c r="E170" s="52"/>
    </row>
    <row r="171" spans="1:5">
      <c r="A171" s="201"/>
      <c r="E171" s="52"/>
    </row>
    <row r="172" spans="1:5">
      <c r="A172" s="201"/>
      <c r="E172" s="52"/>
    </row>
    <row r="173" spans="1:5">
      <c r="A173" s="201"/>
      <c r="E173" s="52"/>
    </row>
    <row r="174" spans="1:5">
      <c r="A174" s="201"/>
      <c r="E174" s="52"/>
    </row>
    <row r="175" spans="1:5">
      <c r="A175" s="201"/>
      <c r="E175" s="52"/>
    </row>
    <row r="176" spans="1:5">
      <c r="A176" s="201"/>
      <c r="E176" s="52"/>
    </row>
    <row r="177" spans="1:5">
      <c r="A177" s="201"/>
      <c r="E177" s="52"/>
    </row>
    <row r="178" spans="1:5">
      <c r="A178" s="201"/>
      <c r="E178" s="52"/>
    </row>
    <row r="179" spans="1:5">
      <c r="A179" s="201"/>
      <c r="E179" s="52"/>
    </row>
    <row r="180" spans="1:5">
      <c r="A180" s="201"/>
      <c r="E180" s="52"/>
    </row>
    <row r="181" spans="1:5">
      <c r="A181" s="201"/>
      <c r="E181" s="52"/>
    </row>
    <row r="182" spans="1:5">
      <c r="A182" s="201"/>
      <c r="E182" s="52"/>
    </row>
    <row r="183" spans="1:5">
      <c r="A183" s="201"/>
      <c r="E183" s="52"/>
    </row>
    <row r="184" spans="1:5">
      <c r="A184" s="201"/>
      <c r="E184" s="52"/>
    </row>
    <row r="185" spans="1:5">
      <c r="A185" s="201"/>
      <c r="E185" s="52"/>
    </row>
    <row r="186" spans="1:5">
      <c r="A186" s="201"/>
      <c r="E186" s="52"/>
    </row>
    <row r="187" spans="1:5">
      <c r="A187" s="201"/>
      <c r="E187" s="52"/>
    </row>
    <row r="188" spans="1:5">
      <c r="A188" s="201"/>
      <c r="E188" s="52"/>
    </row>
    <row r="189" spans="1:5">
      <c r="A189" s="201"/>
      <c r="E189" s="52"/>
    </row>
    <row r="190" spans="1:5">
      <c r="A190" s="201"/>
      <c r="E190" s="52"/>
    </row>
    <row r="191" spans="1:5">
      <c r="A191" s="201"/>
      <c r="E191" s="52"/>
    </row>
    <row r="192" spans="1:5">
      <c r="A192" s="201"/>
      <c r="E192" s="52"/>
    </row>
    <row r="193" spans="1:5">
      <c r="A193" s="201"/>
      <c r="E193" s="52"/>
    </row>
    <row r="194" spans="1:5">
      <c r="A194" s="201"/>
      <c r="E194" s="52"/>
    </row>
    <row r="195" spans="1:5">
      <c r="A195" s="201"/>
      <c r="E195" s="52"/>
    </row>
    <row r="196" spans="1:5">
      <c r="A196" s="201"/>
      <c r="E196" s="52"/>
    </row>
    <row r="197" spans="1:5">
      <c r="A197" s="201"/>
      <c r="E197" s="52"/>
    </row>
    <row r="198" spans="1:5">
      <c r="A198" s="201"/>
      <c r="E198" s="52"/>
    </row>
    <row r="199" spans="1:5">
      <c r="A199" s="201"/>
      <c r="E199" s="52"/>
    </row>
    <row r="200" spans="1:5">
      <c r="A200" s="201"/>
      <c r="E200" s="52"/>
    </row>
    <row r="201" spans="1:5">
      <c r="A201" s="201"/>
      <c r="E201" s="52"/>
    </row>
    <row r="202" spans="1:5">
      <c r="A202" s="201"/>
      <c r="E202" s="52"/>
    </row>
    <row r="203" spans="1:5">
      <c r="A203" s="201"/>
      <c r="E203" s="52"/>
    </row>
    <row r="204" spans="1:5">
      <c r="A204" s="201"/>
      <c r="E204" s="52"/>
    </row>
    <row r="205" spans="1:5">
      <c r="A205" s="201"/>
      <c r="E205" s="52"/>
    </row>
    <row r="206" spans="1:5">
      <c r="A206" s="201"/>
      <c r="E206" s="52"/>
    </row>
    <row r="207" spans="1:5">
      <c r="A207" s="201"/>
      <c r="E207" s="52"/>
    </row>
    <row r="208" spans="1:5">
      <c r="A208" s="201"/>
      <c r="E208" s="52"/>
    </row>
    <row r="209" spans="1:5">
      <c r="A209" s="201"/>
      <c r="E209" s="52"/>
    </row>
    <row r="210" spans="1:5">
      <c r="A210" s="201"/>
      <c r="E210" s="52"/>
    </row>
    <row r="211" spans="1:5">
      <c r="A211" s="201"/>
      <c r="E211" s="52"/>
    </row>
    <row r="212" spans="1:5">
      <c r="A212" s="201"/>
      <c r="E212" s="52"/>
    </row>
    <row r="213" spans="1:5">
      <c r="A213" s="201"/>
      <c r="E213" s="52"/>
    </row>
    <row r="214" spans="1:5">
      <c r="A214" s="201"/>
      <c r="E214" s="52"/>
    </row>
    <row r="215" spans="1:5">
      <c r="A215" s="201"/>
      <c r="E215" s="52"/>
    </row>
    <row r="216" spans="1:5">
      <c r="A216" s="201"/>
      <c r="E216" s="52"/>
    </row>
    <row r="217" spans="1:5">
      <c r="A217" s="201"/>
      <c r="E217" s="52"/>
    </row>
    <row r="218" spans="1:5">
      <c r="A218" s="201"/>
      <c r="E218" s="52"/>
    </row>
    <row r="219" spans="1:5">
      <c r="A219" s="201"/>
      <c r="E219" s="52"/>
    </row>
    <row r="220" spans="1:5">
      <c r="A220" s="201"/>
      <c r="E220" s="52"/>
    </row>
    <row r="221" spans="1:5">
      <c r="A221" s="201"/>
      <c r="E221" s="52"/>
    </row>
    <row r="222" spans="1:5">
      <c r="A222" s="201"/>
      <c r="E222" s="52"/>
    </row>
    <row r="223" spans="1:5">
      <c r="A223" s="201"/>
      <c r="E223" s="52"/>
    </row>
    <row r="224" spans="1:5">
      <c r="A224" s="201"/>
      <c r="E224" s="52"/>
    </row>
    <row r="225" spans="1:5">
      <c r="A225" s="201"/>
      <c r="E225" s="52"/>
    </row>
    <row r="226" spans="1:5">
      <c r="A226" s="201"/>
      <c r="E226" s="52"/>
    </row>
    <row r="227" spans="1:5">
      <c r="A227" s="201"/>
      <c r="E227" s="52"/>
    </row>
    <row r="228" spans="1:5">
      <c r="A228" s="201"/>
      <c r="E228" s="52"/>
    </row>
    <row r="229" spans="1:5">
      <c r="A229" s="201"/>
      <c r="E229" s="52"/>
    </row>
    <row r="230" spans="1:5">
      <c r="A230" s="201"/>
      <c r="E230" s="52"/>
    </row>
    <row r="231" spans="1:5">
      <c r="A231" s="201"/>
      <c r="E231" s="52"/>
    </row>
    <row r="232" spans="1:5">
      <c r="A232" s="201"/>
      <c r="E232" s="52"/>
    </row>
    <row r="233" spans="1:5">
      <c r="A233" s="201"/>
      <c r="E233" s="52"/>
    </row>
    <row r="234" spans="1:5">
      <c r="A234" s="201"/>
      <c r="E234" s="52"/>
    </row>
    <row r="235" spans="1:5">
      <c r="A235" s="201"/>
      <c r="E235" s="52"/>
    </row>
    <row r="236" spans="1:5">
      <c r="A236" s="201"/>
      <c r="E236" s="52"/>
    </row>
    <row r="237" spans="1:5">
      <c r="A237" s="201"/>
      <c r="E237" s="52"/>
    </row>
    <row r="238" spans="1:5">
      <c r="A238" s="201"/>
      <c r="E238" s="52"/>
    </row>
    <row r="239" spans="1:5">
      <c r="A239" s="201"/>
      <c r="E239" s="52"/>
    </row>
    <row r="240" spans="1:5">
      <c r="A240" s="201"/>
      <c r="E240" s="52"/>
    </row>
    <row r="241" spans="1:5">
      <c r="A241" s="201"/>
      <c r="E241" s="52"/>
    </row>
    <row r="242" spans="1:5">
      <c r="A242" s="201"/>
      <c r="E242" s="52"/>
    </row>
    <row r="243" spans="1:5">
      <c r="A243" s="201"/>
      <c r="E243" s="52"/>
    </row>
    <row r="244" spans="1:5">
      <c r="A244" s="201"/>
      <c r="E244" s="52"/>
    </row>
    <row r="245" spans="1:5">
      <c r="A245" s="201"/>
      <c r="E245" s="52"/>
    </row>
    <row r="246" spans="1:5">
      <c r="A246" s="201"/>
      <c r="E246" s="52"/>
    </row>
    <row r="247" spans="1:5">
      <c r="A247" s="201"/>
      <c r="E247" s="52"/>
    </row>
    <row r="248" spans="1:5">
      <c r="A248" s="201"/>
      <c r="E248" s="52"/>
    </row>
    <row r="249" spans="1:5">
      <c r="A249" s="201"/>
      <c r="E249" s="52"/>
    </row>
    <row r="250" spans="1:5">
      <c r="A250" s="201"/>
      <c r="E250" s="52"/>
    </row>
    <row r="251" spans="1:5">
      <c r="A251" s="201"/>
      <c r="E251" s="52"/>
    </row>
    <row r="252" spans="1:5">
      <c r="A252" s="201"/>
      <c r="E252" s="52"/>
    </row>
    <row r="253" spans="1:5">
      <c r="A253" s="201"/>
      <c r="E253" s="52"/>
    </row>
    <row r="254" spans="1:5">
      <c r="A254" s="201"/>
      <c r="E254" s="52"/>
    </row>
    <row r="255" spans="1:5">
      <c r="A255" s="201"/>
      <c r="E255" s="52"/>
    </row>
    <row r="256" spans="1:5">
      <c r="A256" s="201"/>
      <c r="E256" s="52"/>
    </row>
  </sheetData>
  <mergeCells count="6">
    <mergeCell ref="A2:C2"/>
    <mergeCell ref="D3:D4"/>
    <mergeCell ref="E3:E4"/>
    <mergeCell ref="A57:C57"/>
    <mergeCell ref="D58:D59"/>
    <mergeCell ref="E58:E59"/>
  </mergeCells>
  <pageMargins left="0.7" right="0.7" top="0.75" bottom="0.75" header="0.3" footer="0.3"/>
  <pageSetup paperSize="9" scale="3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  <pageSetUpPr fitToPage="1"/>
  </sheetPr>
  <dimension ref="A1:P288"/>
  <sheetViews>
    <sheetView workbookViewId="0">
      <selection activeCell="B14" sqref="B14"/>
    </sheetView>
  </sheetViews>
  <sheetFormatPr defaultColWidth="9.140625" defaultRowHeight="12.75"/>
  <cols>
    <col min="1" max="1" width="54.42578125" style="50" customWidth="1"/>
    <col min="2" max="2" width="15.42578125" style="50" customWidth="1"/>
    <col min="3" max="3" width="15.140625" style="50" customWidth="1"/>
    <col min="4" max="4" width="13" style="50" bestFit="1" customWidth="1"/>
    <col min="5" max="5" width="15.5703125" style="107" customWidth="1"/>
    <col min="6" max="6" width="19.140625" style="102" bestFit="1" customWidth="1"/>
    <col min="7" max="7" width="19" style="306" customWidth="1"/>
    <col min="8" max="9" width="16.85546875" style="306" customWidth="1"/>
    <col min="10" max="13" width="9.140625" style="102" customWidth="1"/>
    <col min="14" max="14" width="13.5703125" style="102" bestFit="1" customWidth="1"/>
    <col min="15" max="15" width="10.140625" style="102" bestFit="1" customWidth="1"/>
    <col min="16" max="16" width="9.85546875" style="102" bestFit="1" customWidth="1"/>
    <col min="17" max="16384" width="9.140625" style="102"/>
  </cols>
  <sheetData>
    <row r="1" spans="1:9" ht="20.25">
      <c r="A1" s="108" t="s">
        <v>94</v>
      </c>
      <c r="B1" s="93"/>
      <c r="C1" s="93"/>
      <c r="D1" s="93"/>
      <c r="E1" s="101"/>
      <c r="H1" s="305"/>
      <c r="I1" s="305"/>
    </row>
    <row r="2" spans="1:9">
      <c r="A2" s="18" t="s">
        <v>873</v>
      </c>
      <c r="B2" s="1191">
        <f>GROUP!G3</f>
        <v>45046</v>
      </c>
      <c r="C2" s="1191">
        <f>GROUP!H3</f>
        <v>44681</v>
      </c>
      <c r="D2" s="1537" t="s">
        <v>85</v>
      </c>
      <c r="E2" s="1571" t="s">
        <v>86</v>
      </c>
      <c r="H2" s="305"/>
      <c r="I2" s="305"/>
    </row>
    <row r="3" spans="1:9">
      <c r="A3" s="976" t="s">
        <v>784</v>
      </c>
      <c r="B3" s="19" t="s">
        <v>82</v>
      </c>
      <c r="C3" s="19" t="s">
        <v>96</v>
      </c>
      <c r="D3" s="1538"/>
      <c r="E3" s="1572"/>
      <c r="H3" s="305"/>
      <c r="I3" s="305"/>
    </row>
    <row r="4" spans="1:9">
      <c r="A4" s="20"/>
      <c r="B4" s="19" t="s">
        <v>97</v>
      </c>
      <c r="C4" s="19" t="s">
        <v>97</v>
      </c>
      <c r="D4" s="21"/>
      <c r="E4" s="22"/>
      <c r="H4" s="305"/>
      <c r="I4" s="305"/>
    </row>
    <row r="5" spans="1:9">
      <c r="A5" s="18" t="s">
        <v>1</v>
      </c>
      <c r="B5" s="19" t="s">
        <v>84</v>
      </c>
      <c r="C5" s="19" t="s">
        <v>84</v>
      </c>
      <c r="D5" s="21"/>
      <c r="E5" s="22"/>
      <c r="H5" s="305"/>
      <c r="I5" s="305"/>
    </row>
    <row r="6" spans="1:9">
      <c r="A6" s="23" t="s">
        <v>2</v>
      </c>
      <c r="B6" s="24">
        <f>'[8]CBK-Format PUBLISHED'!$BI8</f>
        <v>14615114.24942686</v>
      </c>
      <c r="C6" s="24">
        <f>[4]EBKL!$B6</f>
        <v>11100672.447230002</v>
      </c>
      <c r="D6" s="25">
        <f>(B6-C6)</f>
        <v>3514441.8021968585</v>
      </c>
      <c r="E6" s="1291">
        <f>IFERROR(D6/C6,0)</f>
        <v>0.31659719885472631</v>
      </c>
      <c r="G6" s="309"/>
      <c r="H6" s="309"/>
      <c r="I6" s="309"/>
    </row>
    <row r="7" spans="1:9">
      <c r="A7" s="23" t="s">
        <v>3</v>
      </c>
      <c r="B7" s="24">
        <f>'[8]CBK-Format PUBLISHED'!$BI9</f>
        <v>21630882.795777068</v>
      </c>
      <c r="C7" s="24">
        <f>[4]EBKL!$B7</f>
        <v>18663910.922759995</v>
      </c>
      <c r="D7" s="24">
        <f t="shared" ref="D7:D66" si="0">(B7-C7)</f>
        <v>2966971.8730170727</v>
      </c>
      <c r="E7" s="1291">
        <f t="shared" ref="E7:E25" si="1">IFERROR(D7/C7,0)</f>
        <v>0.15896839013515399</v>
      </c>
      <c r="G7" s="309"/>
      <c r="H7" s="309"/>
      <c r="I7" s="309"/>
    </row>
    <row r="8" spans="1:9">
      <c r="A8" s="23" t="s">
        <v>4</v>
      </c>
      <c r="B8" s="24">
        <f>'[8]CBK-Format PUBLISHED'!$BI10</f>
        <v>9198987.2325044721</v>
      </c>
      <c r="C8" s="24">
        <f>[4]EBKL!$B8</f>
        <v>12575910.266656861</v>
      </c>
      <c r="D8" s="24">
        <f t="shared" si="0"/>
        <v>-3376923.0341523886</v>
      </c>
      <c r="E8" s="1291">
        <f t="shared" si="1"/>
        <v>-0.26852314962089013</v>
      </c>
      <c r="G8" s="309"/>
      <c r="H8" s="309"/>
      <c r="I8" s="309"/>
    </row>
    <row r="9" spans="1:9">
      <c r="A9" s="23" t="s">
        <v>5</v>
      </c>
      <c r="B9" s="24">
        <f>'[8]CBK-Format PUBLISHED'!$BI11</f>
        <v>100312180.56528001</v>
      </c>
      <c r="C9" s="24">
        <f>[4]EBKL!$B9</f>
        <v>94099554.530509993</v>
      </c>
      <c r="D9" s="25">
        <f t="shared" si="0"/>
        <v>6212626.0347700119</v>
      </c>
      <c r="E9" s="1291">
        <f t="shared" si="1"/>
        <v>6.6021843203898339E-2</v>
      </c>
      <c r="F9" s="104">
        <f>SUM(D8:D9,D12)/SUM(C8:C9,C12)</f>
        <v>-6.5041657355066188E-2</v>
      </c>
      <c r="G9" s="778">
        <f>SUM(B8:B9,B12)/B27</f>
        <v>0.34708057999574737</v>
      </c>
      <c r="H9" s="309"/>
      <c r="I9" s="309"/>
    </row>
    <row r="10" spans="1:9">
      <c r="A10" s="23" t="s">
        <v>6</v>
      </c>
      <c r="B10" s="24">
        <f>'[8]CBK-Format PUBLISHED'!$BI12</f>
        <v>1136000</v>
      </c>
      <c r="C10" s="24">
        <f>[4]EBKL!$B10</f>
        <v>1514360</v>
      </c>
      <c r="D10" s="24">
        <f t="shared" si="0"/>
        <v>-378360</v>
      </c>
      <c r="E10" s="1291">
        <f t="shared" si="1"/>
        <v>-0.24984812065823186</v>
      </c>
      <c r="G10" s="309"/>
      <c r="H10" s="309"/>
      <c r="I10" s="309"/>
    </row>
    <row r="11" spans="1:9">
      <c r="A11" s="23" t="s">
        <v>7</v>
      </c>
      <c r="B11" s="24">
        <f>'[8]CBK-Format PUBLISHED'!$BI13</f>
        <v>26189285.99249807</v>
      </c>
      <c r="C11" s="24">
        <f>[4]EBKL!$B11</f>
        <v>20695579.557232045</v>
      </c>
      <c r="D11" s="24">
        <f t="shared" si="0"/>
        <v>5493706.4352660254</v>
      </c>
      <c r="E11" s="1291">
        <f t="shared" si="1"/>
        <v>0.26545313312311936</v>
      </c>
      <c r="G11" s="309"/>
      <c r="H11" s="309"/>
      <c r="I11" s="309"/>
    </row>
    <row r="12" spans="1:9">
      <c r="A12" s="27" t="s">
        <v>651</v>
      </c>
      <c r="B12" s="24">
        <f>'[8]CBK-Format PUBLISHED'!$BI14</f>
        <v>206434604.82797548</v>
      </c>
      <c r="C12" s="24">
        <f>[4]EBKL!$B12</f>
        <v>231249508.12940308</v>
      </c>
      <c r="D12" s="24">
        <f t="shared" si="0"/>
        <v>-24814903.301427603</v>
      </c>
      <c r="E12" s="1291">
        <f t="shared" si="1"/>
        <v>-0.1073079181969184</v>
      </c>
      <c r="G12" s="309"/>
      <c r="H12" s="309"/>
      <c r="I12" s="309"/>
    </row>
    <row r="13" spans="1:9">
      <c r="A13" s="27" t="s">
        <v>9</v>
      </c>
      <c r="B13" s="24">
        <f>'[8]CBK-Format PUBLISHED'!$BI15</f>
        <v>0</v>
      </c>
      <c r="C13" s="24">
        <f>[4]EBKL!$B13</f>
        <v>0</v>
      </c>
      <c r="D13" s="24">
        <f t="shared" si="0"/>
        <v>0</v>
      </c>
      <c r="E13" s="1291">
        <f t="shared" si="1"/>
        <v>0</v>
      </c>
      <c r="G13" s="309"/>
      <c r="H13" s="309"/>
      <c r="I13" s="309"/>
    </row>
    <row r="14" spans="1:9">
      <c r="A14" s="27" t="s">
        <v>10</v>
      </c>
      <c r="B14" s="24">
        <f>'[8]CBK-Format PUBLISHED'!$BI16</f>
        <v>451007472.804892</v>
      </c>
      <c r="C14" s="24">
        <f>[4]EBKL!$B14</f>
        <v>408560526.96954215</v>
      </c>
      <c r="D14" s="24">
        <f t="shared" si="0"/>
        <v>42446945.835349858</v>
      </c>
      <c r="E14" s="1291">
        <f t="shared" si="1"/>
        <v>0.1038938982926127</v>
      </c>
      <c r="F14" s="104">
        <f>B14/B27</f>
        <v>0.49545190601096001</v>
      </c>
      <c r="H14" s="309"/>
      <c r="I14" s="309"/>
    </row>
    <row r="15" spans="1:9">
      <c r="A15" s="27" t="s">
        <v>11</v>
      </c>
      <c r="B15" s="24">
        <f>'[8]CBK-Format PUBLISHED'!$BI17</f>
        <v>0</v>
      </c>
      <c r="C15" s="24">
        <f>[4]EBKL!$B15</f>
        <v>0</v>
      </c>
      <c r="D15" s="28">
        <f t="shared" si="0"/>
        <v>0</v>
      </c>
      <c r="E15" s="1291">
        <f t="shared" si="1"/>
        <v>0</v>
      </c>
      <c r="H15" s="309"/>
      <c r="I15" s="309"/>
    </row>
    <row r="16" spans="1:9">
      <c r="A16" s="27" t="s">
        <v>12</v>
      </c>
      <c r="B16" s="24">
        <f>'[8]CBK-Format PUBLISHED'!$BI18</f>
        <v>3250122.5250665736</v>
      </c>
      <c r="C16" s="24">
        <f>[4]EBKL!$B16</f>
        <v>561889.5201467023</v>
      </c>
      <c r="D16" s="28">
        <f t="shared" si="0"/>
        <v>2688233.0049198712</v>
      </c>
      <c r="E16" s="1291">
        <f t="shared" si="1"/>
        <v>4.7842732575222389</v>
      </c>
      <c r="H16" s="309"/>
      <c r="I16" s="309"/>
    </row>
    <row r="17" spans="1:9">
      <c r="A17" s="27" t="s">
        <v>13</v>
      </c>
      <c r="B17" s="24">
        <f>'[8]CBK-Format PUBLISHED'!$BI19</f>
        <v>0</v>
      </c>
      <c r="C17" s="24">
        <v>0</v>
      </c>
      <c r="D17" s="24">
        <v>0</v>
      </c>
      <c r="E17" s="1291">
        <f t="shared" si="1"/>
        <v>0</v>
      </c>
      <c r="H17" s="309"/>
      <c r="I17" s="309"/>
    </row>
    <row r="18" spans="1:9">
      <c r="A18" s="27" t="s">
        <v>14</v>
      </c>
      <c r="B18" s="24">
        <f>'[8]CBK-Format PUBLISHED'!$BI20</f>
        <v>100000</v>
      </c>
      <c r="C18" s="24">
        <f>[4]EBKL!$B18</f>
        <v>0</v>
      </c>
      <c r="D18" s="24">
        <f t="shared" si="0"/>
        <v>100000</v>
      </c>
      <c r="E18" s="1291">
        <f t="shared" si="1"/>
        <v>0</v>
      </c>
      <c r="H18" s="309"/>
      <c r="I18" s="309"/>
    </row>
    <row r="19" spans="1:9">
      <c r="A19" s="27" t="s">
        <v>15</v>
      </c>
      <c r="B19" s="24">
        <f>'[8]CBK-Format PUBLISHED'!$BI21</f>
        <v>0</v>
      </c>
      <c r="C19" s="24">
        <f>[4]EBKL!$B19</f>
        <v>0</v>
      </c>
      <c r="D19" s="24">
        <f t="shared" si="0"/>
        <v>0</v>
      </c>
      <c r="E19" s="1291">
        <f t="shared" si="1"/>
        <v>0</v>
      </c>
      <c r="H19" s="309">
        <v>-7.9289999997854466E-2</v>
      </c>
      <c r="I19" s="309"/>
    </row>
    <row r="20" spans="1:9">
      <c r="A20" s="27" t="s">
        <v>16</v>
      </c>
      <c r="B20" s="24">
        <f>'[8]CBK-Format PUBLISHED'!$BI22</f>
        <v>0</v>
      </c>
      <c r="C20" s="24">
        <f>[4]EBKL!$B20</f>
        <v>0</v>
      </c>
      <c r="D20" s="24">
        <f t="shared" si="0"/>
        <v>0</v>
      </c>
      <c r="E20" s="1291">
        <f t="shared" si="1"/>
        <v>0</v>
      </c>
      <c r="H20" s="309"/>
      <c r="I20" s="309"/>
    </row>
    <row r="21" spans="1:9">
      <c r="A21" s="27" t="s">
        <v>17</v>
      </c>
      <c r="B21" s="24">
        <f>'[8]CBK-Format PUBLISHED'!$BI23</f>
        <v>5559216.4954399951</v>
      </c>
      <c r="C21" s="24">
        <f>[4]EBKL!$B21</f>
        <v>4607914.4434200078</v>
      </c>
      <c r="D21" s="24">
        <f t="shared" si="0"/>
        <v>951302.05201998726</v>
      </c>
      <c r="E21" s="1291">
        <f t="shared" si="1"/>
        <v>0.20644959095940332</v>
      </c>
      <c r="H21" s="309"/>
      <c r="I21" s="309"/>
    </row>
    <row r="22" spans="1:9">
      <c r="A22" s="27" t="s">
        <v>18</v>
      </c>
      <c r="B22" s="24">
        <f>'[8]CBK-Format PUBLISHED'!$BI24</f>
        <v>0</v>
      </c>
      <c r="C22" s="24">
        <f>[4]EBKL!$B22</f>
        <v>0</v>
      </c>
      <c r="D22" s="24">
        <f t="shared" si="0"/>
        <v>0</v>
      </c>
      <c r="E22" s="1291">
        <f t="shared" si="1"/>
        <v>0</v>
      </c>
      <c r="H22" s="309"/>
      <c r="I22" s="309"/>
    </row>
    <row r="23" spans="1:9">
      <c r="A23" s="27" t="s">
        <v>19</v>
      </c>
      <c r="B23" s="24">
        <f>'[8]CBK-Format PUBLISHED'!$BI25</f>
        <v>12305284.253320005</v>
      </c>
      <c r="C23" s="24">
        <f>[4]EBKL!$B23</f>
        <v>9757932.3204200007</v>
      </c>
      <c r="D23" s="24">
        <f t="shared" si="0"/>
        <v>2547351.9329000041</v>
      </c>
      <c r="E23" s="1291">
        <f t="shared" si="1"/>
        <v>0.26105447847483748</v>
      </c>
      <c r="H23" s="309"/>
      <c r="I23" s="309"/>
    </row>
    <row r="24" spans="1:9">
      <c r="A24" s="27" t="s">
        <v>20</v>
      </c>
      <c r="B24" s="24">
        <f>'[8]CBK-Format PUBLISHED'!$BI26</f>
        <v>29322034.973667674</v>
      </c>
      <c r="C24" s="24">
        <f>[4]EBKL!$B24</f>
        <v>20918926.06289579</v>
      </c>
      <c r="D24" s="24">
        <f t="shared" si="0"/>
        <v>8403108.910771884</v>
      </c>
      <c r="E24" s="1291">
        <f t="shared" si="1"/>
        <v>0.40169886759514883</v>
      </c>
      <c r="G24" s="704"/>
      <c r="H24" s="309"/>
      <c r="I24" s="309"/>
    </row>
    <row r="25" spans="1:9">
      <c r="A25" s="27" t="s">
        <v>21</v>
      </c>
      <c r="B25" s="24">
        <f>'[8]CBK-Format PUBLISHED'!$BI27</f>
        <v>0</v>
      </c>
      <c r="C25" s="24">
        <f>[4]EBKL!$B25</f>
        <v>0</v>
      </c>
      <c r="D25" s="24">
        <f t="shared" si="0"/>
        <v>0</v>
      </c>
      <c r="E25" s="1291">
        <f t="shared" si="1"/>
        <v>0</v>
      </c>
      <c r="H25" s="309"/>
      <c r="I25" s="309"/>
    </row>
    <row r="26" spans="1:9">
      <c r="A26" s="27" t="s">
        <v>22</v>
      </c>
      <c r="B26" s="24">
        <f>'[8]CBK-Format PUBLISHED'!$BI28</f>
        <v>29233974.798607964</v>
      </c>
      <c r="C26" s="24">
        <f>[4]EBKL!$B26</f>
        <v>24517344.966855418</v>
      </c>
      <c r="D26" s="24">
        <f>(B26-C26)</f>
        <v>4716629.8317525461</v>
      </c>
      <c r="E26" s="1291">
        <f>IFERROR(D26/C26,0)</f>
        <v>0.19237930690002844</v>
      </c>
      <c r="G26" s="308"/>
      <c r="H26" s="309"/>
      <c r="I26" s="309"/>
    </row>
    <row r="27" spans="1:9">
      <c r="A27" s="29" t="s">
        <v>23</v>
      </c>
      <c r="B27" s="30">
        <f>SUM(B6:B26)</f>
        <v>910295161.51445615</v>
      </c>
      <c r="C27" s="30">
        <f>SUM(C6:C26)</f>
        <v>858824030.13707209</v>
      </c>
      <c r="D27" s="30">
        <f>(B27-C27)</f>
        <v>51471131.377384067</v>
      </c>
      <c r="E27" s="1292">
        <f>D27/C27</f>
        <v>5.9932104332442872E-2</v>
      </c>
      <c r="H27" s="309"/>
      <c r="I27" s="309"/>
    </row>
    <row r="28" spans="1:9">
      <c r="A28" s="31"/>
      <c r="B28" s="32"/>
      <c r="C28" s="32"/>
      <c r="D28" s="32"/>
      <c r="E28" s="1293"/>
      <c r="G28" s="704"/>
      <c r="H28" s="309"/>
      <c r="I28" s="309"/>
    </row>
    <row r="29" spans="1:9">
      <c r="A29" s="31" t="s">
        <v>24</v>
      </c>
      <c r="B29" s="24"/>
      <c r="C29" s="24"/>
      <c r="D29" s="24"/>
      <c r="E29" s="1294"/>
      <c r="H29" s="309"/>
      <c r="I29" s="309"/>
    </row>
    <row r="30" spans="1:9">
      <c r="A30" s="27" t="s">
        <v>25</v>
      </c>
      <c r="B30" s="24">
        <f>'[8]CBK-Format PUBLISHED'!$BI32</f>
        <v>0</v>
      </c>
      <c r="C30" s="24">
        <f>[4]EBKL!$B30</f>
        <v>5000000</v>
      </c>
      <c r="D30" s="24">
        <f t="shared" si="0"/>
        <v>-5000000</v>
      </c>
      <c r="E30" s="1291">
        <f t="shared" ref="E30:E40" si="2">IFERROR(D30/C30,0)</f>
        <v>-1</v>
      </c>
      <c r="H30" s="309"/>
      <c r="I30" s="309"/>
    </row>
    <row r="31" spans="1:9">
      <c r="A31" s="27" t="s">
        <v>26</v>
      </c>
      <c r="B31" s="24">
        <f>'[8]CBK-Format PUBLISHED'!$BI33</f>
        <v>552549008.54595459</v>
      </c>
      <c r="C31" s="24">
        <f>[4]EBKL!B31</f>
        <v>490554590.5740577</v>
      </c>
      <c r="D31" s="24">
        <f t="shared" si="0"/>
        <v>61994417.971896887</v>
      </c>
      <c r="E31" s="1291">
        <f>IFERROR(D31/C31,0)</f>
        <v>0.12637618557263863</v>
      </c>
      <c r="F31" s="104">
        <f>SUM(D31:D33)/D55</f>
        <v>1.3822509175567823</v>
      </c>
      <c r="G31" s="832">
        <f>(SUM(B31:B33)-SUM(C31:C33))/SUM(C31:C33)</f>
        <v>0.12020155021567132</v>
      </c>
      <c r="H31" s="309"/>
      <c r="I31" s="309"/>
    </row>
    <row r="32" spans="1:9">
      <c r="A32" s="27" t="s">
        <v>27</v>
      </c>
      <c r="B32" s="24">
        <f>'[8]CBK-Format PUBLISHED'!$BI34</f>
        <v>0</v>
      </c>
      <c r="C32" s="24">
        <f>[4]EBKL!B32</f>
        <v>0</v>
      </c>
      <c r="D32" s="24">
        <f t="shared" si="0"/>
        <v>0</v>
      </c>
      <c r="E32" s="1291">
        <f t="shared" si="2"/>
        <v>0</v>
      </c>
      <c r="H32" s="309"/>
      <c r="I32" s="309"/>
    </row>
    <row r="33" spans="1:14">
      <c r="A33" s="27" t="s">
        <v>28</v>
      </c>
      <c r="B33" s="24">
        <f>'[8]CBK-Format PUBLISHED'!$BI35</f>
        <v>110486369.57815465</v>
      </c>
      <c r="C33" s="24">
        <f>[4]EBKL!B33</f>
        <v>101334768.97597656</v>
      </c>
      <c r="D33" s="24">
        <f t="shared" si="0"/>
        <v>9151600.6021780968</v>
      </c>
      <c r="E33" s="1291">
        <f t="shared" si="2"/>
        <v>9.0310568570474245E-2</v>
      </c>
      <c r="H33" s="309"/>
      <c r="I33" s="309"/>
    </row>
    <row r="34" spans="1:14">
      <c r="A34" s="27" t="s">
        <v>29</v>
      </c>
      <c r="B34" s="24">
        <f>'[8]CBK-Format PUBLISHED'!$BI36</f>
        <v>44499099.008443296</v>
      </c>
      <c r="C34" s="24">
        <f>[4]EBKL!B34</f>
        <v>53824164.224341758</v>
      </c>
      <c r="D34" s="24">
        <f t="shared" si="0"/>
        <v>-9325065.2158984616</v>
      </c>
      <c r="E34" s="1291">
        <f t="shared" si="2"/>
        <v>-0.17325053440739241</v>
      </c>
      <c r="F34" s="104">
        <f>SUM(D34:D35)/SUM(C34:C35)</f>
        <v>-9.3998390977282534E-2</v>
      </c>
      <c r="H34" s="309"/>
      <c r="I34" s="309"/>
    </row>
    <row r="35" spans="1:14">
      <c r="A35" s="27" t="s">
        <v>30</v>
      </c>
      <c r="B35" s="24">
        <f>'[8]CBK-Format PUBLISHED'!$BI37</f>
        <v>89768148.239049941</v>
      </c>
      <c r="C35" s="24">
        <f>[4]EBKL!B35</f>
        <v>94373417.226229995</v>
      </c>
      <c r="D35" s="24">
        <f t="shared" si="0"/>
        <v>-4605268.9871800542</v>
      </c>
      <c r="E35" s="1291">
        <f t="shared" si="2"/>
        <v>-4.8798370585017591E-2</v>
      </c>
      <c r="G35" s="309"/>
      <c r="H35" s="309"/>
      <c r="I35" s="309"/>
    </row>
    <row r="36" spans="1:14">
      <c r="A36" s="27" t="s">
        <v>31</v>
      </c>
      <c r="B36" s="24">
        <f>'[8]CBK-Format PUBLISHED'!$BI38</f>
        <v>0</v>
      </c>
      <c r="C36" s="24">
        <f>[4]EBKL!B36</f>
        <v>0</v>
      </c>
      <c r="D36" s="24">
        <f t="shared" si="0"/>
        <v>0</v>
      </c>
      <c r="E36" s="1291">
        <f t="shared" si="2"/>
        <v>0</v>
      </c>
      <c r="G36" s="309">
        <f>SUM(B34:B35)</f>
        <v>134267247.24749324</v>
      </c>
      <c r="H36" s="309">
        <f>SUM(C34:C35)</f>
        <v>148197581.45057175</v>
      </c>
      <c r="I36" s="309"/>
      <c r="J36" s="104">
        <f>G36/H36-1</f>
        <v>-9.3998390977282464E-2</v>
      </c>
    </row>
    <row r="37" spans="1:14">
      <c r="A37" s="27" t="s">
        <v>32</v>
      </c>
      <c r="B37" s="24">
        <f>'[8]CBK-Format PUBLISHED'!$BI39</f>
        <v>1138975.7284503412</v>
      </c>
      <c r="C37" s="24">
        <f>[4]EBKL!B37</f>
        <v>664452.94661005691</v>
      </c>
      <c r="D37" s="24">
        <f>(B37-C37)</f>
        <v>474522.78184028424</v>
      </c>
      <c r="E37" s="1291">
        <f>IFERROR(D37/C37,0)</f>
        <v>0.7141555835687553</v>
      </c>
      <c r="G37" s="309"/>
      <c r="H37" s="309"/>
      <c r="I37" s="309"/>
    </row>
    <row r="38" spans="1:14">
      <c r="A38" s="27" t="s">
        <v>33</v>
      </c>
      <c r="B38" s="24">
        <f>'[8]CBK-Format PUBLISHED'!$BI40--0.0792899999978545</f>
        <v>0</v>
      </c>
      <c r="C38" s="24">
        <f>[4]EBKL!B38</f>
        <v>0</v>
      </c>
      <c r="D38" s="24">
        <f>(B38-C38)</f>
        <v>0</v>
      </c>
      <c r="E38" s="1291">
        <v>1</v>
      </c>
      <c r="H38" s="309"/>
      <c r="I38" s="309"/>
    </row>
    <row r="39" spans="1:14">
      <c r="A39" s="27" t="s">
        <v>34</v>
      </c>
      <c r="B39" s="24">
        <f>'[8]CBK-Format PUBLISHED'!$BI41</f>
        <v>0</v>
      </c>
      <c r="C39" s="24">
        <f>[4]EBKL!B39</f>
        <v>0</v>
      </c>
      <c r="D39" s="24">
        <f t="shared" si="0"/>
        <v>0</v>
      </c>
      <c r="E39" s="1291">
        <f t="shared" si="2"/>
        <v>0</v>
      </c>
      <c r="H39" s="309"/>
      <c r="I39" s="309"/>
    </row>
    <row r="40" spans="1:14">
      <c r="A40" s="27" t="s">
        <v>35</v>
      </c>
      <c r="B40" s="24">
        <f>'[8]CBK-Format PUBLISHED'!$BI42</f>
        <v>0</v>
      </c>
      <c r="C40" s="24">
        <f>[4]EBKL!B40</f>
        <v>0</v>
      </c>
      <c r="D40" s="24">
        <f t="shared" si="0"/>
        <v>0</v>
      </c>
      <c r="E40" s="1291">
        <f t="shared" si="2"/>
        <v>0</v>
      </c>
      <c r="H40" s="309"/>
      <c r="I40" s="309"/>
    </row>
    <row r="41" spans="1:14">
      <c r="A41" s="27" t="s">
        <v>36</v>
      </c>
      <c r="B41" s="24">
        <f>'[8]CBK-Format PUBLISHED'!$BI43-0.0792899999978545</f>
        <v>17405308.525909267</v>
      </c>
      <c r="C41" s="24">
        <f>[4]EBKL!B41</f>
        <v>15212493.354590006</v>
      </c>
      <c r="D41" s="24">
        <f>(B41-C41)</f>
        <v>2192815.1713192612</v>
      </c>
      <c r="E41" s="1291">
        <f>IFERROR(D41/C41,0)</f>
        <v>0.14414567817429033</v>
      </c>
      <c r="H41" s="309"/>
      <c r="I41" s="309"/>
    </row>
    <row r="42" spans="1:14">
      <c r="A42" s="29" t="s">
        <v>37</v>
      </c>
      <c r="B42" s="30">
        <f>SUM(B30:B41)</f>
        <v>815846909.62596214</v>
      </c>
      <c r="C42" s="30">
        <f>SUM(C30:C41)</f>
        <v>760963887.30180621</v>
      </c>
      <c r="D42" s="30">
        <f>(B42-C42)</f>
        <v>54883022.324155927</v>
      </c>
      <c r="E42" s="1292">
        <f>D42/C42</f>
        <v>7.2123031381630787E-2</v>
      </c>
      <c r="F42" s="103">
        <f>B31+B33</f>
        <v>663035378.12410927</v>
      </c>
      <c r="H42" s="309"/>
      <c r="I42" s="309"/>
    </row>
    <row r="43" spans="1:14">
      <c r="A43" s="31"/>
      <c r="B43" s="32"/>
      <c r="C43" s="24"/>
      <c r="D43" s="32"/>
      <c r="E43" s="1294"/>
      <c r="F43" s="102">
        <f>F42/B55</f>
        <v>0.72837405509331576</v>
      </c>
      <c r="H43" s="309"/>
      <c r="I43" s="309"/>
    </row>
    <row r="44" spans="1:14">
      <c r="A44" s="29" t="s">
        <v>38</v>
      </c>
      <c r="B44" s="30"/>
      <c r="C44" s="30"/>
      <c r="D44" s="30"/>
      <c r="E44" s="1292"/>
      <c r="H44" s="309"/>
      <c r="I44" s="309"/>
    </row>
    <row r="45" spans="1:14">
      <c r="A45" s="27" t="s">
        <v>545</v>
      </c>
      <c r="B45" s="24">
        <f>'[8]CBK-Format PUBLISHED'!$BI47</f>
        <v>30000000</v>
      </c>
      <c r="C45" s="24">
        <f>[4]EBKL!$B45</f>
        <v>30000000</v>
      </c>
      <c r="D45" s="24">
        <f t="shared" si="0"/>
        <v>0</v>
      </c>
      <c r="E45" s="1291">
        <f t="shared" ref="E45:E52" si="3">IFERROR(D45/C45,0)</f>
        <v>0</v>
      </c>
      <c r="H45" s="309"/>
      <c r="I45" s="309"/>
    </row>
    <row r="46" spans="1:14">
      <c r="A46" s="27" t="s">
        <v>546</v>
      </c>
      <c r="B46" s="24">
        <f>'[8]CBK-Format PUBLISHED'!$BI48</f>
        <v>9964131.6999900006</v>
      </c>
      <c r="C46" s="24">
        <f>[4]EBKL!$B46</f>
        <v>9964131.6999900006</v>
      </c>
      <c r="D46" s="24">
        <f t="shared" si="0"/>
        <v>0</v>
      </c>
      <c r="E46" s="1291">
        <f t="shared" si="3"/>
        <v>0</v>
      </c>
      <c r="H46" s="309"/>
      <c r="I46" s="309"/>
    </row>
    <row r="47" spans="1:14">
      <c r="A47" s="27" t="s">
        <v>41</v>
      </c>
      <c r="B47" s="24">
        <f>'[8]CBK-Format PUBLISHED'!$BI49</f>
        <v>-37109849.201535866</v>
      </c>
      <c r="C47" s="24">
        <f>[4]EBKL!$B47</f>
        <v>-20105999.435674556</v>
      </c>
      <c r="D47" s="24">
        <f>(B47-C47)</f>
        <v>-17003849.76586131</v>
      </c>
      <c r="E47" s="1291">
        <f t="shared" si="3"/>
        <v>0.84571024784229187</v>
      </c>
      <c r="F47" s="102" t="s">
        <v>520</v>
      </c>
      <c r="G47" s="307">
        <v>82151386.85708721</v>
      </c>
      <c r="H47" s="309">
        <f>B48-G47</f>
        <v>9442582.5329526365</v>
      </c>
      <c r="I47" s="309"/>
    </row>
    <row r="48" spans="1:14">
      <c r="A48" s="27" t="s">
        <v>547</v>
      </c>
      <c r="B48" s="24">
        <f>'[8]CBK-Format PUBLISHED'!$BI50</f>
        <v>91593969.390039846</v>
      </c>
      <c r="C48" s="24">
        <f>[4]EBKL!$B48</f>
        <v>78002010.570950285</v>
      </c>
      <c r="D48" s="24">
        <f>(B48-C48)</f>
        <v>13591958.819089562</v>
      </c>
      <c r="E48" s="1291">
        <f>IFERROR(D48/C48,0)</f>
        <v>0.17425139069622284</v>
      </c>
      <c r="F48" s="102" t="s">
        <v>521</v>
      </c>
      <c r="G48" s="309">
        <f>B98</f>
        <v>9442577.3096731957</v>
      </c>
      <c r="H48" s="926">
        <f>H47-G48+G49</f>
        <v>5.2232794407755136</v>
      </c>
      <c r="I48" s="309"/>
      <c r="N48" s="103"/>
    </row>
    <row r="49" spans="1:16">
      <c r="A49" s="27" t="s">
        <v>548</v>
      </c>
      <c r="B49" s="24">
        <f>'[8]CBK-Format PUBLISHED'!$BI51</f>
        <v>0</v>
      </c>
      <c r="C49" s="24">
        <f>[4]EBKL!$B49</f>
        <v>0</v>
      </c>
      <c r="D49" s="24">
        <f t="shared" si="0"/>
        <v>0</v>
      </c>
      <c r="E49" s="1291">
        <f t="shared" si="3"/>
        <v>0</v>
      </c>
      <c r="F49" s="102" t="s">
        <v>764</v>
      </c>
      <c r="G49" s="309"/>
      <c r="H49" s="309"/>
      <c r="I49" s="309"/>
      <c r="N49" s="103"/>
      <c r="P49" s="103"/>
    </row>
    <row r="50" spans="1:16">
      <c r="A50" s="27" t="s">
        <v>579</v>
      </c>
      <c r="B50" s="24">
        <f>'[8]CBK-Format PUBLISHED'!$BI52</f>
        <v>0</v>
      </c>
      <c r="C50" s="24">
        <f>[4]EBKL!$B50</f>
        <v>0</v>
      </c>
      <c r="D50" s="24"/>
      <c r="E50" s="1291">
        <f t="shared" si="3"/>
        <v>0</v>
      </c>
      <c r="G50" s="307"/>
      <c r="H50" s="309"/>
      <c r="I50" s="309"/>
    </row>
    <row r="51" spans="1:16">
      <c r="A51" s="27" t="s">
        <v>89</v>
      </c>
      <c r="B51" s="24">
        <f>'[8]CBK-Format PUBLISHED'!$BI53</f>
        <v>0</v>
      </c>
      <c r="C51" s="24">
        <f>[4]EBKL!$B51</f>
        <v>0</v>
      </c>
      <c r="D51" s="24">
        <f t="shared" si="0"/>
        <v>0</v>
      </c>
      <c r="E51" s="1291">
        <f t="shared" si="3"/>
        <v>0</v>
      </c>
      <c r="G51" s="311"/>
      <c r="H51" s="309"/>
      <c r="I51" s="309"/>
    </row>
    <row r="52" spans="1:16">
      <c r="A52" s="27" t="s">
        <v>90</v>
      </c>
      <c r="B52" s="24">
        <v>0</v>
      </c>
      <c r="C52" s="24">
        <v>0</v>
      </c>
      <c r="D52" s="24">
        <f t="shared" si="0"/>
        <v>0</v>
      </c>
      <c r="E52" s="1291">
        <f t="shared" si="3"/>
        <v>0</v>
      </c>
      <c r="H52" s="309"/>
      <c r="I52" s="309"/>
    </row>
    <row r="53" spans="1:16">
      <c r="A53" s="29" t="s">
        <v>46</v>
      </c>
      <c r="B53" s="30">
        <f>SUM(B45:B52)</f>
        <v>94448251.888493985</v>
      </c>
      <c r="C53" s="30">
        <f>SUM(C45:C52)</f>
        <v>97860142.835265726</v>
      </c>
      <c r="D53" s="30">
        <f>(B53-C53)</f>
        <v>-3411890.9467717409</v>
      </c>
      <c r="E53" s="1292">
        <f>D53/C53</f>
        <v>-3.4864970026818751E-2</v>
      </c>
      <c r="H53" s="309"/>
      <c r="I53" s="309"/>
    </row>
    <row r="54" spans="1:16">
      <c r="A54" s="34"/>
      <c r="B54" s="35"/>
      <c r="C54" s="35"/>
      <c r="D54" s="35"/>
      <c r="E54" s="1294"/>
      <c r="H54" s="309"/>
      <c r="I54" s="309"/>
    </row>
    <row r="55" spans="1:16" ht="13.5" thickBot="1">
      <c r="A55" s="95" t="s">
        <v>47</v>
      </c>
      <c r="B55" s="94">
        <f>B42+B53</f>
        <v>910295161.51445615</v>
      </c>
      <c r="C55" s="94">
        <f>C42+C53</f>
        <v>858824030.13707197</v>
      </c>
      <c r="D55" s="94">
        <f t="shared" si="0"/>
        <v>51471131.377384186</v>
      </c>
      <c r="E55" s="1295">
        <f>D55/C55</f>
        <v>5.9932104332443017E-2</v>
      </c>
      <c r="H55" s="309"/>
      <c r="I55" s="309"/>
    </row>
    <row r="56" spans="1:16" ht="13.5" thickBot="1">
      <c r="A56" s="376"/>
      <c r="B56" s="377">
        <f>B55-B27</f>
        <v>0</v>
      </c>
      <c r="C56" s="377">
        <f>C55-C27</f>
        <v>0</v>
      </c>
      <c r="D56" s="377"/>
      <c r="E56" s="1209"/>
      <c r="H56" s="309"/>
      <c r="I56" s="309"/>
    </row>
    <row r="57" spans="1:16" ht="20.25">
      <c r="A57" s="108" t="s">
        <v>94</v>
      </c>
      <c r="B57" s="93"/>
      <c r="C57" s="93"/>
      <c r="D57" s="93"/>
      <c r="E57" s="1210"/>
      <c r="G57" s="309"/>
      <c r="H57" s="309"/>
      <c r="I57" s="309"/>
    </row>
    <row r="58" spans="1:16">
      <c r="A58" s="36" t="s">
        <v>48</v>
      </c>
      <c r="B58" s="1191">
        <f>B2</f>
        <v>45046</v>
      </c>
      <c r="C58" s="1191">
        <f>C2</f>
        <v>44681</v>
      </c>
      <c r="D58" s="1580" t="s">
        <v>85</v>
      </c>
      <c r="E58" s="1581" t="s">
        <v>86</v>
      </c>
      <c r="H58" s="309"/>
      <c r="I58" s="309"/>
    </row>
    <row r="59" spans="1:16">
      <c r="A59" s="36"/>
      <c r="B59" s="19" t="s">
        <v>97</v>
      </c>
      <c r="C59" s="19" t="s">
        <v>97</v>
      </c>
      <c r="D59" s="1538"/>
      <c r="E59" s="1579"/>
      <c r="H59" s="309"/>
      <c r="I59" s="309"/>
    </row>
    <row r="60" spans="1:16" ht="13.5" thickBot="1">
      <c r="A60" s="36"/>
      <c r="B60" s="19" t="s">
        <v>84</v>
      </c>
      <c r="C60" s="19" t="s">
        <v>84</v>
      </c>
      <c r="D60" s="36"/>
      <c r="E60" s="1211"/>
      <c r="H60" s="309"/>
      <c r="I60" s="309"/>
    </row>
    <row r="61" spans="1:16">
      <c r="A61" s="37" t="s">
        <v>49</v>
      </c>
      <c r="B61" s="38"/>
      <c r="C61" s="38"/>
      <c r="D61" s="38"/>
      <c r="E61" s="1207"/>
      <c r="H61" s="309"/>
      <c r="I61" s="309"/>
    </row>
    <row r="62" spans="1:16">
      <c r="A62" s="27" t="s">
        <v>50</v>
      </c>
      <c r="B62" s="24">
        <f>'[8]CBK-Format PUBLISHED'!$BI62</f>
        <v>16097974.300349999</v>
      </c>
      <c r="C62" s="24">
        <f>[4]EBKL!$B62</f>
        <v>14383394.028129999</v>
      </c>
      <c r="D62" s="24">
        <f t="shared" si="0"/>
        <v>1714580.2722200006</v>
      </c>
      <c r="E62" s="1291">
        <f>IFERROR(D62/C62,0)</f>
        <v>0.1192055413949412</v>
      </c>
      <c r="H62" s="309"/>
      <c r="I62" s="309"/>
    </row>
    <row r="63" spans="1:16">
      <c r="A63" s="27" t="s">
        <v>51</v>
      </c>
      <c r="B63" s="24">
        <f>'[8]CBK-Format PUBLISHED'!$BI63</f>
        <v>11586646.884539999</v>
      </c>
      <c r="C63" s="24">
        <f>[4]EBKL!$B63</f>
        <v>10827822.417640001</v>
      </c>
      <c r="D63" s="24">
        <f>(B63-C63)</f>
        <v>758824.46689999849</v>
      </c>
      <c r="E63" s="1291">
        <f>IFERROR(D63/C63,0)</f>
        <v>7.0080985597230513E-2</v>
      </c>
      <c r="H63" s="309"/>
      <c r="I63" s="309"/>
    </row>
    <row r="64" spans="1:16">
      <c r="A64" s="27" t="s">
        <v>52</v>
      </c>
      <c r="B64" s="24">
        <f>'[8]CBK-Format PUBLISHED'!$BI64</f>
        <v>486986.49008999998</v>
      </c>
      <c r="C64" s="24">
        <f>[4]EBKL!$B64</f>
        <v>140576.25322000001</v>
      </c>
      <c r="D64" s="24">
        <f>(B64-C64)</f>
        <v>346410.23686999996</v>
      </c>
      <c r="E64" s="1291">
        <f>IFERROR(D64/C64,0)</f>
        <v>2.464215889492178</v>
      </c>
      <c r="G64" s="309"/>
      <c r="H64" s="309"/>
      <c r="I64" s="309"/>
    </row>
    <row r="65" spans="1:9">
      <c r="A65" s="27" t="s">
        <v>53</v>
      </c>
      <c r="B65" s="24">
        <f>'[8]CBK-Format PUBLISHED'!$BI65</f>
        <v>29700.743520000004</v>
      </c>
      <c r="C65" s="24">
        <f>[4]EBKL!$B65</f>
        <v>17077.885829999999</v>
      </c>
      <c r="D65" s="24">
        <f>(B65-C65)</f>
        <v>12622.857690000004</v>
      </c>
      <c r="E65" s="1291">
        <f>IFERROR(D65/C65,0)</f>
        <v>0.73913468070069688</v>
      </c>
      <c r="G65" s="309"/>
      <c r="H65" s="309"/>
      <c r="I65" s="309"/>
    </row>
    <row r="66" spans="1:9">
      <c r="A66" s="29" t="s">
        <v>54</v>
      </c>
      <c r="B66" s="39">
        <f>SUM(B62:B65)</f>
        <v>28201308.418499999</v>
      </c>
      <c r="C66" s="39">
        <f>SUM(C62:C65)</f>
        <v>25368870.584819999</v>
      </c>
      <c r="D66" s="39">
        <f t="shared" si="0"/>
        <v>2832437.8336800002</v>
      </c>
      <c r="E66" s="1292">
        <f>D66/C66</f>
        <v>0.11165013531878906</v>
      </c>
      <c r="G66" s="384"/>
      <c r="H66" s="309"/>
      <c r="I66" s="309"/>
    </row>
    <row r="67" spans="1:9">
      <c r="A67" s="31"/>
      <c r="B67" s="32"/>
      <c r="C67" s="32">
        <v>0</v>
      </c>
      <c r="D67" s="32"/>
      <c r="E67" s="1294"/>
      <c r="H67" s="309"/>
      <c r="I67" s="309"/>
    </row>
    <row r="68" spans="1:9">
      <c r="A68" s="31" t="s">
        <v>55</v>
      </c>
      <c r="B68" s="24"/>
      <c r="C68" s="24"/>
      <c r="D68" s="24"/>
      <c r="E68" s="1294"/>
      <c r="H68" s="309"/>
      <c r="I68" s="309"/>
    </row>
    <row r="69" spans="1:9">
      <c r="A69" s="27" t="s">
        <v>56</v>
      </c>
      <c r="B69" s="24">
        <f>'[8]CBK-Format PUBLISHED'!$BI69</f>
        <v>6997386.2515800018</v>
      </c>
      <c r="C69" s="24">
        <f>[4]EBKL!$B69</f>
        <v>5111072.34516</v>
      </c>
      <c r="D69" s="24">
        <f>B69-C69</f>
        <v>1886313.9064200018</v>
      </c>
      <c r="E69" s="1291">
        <f>IFERROR(D69/C69,0)</f>
        <v>0.36906421569365427</v>
      </c>
      <c r="G69" s="307"/>
      <c r="H69" s="309"/>
      <c r="I69" s="309"/>
    </row>
    <row r="70" spans="1:9">
      <c r="A70" s="27" t="s">
        <v>57</v>
      </c>
      <c r="B70" s="24">
        <f>'[8]CBK-Format PUBLISHED'!$BI70</f>
        <v>821067.76247999992</v>
      </c>
      <c r="C70" s="24">
        <f>[4]EBKL!$B70</f>
        <v>131753.03044</v>
      </c>
      <c r="D70" s="24">
        <f>B70-C70</f>
        <v>689314.73203999992</v>
      </c>
      <c r="E70" s="1291">
        <f>IFERROR(D70/C70,0)</f>
        <v>5.2318700354593526</v>
      </c>
      <c r="H70" s="309"/>
      <c r="I70" s="309"/>
    </row>
    <row r="71" spans="1:9">
      <c r="A71" s="27" t="s">
        <v>515</v>
      </c>
      <c r="B71" s="24">
        <f>'[8]CBK-Format PUBLISHED'!$BI71</f>
        <v>2967514.20481</v>
      </c>
      <c r="C71" s="24">
        <f>[4]EBKL!$B71</f>
        <v>1832769.9992800001</v>
      </c>
      <c r="D71" s="24">
        <f>B71-C71</f>
        <v>1134744.2055299999</v>
      </c>
      <c r="E71" s="1291">
        <f>IFERROR(D71/C71,0)</f>
        <v>0.61914163041504489</v>
      </c>
      <c r="H71" s="309"/>
      <c r="I71" s="309"/>
    </row>
    <row r="72" spans="1:9">
      <c r="A72" s="29" t="s">
        <v>551</v>
      </c>
      <c r="B72" s="39">
        <f>SUM(B69:B71)</f>
        <v>10785968.218870003</v>
      </c>
      <c r="C72" s="39">
        <f>SUM(C69:C71)</f>
        <v>7075595.37488</v>
      </c>
      <c r="D72" s="39">
        <f>B72-C72</f>
        <v>3710372.8439900028</v>
      </c>
      <c r="E72" s="1292">
        <f>D72/C72</f>
        <v>0.52439019579365498</v>
      </c>
      <c r="G72" s="384"/>
      <c r="H72" s="309"/>
      <c r="I72" s="309"/>
    </row>
    <row r="73" spans="1:9">
      <c r="A73" s="29" t="s">
        <v>60</v>
      </c>
      <c r="B73" s="39">
        <f>B66-B72</f>
        <v>17415340.199629996</v>
      </c>
      <c r="C73" s="39">
        <f>C66-C72</f>
        <v>18293275.209939998</v>
      </c>
      <c r="D73" s="39">
        <f>(B73-C73)</f>
        <v>-877935.01031000167</v>
      </c>
      <c r="E73" s="1292">
        <f>D73/C73</f>
        <v>-4.7992226664417048E-2</v>
      </c>
      <c r="F73" s="104"/>
      <c r="G73" s="384"/>
      <c r="H73" s="309"/>
      <c r="I73" s="309"/>
    </row>
    <row r="74" spans="1:9">
      <c r="A74" s="31"/>
      <c r="B74" s="40"/>
      <c r="C74" s="40"/>
      <c r="D74" s="40"/>
      <c r="E74" s="1294"/>
      <c r="H74" s="309"/>
      <c r="I74" s="309"/>
    </row>
    <row r="75" spans="1:9">
      <c r="A75" s="31" t="s">
        <v>61</v>
      </c>
      <c r="B75" s="41"/>
      <c r="C75" s="41"/>
      <c r="D75" s="41"/>
      <c r="E75" s="1294"/>
      <c r="H75" s="309"/>
      <c r="I75" s="309"/>
    </row>
    <row r="76" spans="1:9">
      <c r="A76" s="27" t="s">
        <v>62</v>
      </c>
      <c r="B76" s="24">
        <f>'[8]CBK-Format PUBLISHED'!$BI76</f>
        <v>2244177.2393399999</v>
      </c>
      <c r="C76" s="24">
        <f>[4]EBKL!$B76</f>
        <v>2290992.3332699998</v>
      </c>
      <c r="D76" s="24">
        <f>B76-C76</f>
        <v>-46815.093929999974</v>
      </c>
      <c r="E76" s="1291">
        <f>IFERROR(D76/C76,0)</f>
        <v>-2.0434417544810998E-2</v>
      </c>
      <c r="H76" s="309"/>
      <c r="I76" s="309"/>
    </row>
    <row r="77" spans="1:9">
      <c r="A77" s="27" t="s">
        <v>63</v>
      </c>
      <c r="B77" s="24">
        <f>'[8]CBK-Format PUBLISHED'!$BI77</f>
        <v>4198425.5624299981</v>
      </c>
      <c r="C77" s="24">
        <f>[4]EBKL!$B77</f>
        <v>3394975.9434400001</v>
      </c>
      <c r="D77" s="24">
        <f>B77-C77</f>
        <v>803449.61898999801</v>
      </c>
      <c r="E77" s="1291">
        <f>IFERROR(D77/C77,0)</f>
        <v>0.23665841301246249</v>
      </c>
      <c r="G77" s="312"/>
      <c r="H77" s="309"/>
      <c r="I77" s="309"/>
    </row>
    <row r="78" spans="1:9">
      <c r="A78" s="27" t="s">
        <v>64</v>
      </c>
      <c r="B78" s="24">
        <f>'[8]CBK-Format PUBLISHED'!$BI78</f>
        <v>1961355.9329600004</v>
      </c>
      <c r="C78" s="24">
        <f>[4]EBKL!$B78</f>
        <v>1435960.2466699998</v>
      </c>
      <c r="D78" s="24">
        <f>B78-C78</f>
        <v>525395.68629000057</v>
      </c>
      <c r="E78" s="1291">
        <f>IFERROR(D78/C78,0)</f>
        <v>0.36588456227001842</v>
      </c>
      <c r="H78" s="309"/>
      <c r="I78" s="309"/>
    </row>
    <row r="79" spans="1:9">
      <c r="A79" s="27" t="s">
        <v>517</v>
      </c>
      <c r="B79" s="24">
        <f>'[8]CBK-Format PUBLISHED'!$BI79</f>
        <v>0</v>
      </c>
      <c r="C79" s="24">
        <f>[4]EBKL!$B79</f>
        <v>0</v>
      </c>
      <c r="D79" s="24">
        <f>B79-C79</f>
        <v>0</v>
      </c>
      <c r="E79" s="1291">
        <f>IFERROR(D79/C79,0)</f>
        <v>0</v>
      </c>
      <c r="H79" s="309"/>
      <c r="I79" s="309"/>
    </row>
    <row r="80" spans="1:9">
      <c r="A80" s="27" t="s">
        <v>553</v>
      </c>
      <c r="B80" s="24">
        <f>'[8]CBK-Format PUBLISHED'!$BI80</f>
        <v>2420304.5049199997</v>
      </c>
      <c r="C80" s="24">
        <f>[4]EBKL!$B80</f>
        <v>556192.07978999999</v>
      </c>
      <c r="D80" s="24">
        <f>B80-C80</f>
        <v>1864112.4251299999</v>
      </c>
      <c r="E80" s="1291">
        <f>IFERROR(D80/C80,0)</f>
        <v>3.3515623340660081</v>
      </c>
      <c r="H80" s="309"/>
      <c r="I80" s="309"/>
    </row>
    <row r="81" spans="1:9">
      <c r="A81" s="29" t="s">
        <v>554</v>
      </c>
      <c r="B81" s="39">
        <f>SUM(B76:B80)</f>
        <v>10824263.239649998</v>
      </c>
      <c r="C81" s="39">
        <f>SUM(C76:C80)</f>
        <v>7678120.60317</v>
      </c>
      <c r="D81" s="39">
        <f>(B81-C81)</f>
        <v>3146142.636479998</v>
      </c>
      <c r="E81" s="1292">
        <f>D81/C81</f>
        <v>0.40975426137238286</v>
      </c>
      <c r="G81" s="384"/>
      <c r="H81" s="309"/>
      <c r="I81" s="309"/>
    </row>
    <row r="82" spans="1:9">
      <c r="A82" s="29" t="s">
        <v>68</v>
      </c>
      <c r="B82" s="39">
        <f>B73+B81</f>
        <v>28239603.439279996</v>
      </c>
      <c r="C82" s="39">
        <f>C73+C81</f>
        <v>25971395.813109998</v>
      </c>
      <c r="D82" s="39">
        <f>(B82-C82)</f>
        <v>2268207.6261699982</v>
      </c>
      <c r="E82" s="1292">
        <f>D82/C82</f>
        <v>8.7334837237551893E-2</v>
      </c>
      <c r="G82" s="384"/>
      <c r="H82" s="309"/>
      <c r="I82" s="309"/>
    </row>
    <row r="83" spans="1:9">
      <c r="A83" s="31"/>
      <c r="B83" s="42"/>
      <c r="C83" s="42"/>
      <c r="D83" s="42"/>
      <c r="E83" s="1294"/>
      <c r="H83" s="309"/>
      <c r="I83" s="309"/>
    </row>
    <row r="84" spans="1:9">
      <c r="A84" s="31" t="s">
        <v>69</v>
      </c>
      <c r="B84" s="43"/>
      <c r="C84" s="43"/>
      <c r="D84" s="43"/>
      <c r="E84" s="1294"/>
      <c r="H84" s="309"/>
      <c r="I84" s="309"/>
    </row>
    <row r="85" spans="1:9">
      <c r="A85" s="27" t="s">
        <v>454</v>
      </c>
      <c r="B85" s="24">
        <f>'[8]CBK-Format PUBLISHED'!$BI85</f>
        <v>2505982.1462999997</v>
      </c>
      <c r="C85" s="24">
        <f>[4]EBKL!$B85</f>
        <v>1500459.92976</v>
      </c>
      <c r="D85" s="24">
        <f t="shared" ref="D85:D91" si="4">B85-C85</f>
        <v>1005522.2165399997</v>
      </c>
      <c r="E85" s="1291">
        <f t="shared" ref="E85:E90" si="5">IFERROR(D85/C85,0)</f>
        <v>0.67014266532318123</v>
      </c>
      <c r="G85" s="384"/>
      <c r="H85" s="309"/>
      <c r="I85" s="309"/>
    </row>
    <row r="86" spans="1:9">
      <c r="A86" s="27" t="s">
        <v>71</v>
      </c>
      <c r="B86" s="24">
        <f>'[8]CBK-Format PUBLISHED'!$BI86</f>
        <v>5144186.0217700005</v>
      </c>
      <c r="C86" s="24">
        <f>[4]EBKL!$B86</f>
        <v>3792647.99921</v>
      </c>
      <c r="D86" s="24">
        <f t="shared" si="4"/>
        <v>1351538.0225600004</v>
      </c>
      <c r="E86" s="1291">
        <f>IFERROR(D86/C86,0)</f>
        <v>0.35635735845813338</v>
      </c>
      <c r="G86" s="778"/>
      <c r="H86" s="309"/>
      <c r="I86" s="309"/>
    </row>
    <row r="87" spans="1:9">
      <c r="A87" s="27" t="s">
        <v>72</v>
      </c>
      <c r="B87" s="24">
        <f>'[8]CBK-Format PUBLISHED'!$BI87</f>
        <v>26376.43851</v>
      </c>
      <c r="C87" s="24">
        <f>[4]EBKL!$B87</f>
        <v>9929.4</v>
      </c>
      <c r="D87" s="24">
        <f t="shared" si="4"/>
        <v>16447.038509999998</v>
      </c>
      <c r="E87" s="1291">
        <f>IFERROR(D87/C87,0)</f>
        <v>1.6563980210284608</v>
      </c>
      <c r="G87" s="309"/>
      <c r="H87" s="309"/>
      <c r="I87" s="309"/>
    </row>
    <row r="88" spans="1:9">
      <c r="A88" s="27" t="s">
        <v>73</v>
      </c>
      <c r="B88" s="24">
        <f>'[8]CBK-Format PUBLISHED'!$BI88</f>
        <v>78821.837050000002</v>
      </c>
      <c r="C88" s="24">
        <f>[4]EBKL!$B88</f>
        <v>58442.02706</v>
      </c>
      <c r="D88" s="24">
        <f t="shared" si="4"/>
        <v>20379.809990000002</v>
      </c>
      <c r="E88" s="1291">
        <f t="shared" si="5"/>
        <v>0.348718396935084</v>
      </c>
      <c r="G88" s="778"/>
      <c r="H88" s="309"/>
      <c r="I88" s="309"/>
    </row>
    <row r="89" spans="1:9">
      <c r="A89" s="27" t="s">
        <v>74</v>
      </c>
      <c r="B89" s="24">
        <f>'[8]CBK-Format PUBLISHED'!$BI89</f>
        <v>750901.85733999999</v>
      </c>
      <c r="C89" s="24">
        <f>[4]EBKL!$B89</f>
        <v>793720.16876000003</v>
      </c>
      <c r="D89" s="24">
        <f t="shared" si="4"/>
        <v>-42818.311420000042</v>
      </c>
      <c r="E89" s="1291">
        <f t="shared" si="5"/>
        <v>-5.3946356795863612E-2</v>
      </c>
      <c r="G89" s="713"/>
      <c r="H89" s="309"/>
      <c r="I89" s="309"/>
    </row>
    <row r="90" spans="1:9">
      <c r="A90" s="27" t="s">
        <v>782</v>
      </c>
      <c r="B90" s="24">
        <f>'[8]CBK-Format PUBLISHED'!$BI90</f>
        <v>345580.66983999999</v>
      </c>
      <c r="C90" s="24">
        <f>[4]EBKL!$B90</f>
        <v>319018.6568</v>
      </c>
      <c r="D90" s="24">
        <f t="shared" si="4"/>
        <v>26562.013039999991</v>
      </c>
      <c r="E90" s="1291">
        <f t="shared" si="5"/>
        <v>8.3261628979437133E-2</v>
      </c>
      <c r="G90" s="687"/>
      <c r="H90" s="309"/>
      <c r="I90" s="309"/>
    </row>
    <row r="91" spans="1:9" ht="15.75" customHeight="1">
      <c r="A91" s="27" t="s">
        <v>76</v>
      </c>
      <c r="B91" s="24">
        <f>'[8]CBK-Format PUBLISHED'!$BI91</f>
        <v>7124667.0533099994</v>
      </c>
      <c r="C91" s="24">
        <f>[4]EBKL!$B91</f>
        <v>5172512.9896999989</v>
      </c>
      <c r="D91" s="24">
        <f t="shared" si="4"/>
        <v>1952154.0636100005</v>
      </c>
      <c r="E91" s="1291">
        <f>IFERROR(D91/C91,0)</f>
        <v>0.37740921434075003</v>
      </c>
      <c r="F91" s="713"/>
      <c r="G91" s="713"/>
      <c r="H91" s="309"/>
      <c r="I91" s="309"/>
    </row>
    <row r="92" spans="1:9">
      <c r="A92" s="690" t="s">
        <v>555</v>
      </c>
      <c r="B92" s="883">
        <f>SUM(B85:B91)</f>
        <v>15976516.024119999</v>
      </c>
      <c r="C92" s="883">
        <f>SUM(C85:C91)</f>
        <v>11646731.171289999</v>
      </c>
      <c r="D92" s="883">
        <f t="shared" ref="D92:D98" si="6">(B92-C92)</f>
        <v>4329784.8528300002</v>
      </c>
      <c r="E92" s="1296">
        <f>D92/C92</f>
        <v>0.37175966278875061</v>
      </c>
      <c r="F92" s="687"/>
      <c r="G92" s="687"/>
      <c r="H92" s="309"/>
      <c r="I92" s="309"/>
    </row>
    <row r="93" spans="1:9" s="105" customFormat="1">
      <c r="A93" s="690" t="s">
        <v>78</v>
      </c>
      <c r="B93" s="883">
        <f>B82-B92</f>
        <v>12263087.415159997</v>
      </c>
      <c r="C93" s="883">
        <f>C82-C92</f>
        <v>14324664.641819999</v>
      </c>
      <c r="D93" s="883">
        <f t="shared" si="6"/>
        <v>-2061577.226660002</v>
      </c>
      <c r="E93" s="1296">
        <f>D93/C93</f>
        <v>-0.14391800982491074</v>
      </c>
      <c r="F93" s="830"/>
      <c r="G93" s="704"/>
      <c r="H93" s="309"/>
      <c r="I93" s="309"/>
    </row>
    <row r="94" spans="1:9">
      <c r="A94" s="27" t="s">
        <v>80</v>
      </c>
      <c r="B94" s="24">
        <v>0</v>
      </c>
      <c r="C94" s="43">
        <v>0</v>
      </c>
      <c r="D94" s="43">
        <f t="shared" si="6"/>
        <v>0</v>
      </c>
      <c r="E94" s="1291">
        <f>IFERROR(D94/C94,0)</f>
        <v>0</v>
      </c>
      <c r="G94" s="307"/>
      <c r="H94" s="309"/>
      <c r="I94" s="309"/>
    </row>
    <row r="95" spans="1:9" s="105" customFormat="1">
      <c r="A95" s="47" t="s">
        <v>81</v>
      </c>
      <c r="B95" s="48">
        <f>SUM(B93:B94)</f>
        <v>12263087.415159997</v>
      </c>
      <c r="C95" s="48">
        <f>SUM(C93:C94)</f>
        <v>14324664.641819999</v>
      </c>
      <c r="D95" s="48">
        <f t="shared" si="6"/>
        <v>-2061577.226660002</v>
      </c>
      <c r="E95" s="1297">
        <f>D95/C95</f>
        <v>-0.14391800982491074</v>
      </c>
      <c r="F95" s="716"/>
      <c r="G95" s="307"/>
      <c r="H95" s="309"/>
      <c r="I95" s="309"/>
    </row>
    <row r="96" spans="1:9">
      <c r="A96" s="27" t="s">
        <v>91</v>
      </c>
      <c r="B96" s="24">
        <f>'[8]CBK-Format PUBLISHED'!$BI$97</f>
        <v>-3787022.8724103412</v>
      </c>
      <c r="C96" s="24">
        <f>[4]EBKL!$B96</f>
        <v>-3138311.8244400569</v>
      </c>
      <c r="D96" s="43">
        <f t="shared" si="6"/>
        <v>-648711.04797028424</v>
      </c>
      <c r="E96" s="1291">
        <f>IFERROR(D96/C96,0)</f>
        <v>0.20670700818139012</v>
      </c>
      <c r="G96" s="307"/>
      <c r="H96" s="309"/>
      <c r="I96" s="309"/>
    </row>
    <row r="97" spans="1:9">
      <c r="A97" s="27" t="s">
        <v>92</v>
      </c>
      <c r="B97" s="24">
        <f>'[8]CBK-Format PUBLISHED'!$BI$98</f>
        <v>966512.76692354167</v>
      </c>
      <c r="C97" s="24">
        <f>[4]EBKL!$B97</f>
        <v>58093.404470345602</v>
      </c>
      <c r="D97" s="43">
        <f t="shared" si="6"/>
        <v>908419.36245319608</v>
      </c>
      <c r="E97" s="1291">
        <f>IFERROR(D97/C97,0)</f>
        <v>15.637220278885676</v>
      </c>
      <c r="F97" s="103"/>
      <c r="G97" s="307"/>
      <c r="H97" s="309"/>
      <c r="I97" s="309"/>
    </row>
    <row r="98" spans="1:9" s="105" customFormat="1" ht="13.5" thickBot="1">
      <c r="A98" s="96" t="s">
        <v>93</v>
      </c>
      <c r="B98" s="151">
        <f>SUM(B95:B97)</f>
        <v>9442577.3096731957</v>
      </c>
      <c r="C98" s="151">
        <f>SUM(C95:C97)</f>
        <v>11244446.221850287</v>
      </c>
      <c r="D98" s="151">
        <f t="shared" si="6"/>
        <v>-1801868.9121770915</v>
      </c>
      <c r="E98" s="1298">
        <f>D98/C98</f>
        <v>-0.16024523365816692</v>
      </c>
      <c r="F98" s="812">
        <f>B96+B97</f>
        <v>-2820510.1054867995</v>
      </c>
      <c r="G98" s="704"/>
      <c r="H98" s="309"/>
      <c r="I98" s="309"/>
    </row>
    <row r="99" spans="1:9" ht="13.5" thickBot="1">
      <c r="A99" s="102"/>
      <c r="B99" s="106"/>
      <c r="C99" s="102"/>
      <c r="D99" s="102"/>
      <c r="E99" s="1212"/>
      <c r="F99" s="1452">
        <f>F98/B95</f>
        <v>-0.23</v>
      </c>
      <c r="G99" s="306" t="s">
        <v>605</v>
      </c>
      <c r="H99" s="309"/>
      <c r="I99" s="309"/>
    </row>
    <row r="100" spans="1:9" ht="20.25">
      <c r="A100" s="108" t="s">
        <v>150</v>
      </c>
      <c r="B100" s="1200">
        <f>B2</f>
        <v>45046</v>
      </c>
      <c r="C100" s="1200">
        <f>C2</f>
        <v>44681</v>
      </c>
      <c r="D100" s="1542" t="s">
        <v>85</v>
      </c>
      <c r="E100" s="1578" t="s">
        <v>86</v>
      </c>
      <c r="F100" s="104"/>
      <c r="H100" s="309"/>
      <c r="I100" s="309"/>
    </row>
    <row r="101" spans="1:9">
      <c r="A101" s="371"/>
      <c r="B101" s="19" t="s">
        <v>97</v>
      </c>
      <c r="C101" s="19" t="s">
        <v>97</v>
      </c>
      <c r="D101" s="1538"/>
      <c r="E101" s="1579"/>
      <c r="F101" s="104"/>
      <c r="H101" s="309"/>
      <c r="I101" s="309"/>
    </row>
    <row r="102" spans="1:9">
      <c r="A102" s="371"/>
      <c r="B102" s="19" t="s">
        <v>84</v>
      </c>
      <c r="C102" s="19" t="s">
        <v>84</v>
      </c>
      <c r="D102" s="49"/>
      <c r="E102" s="1213"/>
      <c r="H102" s="309"/>
      <c r="I102" s="309"/>
    </row>
    <row r="103" spans="1:9">
      <c r="A103" s="372"/>
      <c r="B103" s="36"/>
      <c r="C103" s="36"/>
      <c r="D103" s="36"/>
      <c r="E103" s="1211"/>
      <c r="H103" s="309"/>
      <c r="I103" s="309"/>
    </row>
    <row r="104" spans="1:9">
      <c r="A104" s="31" t="s">
        <v>114</v>
      </c>
      <c r="B104" s="218"/>
      <c r="C104" s="218"/>
      <c r="D104" s="218"/>
      <c r="E104" s="1214"/>
      <c r="H104" s="309"/>
      <c r="I104" s="309"/>
    </row>
    <row r="105" spans="1:9" s="105" customFormat="1">
      <c r="A105" s="31" t="s">
        <v>115</v>
      </c>
      <c r="B105" s="800">
        <f>'[6]30_March_2023'!$F$6</f>
        <v>53523706.538079605</v>
      </c>
      <c r="C105" s="800">
        <f>[4]EBKL!$B$105</f>
        <v>38221171.567846403</v>
      </c>
      <c r="D105" s="800">
        <f>B105-C105</f>
        <v>15302534.970233202</v>
      </c>
      <c r="E105" s="1305">
        <f>D105/C105</f>
        <v>0.40036802490655399</v>
      </c>
      <c r="G105" s="314"/>
      <c r="H105" s="309"/>
      <c r="I105" s="309"/>
    </row>
    <row r="106" spans="1:9">
      <c r="A106" s="27" t="s">
        <v>116</v>
      </c>
      <c r="B106" s="218">
        <f>'[6]30_March_2023'!$F$7</f>
        <v>12140036.300449999</v>
      </c>
      <c r="C106" s="218">
        <f>[4]EBKL!$B$106</f>
        <v>7527201.1373899998</v>
      </c>
      <c r="D106" s="218">
        <f t="shared" ref="D106:D111" si="7">B106-C106</f>
        <v>4612835.1630599992</v>
      </c>
      <c r="E106" s="1306">
        <f>D106/C106</f>
        <v>0.6128220940113559</v>
      </c>
      <c r="H106" s="309"/>
      <c r="I106" s="309"/>
    </row>
    <row r="107" spans="1:9" s="105" customFormat="1">
      <c r="A107" s="801" t="s">
        <v>568</v>
      </c>
      <c r="B107" s="802">
        <f>B105-B106</f>
        <v>41383670.237629607</v>
      </c>
      <c r="C107" s="802">
        <f>C105-C106</f>
        <v>30693970.430456404</v>
      </c>
      <c r="D107" s="802">
        <f t="shared" si="7"/>
        <v>10689699.807173204</v>
      </c>
      <c r="E107" s="1307">
        <f>IFERROR(D107/C107,0)</f>
        <v>0.34826709145996443</v>
      </c>
      <c r="G107" s="314"/>
      <c r="H107" s="309"/>
      <c r="I107" s="309"/>
    </row>
    <row r="108" spans="1:9">
      <c r="A108" s="27" t="s">
        <v>569</v>
      </c>
      <c r="B108" s="218">
        <f>'[6]30_March_2023'!$F$9</f>
        <v>23219285.001959998</v>
      </c>
      <c r="C108" s="218">
        <f>[4]EBKL!$B$108</f>
        <v>19342613.822250001</v>
      </c>
      <c r="D108" s="218">
        <f t="shared" si="7"/>
        <v>3876671.179709997</v>
      </c>
      <c r="E108" s="1306">
        <f>D108/C108</f>
        <v>0.2004212675357569</v>
      </c>
      <c r="H108" s="309"/>
      <c r="I108" s="309"/>
    </row>
    <row r="109" spans="1:9" s="105" customFormat="1">
      <c r="A109" s="31" t="s">
        <v>119</v>
      </c>
      <c r="B109" s="800">
        <f>B107-B108</f>
        <v>18164385.235669609</v>
      </c>
      <c r="C109" s="800">
        <f>C107-C108</f>
        <v>11351356.608206403</v>
      </c>
      <c r="D109" s="800">
        <f t="shared" si="7"/>
        <v>6813028.6274632066</v>
      </c>
      <c r="E109" s="1305">
        <f>D109/C109</f>
        <v>0.60019510113335384</v>
      </c>
      <c r="G109" s="314"/>
      <c r="H109" s="309"/>
      <c r="I109" s="309"/>
    </row>
    <row r="110" spans="1:9">
      <c r="A110" s="27" t="s">
        <v>120</v>
      </c>
      <c r="B110" s="218">
        <f>'[6]30_March_2023'!$F$11</f>
        <v>11982650.108203501</v>
      </c>
      <c r="C110" s="218">
        <f>[4]EBKL!$B$110</f>
        <v>11351356.608206403</v>
      </c>
      <c r="D110" s="218">
        <f t="shared" si="7"/>
        <v>631293.499997098</v>
      </c>
      <c r="E110" s="1306">
        <f>D110/C110</f>
        <v>5.5613925435194923E-2</v>
      </c>
      <c r="H110" s="309"/>
      <c r="I110" s="309"/>
    </row>
    <row r="111" spans="1:9" s="105" customFormat="1">
      <c r="A111" s="801" t="s">
        <v>559</v>
      </c>
      <c r="B111" s="802">
        <f>B109-B110</f>
        <v>6181735.1274661086</v>
      </c>
      <c r="C111" s="802">
        <f>C109-C110</f>
        <v>0</v>
      </c>
      <c r="D111" s="802">
        <f t="shared" si="7"/>
        <v>6181735.1274661086</v>
      </c>
      <c r="E111" s="1307">
        <f>IFERROR(D111/C111,0)</f>
        <v>0</v>
      </c>
      <c r="G111" s="315"/>
      <c r="H111" s="309"/>
      <c r="I111" s="309"/>
    </row>
    <row r="112" spans="1:9">
      <c r="A112" s="27"/>
      <c r="B112" s="218"/>
      <c r="C112" s="218"/>
      <c r="D112" s="218"/>
      <c r="E112" s="1306"/>
      <c r="G112" s="313"/>
      <c r="H112" s="309"/>
      <c r="I112" s="309"/>
    </row>
    <row r="113" spans="1:9">
      <c r="A113" s="31" t="s">
        <v>122</v>
      </c>
      <c r="B113" s="218"/>
      <c r="C113" s="218"/>
      <c r="D113" s="268"/>
      <c r="E113" s="1308"/>
      <c r="G113" s="310"/>
      <c r="H113" s="309"/>
      <c r="I113" s="309"/>
    </row>
    <row r="114" spans="1:9">
      <c r="A114" s="27" t="s">
        <v>123</v>
      </c>
      <c r="B114" s="218">
        <f>'[24]CBK-PR4-4'!$K$14-'[24]CBK-PR4-4'!$K$16</f>
        <v>6560484.7647599988</v>
      </c>
      <c r="C114" s="218">
        <f>[4]EBKL!$B114</f>
        <v>5599798.3554299986</v>
      </c>
      <c r="D114" s="218">
        <f>B114-C114</f>
        <v>960686.40933000017</v>
      </c>
      <c r="E114" s="1306">
        <f>D114/C114</f>
        <v>0.17155732195221712</v>
      </c>
      <c r="H114" s="309"/>
      <c r="I114" s="309"/>
    </row>
    <row r="115" spans="1:9">
      <c r="A115" s="27" t="s">
        <v>124</v>
      </c>
      <c r="B115" s="218">
        <f>'[24]CBK-PR4-4'!$K$16</f>
        <v>8446310.6924700234</v>
      </c>
      <c r="C115" s="218">
        <f>[4]EBKL!$B115</f>
        <v>7143583.973179982</v>
      </c>
      <c r="D115" s="218">
        <f>B115-C115</f>
        <v>1302726.7192900414</v>
      </c>
      <c r="E115" s="1306">
        <f>D115/C115</f>
        <v>0.18236318410772873</v>
      </c>
      <c r="H115" s="309"/>
      <c r="I115" s="309"/>
    </row>
    <row r="116" spans="1:9" s="105" customFormat="1">
      <c r="A116" s="801" t="s">
        <v>570</v>
      </c>
      <c r="B116" s="802">
        <f>SUM(B114:B115)</f>
        <v>15006795.457230022</v>
      </c>
      <c r="C116" s="802">
        <f>[4]EBKL!$B116</f>
        <v>12743382.328609981</v>
      </c>
      <c r="D116" s="802">
        <f>SUM(D114:D115)</f>
        <v>2263413.1286200415</v>
      </c>
      <c r="E116" s="1307">
        <f>D116/C116</f>
        <v>0.17761478626741709</v>
      </c>
      <c r="G116" s="314"/>
      <c r="H116" s="309"/>
      <c r="I116" s="309"/>
    </row>
    <row r="117" spans="1:9">
      <c r="A117" s="27"/>
      <c r="B117" s="218"/>
      <c r="C117" s="218"/>
      <c r="D117" s="218"/>
      <c r="E117" s="1306"/>
      <c r="H117" s="309"/>
      <c r="I117" s="309"/>
    </row>
    <row r="118" spans="1:9" s="105" customFormat="1">
      <c r="A118" s="31" t="s">
        <v>126</v>
      </c>
      <c r="B118" s="800"/>
      <c r="C118" s="800"/>
      <c r="D118" s="800"/>
      <c r="E118" s="1305"/>
      <c r="G118" s="314"/>
      <c r="H118" s="309"/>
      <c r="I118" s="309"/>
    </row>
    <row r="119" spans="1:9">
      <c r="A119" s="27" t="s">
        <v>563</v>
      </c>
      <c r="B119" s="218">
        <f>'[8]CBK-Format PUBLISHED'!$BI$126</f>
        <v>143639065.34599915</v>
      </c>
      <c r="C119" s="218">
        <f>[4]EBKL!$B119</f>
        <v>65173684.452665284</v>
      </c>
      <c r="D119" s="218">
        <f>B119-C119</f>
        <v>78465380.893333867</v>
      </c>
      <c r="E119" s="1306">
        <f>D119/C119</f>
        <v>1.2039426887139111</v>
      </c>
      <c r="H119" s="309"/>
      <c r="I119" s="309"/>
    </row>
    <row r="120" spans="1:9">
      <c r="A120" s="27" t="s">
        <v>560</v>
      </c>
      <c r="B120" s="218">
        <f>'[8]CBK-Format PUBLISHED'!$BI$127</f>
        <v>12409656.180270001</v>
      </c>
      <c r="C120" s="218">
        <f>[4]EBKL!$B120</f>
        <v>26943539.536317699</v>
      </c>
      <c r="D120" s="218">
        <f>B120-C120</f>
        <v>-14533883.356047697</v>
      </c>
      <c r="E120" s="1306">
        <f>D120/C120</f>
        <v>-0.53941997251167406</v>
      </c>
      <c r="H120" s="309"/>
      <c r="I120" s="309"/>
    </row>
    <row r="121" spans="1:9">
      <c r="A121" s="27" t="s">
        <v>561</v>
      </c>
      <c r="B121" s="218">
        <f>'[8]CBK-Format PUBLISHED'!AD$128</f>
        <v>0</v>
      </c>
      <c r="C121" s="218">
        <v>0</v>
      </c>
      <c r="D121" s="218">
        <f>B121-C121</f>
        <v>0</v>
      </c>
      <c r="E121" s="1306">
        <v>0</v>
      </c>
      <c r="H121" s="309"/>
      <c r="I121" s="309"/>
    </row>
    <row r="122" spans="1:9" s="105" customFormat="1">
      <c r="A122" s="801" t="s">
        <v>562</v>
      </c>
      <c r="B122" s="802">
        <f>SUM(B119:B121)</f>
        <v>156048721.52626914</v>
      </c>
      <c r="C122" s="802">
        <f>SUM(C119:C121)</f>
        <v>92117223.988982975</v>
      </c>
      <c r="D122" s="802">
        <f>SUM(D119:D121)</f>
        <v>63931497.53728617</v>
      </c>
      <c r="E122" s="1307">
        <f>D122/C122</f>
        <v>0.69402327565724564</v>
      </c>
      <c r="G122" s="314"/>
      <c r="H122" s="309"/>
      <c r="I122" s="309"/>
    </row>
    <row r="123" spans="1:9">
      <c r="A123" s="27"/>
      <c r="B123" s="218"/>
      <c r="C123" s="218"/>
      <c r="D123" s="218"/>
      <c r="E123" s="1306"/>
      <c r="H123" s="309"/>
      <c r="I123" s="309"/>
    </row>
    <row r="124" spans="1:9" s="105" customFormat="1">
      <c r="A124" s="31" t="s">
        <v>130</v>
      </c>
      <c r="B124" s="800"/>
      <c r="C124" s="800"/>
      <c r="D124" s="800"/>
      <c r="E124" s="1305"/>
      <c r="G124" s="314"/>
      <c r="H124" s="309"/>
      <c r="I124" s="309"/>
    </row>
    <row r="125" spans="1:9" s="105" customFormat="1">
      <c r="A125" s="31" t="s">
        <v>571</v>
      </c>
      <c r="B125" s="800">
        <f>'[8]CBK-Format PUBLISHED'!$BI$132</f>
        <v>125376187.82420757</v>
      </c>
      <c r="C125" s="800">
        <f>[4]EBKL!$B125</f>
        <v>91424992.922119364</v>
      </c>
      <c r="D125" s="800">
        <f>B125-C125</f>
        <v>33951194.90208821</v>
      </c>
      <c r="E125" s="1305">
        <f>D125/C125</f>
        <v>0.37135572907300773</v>
      </c>
      <c r="G125" s="314"/>
      <c r="H125" s="309"/>
      <c r="I125" s="309"/>
    </row>
    <row r="126" spans="1:9">
      <c r="A126" s="27" t="s">
        <v>132</v>
      </c>
      <c r="B126" s="218">
        <f>'[8]CBK-Format PUBLISHED'!AY$133</f>
        <v>1000000</v>
      </c>
      <c r="C126" s="218">
        <f>[4]EBKL!$B126</f>
        <v>1000000</v>
      </c>
      <c r="D126" s="218"/>
      <c r="E126" s="1306"/>
      <c r="G126" s="307"/>
      <c r="H126" s="309"/>
      <c r="I126" s="309"/>
    </row>
    <row r="127" spans="1:9" s="105" customFormat="1">
      <c r="A127" s="801" t="s">
        <v>509</v>
      </c>
      <c r="B127" s="802">
        <f>B125-B126</f>
        <v>124376187.82420757</v>
      </c>
      <c r="C127" s="802">
        <f>C125-C126</f>
        <v>90424992.922119364</v>
      </c>
      <c r="D127" s="802">
        <f>D125-D126</f>
        <v>33951194.90208821</v>
      </c>
      <c r="E127" s="1307">
        <f>D127/C127</f>
        <v>0.37546251102645339</v>
      </c>
      <c r="G127" s="429"/>
      <c r="H127" s="309"/>
      <c r="I127" s="309"/>
    </row>
    <row r="128" spans="1:9">
      <c r="A128" s="27" t="s">
        <v>134</v>
      </c>
      <c r="B128" s="218">
        <f>'[8]CBK-Format PUBLISHED'!$BI$135</f>
        <v>39229479.452054791</v>
      </c>
      <c r="C128" s="218">
        <f>[4]EBKL!$B128</f>
        <v>38051170.547945209</v>
      </c>
      <c r="D128" s="218">
        <f>B128-C128</f>
        <v>1178308.9041095823</v>
      </c>
      <c r="E128" s="1306">
        <f>D128/C128</f>
        <v>3.0966429866458124E-2</v>
      </c>
      <c r="G128" s="311"/>
      <c r="H128" s="309"/>
      <c r="I128" s="309"/>
    </row>
    <row r="129" spans="1:9" s="105" customFormat="1">
      <c r="A129" s="801" t="s">
        <v>572</v>
      </c>
      <c r="B129" s="802">
        <f>B125+B128</f>
        <v>164605667.27626237</v>
      </c>
      <c r="C129" s="802">
        <f>[4]EBKL!$B129</f>
        <v>129476163.47006458</v>
      </c>
      <c r="D129" s="802">
        <f>D127+D128</f>
        <v>35129503.806197792</v>
      </c>
      <c r="E129" s="1307">
        <f>D129/C129</f>
        <v>0.2713202404573864</v>
      </c>
      <c r="G129" s="307"/>
      <c r="H129" s="309"/>
      <c r="I129" s="309"/>
    </row>
    <row r="130" spans="1:9" s="105" customFormat="1">
      <c r="A130" s="801" t="s">
        <v>573</v>
      </c>
      <c r="B130" s="802">
        <f>'[8]CBK-Format PUBLISHED'!$BI$137</f>
        <v>818250190.96557868</v>
      </c>
      <c r="C130" s="802">
        <f>[4]EBKL!$B130</f>
        <v>717025526.9283613</v>
      </c>
      <c r="D130" s="802">
        <f>B130-C130</f>
        <v>101224664.03721738</v>
      </c>
      <c r="E130" s="1307">
        <f>D130/C130</f>
        <v>0.14117302695044892</v>
      </c>
      <c r="G130" s="803"/>
      <c r="H130" s="309"/>
      <c r="I130" s="309"/>
    </row>
    <row r="131" spans="1:9">
      <c r="A131" s="31" t="s">
        <v>137</v>
      </c>
      <c r="B131" s="218"/>
      <c r="C131" s="218"/>
      <c r="D131" s="268"/>
      <c r="E131" s="1308"/>
      <c r="G131" s="309"/>
      <c r="H131" s="309"/>
      <c r="I131" s="309"/>
    </row>
    <row r="132" spans="1:9" s="105" customFormat="1">
      <c r="A132" s="31" t="s">
        <v>582</v>
      </c>
      <c r="B132" s="799">
        <f>'[8]CBK-Format PUBLISHED'!$BI$139</f>
        <v>0.18909426549594949</v>
      </c>
      <c r="C132" s="799">
        <f>[4]EBKL!$B132</f>
        <v>0.15446297766126832</v>
      </c>
      <c r="D132" s="799">
        <f>B132-C132</f>
        <v>3.4631287834681168E-2</v>
      </c>
      <c r="E132" s="1305">
        <f>D132/C132</f>
        <v>0.22420445571511849</v>
      </c>
      <c r="G132" s="314"/>
      <c r="H132" s="925"/>
      <c r="I132" s="925"/>
    </row>
    <row r="133" spans="1:9">
      <c r="A133" s="27" t="s">
        <v>139</v>
      </c>
      <c r="B133" s="373">
        <v>0.08</v>
      </c>
      <c r="C133" s="373">
        <v>0.08</v>
      </c>
      <c r="D133" s="117"/>
      <c r="E133" s="1306"/>
      <c r="H133" s="925"/>
      <c r="I133" s="925"/>
    </row>
    <row r="134" spans="1:9" s="105" customFormat="1">
      <c r="A134" s="31" t="s">
        <v>507</v>
      </c>
      <c r="B134" s="799">
        <f>B132-B133</f>
        <v>0.10909426549594949</v>
      </c>
      <c r="C134" s="799">
        <f>C132-C133</f>
        <v>7.4462977661268318E-2</v>
      </c>
      <c r="D134" s="799">
        <f>B134-C134</f>
        <v>3.4631287834681168E-2</v>
      </c>
      <c r="E134" s="1305">
        <f>D134/C134</f>
        <v>0.46508062022739283</v>
      </c>
      <c r="G134" s="314"/>
      <c r="H134" s="925"/>
      <c r="I134" s="925"/>
    </row>
    <row r="135" spans="1:9" s="105" customFormat="1">
      <c r="A135" s="31" t="s">
        <v>574</v>
      </c>
      <c r="B135" s="799">
        <f>'[8]CBK-Format PUBLISHED'!$BI$142</f>
        <v>0.15322475840336439</v>
      </c>
      <c r="C135" s="799">
        <f>[4]EBKL!$B135</f>
        <v>0.1275059108617394</v>
      </c>
      <c r="D135" s="799">
        <f>B135-C135</f>
        <v>2.5718847541624984E-2</v>
      </c>
      <c r="E135" s="1305">
        <f>D135/C135</f>
        <v>0.20170710022622504</v>
      </c>
      <c r="G135" s="314"/>
      <c r="H135" s="925"/>
      <c r="I135" s="925"/>
    </row>
    <row r="136" spans="1:9">
      <c r="A136" s="27" t="s">
        <v>575</v>
      </c>
      <c r="B136" s="373">
        <v>0.105</v>
      </c>
      <c r="C136" s="373">
        <f>[4]EBKL!$B136</f>
        <v>0.105</v>
      </c>
      <c r="D136" s="117"/>
      <c r="E136" s="1306"/>
      <c r="H136" s="925"/>
      <c r="I136" s="925"/>
    </row>
    <row r="137" spans="1:9" s="105" customFormat="1">
      <c r="A137" s="31" t="s">
        <v>506</v>
      </c>
      <c r="B137" s="799">
        <f>B135-B136</f>
        <v>4.822475840336439E-2</v>
      </c>
      <c r="C137" s="799">
        <f>[4]EBKL!$B137</f>
        <v>2.2505910861739406E-2</v>
      </c>
      <c r="D137" s="799">
        <f>B137-C137</f>
        <v>2.5718847541624984E-2</v>
      </c>
      <c r="E137" s="1305">
        <f>D137/C137</f>
        <v>1.1427596820952335</v>
      </c>
      <c r="G137" s="314"/>
      <c r="H137" s="925"/>
      <c r="I137" s="925"/>
    </row>
    <row r="138" spans="1:9" s="105" customFormat="1">
      <c r="A138" s="31" t="s">
        <v>581</v>
      </c>
      <c r="B138" s="799">
        <f>'[8]CBK-Format PUBLISHED'!$BI$145</f>
        <v>0.20116789350457584</v>
      </c>
      <c r="C138" s="799">
        <f>[4]EBKL!$B138</f>
        <v>0.18057399438025959</v>
      </c>
      <c r="D138" s="799">
        <f>B138-C138</f>
        <v>2.0593899124316251E-2</v>
      </c>
      <c r="E138" s="1305">
        <f>D138/C138</f>
        <v>0.11404687145009837</v>
      </c>
      <c r="G138" s="314"/>
      <c r="H138" s="925"/>
      <c r="I138" s="925"/>
    </row>
    <row r="139" spans="1:9">
      <c r="A139" s="27" t="s">
        <v>576</v>
      </c>
      <c r="B139" s="373">
        <v>0.14499999999999999</v>
      </c>
      <c r="C139" s="373">
        <f>[4]EBKL!$B139</f>
        <v>0.14499999999999999</v>
      </c>
      <c r="D139" s="117"/>
      <c r="E139" s="1306"/>
      <c r="H139" s="925"/>
      <c r="I139" s="925"/>
    </row>
    <row r="140" spans="1:9" s="105" customFormat="1">
      <c r="A140" s="31" t="s">
        <v>505</v>
      </c>
      <c r="B140" s="799">
        <f>B138-B139</f>
        <v>5.616789350457585E-2</v>
      </c>
      <c r="C140" s="799">
        <f>[4]EBKL!$B140</f>
        <v>3.5573994380259599E-2</v>
      </c>
      <c r="D140" s="799">
        <f>B140-C140</f>
        <v>2.0593899124316251E-2</v>
      </c>
      <c r="E140" s="1305">
        <f>D140/C140</f>
        <v>0.57890319833591786</v>
      </c>
      <c r="G140" s="314"/>
      <c r="H140" s="925"/>
      <c r="I140" s="925"/>
    </row>
    <row r="141" spans="1:9">
      <c r="A141" s="27"/>
      <c r="B141" s="373"/>
      <c r="C141" s="373"/>
      <c r="D141" s="885"/>
      <c r="E141" s="1306"/>
      <c r="H141" s="925"/>
      <c r="I141" s="925"/>
    </row>
    <row r="142" spans="1:9" s="105" customFormat="1">
      <c r="A142" s="31" t="s">
        <v>147</v>
      </c>
      <c r="B142" s="799"/>
      <c r="C142" s="799"/>
      <c r="D142" s="886"/>
      <c r="E142" s="1305"/>
      <c r="G142" s="314"/>
      <c r="H142" s="925"/>
      <c r="I142" s="925"/>
    </row>
    <row r="143" spans="1:9" s="105" customFormat="1">
      <c r="A143" s="31" t="s">
        <v>577</v>
      </c>
      <c r="B143" s="799">
        <f>'[25]CBK PR5-2'!$C$91</f>
        <v>0.60050407419067608</v>
      </c>
      <c r="C143" s="799">
        <f>[4]EBKL!$B143</f>
        <v>0.66876520139299023</v>
      </c>
      <c r="D143" s="799">
        <f>B143-C143</f>
        <v>-6.8261127202314142E-2</v>
      </c>
      <c r="E143" s="1305">
        <f>D143/C143</f>
        <v>-0.10207039340583374</v>
      </c>
      <c r="G143" s="856"/>
      <c r="H143" s="925"/>
      <c r="I143" s="925"/>
    </row>
    <row r="144" spans="1:9">
      <c r="A144" s="27" t="s">
        <v>578</v>
      </c>
      <c r="B144" s="373">
        <v>0.2</v>
      </c>
      <c r="C144" s="373">
        <f>[4]EBKL!$B144</f>
        <v>0.2</v>
      </c>
      <c r="D144" s="117"/>
      <c r="E144" s="1306"/>
      <c r="H144" s="925"/>
      <c r="I144" s="925"/>
    </row>
    <row r="145" spans="1:9" s="105" customFormat="1" ht="13.5" thickBot="1">
      <c r="A145" s="400" t="s">
        <v>508</v>
      </c>
      <c r="B145" s="804">
        <f>B143-B144</f>
        <v>0.40050407419067607</v>
      </c>
      <c r="C145" s="804">
        <f>[4]EBKL!$B145</f>
        <v>0.46876520139299022</v>
      </c>
      <c r="D145" s="804">
        <f>B145-C145</f>
        <v>-6.8261127202314142E-2</v>
      </c>
      <c r="E145" s="1309">
        <f>D145/C145</f>
        <v>-0.14561901565958454</v>
      </c>
      <c r="G145" s="314"/>
      <c r="H145" s="925"/>
      <c r="I145" s="925"/>
    </row>
    <row r="146" spans="1:9">
      <c r="A146" s="102"/>
      <c r="B146" s="102"/>
      <c r="C146" s="103"/>
      <c r="D146" s="102"/>
      <c r="E146" s="102"/>
    </row>
    <row r="147" spans="1:9">
      <c r="A147" s="102"/>
      <c r="B147" s="143"/>
      <c r="C147" s="102"/>
      <c r="D147" s="102"/>
      <c r="E147" s="102"/>
    </row>
    <row r="148" spans="1:9">
      <c r="A148" s="102"/>
      <c r="B148" s="388"/>
      <c r="C148" s="103"/>
      <c r="D148" s="102"/>
      <c r="E148" s="102"/>
    </row>
    <row r="149" spans="1:9">
      <c r="A149" s="102"/>
      <c r="B149" s="102"/>
      <c r="C149" s="102"/>
      <c r="D149" s="102"/>
      <c r="E149" s="102"/>
    </row>
    <row r="150" spans="1:9">
      <c r="A150" s="102"/>
      <c r="B150" s="102"/>
      <c r="C150" s="102"/>
      <c r="D150" s="102"/>
      <c r="E150" s="102"/>
    </row>
    <row r="151" spans="1:9">
      <c r="A151" s="102"/>
      <c r="B151" s="102"/>
      <c r="C151" s="102"/>
      <c r="D151" s="102"/>
      <c r="E151" s="102"/>
    </row>
    <row r="152" spans="1:9">
      <c r="A152" s="102"/>
      <c r="B152" s="102"/>
      <c r="C152" s="102"/>
      <c r="D152" s="102"/>
      <c r="E152" s="102"/>
    </row>
    <row r="153" spans="1:9">
      <c r="A153" s="102"/>
      <c r="B153" s="102"/>
      <c r="C153" s="102"/>
      <c r="D153" s="102"/>
      <c r="E153" s="102"/>
    </row>
    <row r="154" spans="1:9">
      <c r="A154" s="102"/>
      <c r="B154" s="102"/>
      <c r="C154" s="102"/>
      <c r="D154" s="102"/>
      <c r="E154" s="102"/>
    </row>
    <row r="155" spans="1:9">
      <c r="A155" s="102"/>
      <c r="B155" s="102"/>
      <c r="C155" s="102"/>
      <c r="D155" s="102"/>
      <c r="E155" s="102"/>
    </row>
    <row r="156" spans="1:9">
      <c r="A156" s="102"/>
      <c r="B156" s="102"/>
      <c r="C156" s="102"/>
      <c r="D156" s="102"/>
      <c r="E156" s="102"/>
    </row>
    <row r="157" spans="1:9">
      <c r="A157" s="102"/>
      <c r="B157" s="102"/>
      <c r="C157" s="102"/>
      <c r="D157" s="102"/>
      <c r="E157" s="102"/>
    </row>
    <row r="158" spans="1:9">
      <c r="A158" s="102"/>
      <c r="B158" s="102"/>
      <c r="C158" s="102"/>
      <c r="D158" s="102"/>
      <c r="E158" s="102"/>
    </row>
    <row r="159" spans="1:9">
      <c r="A159" s="102"/>
      <c r="B159" s="102"/>
      <c r="C159" s="102"/>
      <c r="D159" s="102"/>
      <c r="E159" s="102"/>
    </row>
    <row r="160" spans="1:9">
      <c r="A160" s="102"/>
      <c r="B160" s="102"/>
      <c r="C160" s="102"/>
      <c r="D160" s="102"/>
      <c r="E160" s="102"/>
    </row>
    <row r="161" spans="1:5">
      <c r="A161" s="102"/>
      <c r="B161" s="102"/>
      <c r="C161" s="102"/>
      <c r="D161" s="102"/>
      <c r="E161" s="102"/>
    </row>
    <row r="162" spans="1:5">
      <c r="A162" s="102"/>
      <c r="B162" s="102"/>
      <c r="C162" s="102"/>
      <c r="D162" s="102"/>
      <c r="E162" s="102"/>
    </row>
    <row r="163" spans="1:5">
      <c r="A163" s="102"/>
      <c r="B163" s="102"/>
      <c r="C163" s="102"/>
      <c r="D163" s="102"/>
      <c r="E163" s="102"/>
    </row>
    <row r="164" spans="1:5">
      <c r="A164" s="102"/>
      <c r="B164" s="102"/>
      <c r="C164" s="102"/>
      <c r="D164" s="102"/>
      <c r="E164" s="102"/>
    </row>
    <row r="165" spans="1:5">
      <c r="A165" s="102"/>
      <c r="B165" s="102"/>
      <c r="C165" s="102"/>
      <c r="D165" s="102"/>
      <c r="E165" s="102"/>
    </row>
    <row r="166" spans="1:5">
      <c r="A166" s="102"/>
      <c r="B166" s="102"/>
      <c r="C166" s="102"/>
      <c r="D166" s="102"/>
      <c r="E166" s="102"/>
    </row>
    <row r="167" spans="1:5">
      <c r="A167" s="102"/>
      <c r="B167" s="102"/>
      <c r="C167" s="102"/>
      <c r="D167" s="102"/>
      <c r="E167" s="102"/>
    </row>
    <row r="168" spans="1:5">
      <c r="A168" s="102"/>
      <c r="B168" s="102"/>
      <c r="C168" s="102"/>
      <c r="D168" s="102"/>
      <c r="E168" s="102"/>
    </row>
    <row r="169" spans="1:5">
      <c r="A169" s="102"/>
      <c r="B169" s="102"/>
      <c r="C169" s="102"/>
      <c r="D169" s="102"/>
      <c r="E169" s="102"/>
    </row>
    <row r="170" spans="1:5">
      <c r="A170" s="102"/>
      <c r="B170" s="102"/>
      <c r="C170" s="102"/>
      <c r="D170" s="102"/>
      <c r="E170" s="102"/>
    </row>
    <row r="171" spans="1:5">
      <c r="A171" s="102"/>
      <c r="B171" s="102"/>
      <c r="C171" s="102"/>
      <c r="D171" s="102"/>
      <c r="E171" s="102"/>
    </row>
    <row r="172" spans="1:5">
      <c r="A172" s="102"/>
      <c r="B172" s="102"/>
      <c r="C172" s="102"/>
      <c r="D172" s="102"/>
      <c r="E172" s="102"/>
    </row>
    <row r="173" spans="1:5">
      <c r="A173" s="102"/>
      <c r="B173" s="102"/>
      <c r="C173" s="102"/>
      <c r="D173" s="102"/>
      <c r="E173" s="102"/>
    </row>
    <row r="174" spans="1:5">
      <c r="A174" s="102"/>
      <c r="B174" s="102"/>
      <c r="C174" s="102"/>
      <c r="D174" s="102"/>
      <c r="E174" s="102"/>
    </row>
    <row r="175" spans="1:5">
      <c r="A175" s="102"/>
      <c r="B175" s="102"/>
      <c r="C175" s="102"/>
      <c r="D175" s="102"/>
      <c r="E175" s="102"/>
    </row>
    <row r="176" spans="1:5">
      <c r="A176" s="102"/>
      <c r="B176" s="102"/>
      <c r="C176" s="102"/>
      <c r="D176" s="102"/>
      <c r="E176" s="102"/>
    </row>
    <row r="177" spans="1:5">
      <c r="A177" s="102"/>
      <c r="B177" s="102"/>
      <c r="C177" s="102"/>
      <c r="D177" s="102"/>
      <c r="E177" s="102"/>
    </row>
    <row r="178" spans="1:5">
      <c r="A178" s="102"/>
      <c r="B178" s="102"/>
      <c r="C178" s="102"/>
      <c r="D178" s="102"/>
      <c r="E178" s="102"/>
    </row>
    <row r="179" spans="1:5">
      <c r="A179" s="102"/>
      <c r="B179" s="102"/>
      <c r="C179" s="102"/>
      <c r="D179" s="102"/>
      <c r="E179" s="102"/>
    </row>
    <row r="180" spans="1:5">
      <c r="A180" s="102"/>
      <c r="B180" s="102"/>
      <c r="C180" s="102"/>
      <c r="D180" s="102"/>
      <c r="E180" s="102"/>
    </row>
    <row r="181" spans="1:5">
      <c r="A181" s="102"/>
      <c r="B181" s="102"/>
      <c r="C181" s="102"/>
      <c r="D181" s="102"/>
      <c r="E181" s="102"/>
    </row>
    <row r="182" spans="1:5">
      <c r="A182" s="102"/>
      <c r="B182" s="102"/>
      <c r="C182" s="102"/>
      <c r="D182" s="102"/>
      <c r="E182" s="102"/>
    </row>
    <row r="183" spans="1:5">
      <c r="A183" s="102"/>
      <c r="B183" s="102"/>
      <c r="C183" s="102"/>
      <c r="D183" s="102"/>
      <c r="E183" s="102"/>
    </row>
    <row r="184" spans="1:5">
      <c r="A184" s="102"/>
      <c r="B184" s="102"/>
      <c r="C184" s="102"/>
      <c r="D184" s="102"/>
      <c r="E184" s="102"/>
    </row>
    <row r="185" spans="1:5">
      <c r="A185" s="102"/>
      <c r="B185" s="102"/>
      <c r="C185" s="102"/>
      <c r="D185" s="102"/>
      <c r="E185" s="102"/>
    </row>
    <row r="186" spans="1:5">
      <c r="A186" s="102"/>
      <c r="B186" s="102"/>
      <c r="C186" s="102"/>
      <c r="D186" s="102"/>
      <c r="E186" s="102"/>
    </row>
    <row r="187" spans="1:5">
      <c r="A187" s="102"/>
      <c r="B187" s="102"/>
      <c r="C187" s="102"/>
      <c r="D187" s="102"/>
      <c r="E187" s="102"/>
    </row>
    <row r="188" spans="1:5">
      <c r="A188" s="102"/>
      <c r="B188" s="102"/>
      <c r="C188" s="102"/>
      <c r="D188" s="102"/>
      <c r="E188" s="102"/>
    </row>
    <row r="189" spans="1:5">
      <c r="A189" s="102"/>
      <c r="B189" s="102"/>
      <c r="C189" s="102"/>
      <c r="D189" s="102"/>
      <c r="E189" s="102"/>
    </row>
    <row r="190" spans="1:5">
      <c r="A190" s="102"/>
      <c r="B190" s="102"/>
      <c r="C190" s="102"/>
      <c r="D190" s="102"/>
      <c r="E190" s="102"/>
    </row>
    <row r="191" spans="1:5">
      <c r="A191" s="102"/>
      <c r="B191" s="102"/>
      <c r="C191" s="102"/>
      <c r="D191" s="102"/>
      <c r="E191" s="102"/>
    </row>
    <row r="192" spans="1:5">
      <c r="A192" s="102"/>
      <c r="B192" s="102"/>
      <c r="C192" s="102"/>
      <c r="D192" s="102"/>
      <c r="E192" s="102"/>
    </row>
    <row r="193" spans="1:5">
      <c r="A193" s="102"/>
      <c r="B193" s="102"/>
      <c r="C193" s="102"/>
      <c r="D193" s="102"/>
      <c r="E193" s="102"/>
    </row>
    <row r="194" spans="1:5">
      <c r="A194" s="102"/>
      <c r="B194" s="102"/>
      <c r="C194" s="102"/>
      <c r="D194" s="102"/>
      <c r="E194" s="102"/>
    </row>
    <row r="195" spans="1:5">
      <c r="A195" s="102"/>
      <c r="B195" s="102"/>
      <c r="C195" s="102"/>
      <c r="D195" s="102"/>
      <c r="E195" s="102"/>
    </row>
    <row r="196" spans="1:5">
      <c r="A196" s="102"/>
      <c r="B196" s="102"/>
      <c r="C196" s="102"/>
      <c r="D196" s="102"/>
      <c r="E196" s="102"/>
    </row>
    <row r="197" spans="1:5">
      <c r="A197" s="102"/>
      <c r="B197" s="102"/>
      <c r="C197" s="102"/>
      <c r="D197" s="102"/>
      <c r="E197" s="102"/>
    </row>
    <row r="198" spans="1:5">
      <c r="A198" s="102"/>
      <c r="B198" s="102"/>
      <c r="C198" s="102"/>
      <c r="D198" s="102"/>
      <c r="E198" s="102"/>
    </row>
    <row r="199" spans="1:5">
      <c r="A199" s="102"/>
      <c r="B199" s="102"/>
      <c r="C199" s="102"/>
      <c r="D199" s="102"/>
      <c r="E199" s="102"/>
    </row>
    <row r="200" spans="1:5">
      <c r="A200" s="102"/>
      <c r="B200" s="102"/>
      <c r="C200" s="102"/>
      <c r="D200" s="102"/>
      <c r="E200" s="102"/>
    </row>
    <row r="201" spans="1:5">
      <c r="A201" s="102"/>
      <c r="B201" s="102"/>
      <c r="C201" s="102"/>
      <c r="D201" s="102"/>
      <c r="E201" s="102"/>
    </row>
    <row r="202" spans="1:5">
      <c r="A202" s="102"/>
      <c r="B202" s="102"/>
      <c r="C202" s="102"/>
      <c r="D202" s="102"/>
      <c r="E202" s="102"/>
    </row>
    <row r="203" spans="1:5">
      <c r="A203" s="102"/>
      <c r="B203" s="102"/>
      <c r="C203" s="102"/>
      <c r="D203" s="102"/>
      <c r="E203" s="102"/>
    </row>
    <row r="204" spans="1:5">
      <c r="A204" s="102"/>
      <c r="B204" s="102"/>
      <c r="C204" s="102"/>
      <c r="D204" s="102"/>
      <c r="E204" s="102"/>
    </row>
    <row r="205" spans="1:5">
      <c r="A205" s="102"/>
      <c r="B205" s="102"/>
      <c r="C205" s="102"/>
      <c r="D205" s="102"/>
      <c r="E205" s="102"/>
    </row>
    <row r="206" spans="1:5">
      <c r="A206" s="102"/>
      <c r="B206" s="102"/>
      <c r="C206" s="102"/>
      <c r="D206" s="102"/>
      <c r="E206" s="102"/>
    </row>
    <row r="207" spans="1:5">
      <c r="A207" s="102"/>
      <c r="B207" s="102"/>
      <c r="C207" s="102"/>
      <c r="D207" s="102"/>
      <c r="E207" s="102"/>
    </row>
    <row r="208" spans="1:5">
      <c r="A208" s="102"/>
      <c r="B208" s="102"/>
      <c r="C208" s="102"/>
      <c r="D208" s="102"/>
      <c r="E208" s="102"/>
    </row>
    <row r="209" spans="1:5">
      <c r="A209" s="102"/>
      <c r="B209" s="102"/>
      <c r="C209" s="102"/>
      <c r="D209" s="102"/>
      <c r="E209" s="102"/>
    </row>
    <row r="210" spans="1:5">
      <c r="A210" s="102"/>
      <c r="B210" s="102"/>
      <c r="C210" s="102"/>
      <c r="D210" s="102"/>
      <c r="E210" s="102"/>
    </row>
    <row r="211" spans="1:5">
      <c r="A211" s="102"/>
      <c r="B211" s="102"/>
      <c r="C211" s="102"/>
      <c r="D211" s="102"/>
      <c r="E211" s="102"/>
    </row>
    <row r="212" spans="1:5">
      <c r="A212" s="102"/>
      <c r="B212" s="102"/>
      <c r="C212" s="102"/>
      <c r="D212" s="102"/>
      <c r="E212" s="102"/>
    </row>
    <row r="213" spans="1:5">
      <c r="A213" s="102"/>
      <c r="B213" s="102"/>
      <c r="C213" s="102"/>
      <c r="D213" s="102"/>
      <c r="E213" s="102"/>
    </row>
    <row r="214" spans="1:5">
      <c r="A214" s="102"/>
      <c r="B214" s="102"/>
      <c r="C214" s="102"/>
      <c r="D214" s="102"/>
      <c r="E214" s="102"/>
    </row>
    <row r="215" spans="1:5">
      <c r="A215" s="102"/>
      <c r="B215" s="102"/>
      <c r="C215" s="102"/>
      <c r="D215" s="102"/>
      <c r="E215" s="102"/>
    </row>
    <row r="216" spans="1:5">
      <c r="A216" s="102"/>
      <c r="B216" s="102"/>
      <c r="C216" s="102"/>
      <c r="D216" s="102"/>
      <c r="E216" s="102"/>
    </row>
    <row r="217" spans="1:5">
      <c r="A217" s="102"/>
      <c r="B217" s="102"/>
      <c r="C217" s="102"/>
      <c r="D217" s="102"/>
      <c r="E217" s="102"/>
    </row>
    <row r="218" spans="1:5">
      <c r="A218" s="102"/>
      <c r="B218" s="102"/>
      <c r="C218" s="102"/>
      <c r="D218" s="102"/>
      <c r="E218" s="102"/>
    </row>
    <row r="219" spans="1:5">
      <c r="A219" s="102"/>
      <c r="B219" s="102"/>
      <c r="C219" s="102"/>
      <c r="D219" s="102"/>
      <c r="E219" s="102"/>
    </row>
    <row r="220" spans="1:5">
      <c r="A220" s="102"/>
      <c r="B220" s="102"/>
      <c r="C220" s="102"/>
      <c r="D220" s="102"/>
      <c r="E220" s="102"/>
    </row>
    <row r="221" spans="1:5">
      <c r="A221" s="102"/>
      <c r="B221" s="102"/>
      <c r="C221" s="102"/>
      <c r="D221" s="102"/>
      <c r="E221" s="102"/>
    </row>
    <row r="222" spans="1:5">
      <c r="A222" s="102"/>
      <c r="B222" s="102"/>
      <c r="C222" s="102"/>
      <c r="D222" s="102"/>
      <c r="E222" s="102"/>
    </row>
    <row r="223" spans="1:5">
      <c r="A223" s="102"/>
      <c r="B223" s="102"/>
      <c r="C223" s="102"/>
      <c r="D223" s="102"/>
      <c r="E223" s="102"/>
    </row>
    <row r="224" spans="1:5">
      <c r="A224" s="102"/>
      <c r="B224" s="102"/>
      <c r="C224" s="102"/>
      <c r="D224" s="102"/>
      <c r="E224" s="102"/>
    </row>
    <row r="225" spans="1:5">
      <c r="A225" s="102"/>
      <c r="B225" s="102"/>
      <c r="C225" s="102"/>
      <c r="D225" s="102"/>
      <c r="E225" s="102"/>
    </row>
    <row r="226" spans="1:5">
      <c r="A226" s="102"/>
      <c r="B226" s="102"/>
      <c r="C226" s="102"/>
      <c r="D226" s="102"/>
      <c r="E226" s="102"/>
    </row>
    <row r="227" spans="1:5">
      <c r="A227" s="102"/>
      <c r="B227" s="102"/>
      <c r="C227" s="102"/>
      <c r="D227" s="102"/>
      <c r="E227" s="102"/>
    </row>
    <row r="228" spans="1:5">
      <c r="A228" s="102"/>
      <c r="B228" s="102"/>
      <c r="C228" s="102"/>
      <c r="D228" s="102"/>
      <c r="E228" s="102"/>
    </row>
    <row r="229" spans="1:5">
      <c r="A229" s="102"/>
      <c r="B229" s="102"/>
      <c r="C229" s="102"/>
      <c r="D229" s="102"/>
      <c r="E229" s="102"/>
    </row>
    <row r="230" spans="1:5">
      <c r="A230" s="102"/>
      <c r="B230" s="102"/>
      <c r="C230" s="102"/>
      <c r="D230" s="102"/>
      <c r="E230" s="102"/>
    </row>
    <row r="231" spans="1:5">
      <c r="A231" s="102"/>
      <c r="B231" s="102"/>
      <c r="C231" s="102"/>
      <c r="D231" s="102"/>
      <c r="E231" s="102"/>
    </row>
    <row r="232" spans="1:5">
      <c r="A232" s="102"/>
      <c r="B232" s="102"/>
      <c r="C232" s="102"/>
      <c r="D232" s="102"/>
      <c r="E232" s="102"/>
    </row>
    <row r="233" spans="1:5">
      <c r="A233" s="102"/>
      <c r="B233" s="102"/>
      <c r="C233" s="102"/>
      <c r="D233" s="102"/>
      <c r="E233" s="102"/>
    </row>
    <row r="234" spans="1:5">
      <c r="A234" s="102"/>
      <c r="B234" s="102"/>
      <c r="C234" s="102"/>
      <c r="D234" s="102"/>
      <c r="E234" s="102"/>
    </row>
    <row r="235" spans="1:5">
      <c r="A235" s="102"/>
      <c r="B235" s="102"/>
      <c r="C235" s="102"/>
      <c r="D235" s="102"/>
      <c r="E235" s="102"/>
    </row>
    <row r="236" spans="1:5">
      <c r="A236" s="102"/>
      <c r="B236" s="102"/>
      <c r="C236" s="102"/>
      <c r="D236" s="102"/>
      <c r="E236" s="102"/>
    </row>
    <row r="237" spans="1:5">
      <c r="A237" s="102"/>
      <c r="B237" s="102"/>
      <c r="C237" s="102"/>
      <c r="D237" s="102"/>
      <c r="E237" s="102"/>
    </row>
    <row r="238" spans="1:5">
      <c r="A238" s="102"/>
      <c r="B238" s="102"/>
      <c r="C238" s="102"/>
      <c r="D238" s="102"/>
      <c r="E238" s="102"/>
    </row>
    <row r="239" spans="1:5">
      <c r="A239" s="102"/>
      <c r="B239" s="102"/>
      <c r="C239" s="102"/>
      <c r="D239" s="102"/>
      <c r="E239" s="102"/>
    </row>
    <row r="240" spans="1:5">
      <c r="A240" s="102"/>
      <c r="B240" s="102"/>
      <c r="C240" s="102"/>
      <c r="D240" s="102"/>
      <c r="E240" s="102"/>
    </row>
    <row r="241" spans="1:5">
      <c r="A241" s="102"/>
      <c r="B241" s="102"/>
      <c r="C241" s="102"/>
      <c r="D241" s="102"/>
      <c r="E241" s="102"/>
    </row>
    <row r="242" spans="1:5">
      <c r="A242" s="102"/>
      <c r="B242" s="102"/>
      <c r="C242" s="102"/>
      <c r="D242" s="102"/>
      <c r="E242" s="102"/>
    </row>
    <row r="243" spans="1:5">
      <c r="A243" s="102"/>
      <c r="B243" s="102"/>
      <c r="C243" s="102"/>
      <c r="D243" s="102"/>
      <c r="E243" s="102"/>
    </row>
    <row r="244" spans="1:5">
      <c r="A244" s="102"/>
      <c r="B244" s="102"/>
      <c r="C244" s="102"/>
      <c r="D244" s="102"/>
      <c r="E244" s="102"/>
    </row>
    <row r="245" spans="1:5">
      <c r="A245" s="102"/>
      <c r="B245" s="102"/>
      <c r="C245" s="102"/>
      <c r="D245" s="102"/>
      <c r="E245" s="102"/>
    </row>
    <row r="246" spans="1:5">
      <c r="A246" s="102"/>
      <c r="B246" s="102"/>
      <c r="C246" s="102"/>
      <c r="D246" s="102"/>
      <c r="E246" s="102"/>
    </row>
    <row r="247" spans="1:5">
      <c r="A247" s="102"/>
      <c r="B247" s="102"/>
      <c r="C247" s="102"/>
      <c r="D247" s="102"/>
      <c r="E247" s="102"/>
    </row>
    <row r="248" spans="1:5">
      <c r="A248" s="102"/>
      <c r="B248" s="102"/>
      <c r="C248" s="102"/>
      <c r="D248" s="102"/>
      <c r="E248" s="102"/>
    </row>
    <row r="249" spans="1:5">
      <c r="A249" s="102"/>
      <c r="B249" s="102"/>
      <c r="C249" s="102"/>
      <c r="D249" s="102"/>
      <c r="E249" s="102"/>
    </row>
    <row r="250" spans="1:5">
      <c r="A250" s="102"/>
      <c r="B250" s="102"/>
      <c r="C250" s="102"/>
      <c r="D250" s="102"/>
      <c r="E250" s="102"/>
    </row>
    <row r="251" spans="1:5">
      <c r="A251" s="102"/>
      <c r="B251" s="102"/>
      <c r="C251" s="102"/>
      <c r="D251" s="102"/>
      <c r="E251" s="102"/>
    </row>
    <row r="252" spans="1:5">
      <c r="A252" s="102"/>
      <c r="B252" s="102"/>
      <c r="C252" s="102"/>
      <c r="D252" s="102"/>
      <c r="E252" s="102"/>
    </row>
    <row r="253" spans="1:5">
      <c r="A253" s="102"/>
      <c r="B253" s="102"/>
      <c r="C253" s="102"/>
      <c r="D253" s="102"/>
      <c r="E253" s="102"/>
    </row>
    <row r="254" spans="1:5">
      <c r="A254" s="102"/>
      <c r="B254" s="102"/>
      <c r="C254" s="102"/>
      <c r="D254" s="102"/>
      <c r="E254" s="102"/>
    </row>
    <row r="255" spans="1:5">
      <c r="A255" s="102"/>
      <c r="B255" s="102"/>
      <c r="C255" s="102"/>
      <c r="D255" s="102"/>
      <c r="E255" s="102"/>
    </row>
    <row r="256" spans="1:5">
      <c r="A256" s="102"/>
      <c r="B256" s="102"/>
      <c r="C256" s="102"/>
      <c r="D256" s="102"/>
      <c r="E256" s="102"/>
    </row>
    <row r="257" spans="1:5">
      <c r="A257" s="102"/>
      <c r="B257" s="102"/>
      <c r="C257" s="102"/>
      <c r="D257" s="102"/>
      <c r="E257" s="102"/>
    </row>
    <row r="258" spans="1:5">
      <c r="A258" s="102"/>
      <c r="B258" s="102"/>
      <c r="C258" s="102"/>
      <c r="D258" s="102"/>
      <c r="E258" s="102"/>
    </row>
    <row r="259" spans="1:5">
      <c r="A259" s="102"/>
      <c r="B259" s="102"/>
      <c r="C259" s="102"/>
      <c r="D259" s="102"/>
      <c r="E259" s="102"/>
    </row>
    <row r="260" spans="1:5">
      <c r="A260" s="102"/>
      <c r="B260" s="102"/>
      <c r="C260" s="102"/>
      <c r="D260" s="102"/>
      <c r="E260" s="102"/>
    </row>
    <row r="261" spans="1:5">
      <c r="A261" s="102"/>
      <c r="B261" s="102"/>
      <c r="C261" s="102"/>
      <c r="D261" s="102"/>
      <c r="E261" s="102"/>
    </row>
    <row r="262" spans="1:5">
      <c r="A262" s="102"/>
      <c r="B262" s="102"/>
      <c r="C262" s="102"/>
      <c r="D262" s="102"/>
      <c r="E262" s="102"/>
    </row>
    <row r="263" spans="1:5">
      <c r="A263" s="102"/>
      <c r="B263" s="102"/>
      <c r="C263" s="102"/>
      <c r="D263" s="102"/>
      <c r="E263" s="102"/>
    </row>
    <row r="264" spans="1:5">
      <c r="A264" s="102"/>
      <c r="B264" s="102"/>
      <c r="C264" s="102"/>
      <c r="D264" s="102"/>
      <c r="E264" s="102"/>
    </row>
    <row r="265" spans="1:5">
      <c r="A265" s="102"/>
      <c r="B265" s="102"/>
      <c r="C265" s="102"/>
      <c r="D265" s="102"/>
      <c r="E265" s="102"/>
    </row>
    <row r="266" spans="1:5">
      <c r="A266" s="102"/>
      <c r="B266" s="102"/>
      <c r="C266" s="102"/>
      <c r="D266" s="102"/>
      <c r="E266" s="102"/>
    </row>
    <row r="267" spans="1:5">
      <c r="A267" s="102"/>
      <c r="B267" s="102"/>
      <c r="C267" s="102"/>
      <c r="D267" s="102"/>
      <c r="E267" s="102"/>
    </row>
    <row r="268" spans="1:5">
      <c r="A268" s="102"/>
      <c r="B268" s="102"/>
      <c r="C268" s="102"/>
      <c r="D268" s="102"/>
      <c r="E268" s="102"/>
    </row>
    <row r="269" spans="1:5">
      <c r="A269" s="102"/>
      <c r="B269" s="102"/>
      <c r="C269" s="102"/>
      <c r="D269" s="102"/>
      <c r="E269" s="102"/>
    </row>
    <row r="270" spans="1:5">
      <c r="A270" s="102"/>
      <c r="B270" s="102"/>
      <c r="C270" s="102"/>
      <c r="D270" s="102"/>
      <c r="E270" s="102"/>
    </row>
    <row r="271" spans="1:5">
      <c r="A271" s="102"/>
      <c r="B271" s="102"/>
      <c r="C271" s="102"/>
      <c r="D271" s="102"/>
      <c r="E271" s="102"/>
    </row>
    <row r="272" spans="1:5">
      <c r="A272" s="102"/>
      <c r="B272" s="102"/>
      <c r="C272" s="102"/>
      <c r="D272" s="102"/>
      <c r="E272" s="102"/>
    </row>
    <row r="273" spans="1:5">
      <c r="A273" s="102"/>
      <c r="B273" s="102"/>
      <c r="C273" s="102"/>
      <c r="D273" s="102"/>
      <c r="E273" s="102"/>
    </row>
    <row r="274" spans="1:5">
      <c r="A274" s="102"/>
      <c r="B274" s="102"/>
      <c r="C274" s="102"/>
      <c r="D274" s="102"/>
      <c r="E274" s="102"/>
    </row>
    <row r="275" spans="1:5">
      <c r="A275" s="102"/>
      <c r="B275" s="102"/>
      <c r="C275" s="102"/>
      <c r="D275" s="102"/>
      <c r="E275" s="102"/>
    </row>
    <row r="276" spans="1:5">
      <c r="A276" s="102"/>
      <c r="B276" s="102"/>
      <c r="C276" s="102"/>
      <c r="D276" s="102"/>
      <c r="E276" s="102"/>
    </row>
    <row r="277" spans="1:5">
      <c r="A277" s="102"/>
      <c r="B277" s="102"/>
      <c r="C277" s="102"/>
      <c r="D277" s="102"/>
      <c r="E277" s="102"/>
    </row>
    <row r="278" spans="1:5">
      <c r="A278" s="102"/>
      <c r="B278" s="102"/>
      <c r="C278" s="102"/>
      <c r="D278" s="102"/>
      <c r="E278" s="102"/>
    </row>
    <row r="279" spans="1:5">
      <c r="A279" s="102"/>
      <c r="B279" s="102"/>
      <c r="C279" s="102"/>
      <c r="D279" s="102"/>
      <c r="E279" s="102"/>
    </row>
    <row r="280" spans="1:5">
      <c r="A280" s="102"/>
      <c r="B280" s="102"/>
      <c r="C280" s="102"/>
      <c r="D280" s="102"/>
      <c r="E280" s="102"/>
    </row>
    <row r="281" spans="1:5">
      <c r="A281" s="102"/>
      <c r="B281" s="102"/>
      <c r="C281" s="102"/>
      <c r="D281" s="102"/>
      <c r="E281" s="102"/>
    </row>
    <row r="282" spans="1:5">
      <c r="A282" s="102"/>
      <c r="B282" s="102"/>
      <c r="C282" s="102"/>
      <c r="D282" s="102"/>
      <c r="E282" s="102"/>
    </row>
    <row r="283" spans="1:5">
      <c r="A283" s="102"/>
      <c r="B283" s="102"/>
      <c r="C283" s="102"/>
      <c r="D283" s="102"/>
      <c r="E283" s="102"/>
    </row>
    <row r="284" spans="1:5">
      <c r="A284" s="102"/>
      <c r="B284" s="102"/>
      <c r="C284" s="102"/>
      <c r="D284" s="102"/>
      <c r="E284" s="102"/>
    </row>
    <row r="285" spans="1:5">
      <c r="A285" s="102"/>
      <c r="B285" s="102"/>
      <c r="C285" s="102"/>
      <c r="D285" s="102"/>
      <c r="E285" s="102"/>
    </row>
    <row r="286" spans="1:5">
      <c r="A286" s="102"/>
      <c r="B286" s="102"/>
      <c r="C286" s="102"/>
      <c r="D286" s="102"/>
      <c r="E286" s="102"/>
    </row>
    <row r="287" spans="1:5">
      <c r="A287" s="102"/>
      <c r="B287" s="102"/>
      <c r="C287" s="102"/>
      <c r="D287" s="102"/>
      <c r="E287" s="102"/>
    </row>
    <row r="288" spans="1:5">
      <c r="A288" s="102"/>
      <c r="B288" s="102"/>
      <c r="C288" s="102"/>
      <c r="D288" s="102"/>
      <c r="E288" s="102"/>
    </row>
  </sheetData>
  <mergeCells count="6">
    <mergeCell ref="D100:D101"/>
    <mergeCell ref="E100:E101"/>
    <mergeCell ref="D2:D3"/>
    <mergeCell ref="E2:E3"/>
    <mergeCell ref="D58:D59"/>
    <mergeCell ref="E58:E59"/>
  </mergeCells>
  <pageMargins left="0.7" right="0.7" top="0.75" bottom="0.75" header="0.3" footer="0.3"/>
  <pageSetup paperSize="8" scale="88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8731-FD2C-4B71-B3A6-D0B80F16DC6A}">
  <dimension ref="B1:J40"/>
  <sheetViews>
    <sheetView workbookViewId="0">
      <selection activeCell="I32" sqref="I32"/>
    </sheetView>
  </sheetViews>
  <sheetFormatPr defaultRowHeight="15"/>
  <cols>
    <col min="3" max="3" width="10.85546875" customWidth="1"/>
    <col min="4" max="4" width="18.28515625" customWidth="1"/>
    <col min="5" max="5" width="15.140625" customWidth="1"/>
    <col min="6" max="6" width="13.85546875" bestFit="1" customWidth="1"/>
    <col min="8" max="8" width="10.5703125" bestFit="1" customWidth="1"/>
    <col min="9" max="9" width="8.140625" bestFit="1" customWidth="1"/>
    <col min="10" max="10" width="7.140625" bestFit="1" customWidth="1"/>
  </cols>
  <sheetData>
    <row r="1" spans="2:6">
      <c r="B1" s="1" t="s">
        <v>870</v>
      </c>
      <c r="C1" s="1"/>
      <c r="D1" s="1"/>
      <c r="E1" s="1"/>
      <c r="F1" s="1"/>
    </row>
    <row r="2" spans="2:6">
      <c r="B2" s="1"/>
      <c r="C2" s="1"/>
      <c r="D2" s="1" t="s">
        <v>591</v>
      </c>
      <c r="E2" s="1"/>
      <c r="F2" s="1"/>
    </row>
    <row r="3" spans="2:6">
      <c r="B3" s="1"/>
      <c r="C3" s="1"/>
      <c r="D3" s="1" t="s">
        <v>176</v>
      </c>
      <c r="E3" s="1" t="s">
        <v>865</v>
      </c>
      <c r="F3" s="1" t="s">
        <v>869</v>
      </c>
    </row>
    <row r="4" spans="2:6">
      <c r="C4" t="s">
        <v>855</v>
      </c>
      <c r="D4" s="642">
        <v>36977</v>
      </c>
      <c r="E4" s="1267">
        <v>0.22500000000000001</v>
      </c>
      <c r="F4" s="642">
        <f>E4*D4</f>
        <v>8319.8250000000007</v>
      </c>
    </row>
    <row r="5" spans="2:6">
      <c r="C5" t="s">
        <v>866</v>
      </c>
      <c r="D5" s="642">
        <v>40272</v>
      </c>
      <c r="E5" s="1267">
        <v>0.159</v>
      </c>
      <c r="F5" s="642">
        <f>E5*(D5-D4)</f>
        <v>523.90499999999997</v>
      </c>
    </row>
    <row r="6" spans="2:6">
      <c r="C6" t="s">
        <v>867</v>
      </c>
      <c r="D6" s="642">
        <v>52128</v>
      </c>
      <c r="E6" s="1267">
        <v>0.15840000000000001</v>
      </c>
      <c r="F6" s="642">
        <f>E6*(D6-D5)</f>
        <v>1877.9904000000001</v>
      </c>
    </row>
    <row r="7" spans="2:6">
      <c r="C7" t="s">
        <v>868</v>
      </c>
      <c r="D7" s="642">
        <f>E_BCDC!B96</f>
        <v>31680.515229834888</v>
      </c>
      <c r="E7" s="1267">
        <v>0.14599999999999999</v>
      </c>
      <c r="F7" s="642">
        <f>E7*(D7-D6)</f>
        <v>-2985.332776444106</v>
      </c>
    </row>
    <row r="8" spans="2:6" ht="15.75" thickBot="1">
      <c r="F8" s="1268">
        <f>SUM(F4:F7)</f>
        <v>7736.3876235558964</v>
      </c>
    </row>
    <row r="14" spans="2:6">
      <c r="B14" t="s">
        <v>887</v>
      </c>
    </row>
    <row r="17" spans="2:10">
      <c r="B17" s="1490" t="s">
        <v>888</v>
      </c>
      <c r="C17" s="1490"/>
      <c r="D17" s="1490"/>
      <c r="E17" s="1490"/>
      <c r="G17" s="1490" t="s">
        <v>888</v>
      </c>
      <c r="H17" s="1490"/>
      <c r="I17" s="1490"/>
      <c r="J17" s="1490"/>
    </row>
    <row r="18" spans="2:10">
      <c r="B18" s="1489"/>
      <c r="C18" s="1489"/>
      <c r="D18" s="1489"/>
      <c r="E18" s="1489"/>
      <c r="G18" s="1489"/>
      <c r="H18" s="1489"/>
      <c r="I18" s="1489"/>
      <c r="J18" s="1489"/>
    </row>
    <row r="19" spans="2:10">
      <c r="B19" s="1489" t="s">
        <v>474</v>
      </c>
      <c r="C19" s="1491">
        <v>1684480</v>
      </c>
      <c r="D19" s="1492">
        <v>0.85448433325335393</v>
      </c>
      <c r="E19" s="1492"/>
      <c r="G19" s="1489" t="s">
        <v>474</v>
      </c>
      <c r="H19" s="1491">
        <v>1684480</v>
      </c>
      <c r="I19" s="1492">
        <v>0.85448433325335393</v>
      </c>
      <c r="J19" s="1492"/>
    </row>
    <row r="20" spans="2:10">
      <c r="B20" s="1489" t="s">
        <v>665</v>
      </c>
      <c r="C20" s="1491">
        <v>240000</v>
      </c>
      <c r="D20" s="1492">
        <v>0.12174453836246495</v>
      </c>
      <c r="E20" s="1492"/>
      <c r="G20" s="1489" t="s">
        <v>665</v>
      </c>
      <c r="H20" s="1491">
        <v>240000</v>
      </c>
      <c r="I20" s="1492">
        <v>0.12174453836246495</v>
      </c>
      <c r="J20" s="1492"/>
    </row>
    <row r="21" spans="2:10">
      <c r="B21" s="1489" t="s">
        <v>580</v>
      </c>
      <c r="C21" s="1491">
        <v>35395</v>
      </c>
      <c r="D21" s="1492">
        <v>1.7954783063914362E-2</v>
      </c>
      <c r="E21" s="1492"/>
      <c r="G21" s="1489" t="s">
        <v>580</v>
      </c>
      <c r="H21" s="1491">
        <v>35395</v>
      </c>
      <c r="I21" s="1492">
        <v>1.7954783063914362E-2</v>
      </c>
      <c r="J21" s="1492"/>
    </row>
    <row r="22" spans="2:10">
      <c r="B22" s="1489" t="s">
        <v>514</v>
      </c>
      <c r="C22" s="1491">
        <v>11466</v>
      </c>
      <c r="D22" s="1492">
        <v>5.8163453202667624E-3</v>
      </c>
      <c r="E22" s="1492">
        <v>0.14551566674664607</v>
      </c>
      <c r="G22" s="1489" t="s">
        <v>514</v>
      </c>
      <c r="H22" s="1491">
        <v>11466</v>
      </c>
      <c r="I22" s="1492">
        <v>5.8163453202667624E-3</v>
      </c>
      <c r="J22" s="1492"/>
    </row>
    <row r="23" spans="2:10">
      <c r="B23" s="1489"/>
      <c r="C23" s="1491">
        <v>1971341</v>
      </c>
      <c r="D23" s="1492">
        <v>1</v>
      </c>
      <c r="E23" s="1492"/>
      <c r="G23" s="1489"/>
      <c r="H23" s="1491">
        <f>SUM(H19:H22)</f>
        <v>1971341</v>
      </c>
      <c r="I23" s="1492"/>
      <c r="J23" s="1492"/>
    </row>
    <row r="25" spans="2:10">
      <c r="B25" t="s">
        <v>755</v>
      </c>
      <c r="C25" s="457">
        <f>SUM(C20:C22)</f>
        <v>286861</v>
      </c>
    </row>
    <row r="26" spans="2:10">
      <c r="B26" t="s">
        <v>889</v>
      </c>
      <c r="C26" s="1493">
        <f>250/C25</f>
        <v>8.7150222581668471E-4</v>
      </c>
    </row>
    <row r="28" spans="2:10">
      <c r="B28" t="s">
        <v>890</v>
      </c>
      <c r="D28" s="375">
        <v>6016442.1950103939</v>
      </c>
    </row>
    <row r="29" spans="2:10">
      <c r="B29" t="s">
        <v>891</v>
      </c>
      <c r="D29" s="375">
        <v>192901.87542362799</v>
      </c>
    </row>
    <row r="30" spans="2:10">
      <c r="D30" s="498">
        <f>SUM(D28:D29)</f>
        <v>6209344.0704340218</v>
      </c>
    </row>
    <row r="31" spans="2:10">
      <c r="B31" t="s">
        <v>892</v>
      </c>
      <c r="D31" s="498">
        <f>D30*C26</f>
        <v>5411.4571782448829</v>
      </c>
    </row>
    <row r="33" spans="2:5">
      <c r="B33" t="s">
        <v>893</v>
      </c>
      <c r="D33" s="375">
        <v>6243.6750000000002</v>
      </c>
    </row>
    <row r="34" spans="2:5">
      <c r="B34" t="s">
        <v>894</v>
      </c>
      <c r="D34" s="498">
        <f>D33-D31</f>
        <v>832.21782175511726</v>
      </c>
    </row>
    <row r="37" spans="2:5">
      <c r="B37" t="s">
        <v>714</v>
      </c>
    </row>
    <row r="38" spans="2:5">
      <c r="B38" t="s">
        <v>895</v>
      </c>
      <c r="C38" t="s">
        <v>755</v>
      </c>
      <c r="D38" s="498">
        <f>D31</f>
        <v>5411.4571782448829</v>
      </c>
    </row>
    <row r="39" spans="2:5">
      <c r="B39" t="s">
        <v>896</v>
      </c>
      <c r="D39" s="498">
        <f>D34</f>
        <v>832.21782175511726</v>
      </c>
    </row>
    <row r="40" spans="2:5">
      <c r="B40" t="s">
        <v>840</v>
      </c>
      <c r="C40" t="s">
        <v>897</v>
      </c>
      <c r="E40" s="498">
        <f>D38+D39</f>
        <v>6243.6750000000002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  <pageSetUpPr fitToPage="1"/>
  </sheetPr>
  <dimension ref="A1:XCZ143"/>
  <sheetViews>
    <sheetView workbookViewId="0">
      <selection activeCell="C14" sqref="C14"/>
    </sheetView>
  </sheetViews>
  <sheetFormatPr defaultColWidth="9.140625" defaultRowHeight="12.75"/>
  <cols>
    <col min="1" max="1" width="56.85546875" style="102" customWidth="1"/>
    <col min="2" max="2" width="13.42578125" style="143" customWidth="1"/>
    <col min="3" max="3" width="16.28515625" style="143" customWidth="1"/>
    <col min="4" max="4" width="12.5703125" style="143" customWidth="1"/>
    <col min="5" max="5" width="13.42578125" style="102" customWidth="1"/>
    <col min="6" max="6" width="13.85546875" style="102" bestFit="1" customWidth="1"/>
    <col min="7" max="7" width="14" style="102" customWidth="1"/>
    <col min="8" max="8" width="6.42578125" style="287" customWidth="1"/>
    <col min="9" max="9" width="9.140625" style="102" customWidth="1"/>
    <col min="10" max="10" width="14.85546875" style="102" bestFit="1" customWidth="1"/>
    <col min="11" max="11" width="31.5703125" style="102" bestFit="1" customWidth="1"/>
    <col min="12" max="12" width="16.7109375" style="102" bestFit="1" customWidth="1"/>
    <col min="13" max="13" width="9.42578125" style="102" bestFit="1" customWidth="1"/>
    <col min="14" max="14" width="17.85546875" style="102" bestFit="1" customWidth="1"/>
    <col min="15" max="15" width="24.5703125" style="102" customWidth="1"/>
    <col min="16" max="16" width="13.42578125" style="102" bestFit="1" customWidth="1"/>
    <col min="17" max="17" width="13.85546875" style="102" bestFit="1" customWidth="1"/>
    <col min="18" max="18" width="12.85546875" style="102" customWidth="1"/>
    <col min="19" max="19" width="16.28515625" style="102" bestFit="1" customWidth="1"/>
    <col min="20" max="20" width="11.28515625" style="102" bestFit="1" customWidth="1"/>
    <col min="21" max="21" width="12.85546875" style="102" bestFit="1" customWidth="1"/>
    <col min="22" max="16384" width="9.140625" style="102"/>
  </cols>
  <sheetData>
    <row r="1" spans="1:15" ht="18.75" customHeight="1" thickBot="1">
      <c r="A1" s="1582" t="s">
        <v>632</v>
      </c>
      <c r="B1" s="1583"/>
      <c r="C1" s="973">
        <f>'Reval rates'!C2</f>
        <v>136</v>
      </c>
      <c r="D1" s="973"/>
      <c r="E1" s="973">
        <f>[4]E_BCDC!$C$1</f>
        <v>115.85</v>
      </c>
      <c r="F1" s="974"/>
      <c r="G1" s="975"/>
    </row>
    <row r="2" spans="1:15" ht="25.5" customHeight="1">
      <c r="A2" s="972" t="s">
        <v>862</v>
      </c>
      <c r="B2" s="1200">
        <f>EBKL!B2</f>
        <v>45046</v>
      </c>
      <c r="C2" s="1200">
        <f>B2</f>
        <v>45046</v>
      </c>
      <c r="D2" s="1200">
        <f>EBKL!C2</f>
        <v>44681</v>
      </c>
      <c r="E2" s="1200">
        <f>D2</f>
        <v>44681</v>
      </c>
      <c r="F2" s="1590" t="s">
        <v>85</v>
      </c>
      <c r="G2" s="1593" t="s">
        <v>86</v>
      </c>
    </row>
    <row r="3" spans="1:15" ht="30" hidden="1" customHeight="1">
      <c r="A3" s="20" t="s">
        <v>0</v>
      </c>
      <c r="B3" s="19" t="s">
        <v>82</v>
      </c>
      <c r="C3" s="19" t="s">
        <v>82</v>
      </c>
      <c r="D3" s="19" t="str">
        <f>E3</f>
        <v>Prior year</v>
      </c>
      <c r="E3" s="19" t="s">
        <v>96</v>
      </c>
      <c r="F3" s="1591"/>
      <c r="G3" s="1594"/>
    </row>
    <row r="4" spans="1:15" ht="15" customHeight="1">
      <c r="A4" s="111"/>
      <c r="B4" s="19" t="s">
        <v>110</v>
      </c>
      <c r="C4" s="19" t="s">
        <v>97</v>
      </c>
      <c r="D4" s="19" t="s">
        <v>110</v>
      </c>
      <c r="E4" s="19" t="s">
        <v>97</v>
      </c>
      <c r="F4" s="1591"/>
      <c r="G4" s="1594"/>
    </row>
    <row r="5" spans="1:15" ht="13.5" customHeight="1" thickBot="1">
      <c r="A5" s="113"/>
      <c r="B5" s="21" t="s">
        <v>879</v>
      </c>
      <c r="C5" s="21" t="s">
        <v>879</v>
      </c>
      <c r="D5" s="19" t="s">
        <v>879</v>
      </c>
      <c r="E5" s="19" t="s">
        <v>879</v>
      </c>
      <c r="F5" s="1592"/>
      <c r="G5" s="1595"/>
    </row>
    <row r="6" spans="1:15" s="118" customFormat="1">
      <c r="A6" s="114" t="s">
        <v>2</v>
      </c>
      <c r="B6" s="843">
        <f>'[26]CBK-Format _Consolidated'!$K$7</f>
        <v>239018.59146999984</v>
      </c>
      <c r="C6" s="115">
        <f>B6*$C$1</f>
        <v>32506528.439919978</v>
      </c>
      <c r="D6" s="843">
        <f>[4]E_BCDC!B6</f>
        <v>243713.83756000001</v>
      </c>
      <c r="E6" s="115">
        <f>[4]E_BCDC!C6</f>
        <v>28234248.081326</v>
      </c>
      <c r="F6" s="116">
        <f>C6-E6</f>
        <v>4272280.358593978</v>
      </c>
      <c r="G6" s="1308">
        <f>IFERROR(F6/E6,0)</f>
        <v>0.15131553517161467</v>
      </c>
      <c r="H6" s="1505"/>
      <c r="J6" s="857"/>
      <c r="K6" s="860"/>
    </row>
    <row r="7" spans="1:15">
      <c r="A7" s="114" t="s">
        <v>3</v>
      </c>
      <c r="B7" s="843">
        <v>0</v>
      </c>
      <c r="C7" s="115">
        <f t="shared" ref="C7:C26" si="0">B7*$C$1</f>
        <v>0</v>
      </c>
      <c r="D7" s="843">
        <f>[4]E_BCDC!B7</f>
        <v>0</v>
      </c>
      <c r="E7" s="115">
        <f>[4]E_BCDC!C7</f>
        <v>0</v>
      </c>
      <c r="F7" s="116">
        <f t="shared" ref="F7:F26" si="1">C7-E7</f>
        <v>0</v>
      </c>
      <c r="G7" s="1308">
        <f t="shared" ref="G7:G26" si="2">IFERROR(F7/E7,0)</f>
        <v>0</v>
      </c>
      <c r="H7" s="1505"/>
      <c r="J7" s="846"/>
      <c r="K7" s="860"/>
    </row>
    <row r="8" spans="1:15">
      <c r="A8" s="114" t="s">
        <v>4</v>
      </c>
      <c r="B8" s="843">
        <v>0</v>
      </c>
      <c r="C8" s="115">
        <f t="shared" si="0"/>
        <v>0</v>
      </c>
      <c r="D8" s="843">
        <f>[4]E_BCDC!B8</f>
        <v>0</v>
      </c>
      <c r="E8" s="115">
        <f>[4]E_BCDC!C8</f>
        <v>0</v>
      </c>
      <c r="F8" s="116">
        <f t="shared" si="1"/>
        <v>0</v>
      </c>
      <c r="G8" s="1308">
        <f t="shared" si="2"/>
        <v>0</v>
      </c>
      <c r="H8" s="1505"/>
      <c r="J8" s="846"/>
      <c r="K8" s="860"/>
    </row>
    <row r="9" spans="1:15">
      <c r="A9" s="114" t="s">
        <v>5</v>
      </c>
      <c r="B9" s="843">
        <f>ROUND(('[26]CBK-Format _Consolidated'!$K$9+'[26]CBK-Format _Consolidated'!$K$10),0)</f>
        <v>156999</v>
      </c>
      <c r="C9" s="115">
        <f t="shared" si="0"/>
        <v>21351864</v>
      </c>
      <c r="D9" s="843">
        <f>[4]E_BCDC!B9</f>
        <v>124285</v>
      </c>
      <c r="E9" s="115">
        <f>[4]E_BCDC!C9</f>
        <v>14398417.25</v>
      </c>
      <c r="F9" s="116">
        <f t="shared" si="1"/>
        <v>6953446.75</v>
      </c>
      <c r="G9" s="1308">
        <f t="shared" si="2"/>
        <v>0.48293132705263142</v>
      </c>
      <c r="H9" s="1505"/>
      <c r="J9" s="846"/>
      <c r="K9" s="860"/>
    </row>
    <row r="10" spans="1:15">
      <c r="A10" s="114" t="s">
        <v>6</v>
      </c>
      <c r="B10" s="843">
        <f>'[26]CBK-Format _Consolidated'!$K$8+'[26]CBK-Format _Consolidated'!$K$11</f>
        <v>415085.11735999997</v>
      </c>
      <c r="C10" s="115">
        <f t="shared" si="0"/>
        <v>56451575.960959993</v>
      </c>
      <c r="D10" s="843">
        <f>[4]E_BCDC!B10</f>
        <v>318927.30414454732</v>
      </c>
      <c r="E10" s="115">
        <f>[4]E_BCDC!C10</f>
        <v>36947728.185145803</v>
      </c>
      <c r="F10" s="116">
        <f t="shared" si="1"/>
        <v>19503847.775814191</v>
      </c>
      <c r="G10" s="1308">
        <f t="shared" si="2"/>
        <v>0.52787677981390413</v>
      </c>
      <c r="H10" s="1505"/>
      <c r="J10" s="846"/>
      <c r="K10" s="860"/>
    </row>
    <row r="11" spans="1:15">
      <c r="A11" s="114" t="s">
        <v>7</v>
      </c>
      <c r="B11" s="843">
        <f>'[26]CBK-Format _Consolidated'!$K$12</f>
        <v>879618.3283099999</v>
      </c>
      <c r="C11" s="115">
        <f t="shared" si="0"/>
        <v>119628092.65015998</v>
      </c>
      <c r="D11" s="843">
        <f>[4]E_BCDC!B11</f>
        <v>868408.88134999992</v>
      </c>
      <c r="E11" s="115">
        <f>[4]E_BCDC!C11</f>
        <v>100605168.90439749</v>
      </c>
      <c r="F11" s="116">
        <f t="shared" si="1"/>
        <v>19022923.745762497</v>
      </c>
      <c r="G11" s="1308">
        <f t="shared" si="2"/>
        <v>0.18908495411244222</v>
      </c>
      <c r="H11" s="1505"/>
      <c r="J11" s="846"/>
      <c r="K11" s="860"/>
    </row>
    <row r="12" spans="1:15">
      <c r="A12" s="114" t="s">
        <v>8</v>
      </c>
      <c r="B12" s="843">
        <f>'[26]CBK-Format _Consolidated'!$K$13</f>
        <v>0</v>
      </c>
      <c r="C12" s="115">
        <f t="shared" si="0"/>
        <v>0</v>
      </c>
      <c r="D12" s="843">
        <f>[4]E_BCDC!B12</f>
        <v>0</v>
      </c>
      <c r="E12" s="115">
        <f>[4]E_BCDC!C12</f>
        <v>0</v>
      </c>
      <c r="F12" s="116">
        <f t="shared" si="1"/>
        <v>0</v>
      </c>
      <c r="G12" s="1308">
        <f t="shared" si="2"/>
        <v>0</v>
      </c>
      <c r="H12" s="1505"/>
      <c r="J12" s="846"/>
      <c r="K12" s="860"/>
    </row>
    <row r="13" spans="1:15">
      <c r="A13" s="114" t="s">
        <v>9</v>
      </c>
      <c r="B13" s="843">
        <f>'[26]CBK-Format _Consolidated'!$K$14</f>
        <v>1.3590498100875104</v>
      </c>
      <c r="C13" s="115">
        <f t="shared" si="0"/>
        <v>184.8307741719014</v>
      </c>
      <c r="D13" s="843">
        <f>[4]E_BCDC!B13</f>
        <v>22.280427897421447</v>
      </c>
      <c r="E13" s="115">
        <f>[4]E_BCDC!C13</f>
        <v>2581.1875719162745</v>
      </c>
      <c r="F13" s="116">
        <f t="shared" si="1"/>
        <v>-2396.3567977443731</v>
      </c>
      <c r="G13" s="1308">
        <f t="shared" si="2"/>
        <v>-0.92839312563608734</v>
      </c>
      <c r="H13" s="1505"/>
      <c r="J13" s="846"/>
      <c r="K13" s="860"/>
    </row>
    <row r="14" spans="1:15">
      <c r="A14" s="114" t="s">
        <v>10</v>
      </c>
      <c r="B14" s="843">
        <f>'[26]CBK-Format _Consolidated'!K15</f>
        <v>1482016.3909731084</v>
      </c>
      <c r="C14" s="115">
        <f t="shared" si="0"/>
        <v>201554229.17234275</v>
      </c>
      <c r="D14" s="843">
        <f>[4]E_BCDC!B14</f>
        <v>1109677.7507761312</v>
      </c>
      <c r="E14" s="115">
        <f>[4]E_BCDC!C14</f>
        <v>128556167.42741479</v>
      </c>
      <c r="F14" s="116">
        <f t="shared" si="1"/>
        <v>72998061.744927958</v>
      </c>
      <c r="G14" s="1308">
        <f t="shared" si="2"/>
        <v>0.5678301026369974</v>
      </c>
      <c r="H14" s="1505"/>
      <c r="J14" s="846"/>
      <c r="K14" s="860"/>
    </row>
    <row r="15" spans="1:15">
      <c r="A15" s="114" t="s">
        <v>11</v>
      </c>
      <c r="B15" s="843">
        <f>'[26]CBK-Format _Consolidated'!K16</f>
        <v>0</v>
      </c>
      <c r="C15" s="115">
        <f t="shared" si="0"/>
        <v>0</v>
      </c>
      <c r="D15" s="843">
        <f>[4]E_BCDC!B15</f>
        <v>92.608989999999991</v>
      </c>
      <c r="E15" s="115">
        <f>[4]E_BCDC!C15</f>
        <v>10728.751491499999</v>
      </c>
      <c r="F15" s="116">
        <f t="shared" si="1"/>
        <v>-10728.751491499999</v>
      </c>
      <c r="G15" s="1308">
        <f t="shared" si="2"/>
        <v>-1</v>
      </c>
      <c r="H15" s="1505"/>
      <c r="J15" s="846"/>
      <c r="K15" s="954"/>
    </row>
    <row r="16" spans="1:15">
      <c r="A16" s="114" t="s">
        <v>12</v>
      </c>
      <c r="B16" s="843">
        <f>'[26]CBK-Format _Consolidated'!K17</f>
        <v>0</v>
      </c>
      <c r="C16" s="115">
        <f t="shared" si="0"/>
        <v>0</v>
      </c>
      <c r="D16" s="843">
        <f>[4]E_BCDC!B16</f>
        <v>0</v>
      </c>
      <c r="E16" s="115">
        <f>[4]E_BCDC!C16</f>
        <v>0</v>
      </c>
      <c r="F16" s="116">
        <f t="shared" si="1"/>
        <v>0</v>
      </c>
      <c r="G16" s="1308">
        <f t="shared" si="2"/>
        <v>0</v>
      </c>
      <c r="H16" s="1505"/>
      <c r="J16" s="846"/>
      <c r="K16" s="860"/>
      <c r="L16" s="953"/>
      <c r="N16" s="388"/>
      <c r="O16" s="388"/>
    </row>
    <row r="17" spans="1:15">
      <c r="A17" s="114" t="s">
        <v>13</v>
      </c>
      <c r="B17" s="843">
        <f>'[26]CBK-Format _Consolidated'!K18</f>
        <v>0</v>
      </c>
      <c r="C17" s="115">
        <f t="shared" si="0"/>
        <v>0</v>
      </c>
      <c r="D17" s="843">
        <f>[4]E_BCDC!B17</f>
        <v>0</v>
      </c>
      <c r="E17" s="115">
        <f>[4]E_BCDC!C17</f>
        <v>0</v>
      </c>
      <c r="F17" s="116">
        <f t="shared" si="1"/>
        <v>0</v>
      </c>
      <c r="G17" s="1308">
        <f t="shared" si="2"/>
        <v>0</v>
      </c>
      <c r="H17" s="1505"/>
      <c r="J17" s="846"/>
      <c r="K17" s="860"/>
      <c r="L17" s="953"/>
      <c r="N17" s="388"/>
      <c r="O17" s="388"/>
    </row>
    <row r="18" spans="1:15">
      <c r="A18" s="114" t="s">
        <v>14</v>
      </c>
      <c r="B18" s="843">
        <f>'[26]CBK-Format _Consolidated'!K19</f>
        <v>0</v>
      </c>
      <c r="C18" s="115">
        <f t="shared" si="0"/>
        <v>0</v>
      </c>
      <c r="D18" s="843">
        <f>[4]E_BCDC!B18</f>
        <v>0</v>
      </c>
      <c r="E18" s="115">
        <f>[4]E_BCDC!C18</f>
        <v>0</v>
      </c>
      <c r="F18" s="116">
        <f t="shared" si="1"/>
        <v>0</v>
      </c>
      <c r="G18" s="1308">
        <f t="shared" si="2"/>
        <v>0</v>
      </c>
      <c r="H18" s="1505"/>
      <c r="J18" s="846"/>
      <c r="K18" s="860"/>
    </row>
    <row r="19" spans="1:15">
      <c r="A19" s="114" t="s">
        <v>15</v>
      </c>
      <c r="B19" s="843">
        <f>'[26]CBK-Format _Consolidated'!K20</f>
        <v>0</v>
      </c>
      <c r="C19" s="115">
        <f t="shared" si="0"/>
        <v>0</v>
      </c>
      <c r="D19" s="843">
        <f>[4]E_BCDC!B19</f>
        <v>0</v>
      </c>
      <c r="E19" s="115">
        <f>[4]E_BCDC!C19</f>
        <v>0</v>
      </c>
      <c r="F19" s="116">
        <f t="shared" si="1"/>
        <v>0</v>
      </c>
      <c r="G19" s="1308">
        <f t="shared" si="2"/>
        <v>0</v>
      </c>
      <c r="H19" s="1505"/>
      <c r="J19" s="846"/>
      <c r="K19" s="860"/>
    </row>
    <row r="20" spans="1:15">
      <c r="A20" s="114" t="s">
        <v>16</v>
      </c>
      <c r="B20" s="843">
        <f>'[26]CBK-Format _Consolidated'!K21</f>
        <v>49246.800779654186</v>
      </c>
      <c r="C20" s="115">
        <f>B20*$C$1</f>
        <v>6697564.9060329692</v>
      </c>
      <c r="D20" s="843">
        <f>[4]E_BCDC!B20</f>
        <v>50595.630717502499</v>
      </c>
      <c r="E20" s="115">
        <f>[4]E_BCDC!C20</f>
        <v>5861503.8186226645</v>
      </c>
      <c r="F20" s="116">
        <f t="shared" si="1"/>
        <v>836061.0874103047</v>
      </c>
      <c r="G20" s="1308">
        <f t="shared" si="2"/>
        <v>0.14263593666083496</v>
      </c>
      <c r="H20" s="1505"/>
      <c r="J20" s="846"/>
      <c r="K20" s="860"/>
      <c r="L20" s="370"/>
      <c r="N20" s="388"/>
      <c r="O20" s="388"/>
    </row>
    <row r="21" spans="1:15">
      <c r="A21" s="114" t="s">
        <v>17</v>
      </c>
      <c r="B21" s="843">
        <f>'[26]CBK-Format _Consolidated'!K22</f>
        <v>102863.18648030552</v>
      </c>
      <c r="C21" s="115">
        <f t="shared" si="0"/>
        <v>13989393.361321552</v>
      </c>
      <c r="D21" s="843">
        <f>[4]E_BCDC!B21</f>
        <v>90717.440897134598</v>
      </c>
      <c r="E21" s="115">
        <f>[4]E_BCDC!C21</f>
        <v>10509615.527933042</v>
      </c>
      <c r="F21" s="116">
        <f t="shared" si="1"/>
        <v>3479777.8333885092</v>
      </c>
      <c r="G21" s="1308">
        <f t="shared" si="2"/>
        <v>0.33110419921069056</v>
      </c>
      <c r="H21" s="1505"/>
      <c r="J21" s="846"/>
      <c r="K21" s="860"/>
      <c r="N21" s="388"/>
      <c r="O21" s="388"/>
    </row>
    <row r="22" spans="1:15">
      <c r="A22" s="114" t="s">
        <v>18</v>
      </c>
      <c r="B22" s="843">
        <f>'[26]CBK-Format _Consolidated'!K23</f>
        <v>0</v>
      </c>
      <c r="C22" s="115">
        <f>B22*$C$1</f>
        <v>0</v>
      </c>
      <c r="D22" s="843">
        <f>[4]E_BCDC!B22</f>
        <v>0</v>
      </c>
      <c r="E22" s="115">
        <f>[4]E_BCDC!C22</f>
        <v>0</v>
      </c>
      <c r="F22" s="116">
        <f t="shared" si="1"/>
        <v>0</v>
      </c>
      <c r="G22" s="1308">
        <f t="shared" si="2"/>
        <v>0</v>
      </c>
      <c r="H22" s="1505"/>
      <c r="J22" s="143"/>
      <c r="K22" s="860"/>
      <c r="L22" s="953"/>
      <c r="N22" s="370"/>
      <c r="O22" s="388"/>
    </row>
    <row r="23" spans="1:15">
      <c r="A23" s="114" t="s">
        <v>19</v>
      </c>
      <c r="B23" s="843">
        <f>'[26]CBK-Format _Consolidated'!K24</f>
        <v>1407.477418265622</v>
      </c>
      <c r="C23" s="115">
        <f t="shared" si="0"/>
        <v>191416.92888412459</v>
      </c>
      <c r="D23" s="843">
        <f>[4]E_BCDC!B23</f>
        <v>2156.8935017153067</v>
      </c>
      <c r="E23" s="115">
        <f>[4]E_BCDC!C23</f>
        <v>249876.11217371825</v>
      </c>
      <c r="F23" s="116">
        <f t="shared" si="1"/>
        <v>-58459.183289593668</v>
      </c>
      <c r="G23" s="1308">
        <f t="shared" si="2"/>
        <v>-0.23395266870869119</v>
      </c>
      <c r="H23" s="1505"/>
      <c r="J23" s="143"/>
      <c r="K23" s="860"/>
      <c r="L23" s="953"/>
      <c r="N23" s="370"/>
      <c r="O23" s="388"/>
    </row>
    <row r="24" spans="1:15">
      <c r="A24" s="114" t="s">
        <v>20</v>
      </c>
      <c r="B24" s="843">
        <f>'[26]CBK-Format _Consolidated'!K25</f>
        <v>18323.770687936201</v>
      </c>
      <c r="C24" s="115">
        <f t="shared" si="0"/>
        <v>2492032.8135593235</v>
      </c>
      <c r="D24" s="843">
        <f>[4]E_BCDC!B24</f>
        <v>13080.831234162544</v>
      </c>
      <c r="E24" s="115">
        <f>[4]E_BCDC!C24</f>
        <v>1515414.2984777307</v>
      </c>
      <c r="F24" s="116">
        <f t="shared" si="1"/>
        <v>976618.51508159284</v>
      </c>
      <c r="G24" s="1308">
        <f t="shared" si="2"/>
        <v>0.6444564473640173</v>
      </c>
      <c r="H24" s="1505"/>
      <c r="J24" s="143"/>
      <c r="K24" s="860"/>
    </row>
    <row r="25" spans="1:15">
      <c r="A25" s="27" t="s">
        <v>21</v>
      </c>
      <c r="B25" s="843">
        <f>'[26]CBK-Format _Consolidated'!K26</f>
        <v>0</v>
      </c>
      <c r="C25" s="115">
        <f t="shared" si="0"/>
        <v>0</v>
      </c>
      <c r="D25" s="843">
        <f>[4]E_BCDC!B25</f>
        <v>0</v>
      </c>
      <c r="E25" s="115">
        <f>[4]E_BCDC!C25</f>
        <v>0</v>
      </c>
      <c r="F25" s="116">
        <f t="shared" si="1"/>
        <v>0</v>
      </c>
      <c r="G25" s="1308">
        <f t="shared" si="2"/>
        <v>0</v>
      </c>
      <c r="J25" s="143"/>
      <c r="K25" s="860"/>
    </row>
    <row r="26" spans="1:15" ht="13.5" thickBot="1">
      <c r="A26" s="829" t="s">
        <v>22</v>
      </c>
      <c r="B26" s="843">
        <f>'[26]CBK-Format _Consolidated'!K27</f>
        <v>106419.90137938231</v>
      </c>
      <c r="C26" s="115">
        <f t="shared" si="0"/>
        <v>14473106.587595994</v>
      </c>
      <c r="D26" s="843">
        <f>[4]E_BCDC!B26</f>
        <v>87160.914359662056</v>
      </c>
      <c r="E26" s="115">
        <f>[4]E_BCDC!C26</f>
        <v>10097591.928566849</v>
      </c>
      <c r="F26" s="116">
        <f t="shared" si="1"/>
        <v>4375514.6590291448</v>
      </c>
      <c r="G26" s="1308">
        <f t="shared" si="2"/>
        <v>0.4333225872052211</v>
      </c>
      <c r="J26" s="143"/>
      <c r="K26" s="860"/>
    </row>
    <row r="27" spans="1:15" s="121" customFormat="1" ht="13.5" thickBot="1">
      <c r="A27" s="119" t="s">
        <v>23</v>
      </c>
      <c r="B27" s="120">
        <f>SUM(B6:B26)</f>
        <v>3450999.9239084623</v>
      </c>
      <c r="C27" s="120">
        <f>SUM(C6:C26)</f>
        <v>469335989.65155095</v>
      </c>
      <c r="D27" s="120">
        <f>SUM(D6:D26)</f>
        <v>2908839.373958753</v>
      </c>
      <c r="E27" s="120">
        <f>SUM(E6:E26)</f>
        <v>336989041.47312152</v>
      </c>
      <c r="F27" s="120">
        <f>C27-E27</f>
        <v>132346948.17842942</v>
      </c>
      <c r="G27" s="1310">
        <f>IFERROR(F27/E27,0)</f>
        <v>0.3927336853444402</v>
      </c>
      <c r="H27" s="285"/>
      <c r="J27" s="858"/>
      <c r="K27" s="860"/>
    </row>
    <row r="28" spans="1:15" ht="14.25" customHeight="1" thickBot="1">
      <c r="A28" s="122"/>
      <c r="B28" s="102"/>
      <c r="C28" s="102"/>
      <c r="D28" s="102"/>
      <c r="F28" s="116"/>
      <c r="G28" s="1308"/>
      <c r="J28" s="143"/>
      <c r="K28" s="964" t="s">
        <v>196</v>
      </c>
      <c r="L28" s="965"/>
      <c r="M28" s="965"/>
      <c r="N28" s="966"/>
    </row>
    <row r="29" spans="1:15" ht="13.5" thickBot="1">
      <c r="A29" s="123" t="s">
        <v>104</v>
      </c>
      <c r="B29" s="124"/>
      <c r="C29" s="124"/>
      <c r="D29" s="124"/>
      <c r="E29" s="124"/>
      <c r="F29" s="124"/>
      <c r="G29" s="1311"/>
      <c r="J29" s="143"/>
      <c r="K29" s="955"/>
      <c r="M29" s="967" t="s">
        <v>283</v>
      </c>
      <c r="N29" s="968" t="s">
        <v>730</v>
      </c>
    </row>
    <row r="30" spans="1:15">
      <c r="A30" s="125" t="s">
        <v>25</v>
      </c>
      <c r="B30" s="126">
        <v>0</v>
      </c>
      <c r="C30" s="115">
        <f t="shared" ref="C30:C40" si="3">B30*$C$1</f>
        <v>0</v>
      </c>
      <c r="D30" s="843">
        <f>[4]E_BCDC!B30</f>
        <v>0</v>
      </c>
      <c r="E30" s="115">
        <f>[4]E_BCDC!C30</f>
        <v>0</v>
      </c>
      <c r="F30" s="116">
        <f t="shared" ref="F30:F41" si="4">C30-E30</f>
        <v>0</v>
      </c>
      <c r="G30" s="1308">
        <f t="shared" ref="G30:G41" si="5">IFERROR(F30/E30,0)</f>
        <v>0</v>
      </c>
      <c r="H30" s="288"/>
      <c r="J30" s="143"/>
      <c r="K30" s="955" t="s">
        <v>728</v>
      </c>
      <c r="L30" s="956">
        <v>8922.0364300000001</v>
      </c>
      <c r="M30" s="102">
        <v>109.25</v>
      </c>
      <c r="N30" s="957">
        <f>L30*M30</f>
        <v>974732.47997750004</v>
      </c>
    </row>
    <row r="31" spans="1:15">
      <c r="A31" s="127" t="s">
        <v>26</v>
      </c>
      <c r="B31" s="126">
        <f>'[26]CBK-Format _Consolidated'!K32+'[26]CBK-Format _Consolidated'!K33</f>
        <v>2783617.1893422855</v>
      </c>
      <c r="C31" s="115">
        <f t="shared" si="3"/>
        <v>378571937.75055081</v>
      </c>
      <c r="D31" s="843">
        <f>[4]E_BCDC!B31+[4]E_BCDC!B32</f>
        <v>2393658.027556045</v>
      </c>
      <c r="E31" s="115">
        <f>[4]E_BCDC!C31+[4]E_BCDC!C32</f>
        <v>277305282.4923678</v>
      </c>
      <c r="F31" s="116">
        <f t="shared" si="4"/>
        <v>101266655.258183</v>
      </c>
      <c r="G31" s="1308">
        <f t="shared" si="5"/>
        <v>0.36518112582644413</v>
      </c>
      <c r="H31" s="1505"/>
      <c r="J31" s="143"/>
      <c r="K31" s="955" t="s">
        <v>729</v>
      </c>
      <c r="L31" s="707">
        <v>1092.6982800000023</v>
      </c>
      <c r="M31" s="102">
        <v>120.5</v>
      </c>
      <c r="N31" s="958">
        <f>L31*M31</f>
        <v>131670.14274000027</v>
      </c>
    </row>
    <row r="32" spans="1:15">
      <c r="A32" s="127" t="s">
        <v>27</v>
      </c>
      <c r="B32" s="126">
        <v>0</v>
      </c>
      <c r="C32" s="115">
        <f t="shared" si="3"/>
        <v>0</v>
      </c>
      <c r="D32" s="843">
        <v>0</v>
      </c>
      <c r="E32" s="115">
        <v>0</v>
      </c>
      <c r="F32" s="116">
        <f t="shared" si="4"/>
        <v>0</v>
      </c>
      <c r="G32" s="1308">
        <f t="shared" si="5"/>
        <v>0</v>
      </c>
      <c r="H32" s="1505"/>
      <c r="J32" s="143"/>
      <c r="K32" s="955" t="s">
        <v>196</v>
      </c>
      <c r="L32" s="969">
        <f>SUM(L30:L31)</f>
        <v>10014.734710000002</v>
      </c>
      <c r="M32" s="105"/>
      <c r="N32" s="970">
        <f>SUM(N30:N31)</f>
        <v>1106402.6227175002</v>
      </c>
    </row>
    <row r="33" spans="1:18" ht="13.5" thickBot="1">
      <c r="A33" s="127" t="s">
        <v>28</v>
      </c>
      <c r="B33" s="126">
        <f>'[26]CBK-Format _Consolidated'!K34</f>
        <v>0</v>
      </c>
      <c r="C33" s="115">
        <f t="shared" si="3"/>
        <v>0</v>
      </c>
      <c r="D33" s="843">
        <f>[4]E_BCDC!B33</f>
        <v>0</v>
      </c>
      <c r="E33" s="115">
        <f>[4]E_BCDC!C33</f>
        <v>0</v>
      </c>
      <c r="F33" s="116">
        <f t="shared" si="4"/>
        <v>0</v>
      </c>
      <c r="G33" s="1308">
        <f t="shared" si="5"/>
        <v>0</v>
      </c>
      <c r="H33" s="1505"/>
      <c r="J33" s="143"/>
      <c r="K33" s="955"/>
      <c r="N33" s="110"/>
    </row>
    <row r="34" spans="1:18" ht="13.5" thickBot="1">
      <c r="A34" s="127" t="s">
        <v>29</v>
      </c>
      <c r="B34" s="126">
        <f>'[26]CBK-Format _Consolidated'!K35</f>
        <v>0</v>
      </c>
      <c r="C34" s="115">
        <f>B34*$C$1</f>
        <v>0</v>
      </c>
      <c r="D34" s="843">
        <f>[4]E_BCDC!B34</f>
        <v>0</v>
      </c>
      <c r="E34" s="115">
        <f>[4]E_BCDC!C34</f>
        <v>0</v>
      </c>
      <c r="F34" s="116">
        <f>C34-E34</f>
        <v>0</v>
      </c>
      <c r="G34" s="1308">
        <f t="shared" si="5"/>
        <v>0</v>
      </c>
      <c r="H34" s="1505"/>
      <c r="J34" s="143"/>
      <c r="K34" s="964" t="s">
        <v>419</v>
      </c>
      <c r="L34" s="965"/>
      <c r="M34" s="965"/>
      <c r="N34" s="966"/>
    </row>
    <row r="35" spans="1:18">
      <c r="A35" s="127" t="s">
        <v>30</v>
      </c>
      <c r="B35" s="126">
        <f>'[26]CBK-Format _Consolidated'!K36</f>
        <v>10838.456049999999</v>
      </c>
      <c r="C35" s="115">
        <f t="shared" si="3"/>
        <v>1474030.0227999999</v>
      </c>
      <c r="D35" s="843">
        <f>[4]E_BCDC!B35</f>
        <v>65949.404819999996</v>
      </c>
      <c r="E35" s="115">
        <f>[4]E_BCDC!C35</f>
        <v>7640238.548396999</v>
      </c>
      <c r="F35" s="116">
        <f t="shared" si="4"/>
        <v>-6166208.5255969986</v>
      </c>
      <c r="G35" s="1308">
        <f t="shared" si="5"/>
        <v>-0.80707015710795216</v>
      </c>
      <c r="H35" s="1505"/>
      <c r="J35" s="143"/>
      <c r="K35" s="955" t="s">
        <v>731</v>
      </c>
      <c r="L35" s="956">
        <v>32216.321640000002</v>
      </c>
      <c r="M35" s="102">
        <v>109.25</v>
      </c>
      <c r="N35" s="959">
        <f>L35*M35</f>
        <v>3519633.1391700003</v>
      </c>
    </row>
    <row r="36" spans="1:18">
      <c r="A36" s="127" t="s">
        <v>31</v>
      </c>
      <c r="B36" s="126">
        <f>'[26]CBK-Format _Consolidated'!K37</f>
        <v>3091.8841299999999</v>
      </c>
      <c r="C36" s="115">
        <f t="shared" si="3"/>
        <v>420496.24167999998</v>
      </c>
      <c r="D36" s="843">
        <f>[4]E_BCDC!B36</f>
        <v>3482.9024900000004</v>
      </c>
      <c r="E36" s="115">
        <f>[4]E_BCDC!C36</f>
        <v>403494.25346650003</v>
      </c>
      <c r="F36" s="116">
        <f t="shared" si="4"/>
        <v>17001.98821349995</v>
      </c>
      <c r="G36" s="1308">
        <f t="shared" si="5"/>
        <v>4.2136878201938344E-2</v>
      </c>
      <c r="H36" s="1505"/>
      <c r="J36" s="143"/>
      <c r="K36" s="955" t="s">
        <v>732</v>
      </c>
      <c r="L36" s="707">
        <f>B46-L35</f>
        <v>68197.782069999987</v>
      </c>
      <c r="M36" s="102">
        <v>120.5</v>
      </c>
      <c r="N36" s="959">
        <f>L36*M36</f>
        <v>8217832.7394349985</v>
      </c>
    </row>
    <row r="37" spans="1:18">
      <c r="A37" s="127" t="s">
        <v>32</v>
      </c>
      <c r="B37" s="126">
        <f>'[26]CBK-Format _Consolidated'!K38</f>
        <v>14630.747281213247</v>
      </c>
      <c r="C37" s="115">
        <f t="shared" si="3"/>
        <v>1989781.6302450015</v>
      </c>
      <c r="D37" s="843">
        <f>[4]E_BCDC!B37</f>
        <v>3047.4405773609938</v>
      </c>
      <c r="E37" s="115">
        <f>[4]E_BCDC!C37</f>
        <v>353045.99088727112</v>
      </c>
      <c r="F37" s="116">
        <f t="shared" si="4"/>
        <v>1636735.6393577303</v>
      </c>
      <c r="G37" s="1308">
        <f t="shared" si="5"/>
        <v>4.6360408604111463</v>
      </c>
      <c r="H37" s="1505"/>
      <c r="J37" s="143"/>
      <c r="K37" s="955" t="s">
        <v>733</v>
      </c>
      <c r="L37" s="969">
        <f>SUM(L35:L36)</f>
        <v>100414.10371</v>
      </c>
      <c r="M37" s="105"/>
      <c r="N37" s="971">
        <f>SUM(N35:N36)</f>
        <v>11737465.878604999</v>
      </c>
    </row>
    <row r="38" spans="1:18">
      <c r="A38" s="127" t="s">
        <v>33</v>
      </c>
      <c r="B38" s="126">
        <v>0</v>
      </c>
      <c r="C38" s="115">
        <f t="shared" si="3"/>
        <v>0</v>
      </c>
      <c r="D38" s="843">
        <f>[4]E_BCDC!B38</f>
        <v>0</v>
      </c>
      <c r="E38" s="115">
        <f>[4]E_BCDC!C38</f>
        <v>0</v>
      </c>
      <c r="F38" s="116">
        <f t="shared" si="4"/>
        <v>0</v>
      </c>
      <c r="G38" s="1308">
        <f t="shared" si="5"/>
        <v>0</v>
      </c>
      <c r="H38" s="1505"/>
      <c r="J38" s="143"/>
      <c r="K38" s="955"/>
      <c r="N38" s="110"/>
    </row>
    <row r="39" spans="1:18">
      <c r="A39" s="27" t="s">
        <v>34</v>
      </c>
      <c r="B39" s="126">
        <f>'[26]CBK-Format _Consolidated'!K40</f>
        <v>7567.5951597902376</v>
      </c>
      <c r="C39" s="115">
        <f t="shared" si="3"/>
        <v>1029192.9417314723</v>
      </c>
      <c r="D39" s="843">
        <f>[4]E_BCDC!B39</f>
        <v>7489.622588796753</v>
      </c>
      <c r="E39" s="115">
        <f>[4]E_BCDC!C39</f>
        <v>867672.77691210376</v>
      </c>
      <c r="F39" s="116">
        <f t="shared" si="4"/>
        <v>161520.16481936851</v>
      </c>
      <c r="G39" s="1308">
        <f t="shared" si="5"/>
        <v>0.18615331622387721</v>
      </c>
      <c r="H39" s="1505"/>
      <c r="J39" s="143"/>
      <c r="K39" s="955"/>
      <c r="N39" s="110"/>
    </row>
    <row r="40" spans="1:18">
      <c r="A40" s="127" t="s">
        <v>35</v>
      </c>
      <c r="B40" s="126">
        <f>'[26]CBK-Format _Consolidated'!K41</f>
        <v>14200.804757207245</v>
      </c>
      <c r="C40" s="115">
        <f t="shared" si="3"/>
        <v>1931309.4469801853</v>
      </c>
      <c r="D40" s="843">
        <f>[4]E_BCDC!B40</f>
        <v>11211.732</v>
      </c>
      <c r="E40" s="115">
        <f>[4]E_BCDC!C40</f>
        <v>1298879.1521999999</v>
      </c>
      <c r="F40" s="116">
        <f t="shared" si="4"/>
        <v>632430.29478018545</v>
      </c>
      <c r="G40" s="1308">
        <f t="shared" si="5"/>
        <v>0.48690464675562412</v>
      </c>
      <c r="H40" s="1505"/>
      <c r="J40" s="143"/>
      <c r="K40" s="955"/>
      <c r="L40" s="707">
        <f>SUM(L31,L36)</f>
        <v>69290.480349999983</v>
      </c>
      <c r="N40" s="960">
        <v>8497772.0649999995</v>
      </c>
    </row>
    <row r="41" spans="1:18" ht="13.5" thickBot="1">
      <c r="A41" s="828" t="s">
        <v>36</v>
      </c>
      <c r="B41" s="844">
        <f>(((('[26]CBK-Format _Consolidated'!K42+'[26]CBK-Format _Consolidated'!$K$39))))--0.0117087489925325</f>
        <v>235579.34057642773</v>
      </c>
      <c r="C41" s="115">
        <f>B41*$C$1</f>
        <v>32038790.318394169</v>
      </c>
      <c r="D41" s="843">
        <f>[4]E_BCDC!B41</f>
        <v>157046.72922199551</v>
      </c>
      <c r="E41" s="115">
        <f>[4]E_BCDC!C41</f>
        <v>18193863.58036818</v>
      </c>
      <c r="F41" s="116">
        <f t="shared" si="4"/>
        <v>13844926.738025989</v>
      </c>
      <c r="G41" s="1308">
        <f t="shared" si="5"/>
        <v>0.76096683240854646</v>
      </c>
      <c r="H41" s="1505"/>
      <c r="J41" s="143"/>
      <c r="K41" s="955"/>
      <c r="N41" s="959">
        <f>SUM(N31,N36)</f>
        <v>8349502.8821749985</v>
      </c>
    </row>
    <row r="42" spans="1:18" s="121" customFormat="1" ht="13.5" thickBot="1">
      <c r="A42" s="128" t="s">
        <v>105</v>
      </c>
      <c r="B42" s="129">
        <f>SUM(B30:B41)</f>
        <v>3069526.0172969238</v>
      </c>
      <c r="C42" s="129">
        <f>SUM(C30:C41)</f>
        <v>417455538.35238171</v>
      </c>
      <c r="D42" s="129">
        <f>SUM(D30:D41)</f>
        <v>2641885.8592541972</v>
      </c>
      <c r="E42" s="129">
        <f>SUM(E30:E41)</f>
        <v>306062476.79459882</v>
      </c>
      <c r="F42" s="120">
        <f>C42-E42</f>
        <v>111393061.55778289</v>
      </c>
      <c r="G42" s="1310">
        <f>IFERROR(F42/E42,0)</f>
        <v>0.36395530325835967</v>
      </c>
      <c r="H42" s="285"/>
      <c r="J42" s="858"/>
      <c r="K42" s="961"/>
      <c r="L42" s="962"/>
      <c r="M42" s="962"/>
      <c r="N42" s="963">
        <f>N40-N41</f>
        <v>148269.18282500096</v>
      </c>
      <c r="O42" s="121" t="s">
        <v>734</v>
      </c>
    </row>
    <row r="43" spans="1:18" ht="13.5" thickBot="1">
      <c r="A43" s="130"/>
      <c r="B43" s="102"/>
      <c r="C43" s="102"/>
      <c r="D43" s="102"/>
      <c r="G43" s="1312"/>
      <c r="J43" s="143"/>
      <c r="K43" s="860"/>
    </row>
    <row r="44" spans="1:18" ht="13.5" thickBot="1">
      <c r="A44" s="123" t="s">
        <v>106</v>
      </c>
      <c r="B44" s="124"/>
      <c r="C44" s="124"/>
      <c r="D44" s="124"/>
      <c r="E44" s="124"/>
      <c r="F44" s="124"/>
      <c r="G44" s="1311"/>
      <c r="J44" s="143"/>
      <c r="K44" s="860"/>
    </row>
    <row r="45" spans="1:18">
      <c r="A45" s="125" t="s">
        <v>107</v>
      </c>
      <c r="B45" s="126">
        <f>'[26]CBK-Format _Consolidated'!$K$46</f>
        <v>10014.734710000001</v>
      </c>
      <c r="C45" s="115">
        <f>N32</f>
        <v>1106402.6227175002</v>
      </c>
      <c r="D45" s="843">
        <v>8922.0364300000001</v>
      </c>
      <c r="E45" s="115">
        <f>[4]E_BCDC!$C$45</f>
        <v>974732.47997750004</v>
      </c>
      <c r="F45" s="116">
        <f t="shared" ref="F45:F51" si="6">C45-E45</f>
        <v>131670.14274000016</v>
      </c>
      <c r="G45" s="1308">
        <f t="shared" ref="G45:G51" si="7">IFERROR(F45/E45,0)</f>
        <v>0.13508336435350909</v>
      </c>
      <c r="H45" s="412"/>
      <c r="J45" s="143"/>
      <c r="K45" s="860"/>
      <c r="L45" s="953"/>
    </row>
    <row r="46" spans="1:18">
      <c r="A46" s="127" t="s">
        <v>40</v>
      </c>
      <c r="B46" s="126">
        <f>'[26]CBK-Format _Consolidated'!K47</f>
        <v>100414.10371</v>
      </c>
      <c r="C46" s="115">
        <f>N37</f>
        <v>11737465.878604999</v>
      </c>
      <c r="D46" s="843">
        <v>32216.321640000009</v>
      </c>
      <c r="E46" s="115">
        <f>SUM(N35)</f>
        <v>3519633.1391700003</v>
      </c>
      <c r="F46" s="116">
        <f t="shared" si="6"/>
        <v>8217832.7394349985</v>
      </c>
      <c r="G46" s="1308">
        <f t="shared" si="7"/>
        <v>2.3348549165476169</v>
      </c>
      <c r="H46" s="289"/>
      <c r="J46" s="143"/>
      <c r="K46" s="860"/>
      <c r="O46" s="143"/>
      <c r="P46" s="143"/>
    </row>
    <row r="47" spans="1:18">
      <c r="A47" s="127" t="s">
        <v>41</v>
      </c>
      <c r="B47" s="945">
        <f>'[26]CBK-Format _Consolidated'!K48</f>
        <v>-47445.957699358012</v>
      </c>
      <c r="C47" s="115">
        <v>-4278196.723315239</v>
      </c>
      <c r="D47" s="843">
        <f>[4]E_BCDC!$B$47</f>
        <v>-30557.006283457715</v>
      </c>
      <c r="E47" s="115">
        <f>[4]E_BCDC!$C$47</f>
        <v>-3268563.5896376371</v>
      </c>
      <c r="F47" s="116">
        <f>C47-E47</f>
        <v>-1009633.1336776018</v>
      </c>
      <c r="G47" s="1308">
        <f t="shared" si="7"/>
        <v>0.3088919967408475</v>
      </c>
      <c r="H47" s="289"/>
      <c r="J47" s="143"/>
      <c r="K47" s="860"/>
      <c r="O47" s="143"/>
      <c r="P47" s="143"/>
    </row>
    <row r="48" spans="1:18">
      <c r="A48" s="131" t="s">
        <v>42</v>
      </c>
      <c r="B48" s="126">
        <f>'[26]CBK-Format _Consolidated'!K49</f>
        <v>318491.02589089674</v>
      </c>
      <c r="C48" s="115">
        <f>B48*$C$1</f>
        <v>43314779.521161959</v>
      </c>
      <c r="D48" s="843">
        <f>[4]E_BCDC!B48</f>
        <v>256372.57357801357</v>
      </c>
      <c r="E48" s="115">
        <f>[4]E_BCDC!C48</f>
        <v>29700762.649012871</v>
      </c>
      <c r="F48" s="116">
        <f t="shared" si="6"/>
        <v>13614016.872149087</v>
      </c>
      <c r="G48" s="1308">
        <f t="shared" si="7"/>
        <v>0.45837263618554119</v>
      </c>
      <c r="H48" s="289"/>
      <c r="I48" s="102" t="s">
        <v>520</v>
      </c>
      <c r="J48" s="313">
        <v>287180.98579779587</v>
      </c>
      <c r="K48" s="896">
        <f>B48-J48</f>
        <v>31310.040093100863</v>
      </c>
      <c r="O48" s="143"/>
      <c r="P48" s="143"/>
      <c r="R48" s="143"/>
    </row>
    <row r="49" spans="1:16328">
      <c r="A49" s="127" t="s">
        <v>43</v>
      </c>
      <c r="B49" s="126">
        <f>'[26]CBK-Format _Consolidated'!K50</f>
        <v>0</v>
      </c>
      <c r="C49" s="115">
        <f>B49*$C$1</f>
        <v>0</v>
      </c>
      <c r="D49" s="843">
        <f>[4]E_BCDC!B49</f>
        <v>0</v>
      </c>
      <c r="E49" s="115">
        <f>[4]E_BCDC!C49</f>
        <v>0</v>
      </c>
      <c r="F49" s="116">
        <f t="shared" si="6"/>
        <v>0</v>
      </c>
      <c r="G49" s="1308">
        <f t="shared" si="7"/>
        <v>0</v>
      </c>
      <c r="I49" s="102" t="s">
        <v>521</v>
      </c>
      <c r="J49" s="897"/>
      <c r="K49" s="896">
        <f>B96</f>
        <v>31680.515229834888</v>
      </c>
      <c r="O49" s="143"/>
      <c r="P49" s="143"/>
    </row>
    <row r="50" spans="1:16328" s="118" customFormat="1">
      <c r="A50" s="127" t="s">
        <v>44</v>
      </c>
      <c r="B50" s="126">
        <f>'[26]CBK-Format _Consolidated'!K51</f>
        <v>0</v>
      </c>
      <c r="C50" s="115">
        <f>B50*$C$1</f>
        <v>0</v>
      </c>
      <c r="D50" s="843">
        <f>[4]E_BCDC!B50</f>
        <v>0</v>
      </c>
      <c r="E50" s="115">
        <f>[4]E_BCDC!C50</f>
        <v>0</v>
      </c>
      <c r="F50" s="116">
        <f t="shared" si="6"/>
        <v>0</v>
      </c>
      <c r="G50" s="1308">
        <f t="shared" si="7"/>
        <v>0</v>
      </c>
      <c r="H50" s="286"/>
      <c r="J50" s="898" t="s">
        <v>478</v>
      </c>
      <c r="K50" s="1184">
        <f>K48-K49</f>
        <v>-370.475136734025</v>
      </c>
      <c r="L50" s="1185"/>
      <c r="O50" s="1185"/>
      <c r="P50" s="143"/>
    </row>
    <row r="51" spans="1:16328">
      <c r="A51" s="127" t="s">
        <v>45</v>
      </c>
      <c r="B51" s="126">
        <f>'[26]CBK-Format _Consolidated'!$K52</f>
        <v>0</v>
      </c>
      <c r="C51" s="115">
        <f>B51*$C$1</f>
        <v>0</v>
      </c>
      <c r="D51" s="843">
        <f>[4]E_BCDC!B51</f>
        <v>0</v>
      </c>
      <c r="E51" s="115">
        <f>[4]E_BCDC!C51</f>
        <v>0</v>
      </c>
      <c r="F51" s="116">
        <f t="shared" si="6"/>
        <v>0</v>
      </c>
      <c r="G51" s="1308">
        <f t="shared" si="7"/>
        <v>0</v>
      </c>
      <c r="J51" s="143"/>
      <c r="K51" s="860"/>
      <c r="O51" s="143"/>
      <c r="P51" s="143"/>
    </row>
    <row r="52" spans="1:16328" ht="14.25" customHeight="1">
      <c r="A52" s="132" t="s">
        <v>108</v>
      </c>
      <c r="B52" s="144">
        <f>SUM(B45:B51)</f>
        <v>381473.90661153872</v>
      </c>
      <c r="C52" s="133">
        <f>SUM(C45:C51)</f>
        <v>51880451.29916922</v>
      </c>
      <c r="D52" s="133">
        <f>SUM(D45:D51)</f>
        <v>266953.92536455585</v>
      </c>
      <c r="E52" s="133">
        <f>SUM(E45:E51)</f>
        <v>30926564.678522736</v>
      </c>
      <c r="F52" s="134">
        <f>C52-E52</f>
        <v>20953886.620646484</v>
      </c>
      <c r="G52" s="1313">
        <f>IFERROR(F52/E52,0)</f>
        <v>0.67753683082680438</v>
      </c>
      <c r="H52" s="289"/>
      <c r="J52" s="143"/>
      <c r="K52" s="860"/>
      <c r="O52" s="143"/>
      <c r="P52" s="143"/>
    </row>
    <row r="53" spans="1:16328">
      <c r="A53" s="135"/>
      <c r="B53" s="102"/>
      <c r="C53" s="102"/>
      <c r="D53" s="102"/>
      <c r="G53" s="1312"/>
      <c r="J53" s="143"/>
      <c r="K53" s="860"/>
      <c r="O53" s="143"/>
      <c r="P53" s="143"/>
    </row>
    <row r="54" spans="1:16328" s="138" customFormat="1" ht="18" customHeight="1" thickBot="1">
      <c r="A54" s="136" t="s">
        <v>109</v>
      </c>
      <c r="B54" s="145">
        <f>B42+B52</f>
        <v>3450999.9239084627</v>
      </c>
      <c r="C54" s="137">
        <f>C42+C52</f>
        <v>469335989.65155095</v>
      </c>
      <c r="D54" s="137">
        <f>D42+D52</f>
        <v>2908839.784618753</v>
      </c>
      <c r="E54" s="137">
        <f>E42+E52</f>
        <v>336989041.47312152</v>
      </c>
      <c r="F54" s="137">
        <f>C54-E54</f>
        <v>132346948.17842942</v>
      </c>
      <c r="G54" s="1314">
        <f>IFERROR(F54/E54,0)</f>
        <v>0.3927336853444402</v>
      </c>
      <c r="H54" s="287"/>
      <c r="I54" s="102"/>
      <c r="J54" s="859"/>
      <c r="K54" s="860">
        <f>C52*N93</f>
        <v>7542839.126922329</v>
      </c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2"/>
      <c r="AW54" s="102"/>
      <c r="AX54" s="102"/>
      <c r="AY54" s="102"/>
      <c r="AZ54" s="102"/>
      <c r="BA54" s="102"/>
      <c r="BB54" s="102"/>
      <c r="BC54" s="102"/>
      <c r="BD54" s="102"/>
      <c r="BE54" s="102"/>
      <c r="BF54" s="102"/>
      <c r="BG54" s="102"/>
      <c r="BH54" s="102"/>
      <c r="BI54" s="102"/>
      <c r="BJ54" s="102"/>
      <c r="BK54" s="102"/>
      <c r="BL54" s="102"/>
      <c r="BM54" s="102"/>
      <c r="BN54" s="102"/>
      <c r="BO54" s="102"/>
      <c r="BP54" s="102"/>
      <c r="BQ54" s="102"/>
      <c r="BR54" s="102"/>
      <c r="BS54" s="102"/>
      <c r="BT54" s="102"/>
      <c r="BU54" s="102"/>
      <c r="BV54" s="102"/>
      <c r="BW54" s="102"/>
      <c r="BX54" s="102"/>
      <c r="BY54" s="102"/>
      <c r="BZ54" s="102"/>
      <c r="CA54" s="102"/>
      <c r="CB54" s="102"/>
      <c r="CC54" s="102"/>
      <c r="CD54" s="102"/>
      <c r="CE54" s="102"/>
      <c r="CF54" s="102"/>
      <c r="CG54" s="102"/>
      <c r="CH54" s="102"/>
      <c r="CI54" s="102"/>
      <c r="CJ54" s="102"/>
      <c r="CK54" s="102"/>
      <c r="CL54" s="102"/>
      <c r="CM54" s="102"/>
      <c r="CN54" s="102"/>
      <c r="CO54" s="102"/>
      <c r="CP54" s="102"/>
      <c r="CQ54" s="102"/>
      <c r="CR54" s="102"/>
      <c r="CS54" s="102"/>
      <c r="CT54" s="102"/>
      <c r="CU54" s="102"/>
      <c r="CV54" s="102"/>
      <c r="CW54" s="102"/>
      <c r="CX54" s="102"/>
      <c r="CY54" s="102"/>
      <c r="CZ54" s="102"/>
      <c r="DA54" s="102"/>
      <c r="DB54" s="102"/>
      <c r="DC54" s="102"/>
      <c r="DD54" s="102"/>
      <c r="DE54" s="102"/>
      <c r="DF54" s="102"/>
      <c r="DG54" s="102"/>
      <c r="DH54" s="102"/>
      <c r="DI54" s="102"/>
      <c r="DJ54" s="102"/>
      <c r="DK54" s="102"/>
      <c r="DL54" s="102"/>
      <c r="DM54" s="102"/>
      <c r="DN54" s="102"/>
      <c r="DO54" s="102"/>
      <c r="DP54" s="102"/>
      <c r="DQ54" s="102"/>
      <c r="DR54" s="102"/>
      <c r="DS54" s="102"/>
      <c r="DT54" s="102"/>
      <c r="DU54" s="102"/>
      <c r="DV54" s="102"/>
      <c r="DW54" s="102"/>
      <c r="DX54" s="102"/>
      <c r="DY54" s="102"/>
      <c r="DZ54" s="102"/>
      <c r="EA54" s="102"/>
      <c r="EB54" s="102"/>
      <c r="EC54" s="102"/>
      <c r="ED54" s="102"/>
      <c r="EE54" s="102"/>
      <c r="EF54" s="102"/>
      <c r="EG54" s="102"/>
      <c r="EH54" s="102"/>
      <c r="EI54" s="102"/>
      <c r="EJ54" s="102"/>
      <c r="EK54" s="102"/>
      <c r="EL54" s="102"/>
      <c r="EM54" s="102"/>
      <c r="EN54" s="102"/>
      <c r="EO54" s="102"/>
      <c r="EP54" s="102"/>
      <c r="EQ54" s="102"/>
      <c r="ER54" s="102"/>
      <c r="ES54" s="102"/>
      <c r="ET54" s="102"/>
      <c r="EU54" s="102"/>
      <c r="EV54" s="102"/>
      <c r="EW54" s="102"/>
      <c r="EX54" s="102"/>
      <c r="EY54" s="102"/>
      <c r="EZ54" s="102"/>
      <c r="FA54" s="102"/>
      <c r="FB54" s="102"/>
      <c r="FC54" s="102"/>
      <c r="FD54" s="102"/>
      <c r="FE54" s="102"/>
      <c r="FF54" s="102"/>
      <c r="FG54" s="102"/>
      <c r="FH54" s="102"/>
      <c r="FI54" s="102"/>
      <c r="FJ54" s="102"/>
      <c r="FK54" s="102"/>
      <c r="FL54" s="102"/>
      <c r="FM54" s="102"/>
      <c r="FN54" s="102"/>
      <c r="FO54" s="102"/>
      <c r="FP54" s="102"/>
      <c r="FQ54" s="102"/>
      <c r="FR54" s="102"/>
      <c r="FS54" s="102"/>
      <c r="FT54" s="102"/>
      <c r="FU54" s="102"/>
      <c r="FV54" s="102"/>
      <c r="FW54" s="102"/>
      <c r="FX54" s="102"/>
      <c r="FY54" s="102"/>
      <c r="FZ54" s="102"/>
      <c r="GA54" s="102"/>
      <c r="GB54" s="102"/>
      <c r="GC54" s="102"/>
      <c r="GD54" s="102"/>
      <c r="GE54" s="102"/>
      <c r="GF54" s="102"/>
      <c r="GG54" s="102"/>
      <c r="GH54" s="102"/>
      <c r="GI54" s="102"/>
      <c r="GJ54" s="102"/>
      <c r="GK54" s="102"/>
      <c r="GL54" s="102"/>
      <c r="GM54" s="102"/>
      <c r="GN54" s="102"/>
      <c r="GO54" s="102"/>
      <c r="GP54" s="102"/>
      <c r="GQ54" s="102"/>
      <c r="GR54" s="102"/>
      <c r="GS54" s="102"/>
      <c r="GT54" s="102"/>
      <c r="GU54" s="102"/>
      <c r="GV54" s="102"/>
      <c r="GW54" s="102"/>
      <c r="GX54" s="102"/>
      <c r="GY54" s="102"/>
      <c r="GZ54" s="102"/>
      <c r="HA54" s="102"/>
      <c r="HB54" s="102"/>
      <c r="HC54" s="102"/>
      <c r="HD54" s="102"/>
      <c r="HE54" s="102"/>
      <c r="HF54" s="102"/>
      <c r="HG54" s="102"/>
      <c r="HH54" s="102"/>
      <c r="HI54" s="102"/>
      <c r="HJ54" s="102"/>
      <c r="HK54" s="102"/>
      <c r="HL54" s="102"/>
      <c r="HM54" s="102"/>
      <c r="HN54" s="102"/>
      <c r="HO54" s="102"/>
      <c r="HP54" s="102"/>
      <c r="HQ54" s="102"/>
      <c r="HR54" s="102"/>
      <c r="HS54" s="102"/>
      <c r="HT54" s="102"/>
      <c r="HU54" s="102"/>
      <c r="HV54" s="102"/>
      <c r="HW54" s="102"/>
      <c r="HX54" s="102"/>
      <c r="HY54" s="102"/>
      <c r="HZ54" s="102"/>
      <c r="IA54" s="102"/>
      <c r="IB54" s="102"/>
      <c r="IC54" s="102"/>
      <c r="ID54" s="102"/>
      <c r="IE54" s="102"/>
      <c r="IF54" s="102"/>
      <c r="IG54" s="102"/>
      <c r="IH54" s="102"/>
      <c r="II54" s="102"/>
      <c r="IJ54" s="102"/>
      <c r="IK54" s="102"/>
      <c r="IL54" s="102"/>
      <c r="IM54" s="102"/>
      <c r="IN54" s="102"/>
      <c r="IO54" s="102"/>
      <c r="IP54" s="102"/>
      <c r="IQ54" s="102"/>
      <c r="IR54" s="102"/>
      <c r="IS54" s="102"/>
      <c r="IT54" s="102"/>
      <c r="IU54" s="102"/>
      <c r="IV54" s="102"/>
      <c r="IW54" s="102"/>
      <c r="IX54" s="102"/>
      <c r="IY54" s="102"/>
      <c r="IZ54" s="102"/>
      <c r="JA54" s="102"/>
      <c r="JB54" s="102"/>
      <c r="JC54" s="102"/>
      <c r="JD54" s="102"/>
      <c r="JE54" s="102"/>
      <c r="JF54" s="102"/>
      <c r="JG54" s="102"/>
      <c r="JH54" s="102"/>
      <c r="JI54" s="102"/>
      <c r="JJ54" s="102"/>
      <c r="JK54" s="102"/>
      <c r="JL54" s="102"/>
      <c r="JM54" s="102"/>
      <c r="JN54" s="102"/>
      <c r="JO54" s="102"/>
      <c r="JP54" s="102"/>
      <c r="JQ54" s="102"/>
      <c r="JR54" s="102"/>
      <c r="JS54" s="102"/>
      <c r="JT54" s="102"/>
      <c r="JU54" s="102"/>
      <c r="JV54" s="102"/>
      <c r="JW54" s="102"/>
      <c r="JX54" s="102"/>
      <c r="JY54" s="102"/>
      <c r="JZ54" s="102"/>
      <c r="KA54" s="102"/>
      <c r="KB54" s="102"/>
      <c r="KC54" s="102"/>
      <c r="KD54" s="102"/>
      <c r="KE54" s="102"/>
      <c r="KF54" s="102"/>
      <c r="KG54" s="102"/>
      <c r="KH54" s="102"/>
      <c r="KI54" s="102"/>
      <c r="KJ54" s="102"/>
      <c r="KK54" s="102"/>
      <c r="KL54" s="102"/>
      <c r="KM54" s="102"/>
      <c r="KN54" s="102"/>
      <c r="KO54" s="102"/>
      <c r="KP54" s="102"/>
      <c r="KQ54" s="102"/>
      <c r="KR54" s="102"/>
      <c r="KS54" s="102"/>
      <c r="KT54" s="102"/>
      <c r="KU54" s="102"/>
      <c r="KV54" s="102"/>
      <c r="KW54" s="102"/>
      <c r="KX54" s="102"/>
      <c r="KY54" s="102"/>
      <c r="KZ54" s="102"/>
      <c r="LA54" s="102"/>
      <c r="LB54" s="102"/>
      <c r="LC54" s="102"/>
      <c r="LD54" s="102"/>
      <c r="LE54" s="102"/>
      <c r="LF54" s="102"/>
      <c r="LG54" s="102"/>
      <c r="LH54" s="102"/>
      <c r="LI54" s="102"/>
      <c r="LJ54" s="102"/>
      <c r="LK54" s="102"/>
      <c r="LL54" s="102"/>
      <c r="LM54" s="102"/>
      <c r="LN54" s="102"/>
      <c r="LO54" s="102"/>
      <c r="LP54" s="102"/>
      <c r="LQ54" s="102"/>
      <c r="LR54" s="102"/>
      <c r="LS54" s="102"/>
      <c r="LT54" s="102"/>
      <c r="LU54" s="102"/>
      <c r="LV54" s="102"/>
      <c r="LW54" s="102"/>
      <c r="LX54" s="102"/>
      <c r="LY54" s="102"/>
      <c r="LZ54" s="102"/>
      <c r="MA54" s="102"/>
      <c r="MB54" s="102"/>
      <c r="MC54" s="102"/>
      <c r="MD54" s="102"/>
      <c r="ME54" s="102"/>
      <c r="MF54" s="102"/>
      <c r="MG54" s="102"/>
      <c r="MH54" s="102"/>
      <c r="MI54" s="102"/>
      <c r="MJ54" s="102"/>
      <c r="MK54" s="102"/>
      <c r="ML54" s="102"/>
      <c r="MM54" s="102"/>
      <c r="MN54" s="102"/>
      <c r="MO54" s="102"/>
      <c r="MP54" s="102"/>
      <c r="MQ54" s="102"/>
      <c r="MR54" s="102"/>
      <c r="MS54" s="102"/>
      <c r="MT54" s="102"/>
      <c r="MU54" s="102"/>
      <c r="MV54" s="102"/>
      <c r="MW54" s="102"/>
      <c r="MX54" s="102"/>
      <c r="MY54" s="102"/>
      <c r="MZ54" s="102"/>
      <c r="NA54" s="102"/>
      <c r="NB54" s="102"/>
      <c r="NC54" s="102"/>
      <c r="ND54" s="102"/>
      <c r="NE54" s="102"/>
      <c r="NF54" s="102"/>
      <c r="NG54" s="102"/>
      <c r="NH54" s="102"/>
      <c r="NI54" s="102"/>
      <c r="NJ54" s="102"/>
      <c r="NK54" s="102"/>
      <c r="NL54" s="102"/>
      <c r="NM54" s="102"/>
      <c r="NN54" s="102"/>
      <c r="NO54" s="102"/>
      <c r="NP54" s="102"/>
      <c r="NQ54" s="102"/>
      <c r="NR54" s="102"/>
      <c r="NS54" s="102"/>
      <c r="NT54" s="102"/>
      <c r="NU54" s="102"/>
      <c r="NV54" s="102"/>
      <c r="NW54" s="102"/>
      <c r="NX54" s="102"/>
      <c r="NY54" s="102"/>
      <c r="NZ54" s="102"/>
      <c r="OA54" s="102"/>
      <c r="OB54" s="102"/>
      <c r="OC54" s="102"/>
      <c r="OD54" s="102"/>
      <c r="OE54" s="102"/>
      <c r="OF54" s="102"/>
      <c r="OG54" s="102"/>
      <c r="OH54" s="102"/>
      <c r="OI54" s="102"/>
      <c r="OJ54" s="102"/>
      <c r="OK54" s="102"/>
      <c r="OL54" s="102"/>
      <c r="OM54" s="102"/>
      <c r="ON54" s="102"/>
      <c r="OO54" s="102"/>
      <c r="OP54" s="102"/>
      <c r="OQ54" s="102"/>
      <c r="OR54" s="102"/>
      <c r="OS54" s="102"/>
      <c r="OT54" s="102"/>
      <c r="OU54" s="102"/>
      <c r="OV54" s="102"/>
      <c r="OW54" s="102"/>
      <c r="OX54" s="102"/>
      <c r="OY54" s="102"/>
      <c r="OZ54" s="102"/>
      <c r="PA54" s="102"/>
      <c r="PB54" s="102"/>
      <c r="PC54" s="102"/>
      <c r="PD54" s="102"/>
      <c r="PE54" s="102"/>
      <c r="PF54" s="102"/>
      <c r="PG54" s="102"/>
      <c r="PH54" s="102"/>
      <c r="PI54" s="102"/>
      <c r="PJ54" s="102"/>
      <c r="PK54" s="102"/>
      <c r="PL54" s="102"/>
      <c r="PM54" s="102"/>
      <c r="PN54" s="102"/>
      <c r="PO54" s="102"/>
      <c r="PP54" s="102"/>
      <c r="PQ54" s="102"/>
      <c r="PR54" s="102"/>
      <c r="PS54" s="102"/>
      <c r="PT54" s="102"/>
      <c r="PU54" s="102"/>
      <c r="PV54" s="102"/>
      <c r="PW54" s="102"/>
      <c r="PX54" s="102"/>
      <c r="PY54" s="102"/>
      <c r="PZ54" s="102"/>
      <c r="QA54" s="102"/>
      <c r="QB54" s="102"/>
      <c r="QC54" s="102"/>
      <c r="QD54" s="102"/>
      <c r="QE54" s="102"/>
      <c r="QF54" s="102"/>
      <c r="QG54" s="102"/>
      <c r="QH54" s="102"/>
      <c r="QI54" s="102"/>
      <c r="QJ54" s="102"/>
      <c r="QK54" s="102"/>
      <c r="QL54" s="102"/>
      <c r="QM54" s="102"/>
      <c r="QN54" s="102"/>
      <c r="QO54" s="102"/>
      <c r="QP54" s="102"/>
      <c r="QQ54" s="102"/>
      <c r="QR54" s="102"/>
      <c r="QS54" s="102"/>
      <c r="QT54" s="102"/>
      <c r="QU54" s="102"/>
      <c r="QV54" s="102"/>
      <c r="QW54" s="102"/>
      <c r="QX54" s="102"/>
      <c r="QY54" s="102"/>
      <c r="QZ54" s="102"/>
      <c r="RA54" s="102"/>
      <c r="RB54" s="102"/>
      <c r="RC54" s="102"/>
      <c r="RD54" s="102"/>
      <c r="RE54" s="102"/>
      <c r="RF54" s="102"/>
      <c r="RG54" s="102"/>
      <c r="RH54" s="102"/>
      <c r="RI54" s="102"/>
      <c r="RJ54" s="102"/>
      <c r="RK54" s="102"/>
      <c r="RL54" s="102"/>
      <c r="RM54" s="102"/>
      <c r="RN54" s="102"/>
      <c r="RO54" s="102"/>
      <c r="RP54" s="102"/>
      <c r="RQ54" s="102"/>
      <c r="RR54" s="102"/>
      <c r="RS54" s="102"/>
      <c r="RT54" s="102"/>
      <c r="RU54" s="102"/>
      <c r="RV54" s="102"/>
      <c r="RW54" s="102"/>
      <c r="RX54" s="102"/>
      <c r="RY54" s="102"/>
      <c r="RZ54" s="102"/>
      <c r="SA54" s="102"/>
      <c r="SB54" s="102"/>
      <c r="SC54" s="102"/>
      <c r="SD54" s="102"/>
      <c r="SE54" s="102"/>
      <c r="SF54" s="102"/>
      <c r="SG54" s="102"/>
      <c r="SH54" s="102"/>
      <c r="SI54" s="102"/>
      <c r="SJ54" s="102"/>
      <c r="SK54" s="102"/>
      <c r="SL54" s="102"/>
      <c r="SM54" s="102"/>
      <c r="SN54" s="102"/>
      <c r="SO54" s="102"/>
      <c r="SP54" s="102"/>
      <c r="SQ54" s="102"/>
      <c r="SR54" s="102"/>
      <c r="SS54" s="102"/>
      <c r="ST54" s="102"/>
      <c r="SU54" s="102"/>
      <c r="SV54" s="102"/>
      <c r="SW54" s="102"/>
      <c r="SX54" s="102"/>
      <c r="SY54" s="102"/>
      <c r="SZ54" s="102"/>
      <c r="TA54" s="102"/>
      <c r="TB54" s="102"/>
      <c r="TC54" s="102"/>
      <c r="TD54" s="102"/>
      <c r="TE54" s="102"/>
      <c r="TF54" s="102"/>
      <c r="TG54" s="102"/>
      <c r="TH54" s="102"/>
      <c r="TI54" s="102"/>
      <c r="TJ54" s="102"/>
      <c r="TK54" s="102"/>
      <c r="TL54" s="102"/>
      <c r="TM54" s="102"/>
      <c r="TN54" s="102"/>
      <c r="TO54" s="102"/>
      <c r="TP54" s="102"/>
      <c r="TQ54" s="102"/>
      <c r="TR54" s="102"/>
      <c r="TS54" s="102"/>
      <c r="TT54" s="102"/>
      <c r="TU54" s="102"/>
      <c r="TV54" s="102"/>
      <c r="TW54" s="102"/>
      <c r="TX54" s="102"/>
      <c r="TY54" s="102"/>
      <c r="TZ54" s="102"/>
      <c r="UA54" s="102"/>
      <c r="UB54" s="102"/>
      <c r="UC54" s="102"/>
      <c r="UD54" s="102"/>
      <c r="UE54" s="102"/>
      <c r="UF54" s="102"/>
      <c r="UG54" s="102"/>
      <c r="UH54" s="102"/>
      <c r="UI54" s="102"/>
      <c r="UJ54" s="102"/>
      <c r="UK54" s="102"/>
      <c r="UL54" s="102"/>
      <c r="UM54" s="102"/>
      <c r="UN54" s="102"/>
      <c r="UO54" s="102"/>
      <c r="UP54" s="102"/>
      <c r="UQ54" s="102"/>
      <c r="UR54" s="102"/>
      <c r="US54" s="102"/>
      <c r="UT54" s="102"/>
      <c r="UU54" s="102"/>
      <c r="UV54" s="102"/>
      <c r="UW54" s="102"/>
      <c r="UX54" s="102"/>
      <c r="UY54" s="102"/>
      <c r="UZ54" s="102"/>
      <c r="VA54" s="102"/>
      <c r="VB54" s="102"/>
      <c r="VC54" s="102"/>
      <c r="VD54" s="102"/>
      <c r="VE54" s="102"/>
      <c r="VF54" s="102"/>
      <c r="VG54" s="102"/>
      <c r="VH54" s="102"/>
      <c r="VI54" s="102"/>
      <c r="VJ54" s="102"/>
      <c r="VK54" s="102"/>
      <c r="VL54" s="102"/>
      <c r="VM54" s="102"/>
      <c r="VN54" s="102"/>
      <c r="VO54" s="102"/>
      <c r="VP54" s="102"/>
      <c r="VQ54" s="102"/>
      <c r="VR54" s="102"/>
      <c r="VS54" s="102"/>
      <c r="VT54" s="102"/>
      <c r="VU54" s="102"/>
      <c r="VV54" s="102"/>
      <c r="VW54" s="102"/>
      <c r="VX54" s="102"/>
      <c r="VY54" s="102"/>
      <c r="VZ54" s="102"/>
      <c r="WA54" s="102"/>
      <c r="WB54" s="102"/>
      <c r="WC54" s="102"/>
      <c r="WD54" s="102"/>
      <c r="WE54" s="102"/>
      <c r="WF54" s="102"/>
      <c r="WG54" s="102"/>
      <c r="WH54" s="102"/>
      <c r="WI54" s="102"/>
      <c r="WJ54" s="102"/>
      <c r="WK54" s="102"/>
      <c r="WL54" s="102"/>
      <c r="WM54" s="102"/>
      <c r="WN54" s="102"/>
      <c r="WO54" s="102"/>
      <c r="WP54" s="102"/>
      <c r="WQ54" s="102"/>
      <c r="WR54" s="102"/>
      <c r="WS54" s="102"/>
      <c r="WT54" s="102"/>
      <c r="WU54" s="102"/>
      <c r="WV54" s="102"/>
      <c r="WW54" s="102"/>
      <c r="WX54" s="102"/>
      <c r="WY54" s="102"/>
      <c r="WZ54" s="102"/>
      <c r="XA54" s="102"/>
      <c r="XB54" s="102"/>
      <c r="XC54" s="102"/>
      <c r="XD54" s="102"/>
      <c r="XE54" s="102"/>
      <c r="XF54" s="102"/>
      <c r="XG54" s="102"/>
      <c r="XH54" s="102"/>
      <c r="XI54" s="102"/>
      <c r="XJ54" s="102"/>
      <c r="XK54" s="102"/>
      <c r="XL54" s="102"/>
      <c r="XM54" s="102"/>
      <c r="XN54" s="102"/>
      <c r="XO54" s="102"/>
      <c r="XP54" s="102"/>
      <c r="XQ54" s="102"/>
      <c r="XR54" s="102"/>
      <c r="XS54" s="102"/>
      <c r="XT54" s="102"/>
      <c r="XU54" s="102"/>
      <c r="XV54" s="102"/>
      <c r="XW54" s="102"/>
      <c r="XX54" s="102"/>
      <c r="XY54" s="102"/>
      <c r="XZ54" s="102"/>
      <c r="YA54" s="102"/>
      <c r="YB54" s="102"/>
      <c r="YC54" s="102"/>
      <c r="YD54" s="102"/>
      <c r="YE54" s="102"/>
      <c r="YF54" s="102"/>
      <c r="YG54" s="102"/>
      <c r="YH54" s="102"/>
      <c r="YI54" s="102"/>
      <c r="YJ54" s="102"/>
      <c r="YK54" s="102"/>
      <c r="YL54" s="102"/>
      <c r="YM54" s="102"/>
      <c r="YN54" s="102"/>
      <c r="YO54" s="102"/>
      <c r="YP54" s="102"/>
      <c r="YQ54" s="102"/>
      <c r="YR54" s="102"/>
      <c r="YS54" s="102"/>
      <c r="YT54" s="102"/>
      <c r="YU54" s="102"/>
      <c r="YV54" s="102"/>
      <c r="YW54" s="102"/>
      <c r="YX54" s="102"/>
      <c r="YY54" s="102"/>
      <c r="YZ54" s="102"/>
      <c r="ZA54" s="102"/>
      <c r="ZB54" s="102"/>
      <c r="ZC54" s="102"/>
      <c r="ZD54" s="102"/>
      <c r="ZE54" s="102"/>
      <c r="ZF54" s="102"/>
      <c r="ZG54" s="102"/>
      <c r="ZH54" s="102"/>
      <c r="ZI54" s="102"/>
      <c r="ZJ54" s="102"/>
      <c r="ZK54" s="102"/>
      <c r="ZL54" s="102"/>
      <c r="ZM54" s="102"/>
      <c r="ZN54" s="102"/>
      <c r="ZO54" s="102"/>
      <c r="ZP54" s="102"/>
      <c r="ZQ54" s="102"/>
      <c r="ZR54" s="102"/>
      <c r="ZS54" s="102"/>
      <c r="ZT54" s="102"/>
      <c r="ZU54" s="102"/>
      <c r="ZV54" s="102"/>
      <c r="ZW54" s="102"/>
      <c r="ZX54" s="102"/>
      <c r="ZY54" s="102"/>
      <c r="ZZ54" s="102"/>
      <c r="AAA54" s="102"/>
      <c r="AAB54" s="102"/>
      <c r="AAC54" s="102"/>
      <c r="AAD54" s="102"/>
      <c r="AAE54" s="102"/>
      <c r="AAF54" s="102"/>
      <c r="AAG54" s="102"/>
      <c r="AAH54" s="102"/>
      <c r="AAI54" s="102"/>
      <c r="AAJ54" s="102"/>
      <c r="AAK54" s="102"/>
      <c r="AAL54" s="102"/>
      <c r="AAM54" s="102"/>
      <c r="AAN54" s="102"/>
      <c r="AAO54" s="102"/>
      <c r="AAP54" s="102"/>
      <c r="AAQ54" s="102"/>
      <c r="AAR54" s="102"/>
      <c r="AAS54" s="102"/>
      <c r="AAT54" s="102"/>
      <c r="AAU54" s="102"/>
      <c r="AAV54" s="102"/>
      <c r="AAW54" s="102"/>
      <c r="AAX54" s="102"/>
      <c r="AAY54" s="102"/>
      <c r="AAZ54" s="102"/>
      <c r="ABA54" s="102"/>
      <c r="ABB54" s="102"/>
      <c r="ABC54" s="102"/>
      <c r="ABD54" s="102"/>
      <c r="ABE54" s="102"/>
      <c r="ABF54" s="102"/>
      <c r="ABG54" s="102"/>
      <c r="ABH54" s="102"/>
      <c r="ABI54" s="102"/>
      <c r="ABJ54" s="102"/>
      <c r="ABK54" s="102"/>
      <c r="ABL54" s="102"/>
      <c r="ABM54" s="102"/>
      <c r="ABN54" s="102"/>
      <c r="ABO54" s="102"/>
      <c r="ABP54" s="102"/>
      <c r="ABQ54" s="102"/>
      <c r="ABR54" s="102"/>
      <c r="ABS54" s="102"/>
      <c r="ABT54" s="102"/>
      <c r="ABU54" s="102"/>
      <c r="ABV54" s="102"/>
      <c r="ABW54" s="102"/>
      <c r="ABX54" s="102"/>
      <c r="ABY54" s="102"/>
      <c r="ABZ54" s="102"/>
      <c r="ACA54" s="102"/>
      <c r="ACB54" s="102"/>
      <c r="ACC54" s="102"/>
      <c r="ACD54" s="102"/>
      <c r="ACE54" s="102"/>
      <c r="ACF54" s="102"/>
      <c r="ACG54" s="102"/>
      <c r="ACH54" s="102"/>
      <c r="ACI54" s="102"/>
      <c r="ACJ54" s="102"/>
      <c r="ACK54" s="102"/>
      <c r="ACL54" s="102"/>
      <c r="ACM54" s="102"/>
      <c r="ACN54" s="102"/>
      <c r="ACO54" s="102"/>
      <c r="ACP54" s="102"/>
      <c r="ACQ54" s="102"/>
      <c r="ACR54" s="102"/>
      <c r="ACS54" s="102"/>
      <c r="ACT54" s="102"/>
      <c r="ACU54" s="102"/>
      <c r="ACV54" s="102"/>
      <c r="ACW54" s="102"/>
      <c r="ACX54" s="102"/>
      <c r="ACY54" s="102"/>
      <c r="ACZ54" s="102"/>
      <c r="ADA54" s="102"/>
      <c r="ADB54" s="102"/>
      <c r="ADC54" s="102"/>
      <c r="ADD54" s="102"/>
      <c r="ADE54" s="102"/>
      <c r="ADF54" s="102"/>
      <c r="ADG54" s="102"/>
      <c r="ADH54" s="102"/>
      <c r="ADI54" s="102"/>
      <c r="ADJ54" s="102"/>
      <c r="ADK54" s="102"/>
      <c r="ADL54" s="102"/>
      <c r="ADM54" s="102"/>
      <c r="ADN54" s="102"/>
      <c r="ADO54" s="102"/>
      <c r="ADP54" s="102"/>
      <c r="ADQ54" s="102"/>
      <c r="ADR54" s="102"/>
      <c r="ADS54" s="102"/>
      <c r="ADT54" s="102"/>
      <c r="ADU54" s="102"/>
      <c r="ADV54" s="102"/>
      <c r="ADW54" s="102"/>
      <c r="ADX54" s="102"/>
      <c r="ADY54" s="102"/>
      <c r="ADZ54" s="102"/>
      <c r="AEA54" s="102"/>
      <c r="AEB54" s="102"/>
      <c r="AEC54" s="102"/>
      <c r="AED54" s="102"/>
      <c r="AEE54" s="102"/>
      <c r="AEF54" s="102"/>
      <c r="AEG54" s="102"/>
      <c r="AEH54" s="102"/>
      <c r="AEI54" s="102"/>
      <c r="AEJ54" s="102"/>
      <c r="AEK54" s="102"/>
      <c r="AEL54" s="102"/>
      <c r="AEM54" s="102"/>
      <c r="AEN54" s="102"/>
      <c r="AEO54" s="102"/>
      <c r="AEP54" s="102"/>
      <c r="AEQ54" s="102"/>
      <c r="AER54" s="102"/>
      <c r="AES54" s="102"/>
      <c r="AET54" s="102"/>
      <c r="AEU54" s="102"/>
      <c r="AEV54" s="102"/>
      <c r="AEW54" s="102"/>
      <c r="AEX54" s="102"/>
      <c r="AEY54" s="102"/>
      <c r="AEZ54" s="102"/>
      <c r="AFA54" s="102"/>
      <c r="AFB54" s="102"/>
      <c r="AFC54" s="102"/>
      <c r="AFD54" s="102"/>
      <c r="AFE54" s="102"/>
      <c r="AFF54" s="102"/>
      <c r="AFG54" s="102"/>
      <c r="AFH54" s="102"/>
      <c r="AFI54" s="102"/>
      <c r="AFJ54" s="102"/>
      <c r="AFK54" s="102"/>
      <c r="AFL54" s="102"/>
      <c r="AFM54" s="102"/>
      <c r="AFN54" s="102"/>
      <c r="AFO54" s="102"/>
      <c r="AFP54" s="102"/>
      <c r="AFQ54" s="102"/>
      <c r="AFR54" s="102"/>
      <c r="AFS54" s="102"/>
      <c r="AFT54" s="102"/>
      <c r="AFU54" s="102"/>
      <c r="AFV54" s="102"/>
      <c r="AFW54" s="102"/>
      <c r="AFX54" s="102"/>
      <c r="AFY54" s="102"/>
      <c r="AFZ54" s="102"/>
      <c r="AGA54" s="102"/>
      <c r="AGB54" s="102"/>
      <c r="AGC54" s="102"/>
      <c r="AGD54" s="102"/>
      <c r="AGE54" s="102"/>
      <c r="AGF54" s="102"/>
      <c r="AGG54" s="102"/>
      <c r="AGH54" s="102"/>
      <c r="AGI54" s="102"/>
      <c r="AGJ54" s="102"/>
      <c r="AGK54" s="102"/>
      <c r="AGL54" s="102"/>
      <c r="AGM54" s="102"/>
      <c r="AGN54" s="102"/>
      <c r="AGO54" s="102"/>
      <c r="AGP54" s="102"/>
      <c r="AGQ54" s="102"/>
      <c r="AGR54" s="102"/>
      <c r="AGS54" s="102"/>
      <c r="AGT54" s="102"/>
      <c r="AGU54" s="102"/>
      <c r="AGV54" s="102"/>
      <c r="AGW54" s="102"/>
      <c r="AGX54" s="102"/>
      <c r="AGY54" s="102"/>
      <c r="AGZ54" s="102"/>
      <c r="AHA54" s="102"/>
      <c r="AHB54" s="102"/>
      <c r="AHC54" s="102"/>
      <c r="AHD54" s="102"/>
      <c r="AHE54" s="102"/>
      <c r="AHF54" s="102"/>
      <c r="AHG54" s="102"/>
      <c r="AHH54" s="102"/>
      <c r="AHI54" s="102"/>
      <c r="AHJ54" s="102"/>
      <c r="AHK54" s="102"/>
      <c r="AHL54" s="102"/>
      <c r="AHM54" s="102"/>
      <c r="AHN54" s="102"/>
      <c r="AHO54" s="102"/>
      <c r="AHP54" s="102"/>
      <c r="AHQ54" s="102"/>
      <c r="AHR54" s="102"/>
      <c r="AHS54" s="102"/>
      <c r="AHT54" s="102"/>
      <c r="AHU54" s="102"/>
      <c r="AHV54" s="102"/>
      <c r="AHW54" s="102"/>
      <c r="AHX54" s="102"/>
      <c r="AHY54" s="102"/>
      <c r="AHZ54" s="102"/>
      <c r="AIA54" s="102"/>
      <c r="AIB54" s="102"/>
      <c r="AIC54" s="102"/>
      <c r="AID54" s="102"/>
      <c r="AIE54" s="102"/>
      <c r="AIF54" s="102"/>
      <c r="AIG54" s="102"/>
      <c r="AIH54" s="102"/>
      <c r="AII54" s="102"/>
      <c r="AIJ54" s="102"/>
      <c r="AIK54" s="102"/>
      <c r="AIL54" s="102"/>
      <c r="AIM54" s="102"/>
      <c r="AIN54" s="102"/>
      <c r="AIO54" s="102"/>
      <c r="AIP54" s="102"/>
      <c r="AIQ54" s="102"/>
      <c r="AIR54" s="102"/>
      <c r="AIS54" s="102"/>
      <c r="AIT54" s="102"/>
      <c r="AIU54" s="102"/>
      <c r="AIV54" s="102"/>
      <c r="AIW54" s="102"/>
      <c r="AIX54" s="102"/>
      <c r="AIY54" s="102"/>
      <c r="AIZ54" s="102"/>
      <c r="AJA54" s="102"/>
      <c r="AJB54" s="102"/>
      <c r="AJC54" s="102"/>
      <c r="AJD54" s="102"/>
      <c r="AJE54" s="102"/>
      <c r="AJF54" s="102"/>
      <c r="AJG54" s="102"/>
      <c r="AJH54" s="102"/>
      <c r="AJI54" s="102"/>
      <c r="AJJ54" s="102"/>
      <c r="AJK54" s="102"/>
      <c r="AJL54" s="102"/>
      <c r="AJM54" s="102"/>
      <c r="AJN54" s="102"/>
      <c r="AJO54" s="102"/>
      <c r="AJP54" s="102"/>
      <c r="AJQ54" s="102"/>
      <c r="AJR54" s="102"/>
      <c r="AJS54" s="102"/>
      <c r="AJT54" s="102"/>
      <c r="AJU54" s="102"/>
      <c r="AJV54" s="102"/>
      <c r="AJW54" s="102"/>
      <c r="AJX54" s="102"/>
      <c r="AJY54" s="102"/>
      <c r="AJZ54" s="102"/>
      <c r="AKA54" s="102"/>
      <c r="AKB54" s="102"/>
      <c r="AKC54" s="102"/>
      <c r="AKD54" s="102"/>
      <c r="AKE54" s="102"/>
      <c r="AKF54" s="102"/>
      <c r="AKG54" s="102"/>
      <c r="AKH54" s="102"/>
      <c r="AKI54" s="102"/>
      <c r="AKJ54" s="102"/>
      <c r="AKK54" s="102"/>
      <c r="AKL54" s="102"/>
      <c r="AKM54" s="102"/>
      <c r="AKN54" s="102"/>
      <c r="AKO54" s="102"/>
      <c r="AKP54" s="102"/>
      <c r="AKQ54" s="102"/>
      <c r="AKR54" s="102"/>
      <c r="AKS54" s="102"/>
      <c r="AKT54" s="102"/>
      <c r="AKU54" s="102"/>
      <c r="AKV54" s="102"/>
      <c r="AKW54" s="102"/>
      <c r="AKX54" s="102"/>
      <c r="AKY54" s="102"/>
      <c r="AKZ54" s="102"/>
      <c r="ALA54" s="102"/>
      <c r="ALB54" s="102"/>
      <c r="ALC54" s="102"/>
      <c r="ALD54" s="102"/>
      <c r="ALE54" s="102"/>
      <c r="ALF54" s="102"/>
      <c r="ALG54" s="102"/>
      <c r="ALH54" s="102"/>
      <c r="ALI54" s="102"/>
      <c r="ALJ54" s="102"/>
      <c r="ALK54" s="102"/>
      <c r="ALL54" s="102"/>
      <c r="ALM54" s="102"/>
      <c r="ALN54" s="102"/>
      <c r="ALO54" s="102"/>
      <c r="ALP54" s="102"/>
      <c r="ALQ54" s="102"/>
      <c r="ALR54" s="102"/>
      <c r="ALS54" s="102"/>
      <c r="ALT54" s="102"/>
      <c r="ALU54" s="102"/>
      <c r="ALV54" s="102"/>
      <c r="ALW54" s="102"/>
      <c r="ALX54" s="102"/>
      <c r="ALY54" s="102"/>
      <c r="ALZ54" s="102"/>
      <c r="AMA54" s="102"/>
      <c r="AMB54" s="102"/>
      <c r="AMC54" s="102"/>
      <c r="AMD54" s="102"/>
      <c r="AME54" s="102"/>
      <c r="AMF54" s="102"/>
      <c r="AMG54" s="102"/>
      <c r="AMH54" s="102"/>
      <c r="AMI54" s="102"/>
      <c r="AMJ54" s="102"/>
      <c r="AMK54" s="102"/>
      <c r="AML54" s="102"/>
      <c r="AMM54" s="102"/>
      <c r="AMN54" s="102"/>
      <c r="AMO54" s="102"/>
      <c r="AMP54" s="102"/>
      <c r="AMQ54" s="102"/>
      <c r="AMR54" s="102"/>
      <c r="AMS54" s="102"/>
      <c r="AMT54" s="102"/>
      <c r="AMU54" s="102"/>
      <c r="AMV54" s="102"/>
      <c r="AMW54" s="102"/>
      <c r="AMX54" s="102"/>
      <c r="AMY54" s="102"/>
      <c r="AMZ54" s="102"/>
      <c r="ANA54" s="102"/>
      <c r="ANB54" s="102"/>
      <c r="ANC54" s="102"/>
      <c r="AND54" s="102"/>
      <c r="ANE54" s="102"/>
      <c r="ANF54" s="102"/>
      <c r="ANG54" s="102"/>
      <c r="ANH54" s="102"/>
      <c r="ANI54" s="102"/>
      <c r="ANJ54" s="102"/>
      <c r="ANK54" s="102"/>
      <c r="ANL54" s="102"/>
      <c r="ANM54" s="102"/>
      <c r="ANN54" s="102"/>
      <c r="ANO54" s="102"/>
      <c r="ANP54" s="102"/>
      <c r="ANQ54" s="102"/>
      <c r="ANR54" s="102"/>
      <c r="ANS54" s="102"/>
      <c r="ANT54" s="102"/>
      <c r="ANU54" s="102"/>
      <c r="ANV54" s="102"/>
      <c r="ANW54" s="102"/>
      <c r="ANX54" s="102"/>
      <c r="ANY54" s="102"/>
      <c r="ANZ54" s="102"/>
      <c r="AOA54" s="102"/>
      <c r="AOB54" s="102"/>
      <c r="AOC54" s="102"/>
      <c r="AOD54" s="102"/>
      <c r="AOE54" s="102"/>
      <c r="AOF54" s="102"/>
      <c r="AOG54" s="102"/>
      <c r="AOH54" s="102"/>
      <c r="AOI54" s="102"/>
      <c r="AOJ54" s="102"/>
      <c r="AOK54" s="102"/>
      <c r="AOL54" s="102"/>
      <c r="AOM54" s="102"/>
      <c r="AON54" s="102"/>
      <c r="AOO54" s="102"/>
      <c r="AOP54" s="102"/>
      <c r="AOQ54" s="102"/>
      <c r="AOR54" s="102"/>
      <c r="AOS54" s="102"/>
      <c r="AOT54" s="102"/>
      <c r="AOU54" s="102"/>
      <c r="AOV54" s="102"/>
      <c r="AOW54" s="102"/>
      <c r="AOX54" s="102"/>
      <c r="AOY54" s="102"/>
      <c r="AOZ54" s="102"/>
      <c r="APA54" s="102"/>
      <c r="APB54" s="102"/>
      <c r="APC54" s="102"/>
      <c r="APD54" s="102"/>
      <c r="APE54" s="102"/>
      <c r="APF54" s="102"/>
      <c r="APG54" s="102"/>
      <c r="APH54" s="102"/>
      <c r="API54" s="102"/>
      <c r="APJ54" s="102"/>
      <c r="APK54" s="102"/>
      <c r="APL54" s="102"/>
      <c r="APM54" s="102"/>
      <c r="APN54" s="102"/>
      <c r="APO54" s="102"/>
      <c r="APP54" s="102"/>
      <c r="APQ54" s="102"/>
      <c r="APR54" s="102"/>
      <c r="APS54" s="102"/>
      <c r="APT54" s="102"/>
      <c r="APU54" s="102"/>
      <c r="APV54" s="102"/>
      <c r="APW54" s="102"/>
      <c r="APX54" s="102"/>
      <c r="APY54" s="102"/>
      <c r="APZ54" s="102"/>
      <c r="AQA54" s="102"/>
      <c r="AQB54" s="102"/>
      <c r="AQC54" s="102"/>
      <c r="AQD54" s="102"/>
      <c r="AQE54" s="102"/>
      <c r="AQF54" s="102"/>
      <c r="AQG54" s="102"/>
      <c r="AQH54" s="102"/>
      <c r="AQI54" s="102"/>
      <c r="AQJ54" s="102"/>
      <c r="AQK54" s="102"/>
      <c r="AQL54" s="102"/>
      <c r="AQM54" s="102"/>
      <c r="AQN54" s="102"/>
      <c r="AQO54" s="102"/>
      <c r="AQP54" s="102"/>
      <c r="AQQ54" s="102"/>
      <c r="AQR54" s="102"/>
      <c r="AQS54" s="102"/>
      <c r="AQT54" s="102"/>
      <c r="AQU54" s="102"/>
      <c r="AQV54" s="102"/>
      <c r="AQW54" s="102"/>
      <c r="AQX54" s="102"/>
      <c r="AQY54" s="102"/>
      <c r="AQZ54" s="102"/>
      <c r="ARA54" s="102"/>
      <c r="ARB54" s="102"/>
      <c r="ARC54" s="102"/>
      <c r="ARD54" s="102"/>
      <c r="ARE54" s="102"/>
      <c r="ARF54" s="102"/>
      <c r="ARG54" s="102"/>
      <c r="ARH54" s="102"/>
      <c r="ARI54" s="102"/>
      <c r="ARJ54" s="102"/>
      <c r="ARK54" s="102"/>
      <c r="ARL54" s="102"/>
      <c r="ARM54" s="102"/>
      <c r="ARN54" s="102"/>
      <c r="ARO54" s="102"/>
      <c r="ARP54" s="102"/>
      <c r="ARQ54" s="102"/>
      <c r="ARR54" s="102"/>
      <c r="ARS54" s="102"/>
      <c r="ART54" s="102"/>
      <c r="ARU54" s="102"/>
      <c r="ARV54" s="102"/>
      <c r="ARW54" s="102"/>
      <c r="ARX54" s="102"/>
      <c r="ARY54" s="102"/>
      <c r="ARZ54" s="102"/>
      <c r="ASA54" s="102"/>
      <c r="ASB54" s="102"/>
      <c r="ASC54" s="102"/>
      <c r="ASD54" s="102"/>
      <c r="ASE54" s="102"/>
      <c r="ASF54" s="102"/>
      <c r="ASG54" s="102"/>
      <c r="ASH54" s="102"/>
      <c r="ASI54" s="102"/>
      <c r="ASJ54" s="102"/>
      <c r="ASK54" s="102"/>
      <c r="ASL54" s="102"/>
      <c r="ASM54" s="102"/>
      <c r="ASN54" s="102"/>
      <c r="ASO54" s="102"/>
      <c r="ASP54" s="102"/>
      <c r="ASQ54" s="102"/>
      <c r="ASR54" s="102"/>
      <c r="ASS54" s="102"/>
      <c r="AST54" s="102"/>
      <c r="ASU54" s="102"/>
      <c r="ASV54" s="102"/>
      <c r="ASW54" s="102"/>
      <c r="ASX54" s="102"/>
      <c r="ASY54" s="102"/>
      <c r="ASZ54" s="102"/>
      <c r="ATA54" s="102"/>
      <c r="ATB54" s="102"/>
      <c r="ATC54" s="102"/>
      <c r="ATD54" s="102"/>
      <c r="ATE54" s="102"/>
      <c r="ATF54" s="102"/>
      <c r="ATG54" s="102"/>
      <c r="ATH54" s="102"/>
      <c r="ATI54" s="102"/>
      <c r="ATJ54" s="102"/>
      <c r="ATK54" s="102"/>
      <c r="ATL54" s="102"/>
      <c r="ATM54" s="102"/>
      <c r="ATN54" s="102"/>
      <c r="ATO54" s="102"/>
      <c r="ATP54" s="102"/>
      <c r="ATQ54" s="102"/>
      <c r="ATR54" s="102"/>
      <c r="ATS54" s="102"/>
      <c r="ATT54" s="102"/>
      <c r="ATU54" s="102"/>
      <c r="ATV54" s="102"/>
      <c r="ATW54" s="102"/>
      <c r="ATX54" s="102"/>
      <c r="ATY54" s="102"/>
      <c r="ATZ54" s="102"/>
      <c r="AUA54" s="102"/>
      <c r="AUB54" s="102"/>
      <c r="AUC54" s="102"/>
      <c r="AUD54" s="102"/>
      <c r="AUE54" s="102"/>
      <c r="AUF54" s="102"/>
      <c r="AUG54" s="102"/>
      <c r="AUH54" s="102"/>
      <c r="AUI54" s="102"/>
      <c r="AUJ54" s="102"/>
      <c r="AUK54" s="102"/>
      <c r="AUL54" s="102"/>
      <c r="AUM54" s="102"/>
      <c r="AUN54" s="102"/>
      <c r="AUO54" s="102"/>
      <c r="AUP54" s="102"/>
      <c r="AUQ54" s="102"/>
      <c r="AUR54" s="102"/>
      <c r="AUS54" s="102"/>
      <c r="AUT54" s="102"/>
      <c r="AUU54" s="102"/>
      <c r="AUV54" s="102"/>
      <c r="AUW54" s="102"/>
      <c r="AUX54" s="102"/>
      <c r="AUY54" s="102"/>
      <c r="AUZ54" s="102"/>
      <c r="AVA54" s="102"/>
      <c r="AVB54" s="102"/>
      <c r="AVC54" s="102"/>
      <c r="AVD54" s="102"/>
      <c r="AVE54" s="102"/>
      <c r="AVF54" s="102"/>
      <c r="AVG54" s="102"/>
      <c r="AVH54" s="102"/>
      <c r="AVI54" s="102"/>
      <c r="AVJ54" s="102"/>
      <c r="AVK54" s="102"/>
      <c r="AVL54" s="102"/>
      <c r="AVM54" s="102"/>
      <c r="AVN54" s="102"/>
      <c r="AVO54" s="102"/>
      <c r="AVP54" s="102"/>
      <c r="AVQ54" s="102"/>
      <c r="AVR54" s="102"/>
      <c r="AVS54" s="102"/>
      <c r="AVT54" s="102"/>
      <c r="AVU54" s="102"/>
      <c r="AVV54" s="102"/>
      <c r="AVW54" s="102"/>
      <c r="AVX54" s="102"/>
      <c r="AVY54" s="102"/>
      <c r="AVZ54" s="102"/>
      <c r="AWA54" s="102"/>
      <c r="AWB54" s="102"/>
      <c r="AWC54" s="102"/>
      <c r="AWD54" s="102"/>
      <c r="AWE54" s="102"/>
      <c r="AWF54" s="102"/>
      <c r="AWG54" s="102"/>
      <c r="AWH54" s="102"/>
      <c r="AWI54" s="102"/>
      <c r="AWJ54" s="102"/>
      <c r="AWK54" s="102"/>
      <c r="AWL54" s="102"/>
      <c r="AWM54" s="102"/>
      <c r="AWN54" s="102"/>
      <c r="AWO54" s="102"/>
      <c r="AWP54" s="102"/>
      <c r="AWQ54" s="102"/>
      <c r="AWR54" s="102"/>
      <c r="AWS54" s="102"/>
      <c r="AWT54" s="102"/>
      <c r="AWU54" s="102"/>
      <c r="AWV54" s="102"/>
      <c r="AWW54" s="102"/>
      <c r="AWX54" s="102"/>
      <c r="AWY54" s="102"/>
      <c r="AWZ54" s="102"/>
      <c r="AXA54" s="102"/>
      <c r="AXB54" s="102"/>
      <c r="AXC54" s="102"/>
      <c r="AXD54" s="102"/>
      <c r="AXE54" s="102"/>
      <c r="AXF54" s="102"/>
      <c r="AXG54" s="102"/>
      <c r="AXH54" s="102"/>
      <c r="AXI54" s="102"/>
      <c r="AXJ54" s="102"/>
      <c r="AXK54" s="102"/>
      <c r="AXL54" s="102"/>
      <c r="AXM54" s="102"/>
      <c r="AXN54" s="102"/>
      <c r="AXO54" s="102"/>
      <c r="AXP54" s="102"/>
      <c r="AXQ54" s="102"/>
      <c r="AXR54" s="102"/>
      <c r="AXS54" s="102"/>
      <c r="AXT54" s="102"/>
      <c r="AXU54" s="102"/>
      <c r="AXV54" s="102"/>
      <c r="AXW54" s="102"/>
      <c r="AXX54" s="102"/>
      <c r="AXY54" s="102"/>
      <c r="AXZ54" s="102"/>
      <c r="AYA54" s="102"/>
      <c r="AYB54" s="102"/>
      <c r="AYC54" s="102"/>
      <c r="AYD54" s="102"/>
      <c r="AYE54" s="102"/>
      <c r="AYF54" s="102"/>
      <c r="AYG54" s="102"/>
      <c r="AYH54" s="102"/>
      <c r="AYI54" s="102"/>
      <c r="AYJ54" s="102"/>
      <c r="AYK54" s="102"/>
      <c r="AYL54" s="102"/>
      <c r="AYM54" s="102"/>
      <c r="AYN54" s="102"/>
      <c r="AYO54" s="102"/>
      <c r="AYP54" s="102"/>
      <c r="AYQ54" s="102"/>
      <c r="AYR54" s="102"/>
      <c r="AYS54" s="102"/>
      <c r="AYT54" s="102"/>
      <c r="AYU54" s="102"/>
      <c r="AYV54" s="102"/>
      <c r="AYW54" s="102"/>
      <c r="AYX54" s="102"/>
      <c r="AYY54" s="102"/>
      <c r="AYZ54" s="102"/>
      <c r="AZA54" s="102"/>
      <c r="AZB54" s="102"/>
      <c r="AZC54" s="102"/>
      <c r="AZD54" s="102"/>
      <c r="AZE54" s="102"/>
      <c r="AZF54" s="102"/>
      <c r="AZG54" s="102"/>
      <c r="AZH54" s="102"/>
      <c r="AZI54" s="102"/>
      <c r="AZJ54" s="102"/>
      <c r="AZK54" s="102"/>
      <c r="AZL54" s="102"/>
      <c r="AZM54" s="102"/>
      <c r="AZN54" s="102"/>
      <c r="AZO54" s="102"/>
      <c r="AZP54" s="102"/>
      <c r="AZQ54" s="102"/>
      <c r="AZR54" s="102"/>
      <c r="AZS54" s="102"/>
      <c r="AZT54" s="102"/>
      <c r="AZU54" s="102"/>
      <c r="AZV54" s="102"/>
      <c r="AZW54" s="102"/>
      <c r="AZX54" s="102"/>
      <c r="AZY54" s="102"/>
      <c r="AZZ54" s="102"/>
      <c r="BAA54" s="102"/>
      <c r="BAB54" s="102"/>
      <c r="BAC54" s="102"/>
      <c r="BAD54" s="102"/>
      <c r="BAE54" s="102"/>
      <c r="BAF54" s="102"/>
      <c r="BAG54" s="102"/>
      <c r="BAH54" s="102"/>
      <c r="BAI54" s="102"/>
      <c r="BAJ54" s="102"/>
      <c r="BAK54" s="102"/>
      <c r="BAL54" s="102"/>
      <c r="BAM54" s="102"/>
      <c r="BAN54" s="102"/>
      <c r="BAO54" s="102"/>
      <c r="BAP54" s="102"/>
      <c r="BAQ54" s="102"/>
      <c r="BAR54" s="102"/>
      <c r="BAS54" s="102"/>
      <c r="BAT54" s="102"/>
      <c r="BAU54" s="102"/>
      <c r="BAV54" s="102"/>
      <c r="BAW54" s="102"/>
      <c r="BAX54" s="102"/>
      <c r="BAY54" s="102"/>
      <c r="BAZ54" s="102"/>
      <c r="BBA54" s="102"/>
      <c r="BBB54" s="102"/>
      <c r="BBC54" s="102"/>
      <c r="BBD54" s="102"/>
      <c r="BBE54" s="102"/>
      <c r="BBF54" s="102"/>
      <c r="BBG54" s="102"/>
      <c r="BBH54" s="102"/>
      <c r="BBI54" s="102"/>
      <c r="BBJ54" s="102"/>
      <c r="BBK54" s="102"/>
      <c r="BBL54" s="102"/>
      <c r="BBM54" s="102"/>
      <c r="BBN54" s="102"/>
      <c r="BBO54" s="102"/>
      <c r="BBP54" s="102"/>
      <c r="BBQ54" s="102"/>
      <c r="BBR54" s="102"/>
      <c r="BBS54" s="102"/>
      <c r="BBT54" s="102"/>
      <c r="BBU54" s="102"/>
      <c r="BBV54" s="102"/>
      <c r="BBW54" s="102"/>
      <c r="BBX54" s="102"/>
      <c r="BBY54" s="102"/>
      <c r="BBZ54" s="102"/>
      <c r="BCA54" s="102"/>
      <c r="BCB54" s="102"/>
      <c r="BCC54" s="102"/>
      <c r="BCD54" s="102"/>
      <c r="BCE54" s="102"/>
      <c r="BCF54" s="102"/>
      <c r="BCG54" s="102"/>
      <c r="BCH54" s="102"/>
      <c r="BCI54" s="102"/>
      <c r="BCJ54" s="102"/>
      <c r="BCK54" s="102"/>
      <c r="BCL54" s="102"/>
      <c r="BCM54" s="102"/>
      <c r="BCN54" s="102"/>
      <c r="BCO54" s="102"/>
      <c r="BCP54" s="102"/>
      <c r="BCQ54" s="102"/>
      <c r="BCR54" s="102"/>
      <c r="BCS54" s="102"/>
      <c r="BCT54" s="102"/>
      <c r="BCU54" s="102"/>
      <c r="BCV54" s="102"/>
      <c r="BCW54" s="102"/>
      <c r="BCX54" s="102"/>
      <c r="BCY54" s="102"/>
      <c r="BCZ54" s="102"/>
      <c r="BDA54" s="102"/>
      <c r="BDB54" s="102"/>
      <c r="BDC54" s="102"/>
      <c r="BDD54" s="102"/>
      <c r="BDE54" s="102"/>
      <c r="BDF54" s="102"/>
      <c r="BDG54" s="102"/>
      <c r="BDH54" s="102"/>
      <c r="BDI54" s="102"/>
      <c r="BDJ54" s="102"/>
      <c r="BDK54" s="102"/>
      <c r="BDL54" s="102"/>
      <c r="BDM54" s="102"/>
      <c r="BDN54" s="102"/>
      <c r="BDO54" s="102"/>
      <c r="BDP54" s="102"/>
      <c r="BDQ54" s="102"/>
      <c r="BDR54" s="102"/>
      <c r="BDS54" s="102"/>
      <c r="BDT54" s="102"/>
      <c r="BDU54" s="102"/>
      <c r="BDV54" s="102"/>
      <c r="BDW54" s="102"/>
      <c r="BDX54" s="102"/>
      <c r="BDY54" s="102"/>
      <c r="BDZ54" s="102"/>
      <c r="BEA54" s="102"/>
      <c r="BEB54" s="102"/>
      <c r="BEC54" s="102"/>
      <c r="BED54" s="102"/>
      <c r="BEE54" s="102"/>
      <c r="BEF54" s="102"/>
      <c r="BEG54" s="102"/>
      <c r="BEH54" s="102"/>
      <c r="BEI54" s="102"/>
      <c r="BEJ54" s="102"/>
      <c r="BEK54" s="102"/>
      <c r="BEL54" s="102"/>
      <c r="BEM54" s="102"/>
      <c r="BEN54" s="102"/>
      <c r="BEO54" s="102"/>
      <c r="BEP54" s="102"/>
      <c r="BEQ54" s="102"/>
      <c r="BER54" s="102"/>
      <c r="BES54" s="102"/>
      <c r="BET54" s="102"/>
      <c r="BEU54" s="102"/>
      <c r="BEV54" s="102"/>
      <c r="BEW54" s="102"/>
      <c r="BEX54" s="102"/>
      <c r="BEY54" s="102"/>
      <c r="BEZ54" s="102"/>
      <c r="BFA54" s="102"/>
      <c r="BFB54" s="102"/>
      <c r="BFC54" s="102"/>
      <c r="BFD54" s="102"/>
      <c r="BFE54" s="102"/>
      <c r="BFF54" s="102"/>
      <c r="BFG54" s="102"/>
      <c r="BFH54" s="102"/>
      <c r="BFI54" s="102"/>
      <c r="BFJ54" s="102"/>
      <c r="BFK54" s="102"/>
      <c r="BFL54" s="102"/>
      <c r="BFM54" s="102"/>
      <c r="BFN54" s="102"/>
      <c r="BFO54" s="102"/>
      <c r="BFP54" s="102"/>
      <c r="BFQ54" s="102"/>
      <c r="BFR54" s="102"/>
      <c r="BFS54" s="102"/>
      <c r="BFT54" s="102"/>
      <c r="BFU54" s="102"/>
      <c r="BFV54" s="102"/>
      <c r="BFW54" s="102"/>
      <c r="BFX54" s="102"/>
      <c r="BFY54" s="102"/>
      <c r="BFZ54" s="102"/>
      <c r="BGA54" s="102"/>
      <c r="BGB54" s="102"/>
      <c r="BGC54" s="102"/>
      <c r="BGD54" s="102"/>
      <c r="BGE54" s="102"/>
      <c r="BGF54" s="102"/>
      <c r="BGG54" s="102"/>
      <c r="BGH54" s="102"/>
      <c r="BGI54" s="102"/>
      <c r="BGJ54" s="102"/>
      <c r="BGK54" s="102"/>
      <c r="BGL54" s="102"/>
      <c r="BGM54" s="102"/>
      <c r="BGN54" s="102"/>
      <c r="BGO54" s="102"/>
      <c r="BGP54" s="102"/>
      <c r="BGQ54" s="102"/>
      <c r="BGR54" s="102"/>
      <c r="BGS54" s="102"/>
      <c r="BGT54" s="102"/>
      <c r="BGU54" s="102"/>
      <c r="BGV54" s="102"/>
      <c r="BGW54" s="102"/>
      <c r="BGX54" s="102"/>
      <c r="BGY54" s="102"/>
      <c r="BGZ54" s="102"/>
      <c r="BHA54" s="102"/>
      <c r="BHB54" s="102"/>
      <c r="BHC54" s="102"/>
      <c r="BHD54" s="102"/>
      <c r="BHE54" s="102"/>
      <c r="BHF54" s="102"/>
      <c r="BHG54" s="102"/>
      <c r="BHH54" s="102"/>
      <c r="BHI54" s="102"/>
      <c r="BHJ54" s="102"/>
      <c r="BHK54" s="102"/>
      <c r="BHL54" s="102"/>
      <c r="BHM54" s="102"/>
      <c r="BHN54" s="102"/>
      <c r="BHO54" s="102"/>
      <c r="BHP54" s="102"/>
      <c r="BHQ54" s="102"/>
      <c r="BHR54" s="102"/>
      <c r="BHS54" s="102"/>
      <c r="BHT54" s="102"/>
      <c r="BHU54" s="102"/>
      <c r="BHV54" s="102"/>
      <c r="BHW54" s="102"/>
      <c r="BHX54" s="102"/>
      <c r="BHY54" s="102"/>
      <c r="BHZ54" s="102"/>
      <c r="BIA54" s="102"/>
      <c r="BIB54" s="102"/>
      <c r="BIC54" s="102"/>
      <c r="BID54" s="102"/>
      <c r="BIE54" s="102"/>
      <c r="BIF54" s="102"/>
      <c r="BIG54" s="102"/>
      <c r="BIH54" s="102"/>
      <c r="BII54" s="102"/>
      <c r="BIJ54" s="102"/>
      <c r="BIK54" s="102"/>
      <c r="BIL54" s="102"/>
      <c r="BIM54" s="102"/>
      <c r="BIN54" s="102"/>
      <c r="BIO54" s="102"/>
      <c r="BIP54" s="102"/>
      <c r="BIQ54" s="102"/>
      <c r="BIR54" s="102"/>
      <c r="BIS54" s="102"/>
      <c r="BIT54" s="102"/>
      <c r="BIU54" s="102"/>
      <c r="BIV54" s="102"/>
      <c r="BIW54" s="102"/>
      <c r="BIX54" s="102"/>
      <c r="BIY54" s="102"/>
      <c r="BIZ54" s="102"/>
      <c r="BJA54" s="102"/>
      <c r="BJB54" s="102"/>
      <c r="BJC54" s="102"/>
      <c r="BJD54" s="102"/>
      <c r="BJE54" s="102"/>
      <c r="BJF54" s="102"/>
      <c r="BJG54" s="102"/>
      <c r="BJH54" s="102"/>
      <c r="BJI54" s="102"/>
      <c r="BJJ54" s="102"/>
      <c r="BJK54" s="102"/>
      <c r="BJL54" s="102"/>
      <c r="BJM54" s="102"/>
      <c r="BJN54" s="102"/>
      <c r="BJO54" s="102"/>
      <c r="BJP54" s="102"/>
      <c r="BJQ54" s="102"/>
      <c r="BJR54" s="102"/>
      <c r="BJS54" s="102"/>
      <c r="BJT54" s="102"/>
      <c r="BJU54" s="102"/>
      <c r="BJV54" s="102"/>
      <c r="BJW54" s="102"/>
      <c r="BJX54" s="102"/>
      <c r="BJY54" s="102"/>
      <c r="BJZ54" s="102"/>
      <c r="BKA54" s="102"/>
      <c r="BKB54" s="102"/>
      <c r="BKC54" s="102"/>
      <c r="BKD54" s="102"/>
      <c r="BKE54" s="102"/>
      <c r="BKF54" s="102"/>
      <c r="BKG54" s="102"/>
      <c r="BKH54" s="102"/>
      <c r="BKI54" s="102"/>
      <c r="BKJ54" s="102"/>
      <c r="BKK54" s="102"/>
      <c r="BKL54" s="102"/>
      <c r="BKM54" s="102"/>
      <c r="BKN54" s="102"/>
      <c r="BKO54" s="102"/>
      <c r="BKP54" s="102"/>
      <c r="BKQ54" s="102"/>
      <c r="BKR54" s="102"/>
      <c r="BKS54" s="102"/>
      <c r="BKT54" s="102"/>
      <c r="BKU54" s="102"/>
      <c r="BKV54" s="102"/>
      <c r="BKW54" s="102"/>
      <c r="BKX54" s="102"/>
      <c r="BKY54" s="102"/>
      <c r="BKZ54" s="102"/>
      <c r="BLA54" s="102"/>
      <c r="BLB54" s="102"/>
      <c r="BLC54" s="102"/>
      <c r="BLD54" s="102"/>
      <c r="BLE54" s="102"/>
      <c r="BLF54" s="102"/>
      <c r="BLG54" s="102"/>
      <c r="BLH54" s="102"/>
      <c r="BLI54" s="102"/>
      <c r="BLJ54" s="102"/>
      <c r="BLK54" s="102"/>
      <c r="BLL54" s="102"/>
      <c r="BLM54" s="102"/>
      <c r="BLN54" s="102"/>
      <c r="BLO54" s="102"/>
      <c r="BLP54" s="102"/>
      <c r="BLQ54" s="102"/>
      <c r="BLR54" s="102"/>
      <c r="BLS54" s="102"/>
      <c r="BLT54" s="102"/>
      <c r="BLU54" s="102"/>
      <c r="BLV54" s="102"/>
      <c r="BLW54" s="102"/>
      <c r="BLX54" s="102"/>
      <c r="BLY54" s="102"/>
      <c r="BLZ54" s="102"/>
      <c r="BMA54" s="102"/>
      <c r="BMB54" s="102"/>
      <c r="BMC54" s="102"/>
      <c r="BMD54" s="102"/>
      <c r="BME54" s="102"/>
      <c r="BMF54" s="102"/>
      <c r="BMG54" s="102"/>
      <c r="BMH54" s="102"/>
      <c r="BMI54" s="102"/>
      <c r="BMJ54" s="102"/>
      <c r="BMK54" s="102"/>
      <c r="BML54" s="102"/>
      <c r="BMM54" s="102"/>
      <c r="BMN54" s="102"/>
      <c r="BMO54" s="102"/>
      <c r="BMP54" s="102"/>
      <c r="BMQ54" s="102"/>
      <c r="BMR54" s="102"/>
      <c r="BMS54" s="102"/>
      <c r="BMT54" s="102"/>
      <c r="BMU54" s="102"/>
      <c r="BMV54" s="102"/>
      <c r="BMW54" s="102"/>
      <c r="BMX54" s="102"/>
      <c r="BMY54" s="102"/>
      <c r="BMZ54" s="102"/>
      <c r="BNA54" s="102"/>
      <c r="BNB54" s="102"/>
      <c r="BNC54" s="102"/>
      <c r="BND54" s="102"/>
      <c r="BNE54" s="102"/>
      <c r="BNF54" s="102"/>
      <c r="BNG54" s="102"/>
      <c r="BNH54" s="102"/>
      <c r="BNI54" s="102"/>
      <c r="BNJ54" s="102"/>
      <c r="BNK54" s="102"/>
      <c r="BNL54" s="102"/>
      <c r="BNM54" s="102"/>
      <c r="BNN54" s="102"/>
      <c r="BNO54" s="102"/>
      <c r="BNP54" s="102"/>
      <c r="BNQ54" s="102"/>
      <c r="BNR54" s="102"/>
      <c r="BNS54" s="102"/>
      <c r="BNT54" s="102"/>
      <c r="BNU54" s="102"/>
      <c r="BNV54" s="102"/>
      <c r="BNW54" s="102"/>
      <c r="BNX54" s="102"/>
      <c r="BNY54" s="102"/>
      <c r="BNZ54" s="102"/>
      <c r="BOA54" s="102"/>
      <c r="BOB54" s="102"/>
      <c r="BOC54" s="102"/>
      <c r="BOD54" s="102"/>
      <c r="BOE54" s="102"/>
      <c r="BOF54" s="102"/>
      <c r="BOG54" s="102"/>
      <c r="BOH54" s="102"/>
      <c r="BOI54" s="102"/>
      <c r="BOJ54" s="102"/>
      <c r="BOK54" s="102"/>
      <c r="BOL54" s="102"/>
      <c r="BOM54" s="102"/>
      <c r="BON54" s="102"/>
      <c r="BOO54" s="102"/>
      <c r="BOP54" s="102"/>
      <c r="BOQ54" s="102"/>
      <c r="BOR54" s="102"/>
      <c r="BOS54" s="102"/>
      <c r="BOT54" s="102"/>
      <c r="BOU54" s="102"/>
      <c r="BOV54" s="102"/>
      <c r="BOW54" s="102"/>
      <c r="BOX54" s="102"/>
      <c r="BOY54" s="102"/>
      <c r="BOZ54" s="102"/>
      <c r="BPA54" s="102"/>
      <c r="BPB54" s="102"/>
      <c r="BPC54" s="102"/>
      <c r="BPD54" s="102"/>
      <c r="BPE54" s="102"/>
      <c r="BPF54" s="102"/>
      <c r="BPG54" s="102"/>
      <c r="BPH54" s="102"/>
      <c r="BPI54" s="102"/>
      <c r="BPJ54" s="102"/>
      <c r="BPK54" s="102"/>
      <c r="BPL54" s="102"/>
      <c r="BPM54" s="102"/>
      <c r="BPN54" s="102"/>
      <c r="BPO54" s="102"/>
      <c r="BPP54" s="102"/>
      <c r="BPQ54" s="102"/>
      <c r="BPR54" s="102"/>
      <c r="BPS54" s="102"/>
      <c r="BPT54" s="102"/>
      <c r="BPU54" s="102"/>
      <c r="BPV54" s="102"/>
      <c r="BPW54" s="102"/>
      <c r="BPX54" s="102"/>
      <c r="BPY54" s="102"/>
      <c r="BPZ54" s="102"/>
      <c r="BQA54" s="102"/>
      <c r="BQB54" s="102"/>
      <c r="BQC54" s="102"/>
      <c r="BQD54" s="102"/>
      <c r="BQE54" s="102"/>
      <c r="BQF54" s="102"/>
      <c r="BQG54" s="102"/>
      <c r="BQH54" s="102"/>
      <c r="BQI54" s="102"/>
      <c r="BQJ54" s="102"/>
      <c r="BQK54" s="102"/>
      <c r="BQL54" s="102"/>
      <c r="BQM54" s="102"/>
      <c r="BQN54" s="102"/>
      <c r="BQO54" s="102"/>
      <c r="BQP54" s="102"/>
      <c r="BQQ54" s="102"/>
      <c r="BQR54" s="102"/>
      <c r="BQS54" s="102"/>
      <c r="BQT54" s="102"/>
      <c r="BQU54" s="102"/>
      <c r="BQV54" s="102"/>
      <c r="BQW54" s="102"/>
      <c r="BQX54" s="102"/>
      <c r="BQY54" s="102"/>
      <c r="BQZ54" s="102"/>
      <c r="BRA54" s="102"/>
      <c r="BRB54" s="102"/>
      <c r="BRC54" s="102"/>
      <c r="BRD54" s="102"/>
      <c r="BRE54" s="102"/>
      <c r="BRF54" s="102"/>
      <c r="BRG54" s="102"/>
      <c r="BRH54" s="102"/>
      <c r="BRI54" s="102"/>
      <c r="BRJ54" s="102"/>
      <c r="BRK54" s="102"/>
      <c r="BRL54" s="102"/>
      <c r="BRM54" s="102"/>
      <c r="BRN54" s="102"/>
      <c r="BRO54" s="102"/>
      <c r="BRP54" s="102"/>
      <c r="BRQ54" s="102"/>
      <c r="BRR54" s="102"/>
      <c r="BRS54" s="102"/>
      <c r="BRT54" s="102"/>
      <c r="BRU54" s="102"/>
      <c r="BRV54" s="102"/>
      <c r="BRW54" s="102"/>
      <c r="BRX54" s="102"/>
      <c r="BRY54" s="102"/>
      <c r="BRZ54" s="102"/>
      <c r="BSA54" s="102"/>
      <c r="BSB54" s="102"/>
      <c r="BSC54" s="102"/>
      <c r="BSD54" s="102"/>
      <c r="BSE54" s="102"/>
      <c r="BSF54" s="102"/>
      <c r="BSG54" s="102"/>
      <c r="BSH54" s="102"/>
      <c r="BSI54" s="102"/>
      <c r="BSJ54" s="102"/>
      <c r="BSK54" s="102"/>
      <c r="BSL54" s="102"/>
      <c r="BSM54" s="102"/>
      <c r="BSN54" s="102"/>
      <c r="BSO54" s="102"/>
      <c r="BSP54" s="102"/>
      <c r="BSQ54" s="102"/>
      <c r="BSR54" s="102"/>
      <c r="BSS54" s="102"/>
      <c r="BST54" s="102"/>
      <c r="BSU54" s="102"/>
      <c r="BSV54" s="102"/>
      <c r="BSW54" s="102"/>
      <c r="BSX54" s="102"/>
      <c r="BSY54" s="102"/>
      <c r="BSZ54" s="102"/>
      <c r="BTA54" s="102"/>
      <c r="BTB54" s="102"/>
      <c r="BTC54" s="102"/>
      <c r="BTD54" s="102"/>
      <c r="BTE54" s="102"/>
      <c r="BTF54" s="102"/>
      <c r="BTG54" s="102"/>
      <c r="BTH54" s="102"/>
      <c r="BTI54" s="102"/>
      <c r="BTJ54" s="102"/>
      <c r="BTK54" s="102"/>
      <c r="BTL54" s="102"/>
      <c r="BTM54" s="102"/>
      <c r="BTN54" s="102"/>
      <c r="BTO54" s="102"/>
      <c r="BTP54" s="102"/>
      <c r="BTQ54" s="102"/>
      <c r="BTR54" s="102"/>
      <c r="BTS54" s="102"/>
      <c r="BTT54" s="102"/>
      <c r="BTU54" s="102"/>
      <c r="BTV54" s="102"/>
      <c r="BTW54" s="102"/>
      <c r="BTX54" s="102"/>
      <c r="BTY54" s="102"/>
      <c r="BTZ54" s="102"/>
      <c r="BUA54" s="102"/>
      <c r="BUB54" s="102"/>
      <c r="BUC54" s="102"/>
      <c r="BUD54" s="102"/>
      <c r="BUE54" s="102"/>
      <c r="BUF54" s="102"/>
      <c r="BUG54" s="102"/>
      <c r="BUH54" s="102"/>
      <c r="BUI54" s="102"/>
      <c r="BUJ54" s="102"/>
      <c r="BUK54" s="102"/>
      <c r="BUL54" s="102"/>
      <c r="BUM54" s="102"/>
      <c r="BUN54" s="102"/>
      <c r="BUO54" s="102"/>
      <c r="BUP54" s="102"/>
      <c r="BUQ54" s="102"/>
      <c r="BUR54" s="102"/>
      <c r="BUS54" s="102"/>
      <c r="BUT54" s="102"/>
      <c r="BUU54" s="102"/>
      <c r="BUV54" s="102"/>
      <c r="BUW54" s="102"/>
      <c r="BUX54" s="102"/>
      <c r="BUY54" s="102"/>
      <c r="BUZ54" s="102"/>
      <c r="BVA54" s="102"/>
      <c r="BVB54" s="102"/>
      <c r="BVC54" s="102"/>
      <c r="BVD54" s="102"/>
      <c r="BVE54" s="102"/>
      <c r="BVF54" s="102"/>
      <c r="BVG54" s="102"/>
      <c r="BVH54" s="102"/>
      <c r="BVI54" s="102"/>
      <c r="BVJ54" s="102"/>
      <c r="BVK54" s="102"/>
      <c r="BVL54" s="102"/>
      <c r="BVM54" s="102"/>
      <c r="BVN54" s="102"/>
      <c r="BVO54" s="102"/>
      <c r="BVP54" s="102"/>
      <c r="BVQ54" s="102"/>
      <c r="BVR54" s="102"/>
      <c r="BVS54" s="102"/>
      <c r="BVT54" s="102"/>
      <c r="BVU54" s="102"/>
      <c r="BVV54" s="102"/>
      <c r="BVW54" s="102"/>
      <c r="BVX54" s="102"/>
      <c r="BVY54" s="102"/>
      <c r="BVZ54" s="102"/>
      <c r="BWA54" s="102"/>
      <c r="BWB54" s="102"/>
      <c r="BWC54" s="102"/>
      <c r="BWD54" s="102"/>
      <c r="BWE54" s="102"/>
      <c r="BWF54" s="102"/>
      <c r="BWG54" s="102"/>
      <c r="BWH54" s="102"/>
      <c r="BWI54" s="102"/>
      <c r="BWJ54" s="102"/>
      <c r="BWK54" s="102"/>
      <c r="BWL54" s="102"/>
      <c r="BWM54" s="102"/>
      <c r="BWN54" s="102"/>
      <c r="BWO54" s="102"/>
      <c r="BWP54" s="102"/>
      <c r="BWQ54" s="102"/>
      <c r="BWR54" s="102"/>
      <c r="BWS54" s="102"/>
      <c r="BWT54" s="102"/>
      <c r="BWU54" s="102"/>
      <c r="BWV54" s="102"/>
      <c r="BWW54" s="102"/>
      <c r="BWX54" s="102"/>
      <c r="BWY54" s="102"/>
      <c r="BWZ54" s="102"/>
      <c r="BXA54" s="102"/>
      <c r="BXB54" s="102"/>
      <c r="BXC54" s="102"/>
      <c r="BXD54" s="102"/>
      <c r="BXE54" s="102"/>
      <c r="BXF54" s="102"/>
      <c r="BXG54" s="102"/>
      <c r="BXH54" s="102"/>
      <c r="BXI54" s="102"/>
      <c r="BXJ54" s="102"/>
      <c r="BXK54" s="102"/>
      <c r="BXL54" s="102"/>
      <c r="BXM54" s="102"/>
      <c r="BXN54" s="102"/>
      <c r="BXO54" s="102"/>
      <c r="BXP54" s="102"/>
      <c r="BXQ54" s="102"/>
      <c r="BXR54" s="102"/>
      <c r="BXS54" s="102"/>
      <c r="BXT54" s="102"/>
      <c r="BXU54" s="102"/>
      <c r="BXV54" s="102"/>
      <c r="BXW54" s="102"/>
      <c r="BXX54" s="102"/>
      <c r="BXY54" s="102"/>
      <c r="BXZ54" s="102"/>
      <c r="BYA54" s="102"/>
      <c r="BYB54" s="102"/>
      <c r="BYC54" s="102"/>
      <c r="BYD54" s="102"/>
      <c r="BYE54" s="102"/>
      <c r="BYF54" s="102"/>
      <c r="BYG54" s="102"/>
      <c r="BYH54" s="102"/>
      <c r="BYI54" s="102"/>
      <c r="BYJ54" s="102"/>
      <c r="BYK54" s="102"/>
      <c r="BYL54" s="102"/>
      <c r="BYM54" s="102"/>
      <c r="BYN54" s="102"/>
      <c r="BYO54" s="102"/>
      <c r="BYP54" s="102"/>
      <c r="BYQ54" s="102"/>
      <c r="BYR54" s="102"/>
      <c r="BYS54" s="102"/>
      <c r="BYT54" s="102"/>
      <c r="BYU54" s="102"/>
      <c r="BYV54" s="102"/>
      <c r="BYW54" s="102"/>
      <c r="BYX54" s="102"/>
      <c r="BYY54" s="102"/>
      <c r="BYZ54" s="102"/>
      <c r="BZA54" s="102"/>
      <c r="BZB54" s="102"/>
      <c r="BZC54" s="102"/>
      <c r="BZD54" s="102"/>
      <c r="BZE54" s="102"/>
      <c r="BZF54" s="102"/>
      <c r="BZG54" s="102"/>
      <c r="BZH54" s="102"/>
      <c r="BZI54" s="102"/>
      <c r="BZJ54" s="102"/>
      <c r="BZK54" s="102"/>
      <c r="BZL54" s="102"/>
      <c r="BZM54" s="102"/>
      <c r="BZN54" s="102"/>
      <c r="BZO54" s="102"/>
      <c r="BZP54" s="102"/>
      <c r="BZQ54" s="102"/>
      <c r="BZR54" s="102"/>
      <c r="BZS54" s="102"/>
      <c r="BZT54" s="102"/>
      <c r="BZU54" s="102"/>
      <c r="BZV54" s="102"/>
      <c r="BZW54" s="102"/>
      <c r="BZX54" s="102"/>
      <c r="BZY54" s="102"/>
      <c r="BZZ54" s="102"/>
      <c r="CAA54" s="102"/>
      <c r="CAB54" s="102"/>
      <c r="CAC54" s="102"/>
      <c r="CAD54" s="102"/>
      <c r="CAE54" s="102"/>
      <c r="CAF54" s="102"/>
      <c r="CAG54" s="102"/>
      <c r="CAH54" s="102"/>
      <c r="CAI54" s="102"/>
      <c r="CAJ54" s="102"/>
      <c r="CAK54" s="102"/>
      <c r="CAL54" s="102"/>
      <c r="CAM54" s="102"/>
      <c r="CAN54" s="102"/>
      <c r="CAO54" s="102"/>
      <c r="CAP54" s="102"/>
      <c r="CAQ54" s="102"/>
      <c r="CAR54" s="102"/>
      <c r="CAS54" s="102"/>
      <c r="CAT54" s="102"/>
      <c r="CAU54" s="102"/>
      <c r="CAV54" s="102"/>
      <c r="CAW54" s="102"/>
      <c r="CAX54" s="102"/>
      <c r="CAY54" s="102"/>
      <c r="CAZ54" s="102"/>
      <c r="CBA54" s="102"/>
      <c r="CBB54" s="102"/>
      <c r="CBC54" s="102"/>
      <c r="CBD54" s="102"/>
      <c r="CBE54" s="102"/>
      <c r="CBF54" s="102"/>
      <c r="CBG54" s="102"/>
      <c r="CBH54" s="102"/>
      <c r="CBI54" s="102"/>
      <c r="CBJ54" s="102"/>
      <c r="CBK54" s="102"/>
      <c r="CBL54" s="102"/>
      <c r="CBM54" s="102"/>
      <c r="CBN54" s="102"/>
      <c r="CBO54" s="102"/>
      <c r="CBP54" s="102"/>
      <c r="CBQ54" s="102"/>
      <c r="CBR54" s="102"/>
      <c r="CBS54" s="102"/>
      <c r="CBT54" s="102"/>
      <c r="CBU54" s="102"/>
      <c r="CBV54" s="102"/>
      <c r="CBW54" s="102"/>
      <c r="CBX54" s="102"/>
      <c r="CBY54" s="102"/>
      <c r="CBZ54" s="102"/>
      <c r="CCA54" s="102"/>
      <c r="CCB54" s="102"/>
      <c r="CCC54" s="102"/>
      <c r="CCD54" s="102"/>
      <c r="CCE54" s="102"/>
      <c r="CCF54" s="102"/>
      <c r="CCG54" s="102"/>
      <c r="CCH54" s="102"/>
      <c r="CCI54" s="102"/>
      <c r="CCJ54" s="102"/>
      <c r="CCK54" s="102"/>
      <c r="CCL54" s="102"/>
      <c r="CCM54" s="102"/>
      <c r="CCN54" s="102"/>
      <c r="CCO54" s="102"/>
      <c r="CCP54" s="102"/>
      <c r="CCQ54" s="102"/>
      <c r="CCR54" s="102"/>
      <c r="CCS54" s="102"/>
      <c r="CCT54" s="102"/>
      <c r="CCU54" s="102"/>
      <c r="CCV54" s="102"/>
      <c r="CCW54" s="102"/>
      <c r="CCX54" s="102"/>
      <c r="CCY54" s="102"/>
      <c r="CCZ54" s="102"/>
      <c r="CDA54" s="102"/>
      <c r="CDB54" s="102"/>
      <c r="CDC54" s="102"/>
      <c r="CDD54" s="102"/>
      <c r="CDE54" s="102"/>
      <c r="CDF54" s="102"/>
      <c r="CDG54" s="102"/>
      <c r="CDH54" s="102"/>
      <c r="CDI54" s="102"/>
      <c r="CDJ54" s="102"/>
      <c r="CDK54" s="102"/>
      <c r="CDL54" s="102"/>
      <c r="CDM54" s="102"/>
      <c r="CDN54" s="102"/>
      <c r="CDO54" s="102"/>
      <c r="CDP54" s="102"/>
      <c r="CDQ54" s="102"/>
      <c r="CDR54" s="102"/>
      <c r="CDS54" s="102"/>
      <c r="CDT54" s="102"/>
      <c r="CDU54" s="102"/>
      <c r="CDV54" s="102"/>
      <c r="CDW54" s="102"/>
      <c r="CDX54" s="102"/>
      <c r="CDY54" s="102"/>
      <c r="CDZ54" s="102"/>
      <c r="CEA54" s="102"/>
      <c r="CEB54" s="102"/>
      <c r="CEC54" s="102"/>
      <c r="CED54" s="102"/>
      <c r="CEE54" s="102"/>
      <c r="CEF54" s="102"/>
      <c r="CEG54" s="102"/>
      <c r="CEH54" s="102"/>
      <c r="CEI54" s="102"/>
      <c r="CEJ54" s="102"/>
      <c r="CEK54" s="102"/>
      <c r="CEL54" s="102"/>
      <c r="CEM54" s="102"/>
      <c r="CEN54" s="102"/>
      <c r="CEO54" s="102"/>
      <c r="CEP54" s="102"/>
      <c r="CEQ54" s="102"/>
      <c r="CER54" s="102"/>
      <c r="CES54" s="102"/>
      <c r="CET54" s="102"/>
      <c r="CEU54" s="102"/>
      <c r="CEV54" s="102"/>
      <c r="CEW54" s="102"/>
      <c r="CEX54" s="102"/>
      <c r="CEY54" s="102"/>
      <c r="CEZ54" s="102"/>
      <c r="CFA54" s="102"/>
      <c r="CFB54" s="102"/>
      <c r="CFC54" s="102"/>
      <c r="CFD54" s="102"/>
      <c r="CFE54" s="102"/>
      <c r="CFF54" s="102"/>
      <c r="CFG54" s="102"/>
      <c r="CFH54" s="102"/>
      <c r="CFI54" s="102"/>
      <c r="CFJ54" s="102"/>
      <c r="CFK54" s="102"/>
      <c r="CFL54" s="102"/>
      <c r="CFM54" s="102"/>
      <c r="CFN54" s="102"/>
      <c r="CFO54" s="102"/>
      <c r="CFP54" s="102"/>
      <c r="CFQ54" s="102"/>
      <c r="CFR54" s="102"/>
      <c r="CFS54" s="102"/>
      <c r="CFT54" s="102"/>
      <c r="CFU54" s="102"/>
      <c r="CFV54" s="102"/>
      <c r="CFW54" s="102"/>
      <c r="CFX54" s="102"/>
      <c r="CFY54" s="102"/>
      <c r="CFZ54" s="102"/>
      <c r="CGA54" s="102"/>
      <c r="CGB54" s="102"/>
      <c r="CGC54" s="102"/>
      <c r="CGD54" s="102"/>
      <c r="CGE54" s="102"/>
      <c r="CGF54" s="102"/>
      <c r="CGG54" s="102"/>
      <c r="CGH54" s="102"/>
      <c r="CGI54" s="102"/>
      <c r="CGJ54" s="102"/>
      <c r="CGK54" s="102"/>
      <c r="CGL54" s="102"/>
      <c r="CGM54" s="102"/>
      <c r="CGN54" s="102"/>
      <c r="CGO54" s="102"/>
      <c r="CGP54" s="102"/>
      <c r="CGQ54" s="102"/>
      <c r="CGR54" s="102"/>
      <c r="CGS54" s="102"/>
      <c r="CGT54" s="102"/>
      <c r="CGU54" s="102"/>
      <c r="CGV54" s="102"/>
      <c r="CGW54" s="102"/>
      <c r="CGX54" s="102"/>
      <c r="CGY54" s="102"/>
      <c r="CGZ54" s="102"/>
      <c r="CHA54" s="102"/>
      <c r="CHB54" s="102"/>
      <c r="CHC54" s="102"/>
      <c r="CHD54" s="102"/>
      <c r="CHE54" s="102"/>
      <c r="CHF54" s="102"/>
      <c r="CHG54" s="102"/>
      <c r="CHH54" s="102"/>
      <c r="CHI54" s="102"/>
      <c r="CHJ54" s="102"/>
      <c r="CHK54" s="102"/>
      <c r="CHL54" s="102"/>
      <c r="CHM54" s="102"/>
      <c r="CHN54" s="102"/>
      <c r="CHO54" s="102"/>
      <c r="CHP54" s="102"/>
      <c r="CHQ54" s="102"/>
      <c r="CHR54" s="102"/>
      <c r="CHS54" s="102"/>
      <c r="CHT54" s="102"/>
      <c r="CHU54" s="102"/>
      <c r="CHV54" s="102"/>
      <c r="CHW54" s="102"/>
      <c r="CHX54" s="102"/>
      <c r="CHY54" s="102"/>
      <c r="CHZ54" s="102"/>
      <c r="CIA54" s="102"/>
      <c r="CIB54" s="102"/>
      <c r="CIC54" s="102"/>
      <c r="CID54" s="102"/>
      <c r="CIE54" s="102"/>
      <c r="CIF54" s="102"/>
      <c r="CIG54" s="102"/>
      <c r="CIH54" s="102"/>
      <c r="CII54" s="102"/>
      <c r="CIJ54" s="102"/>
      <c r="CIK54" s="102"/>
      <c r="CIL54" s="102"/>
      <c r="CIM54" s="102"/>
      <c r="CIN54" s="102"/>
      <c r="CIO54" s="102"/>
      <c r="CIP54" s="102"/>
      <c r="CIQ54" s="102"/>
      <c r="CIR54" s="102"/>
      <c r="CIS54" s="102"/>
      <c r="CIT54" s="102"/>
      <c r="CIU54" s="102"/>
      <c r="CIV54" s="102"/>
      <c r="CIW54" s="102"/>
      <c r="CIX54" s="102"/>
      <c r="CIY54" s="102"/>
      <c r="CIZ54" s="102"/>
      <c r="CJA54" s="102"/>
      <c r="CJB54" s="102"/>
      <c r="CJC54" s="102"/>
      <c r="CJD54" s="102"/>
      <c r="CJE54" s="102"/>
      <c r="CJF54" s="102"/>
      <c r="CJG54" s="102"/>
      <c r="CJH54" s="102"/>
      <c r="CJI54" s="102"/>
      <c r="CJJ54" s="102"/>
      <c r="CJK54" s="102"/>
      <c r="CJL54" s="102"/>
      <c r="CJM54" s="102"/>
      <c r="CJN54" s="102"/>
      <c r="CJO54" s="102"/>
      <c r="CJP54" s="102"/>
      <c r="CJQ54" s="102"/>
      <c r="CJR54" s="102"/>
      <c r="CJS54" s="102"/>
      <c r="CJT54" s="102"/>
      <c r="CJU54" s="102"/>
      <c r="CJV54" s="102"/>
      <c r="CJW54" s="102"/>
      <c r="CJX54" s="102"/>
      <c r="CJY54" s="102"/>
      <c r="CJZ54" s="102"/>
      <c r="CKA54" s="102"/>
      <c r="CKB54" s="102"/>
      <c r="CKC54" s="102"/>
      <c r="CKD54" s="102"/>
      <c r="CKE54" s="102"/>
      <c r="CKF54" s="102"/>
      <c r="CKG54" s="102"/>
      <c r="CKH54" s="102"/>
      <c r="CKI54" s="102"/>
      <c r="CKJ54" s="102"/>
      <c r="CKK54" s="102"/>
      <c r="CKL54" s="102"/>
      <c r="CKM54" s="102"/>
      <c r="CKN54" s="102"/>
      <c r="CKO54" s="102"/>
      <c r="CKP54" s="102"/>
      <c r="CKQ54" s="102"/>
      <c r="CKR54" s="102"/>
      <c r="CKS54" s="102"/>
      <c r="CKT54" s="102"/>
      <c r="CKU54" s="102"/>
      <c r="CKV54" s="102"/>
      <c r="CKW54" s="102"/>
      <c r="CKX54" s="102"/>
      <c r="CKY54" s="102"/>
      <c r="CKZ54" s="102"/>
      <c r="CLA54" s="102"/>
      <c r="CLB54" s="102"/>
      <c r="CLC54" s="102"/>
      <c r="CLD54" s="102"/>
      <c r="CLE54" s="102"/>
      <c r="CLF54" s="102"/>
      <c r="CLG54" s="102"/>
      <c r="CLH54" s="102"/>
      <c r="CLI54" s="102"/>
      <c r="CLJ54" s="102"/>
      <c r="CLK54" s="102"/>
      <c r="CLL54" s="102"/>
      <c r="CLM54" s="102"/>
      <c r="CLN54" s="102"/>
      <c r="CLO54" s="102"/>
      <c r="CLP54" s="102"/>
      <c r="CLQ54" s="102"/>
      <c r="CLR54" s="102"/>
      <c r="CLS54" s="102"/>
      <c r="CLT54" s="102"/>
      <c r="CLU54" s="102"/>
      <c r="CLV54" s="102"/>
      <c r="CLW54" s="102"/>
      <c r="CLX54" s="102"/>
      <c r="CLY54" s="102"/>
      <c r="CLZ54" s="102"/>
      <c r="CMA54" s="102"/>
      <c r="CMB54" s="102"/>
      <c r="CMC54" s="102"/>
      <c r="CMD54" s="102"/>
      <c r="CME54" s="102"/>
      <c r="CMF54" s="102"/>
      <c r="CMG54" s="102"/>
      <c r="CMH54" s="102"/>
      <c r="CMI54" s="102"/>
      <c r="CMJ54" s="102"/>
      <c r="CMK54" s="102"/>
      <c r="CML54" s="102"/>
      <c r="CMM54" s="102"/>
      <c r="CMN54" s="102"/>
      <c r="CMO54" s="102"/>
      <c r="CMP54" s="102"/>
      <c r="CMQ54" s="102"/>
      <c r="CMR54" s="102"/>
      <c r="CMS54" s="102"/>
      <c r="CMT54" s="102"/>
      <c r="CMU54" s="102"/>
      <c r="CMV54" s="102"/>
      <c r="CMW54" s="102"/>
      <c r="CMX54" s="102"/>
      <c r="CMY54" s="102"/>
      <c r="CMZ54" s="102"/>
      <c r="CNA54" s="102"/>
      <c r="CNB54" s="102"/>
      <c r="CNC54" s="102"/>
      <c r="CND54" s="102"/>
      <c r="CNE54" s="102"/>
      <c r="CNF54" s="102"/>
      <c r="CNG54" s="102"/>
      <c r="CNH54" s="102"/>
      <c r="CNI54" s="102"/>
      <c r="CNJ54" s="102"/>
      <c r="CNK54" s="102"/>
      <c r="CNL54" s="102"/>
      <c r="CNM54" s="102"/>
      <c r="CNN54" s="102"/>
      <c r="CNO54" s="102"/>
      <c r="CNP54" s="102"/>
      <c r="CNQ54" s="102"/>
      <c r="CNR54" s="102"/>
      <c r="CNS54" s="102"/>
      <c r="CNT54" s="102"/>
      <c r="CNU54" s="102"/>
      <c r="CNV54" s="102"/>
      <c r="CNW54" s="102"/>
      <c r="CNX54" s="102"/>
      <c r="CNY54" s="102"/>
      <c r="CNZ54" s="102"/>
      <c r="COA54" s="102"/>
      <c r="COB54" s="102"/>
      <c r="COC54" s="102"/>
      <c r="COD54" s="102"/>
      <c r="COE54" s="102"/>
      <c r="COF54" s="102"/>
      <c r="COG54" s="102"/>
      <c r="COH54" s="102"/>
      <c r="COI54" s="102"/>
      <c r="COJ54" s="102"/>
      <c r="COK54" s="102"/>
      <c r="COL54" s="102"/>
      <c r="COM54" s="102"/>
      <c r="CON54" s="102"/>
      <c r="COO54" s="102"/>
      <c r="COP54" s="102"/>
      <c r="COQ54" s="102"/>
      <c r="COR54" s="102"/>
      <c r="COS54" s="102"/>
      <c r="COT54" s="102"/>
      <c r="COU54" s="102"/>
      <c r="COV54" s="102"/>
      <c r="COW54" s="102"/>
      <c r="COX54" s="102"/>
      <c r="COY54" s="102"/>
      <c r="COZ54" s="102"/>
      <c r="CPA54" s="102"/>
      <c r="CPB54" s="102"/>
      <c r="CPC54" s="102"/>
      <c r="CPD54" s="102"/>
      <c r="CPE54" s="102"/>
      <c r="CPF54" s="102"/>
      <c r="CPG54" s="102"/>
      <c r="CPH54" s="102"/>
      <c r="CPI54" s="102"/>
      <c r="CPJ54" s="102"/>
      <c r="CPK54" s="102"/>
      <c r="CPL54" s="102"/>
      <c r="CPM54" s="102"/>
      <c r="CPN54" s="102"/>
      <c r="CPO54" s="102"/>
      <c r="CPP54" s="102"/>
      <c r="CPQ54" s="102"/>
      <c r="CPR54" s="102"/>
      <c r="CPS54" s="102"/>
      <c r="CPT54" s="102"/>
      <c r="CPU54" s="102"/>
      <c r="CPV54" s="102"/>
      <c r="CPW54" s="102"/>
      <c r="CPX54" s="102"/>
      <c r="CPY54" s="102"/>
      <c r="CPZ54" s="102"/>
      <c r="CQA54" s="102"/>
      <c r="CQB54" s="102"/>
      <c r="CQC54" s="102"/>
      <c r="CQD54" s="102"/>
      <c r="CQE54" s="102"/>
      <c r="CQF54" s="102"/>
      <c r="CQG54" s="102"/>
      <c r="CQH54" s="102"/>
      <c r="CQI54" s="102"/>
      <c r="CQJ54" s="102"/>
      <c r="CQK54" s="102"/>
      <c r="CQL54" s="102"/>
      <c r="CQM54" s="102"/>
      <c r="CQN54" s="102"/>
      <c r="CQO54" s="102"/>
      <c r="CQP54" s="102"/>
      <c r="CQQ54" s="102"/>
      <c r="CQR54" s="102"/>
      <c r="CQS54" s="102"/>
      <c r="CQT54" s="102"/>
      <c r="CQU54" s="102"/>
      <c r="CQV54" s="102"/>
      <c r="CQW54" s="102"/>
      <c r="CQX54" s="102"/>
      <c r="CQY54" s="102"/>
      <c r="CQZ54" s="102"/>
      <c r="CRA54" s="102"/>
      <c r="CRB54" s="102"/>
      <c r="CRC54" s="102"/>
      <c r="CRD54" s="102"/>
      <c r="CRE54" s="102"/>
      <c r="CRF54" s="102"/>
      <c r="CRG54" s="102"/>
      <c r="CRH54" s="102"/>
      <c r="CRI54" s="102"/>
      <c r="CRJ54" s="102"/>
      <c r="CRK54" s="102"/>
      <c r="CRL54" s="102"/>
      <c r="CRM54" s="102"/>
      <c r="CRN54" s="102"/>
      <c r="CRO54" s="102"/>
      <c r="CRP54" s="102"/>
      <c r="CRQ54" s="102"/>
      <c r="CRR54" s="102"/>
      <c r="CRS54" s="102"/>
      <c r="CRT54" s="102"/>
      <c r="CRU54" s="102"/>
      <c r="CRV54" s="102"/>
      <c r="CRW54" s="102"/>
      <c r="CRX54" s="102"/>
      <c r="CRY54" s="102"/>
      <c r="CRZ54" s="102"/>
      <c r="CSA54" s="102"/>
      <c r="CSB54" s="102"/>
      <c r="CSC54" s="102"/>
      <c r="CSD54" s="102"/>
      <c r="CSE54" s="102"/>
      <c r="CSF54" s="102"/>
      <c r="CSG54" s="102"/>
      <c r="CSH54" s="102"/>
      <c r="CSI54" s="102"/>
      <c r="CSJ54" s="102"/>
      <c r="CSK54" s="102"/>
      <c r="CSL54" s="102"/>
      <c r="CSM54" s="102"/>
      <c r="CSN54" s="102"/>
      <c r="CSO54" s="102"/>
      <c r="CSP54" s="102"/>
      <c r="CSQ54" s="102"/>
      <c r="CSR54" s="102"/>
      <c r="CSS54" s="102"/>
      <c r="CST54" s="102"/>
      <c r="CSU54" s="102"/>
      <c r="CSV54" s="102"/>
      <c r="CSW54" s="102"/>
      <c r="CSX54" s="102"/>
      <c r="CSY54" s="102"/>
      <c r="CSZ54" s="102"/>
      <c r="CTA54" s="102"/>
      <c r="CTB54" s="102"/>
      <c r="CTC54" s="102"/>
      <c r="CTD54" s="102"/>
      <c r="CTE54" s="102"/>
      <c r="CTF54" s="102"/>
      <c r="CTG54" s="102"/>
      <c r="CTH54" s="102"/>
      <c r="CTI54" s="102"/>
      <c r="CTJ54" s="102"/>
      <c r="CTK54" s="102"/>
      <c r="CTL54" s="102"/>
      <c r="CTM54" s="102"/>
      <c r="CTN54" s="102"/>
      <c r="CTO54" s="102"/>
      <c r="CTP54" s="102"/>
      <c r="CTQ54" s="102"/>
      <c r="CTR54" s="102"/>
      <c r="CTS54" s="102"/>
      <c r="CTT54" s="102"/>
      <c r="CTU54" s="102"/>
      <c r="CTV54" s="102"/>
      <c r="CTW54" s="102"/>
      <c r="CTX54" s="102"/>
      <c r="CTY54" s="102"/>
      <c r="CTZ54" s="102"/>
      <c r="CUA54" s="102"/>
      <c r="CUB54" s="102"/>
      <c r="CUC54" s="102"/>
      <c r="CUD54" s="102"/>
      <c r="CUE54" s="102"/>
      <c r="CUF54" s="102"/>
      <c r="CUG54" s="102"/>
      <c r="CUH54" s="102"/>
      <c r="CUI54" s="102"/>
      <c r="CUJ54" s="102"/>
      <c r="CUK54" s="102"/>
      <c r="CUL54" s="102"/>
      <c r="CUM54" s="102"/>
      <c r="CUN54" s="102"/>
      <c r="CUO54" s="102"/>
      <c r="CUP54" s="102"/>
      <c r="CUQ54" s="102"/>
      <c r="CUR54" s="102"/>
      <c r="CUS54" s="102"/>
      <c r="CUT54" s="102"/>
      <c r="CUU54" s="102"/>
      <c r="CUV54" s="102"/>
      <c r="CUW54" s="102"/>
      <c r="CUX54" s="102"/>
      <c r="CUY54" s="102"/>
      <c r="CUZ54" s="102"/>
      <c r="CVA54" s="102"/>
      <c r="CVB54" s="102"/>
      <c r="CVC54" s="102"/>
      <c r="CVD54" s="102"/>
      <c r="CVE54" s="102"/>
      <c r="CVF54" s="102"/>
      <c r="CVG54" s="102"/>
      <c r="CVH54" s="102"/>
      <c r="CVI54" s="102"/>
      <c r="CVJ54" s="102"/>
      <c r="CVK54" s="102"/>
      <c r="CVL54" s="102"/>
      <c r="CVM54" s="102"/>
      <c r="CVN54" s="102"/>
      <c r="CVO54" s="102"/>
      <c r="CVP54" s="102"/>
      <c r="CVQ54" s="102"/>
      <c r="CVR54" s="102"/>
      <c r="CVS54" s="102"/>
      <c r="CVT54" s="102"/>
      <c r="CVU54" s="102"/>
      <c r="CVV54" s="102"/>
      <c r="CVW54" s="102"/>
      <c r="CVX54" s="102"/>
      <c r="CVY54" s="102"/>
      <c r="CVZ54" s="102"/>
      <c r="CWA54" s="102"/>
      <c r="CWB54" s="102"/>
      <c r="CWC54" s="102"/>
      <c r="CWD54" s="102"/>
      <c r="CWE54" s="102"/>
      <c r="CWF54" s="102"/>
      <c r="CWG54" s="102"/>
      <c r="CWH54" s="102"/>
      <c r="CWI54" s="102"/>
      <c r="CWJ54" s="102"/>
      <c r="CWK54" s="102"/>
      <c r="CWL54" s="102"/>
      <c r="CWM54" s="102"/>
      <c r="CWN54" s="102"/>
      <c r="CWO54" s="102"/>
      <c r="CWP54" s="102"/>
      <c r="CWQ54" s="102"/>
      <c r="CWR54" s="102"/>
      <c r="CWS54" s="102"/>
      <c r="CWT54" s="102"/>
      <c r="CWU54" s="102"/>
      <c r="CWV54" s="102"/>
      <c r="CWW54" s="102"/>
      <c r="CWX54" s="102"/>
      <c r="CWY54" s="102"/>
      <c r="CWZ54" s="102"/>
      <c r="CXA54" s="102"/>
      <c r="CXB54" s="102"/>
      <c r="CXC54" s="102"/>
      <c r="CXD54" s="102"/>
      <c r="CXE54" s="102"/>
      <c r="CXF54" s="102"/>
      <c r="CXG54" s="102"/>
      <c r="CXH54" s="102"/>
      <c r="CXI54" s="102"/>
      <c r="CXJ54" s="102"/>
      <c r="CXK54" s="102"/>
      <c r="CXL54" s="102"/>
      <c r="CXM54" s="102"/>
      <c r="CXN54" s="102"/>
      <c r="CXO54" s="102"/>
      <c r="CXP54" s="102"/>
      <c r="CXQ54" s="102"/>
      <c r="CXR54" s="102"/>
      <c r="CXS54" s="102"/>
      <c r="CXT54" s="102"/>
      <c r="CXU54" s="102"/>
      <c r="CXV54" s="102"/>
      <c r="CXW54" s="102"/>
      <c r="CXX54" s="102"/>
      <c r="CXY54" s="102"/>
      <c r="CXZ54" s="102"/>
      <c r="CYA54" s="102"/>
      <c r="CYB54" s="102"/>
      <c r="CYC54" s="102"/>
      <c r="CYD54" s="102"/>
      <c r="CYE54" s="102"/>
      <c r="CYF54" s="102"/>
      <c r="CYG54" s="102"/>
      <c r="CYH54" s="102"/>
      <c r="CYI54" s="102"/>
      <c r="CYJ54" s="102"/>
      <c r="CYK54" s="102"/>
      <c r="CYL54" s="102"/>
      <c r="CYM54" s="102"/>
      <c r="CYN54" s="102"/>
      <c r="CYO54" s="102"/>
      <c r="CYP54" s="102"/>
      <c r="CYQ54" s="102"/>
      <c r="CYR54" s="102"/>
      <c r="CYS54" s="102"/>
      <c r="CYT54" s="102"/>
      <c r="CYU54" s="102"/>
      <c r="CYV54" s="102"/>
      <c r="CYW54" s="102"/>
      <c r="CYX54" s="102"/>
      <c r="CYY54" s="102"/>
      <c r="CYZ54" s="102"/>
      <c r="CZA54" s="102"/>
      <c r="CZB54" s="102"/>
      <c r="CZC54" s="102"/>
      <c r="CZD54" s="102"/>
      <c r="CZE54" s="102"/>
      <c r="CZF54" s="102"/>
      <c r="CZG54" s="102"/>
      <c r="CZH54" s="102"/>
      <c r="CZI54" s="102"/>
      <c r="CZJ54" s="102"/>
      <c r="CZK54" s="102"/>
      <c r="CZL54" s="102"/>
      <c r="CZM54" s="102"/>
      <c r="CZN54" s="102"/>
      <c r="CZO54" s="102"/>
      <c r="CZP54" s="102"/>
      <c r="CZQ54" s="102"/>
      <c r="CZR54" s="102"/>
      <c r="CZS54" s="102"/>
      <c r="CZT54" s="102"/>
      <c r="CZU54" s="102"/>
      <c r="CZV54" s="102"/>
      <c r="CZW54" s="102"/>
      <c r="CZX54" s="102"/>
      <c r="CZY54" s="102"/>
      <c r="CZZ54" s="102"/>
      <c r="DAA54" s="102"/>
      <c r="DAB54" s="102"/>
      <c r="DAC54" s="102"/>
      <c r="DAD54" s="102"/>
      <c r="DAE54" s="102"/>
      <c r="DAF54" s="102"/>
      <c r="DAG54" s="102"/>
      <c r="DAH54" s="102"/>
      <c r="DAI54" s="102"/>
      <c r="DAJ54" s="102"/>
      <c r="DAK54" s="102"/>
      <c r="DAL54" s="102"/>
      <c r="DAM54" s="102"/>
      <c r="DAN54" s="102"/>
      <c r="DAO54" s="102"/>
      <c r="DAP54" s="102"/>
      <c r="DAQ54" s="102"/>
      <c r="DAR54" s="102"/>
      <c r="DAS54" s="102"/>
      <c r="DAT54" s="102"/>
      <c r="DAU54" s="102"/>
      <c r="DAV54" s="102"/>
      <c r="DAW54" s="102"/>
      <c r="DAX54" s="102"/>
      <c r="DAY54" s="102"/>
      <c r="DAZ54" s="102"/>
      <c r="DBA54" s="102"/>
      <c r="DBB54" s="102"/>
      <c r="DBC54" s="102"/>
      <c r="DBD54" s="102"/>
      <c r="DBE54" s="102"/>
      <c r="DBF54" s="102"/>
      <c r="DBG54" s="102"/>
      <c r="DBH54" s="102"/>
      <c r="DBI54" s="102"/>
      <c r="DBJ54" s="102"/>
      <c r="DBK54" s="102"/>
      <c r="DBL54" s="102"/>
      <c r="DBM54" s="102"/>
      <c r="DBN54" s="102"/>
      <c r="DBO54" s="102"/>
      <c r="DBP54" s="102"/>
      <c r="DBQ54" s="102"/>
      <c r="DBR54" s="102"/>
      <c r="DBS54" s="102"/>
      <c r="DBT54" s="102"/>
      <c r="DBU54" s="102"/>
      <c r="DBV54" s="102"/>
      <c r="DBW54" s="102"/>
      <c r="DBX54" s="102"/>
      <c r="DBY54" s="102"/>
      <c r="DBZ54" s="102"/>
      <c r="DCA54" s="102"/>
      <c r="DCB54" s="102"/>
      <c r="DCC54" s="102"/>
      <c r="DCD54" s="102"/>
      <c r="DCE54" s="102"/>
      <c r="DCF54" s="102"/>
      <c r="DCG54" s="102"/>
      <c r="DCH54" s="102"/>
      <c r="DCI54" s="102"/>
      <c r="DCJ54" s="102"/>
      <c r="DCK54" s="102"/>
      <c r="DCL54" s="102"/>
      <c r="DCM54" s="102"/>
      <c r="DCN54" s="102"/>
      <c r="DCO54" s="102"/>
      <c r="DCP54" s="102"/>
      <c r="DCQ54" s="102"/>
      <c r="DCR54" s="102"/>
      <c r="DCS54" s="102"/>
      <c r="DCT54" s="102"/>
      <c r="DCU54" s="102"/>
      <c r="DCV54" s="102"/>
      <c r="DCW54" s="102"/>
      <c r="DCX54" s="102"/>
      <c r="DCY54" s="102"/>
      <c r="DCZ54" s="102"/>
      <c r="DDA54" s="102"/>
      <c r="DDB54" s="102"/>
      <c r="DDC54" s="102"/>
      <c r="DDD54" s="102"/>
      <c r="DDE54" s="102"/>
      <c r="DDF54" s="102"/>
      <c r="DDG54" s="102"/>
      <c r="DDH54" s="102"/>
      <c r="DDI54" s="102"/>
      <c r="DDJ54" s="102"/>
      <c r="DDK54" s="102"/>
      <c r="DDL54" s="102"/>
      <c r="DDM54" s="102"/>
      <c r="DDN54" s="102"/>
      <c r="DDO54" s="102"/>
      <c r="DDP54" s="102"/>
      <c r="DDQ54" s="102"/>
      <c r="DDR54" s="102"/>
      <c r="DDS54" s="102"/>
      <c r="DDT54" s="102"/>
      <c r="DDU54" s="102"/>
      <c r="DDV54" s="102"/>
      <c r="DDW54" s="102"/>
      <c r="DDX54" s="102"/>
      <c r="DDY54" s="102"/>
      <c r="DDZ54" s="102"/>
      <c r="DEA54" s="102"/>
      <c r="DEB54" s="102"/>
      <c r="DEC54" s="102"/>
      <c r="DED54" s="102"/>
      <c r="DEE54" s="102"/>
      <c r="DEF54" s="102"/>
      <c r="DEG54" s="102"/>
      <c r="DEH54" s="102"/>
      <c r="DEI54" s="102"/>
      <c r="DEJ54" s="102"/>
      <c r="DEK54" s="102"/>
      <c r="DEL54" s="102"/>
      <c r="DEM54" s="102"/>
      <c r="DEN54" s="102"/>
      <c r="DEO54" s="102"/>
      <c r="DEP54" s="102"/>
      <c r="DEQ54" s="102"/>
      <c r="DER54" s="102"/>
      <c r="DES54" s="102"/>
      <c r="DET54" s="102"/>
      <c r="DEU54" s="102"/>
      <c r="DEV54" s="102"/>
      <c r="DEW54" s="102"/>
      <c r="DEX54" s="102"/>
      <c r="DEY54" s="102"/>
      <c r="DEZ54" s="102"/>
      <c r="DFA54" s="102"/>
      <c r="DFB54" s="102"/>
      <c r="DFC54" s="102"/>
      <c r="DFD54" s="102"/>
      <c r="DFE54" s="102"/>
      <c r="DFF54" s="102"/>
      <c r="DFG54" s="102"/>
      <c r="DFH54" s="102"/>
      <c r="DFI54" s="102"/>
      <c r="DFJ54" s="102"/>
      <c r="DFK54" s="102"/>
      <c r="DFL54" s="102"/>
      <c r="DFM54" s="102"/>
      <c r="DFN54" s="102"/>
      <c r="DFO54" s="102"/>
      <c r="DFP54" s="102"/>
      <c r="DFQ54" s="102"/>
      <c r="DFR54" s="102"/>
      <c r="DFS54" s="102"/>
      <c r="DFT54" s="102"/>
      <c r="DFU54" s="102"/>
      <c r="DFV54" s="102"/>
      <c r="DFW54" s="102"/>
      <c r="DFX54" s="102"/>
      <c r="DFY54" s="102"/>
      <c r="DFZ54" s="102"/>
      <c r="DGA54" s="102"/>
      <c r="DGB54" s="102"/>
      <c r="DGC54" s="102"/>
      <c r="DGD54" s="102"/>
      <c r="DGE54" s="102"/>
      <c r="DGF54" s="102"/>
      <c r="DGG54" s="102"/>
      <c r="DGH54" s="102"/>
      <c r="DGI54" s="102"/>
      <c r="DGJ54" s="102"/>
      <c r="DGK54" s="102"/>
      <c r="DGL54" s="102"/>
      <c r="DGM54" s="102"/>
      <c r="DGN54" s="102"/>
      <c r="DGO54" s="102"/>
      <c r="DGP54" s="102"/>
      <c r="DGQ54" s="102"/>
      <c r="DGR54" s="102"/>
      <c r="DGS54" s="102"/>
      <c r="DGT54" s="102"/>
      <c r="DGU54" s="102"/>
      <c r="DGV54" s="102"/>
      <c r="DGW54" s="102"/>
      <c r="DGX54" s="102"/>
      <c r="DGY54" s="102"/>
      <c r="DGZ54" s="102"/>
      <c r="DHA54" s="102"/>
      <c r="DHB54" s="102"/>
      <c r="DHC54" s="102"/>
      <c r="DHD54" s="102"/>
      <c r="DHE54" s="102"/>
      <c r="DHF54" s="102"/>
      <c r="DHG54" s="102"/>
      <c r="DHH54" s="102"/>
      <c r="DHI54" s="102"/>
      <c r="DHJ54" s="102"/>
      <c r="DHK54" s="102"/>
      <c r="DHL54" s="102"/>
      <c r="DHM54" s="102"/>
      <c r="DHN54" s="102"/>
      <c r="DHO54" s="102"/>
      <c r="DHP54" s="102"/>
      <c r="DHQ54" s="102"/>
      <c r="DHR54" s="102"/>
      <c r="DHS54" s="102"/>
      <c r="DHT54" s="102"/>
      <c r="DHU54" s="102"/>
      <c r="DHV54" s="102"/>
      <c r="DHW54" s="102"/>
      <c r="DHX54" s="102"/>
      <c r="DHY54" s="102"/>
      <c r="DHZ54" s="102"/>
      <c r="DIA54" s="102"/>
      <c r="DIB54" s="102"/>
      <c r="DIC54" s="102"/>
      <c r="DID54" s="102"/>
      <c r="DIE54" s="102"/>
      <c r="DIF54" s="102"/>
      <c r="DIG54" s="102"/>
      <c r="DIH54" s="102"/>
      <c r="DII54" s="102"/>
      <c r="DIJ54" s="102"/>
      <c r="DIK54" s="102"/>
      <c r="DIL54" s="102"/>
      <c r="DIM54" s="102"/>
      <c r="DIN54" s="102"/>
      <c r="DIO54" s="102"/>
      <c r="DIP54" s="102"/>
      <c r="DIQ54" s="102"/>
      <c r="DIR54" s="102"/>
      <c r="DIS54" s="102"/>
      <c r="DIT54" s="102"/>
      <c r="DIU54" s="102"/>
      <c r="DIV54" s="102"/>
      <c r="DIW54" s="102"/>
      <c r="DIX54" s="102"/>
      <c r="DIY54" s="102"/>
      <c r="DIZ54" s="102"/>
      <c r="DJA54" s="102"/>
      <c r="DJB54" s="102"/>
      <c r="DJC54" s="102"/>
      <c r="DJD54" s="102"/>
      <c r="DJE54" s="102"/>
      <c r="DJF54" s="102"/>
      <c r="DJG54" s="102"/>
      <c r="DJH54" s="102"/>
      <c r="DJI54" s="102"/>
      <c r="DJJ54" s="102"/>
      <c r="DJK54" s="102"/>
      <c r="DJL54" s="102"/>
      <c r="DJM54" s="102"/>
      <c r="DJN54" s="102"/>
      <c r="DJO54" s="102"/>
      <c r="DJP54" s="102"/>
      <c r="DJQ54" s="102"/>
      <c r="DJR54" s="102"/>
      <c r="DJS54" s="102"/>
      <c r="DJT54" s="102"/>
      <c r="DJU54" s="102"/>
      <c r="DJV54" s="102"/>
      <c r="DJW54" s="102"/>
      <c r="DJX54" s="102"/>
      <c r="DJY54" s="102"/>
      <c r="DJZ54" s="102"/>
      <c r="DKA54" s="102"/>
      <c r="DKB54" s="102"/>
      <c r="DKC54" s="102"/>
      <c r="DKD54" s="102"/>
      <c r="DKE54" s="102"/>
      <c r="DKF54" s="102"/>
      <c r="DKG54" s="102"/>
      <c r="DKH54" s="102"/>
      <c r="DKI54" s="102"/>
      <c r="DKJ54" s="102"/>
      <c r="DKK54" s="102"/>
      <c r="DKL54" s="102"/>
      <c r="DKM54" s="102"/>
      <c r="DKN54" s="102"/>
      <c r="DKO54" s="102"/>
      <c r="DKP54" s="102"/>
      <c r="DKQ54" s="102"/>
      <c r="DKR54" s="102"/>
      <c r="DKS54" s="102"/>
      <c r="DKT54" s="102"/>
      <c r="DKU54" s="102"/>
      <c r="DKV54" s="102"/>
      <c r="DKW54" s="102"/>
      <c r="DKX54" s="102"/>
      <c r="DKY54" s="102"/>
      <c r="DKZ54" s="102"/>
      <c r="DLA54" s="102"/>
      <c r="DLB54" s="102"/>
      <c r="DLC54" s="102"/>
      <c r="DLD54" s="102"/>
      <c r="DLE54" s="102"/>
      <c r="DLF54" s="102"/>
      <c r="DLG54" s="102"/>
      <c r="DLH54" s="102"/>
      <c r="DLI54" s="102"/>
      <c r="DLJ54" s="102"/>
      <c r="DLK54" s="102"/>
      <c r="DLL54" s="102"/>
      <c r="DLM54" s="102"/>
      <c r="DLN54" s="102"/>
      <c r="DLO54" s="102"/>
      <c r="DLP54" s="102"/>
      <c r="DLQ54" s="102"/>
      <c r="DLR54" s="102"/>
      <c r="DLS54" s="102"/>
      <c r="DLT54" s="102"/>
      <c r="DLU54" s="102"/>
      <c r="DLV54" s="102"/>
      <c r="DLW54" s="102"/>
      <c r="DLX54" s="102"/>
      <c r="DLY54" s="102"/>
      <c r="DLZ54" s="102"/>
      <c r="DMA54" s="102"/>
      <c r="DMB54" s="102"/>
      <c r="DMC54" s="102"/>
      <c r="DMD54" s="102"/>
      <c r="DME54" s="102"/>
      <c r="DMF54" s="102"/>
      <c r="DMG54" s="102"/>
      <c r="DMH54" s="102"/>
      <c r="DMI54" s="102"/>
      <c r="DMJ54" s="102"/>
      <c r="DMK54" s="102"/>
      <c r="DML54" s="102"/>
      <c r="DMM54" s="102"/>
      <c r="DMN54" s="102"/>
      <c r="DMO54" s="102"/>
      <c r="DMP54" s="102"/>
      <c r="DMQ54" s="102"/>
      <c r="DMR54" s="102"/>
      <c r="DMS54" s="102"/>
      <c r="DMT54" s="102"/>
      <c r="DMU54" s="102"/>
      <c r="DMV54" s="102"/>
      <c r="DMW54" s="102"/>
      <c r="DMX54" s="102"/>
      <c r="DMY54" s="102"/>
      <c r="DMZ54" s="102"/>
      <c r="DNA54" s="102"/>
      <c r="DNB54" s="102"/>
      <c r="DNC54" s="102"/>
      <c r="DND54" s="102"/>
      <c r="DNE54" s="102"/>
      <c r="DNF54" s="102"/>
      <c r="DNG54" s="102"/>
      <c r="DNH54" s="102"/>
      <c r="DNI54" s="102"/>
      <c r="DNJ54" s="102"/>
      <c r="DNK54" s="102"/>
      <c r="DNL54" s="102"/>
      <c r="DNM54" s="102"/>
      <c r="DNN54" s="102"/>
      <c r="DNO54" s="102"/>
      <c r="DNP54" s="102"/>
      <c r="DNQ54" s="102"/>
      <c r="DNR54" s="102"/>
      <c r="DNS54" s="102"/>
      <c r="DNT54" s="102"/>
      <c r="DNU54" s="102"/>
      <c r="DNV54" s="102"/>
      <c r="DNW54" s="102"/>
      <c r="DNX54" s="102"/>
      <c r="DNY54" s="102"/>
      <c r="DNZ54" s="102"/>
      <c r="DOA54" s="102"/>
      <c r="DOB54" s="102"/>
      <c r="DOC54" s="102"/>
      <c r="DOD54" s="102"/>
      <c r="DOE54" s="102"/>
      <c r="DOF54" s="102"/>
      <c r="DOG54" s="102"/>
      <c r="DOH54" s="102"/>
      <c r="DOI54" s="102"/>
      <c r="DOJ54" s="102"/>
      <c r="DOK54" s="102"/>
      <c r="DOL54" s="102"/>
      <c r="DOM54" s="102"/>
      <c r="DON54" s="102"/>
      <c r="DOO54" s="102"/>
      <c r="DOP54" s="102"/>
      <c r="DOQ54" s="102"/>
      <c r="DOR54" s="102"/>
      <c r="DOS54" s="102"/>
      <c r="DOT54" s="102"/>
      <c r="DOU54" s="102"/>
      <c r="DOV54" s="102"/>
      <c r="DOW54" s="102"/>
      <c r="DOX54" s="102"/>
      <c r="DOY54" s="102"/>
      <c r="DOZ54" s="102"/>
      <c r="DPA54" s="102"/>
      <c r="DPB54" s="102"/>
      <c r="DPC54" s="102"/>
      <c r="DPD54" s="102"/>
      <c r="DPE54" s="102"/>
      <c r="DPF54" s="102"/>
      <c r="DPG54" s="102"/>
      <c r="DPH54" s="102"/>
      <c r="DPI54" s="102"/>
      <c r="DPJ54" s="102"/>
      <c r="DPK54" s="102"/>
      <c r="DPL54" s="102"/>
      <c r="DPM54" s="102"/>
      <c r="DPN54" s="102"/>
      <c r="DPO54" s="102"/>
      <c r="DPP54" s="102"/>
      <c r="DPQ54" s="102"/>
      <c r="DPR54" s="102"/>
      <c r="DPS54" s="102"/>
      <c r="DPT54" s="102"/>
      <c r="DPU54" s="102"/>
      <c r="DPV54" s="102"/>
      <c r="DPW54" s="102"/>
      <c r="DPX54" s="102"/>
      <c r="DPY54" s="102"/>
      <c r="DPZ54" s="102"/>
      <c r="DQA54" s="102"/>
      <c r="DQB54" s="102"/>
      <c r="DQC54" s="102"/>
      <c r="DQD54" s="102"/>
      <c r="DQE54" s="102"/>
      <c r="DQF54" s="102"/>
      <c r="DQG54" s="102"/>
      <c r="DQH54" s="102"/>
      <c r="DQI54" s="102"/>
      <c r="DQJ54" s="102"/>
      <c r="DQK54" s="102"/>
      <c r="DQL54" s="102"/>
      <c r="DQM54" s="102"/>
      <c r="DQN54" s="102"/>
      <c r="DQO54" s="102"/>
      <c r="DQP54" s="102"/>
      <c r="DQQ54" s="102"/>
      <c r="DQR54" s="102"/>
      <c r="DQS54" s="102"/>
      <c r="DQT54" s="102"/>
      <c r="DQU54" s="102"/>
      <c r="DQV54" s="102"/>
      <c r="DQW54" s="102"/>
      <c r="DQX54" s="102"/>
      <c r="DQY54" s="102"/>
      <c r="DQZ54" s="102"/>
      <c r="DRA54" s="102"/>
      <c r="DRB54" s="102"/>
      <c r="DRC54" s="102"/>
      <c r="DRD54" s="102"/>
      <c r="DRE54" s="102"/>
      <c r="DRF54" s="102"/>
      <c r="DRG54" s="102"/>
      <c r="DRH54" s="102"/>
      <c r="DRI54" s="102"/>
      <c r="DRJ54" s="102"/>
      <c r="DRK54" s="102"/>
      <c r="DRL54" s="102"/>
      <c r="DRM54" s="102"/>
      <c r="DRN54" s="102"/>
      <c r="DRO54" s="102"/>
      <c r="DRP54" s="102"/>
      <c r="DRQ54" s="102"/>
      <c r="DRR54" s="102"/>
      <c r="DRS54" s="102"/>
      <c r="DRT54" s="102"/>
      <c r="DRU54" s="102"/>
      <c r="DRV54" s="102"/>
      <c r="DRW54" s="102"/>
      <c r="DRX54" s="102"/>
      <c r="DRY54" s="102"/>
      <c r="DRZ54" s="102"/>
      <c r="DSA54" s="102"/>
      <c r="DSB54" s="102"/>
      <c r="DSC54" s="102"/>
      <c r="DSD54" s="102"/>
      <c r="DSE54" s="102"/>
      <c r="DSF54" s="102"/>
      <c r="DSG54" s="102"/>
      <c r="DSH54" s="102"/>
      <c r="DSI54" s="102"/>
      <c r="DSJ54" s="102"/>
      <c r="DSK54" s="102"/>
      <c r="DSL54" s="102"/>
      <c r="DSM54" s="102"/>
      <c r="DSN54" s="102"/>
      <c r="DSO54" s="102"/>
      <c r="DSP54" s="102"/>
      <c r="DSQ54" s="102"/>
      <c r="DSR54" s="102"/>
      <c r="DSS54" s="102"/>
      <c r="DST54" s="102"/>
      <c r="DSU54" s="102"/>
      <c r="DSV54" s="102"/>
      <c r="DSW54" s="102"/>
      <c r="DSX54" s="102"/>
      <c r="DSY54" s="102"/>
      <c r="DSZ54" s="102"/>
      <c r="DTA54" s="102"/>
      <c r="DTB54" s="102"/>
      <c r="DTC54" s="102"/>
      <c r="DTD54" s="102"/>
      <c r="DTE54" s="102"/>
      <c r="DTF54" s="102"/>
      <c r="DTG54" s="102"/>
      <c r="DTH54" s="102"/>
      <c r="DTI54" s="102"/>
      <c r="DTJ54" s="102"/>
      <c r="DTK54" s="102"/>
      <c r="DTL54" s="102"/>
      <c r="DTM54" s="102"/>
      <c r="DTN54" s="102"/>
      <c r="DTO54" s="102"/>
      <c r="DTP54" s="102"/>
      <c r="DTQ54" s="102"/>
      <c r="DTR54" s="102"/>
      <c r="DTS54" s="102"/>
      <c r="DTT54" s="102"/>
      <c r="DTU54" s="102"/>
      <c r="DTV54" s="102"/>
      <c r="DTW54" s="102"/>
      <c r="DTX54" s="102"/>
      <c r="DTY54" s="102"/>
      <c r="DTZ54" s="102"/>
      <c r="DUA54" s="102"/>
      <c r="DUB54" s="102"/>
      <c r="DUC54" s="102"/>
      <c r="DUD54" s="102"/>
      <c r="DUE54" s="102"/>
      <c r="DUF54" s="102"/>
      <c r="DUG54" s="102"/>
      <c r="DUH54" s="102"/>
      <c r="DUI54" s="102"/>
      <c r="DUJ54" s="102"/>
      <c r="DUK54" s="102"/>
      <c r="DUL54" s="102"/>
      <c r="DUM54" s="102"/>
      <c r="DUN54" s="102"/>
      <c r="DUO54" s="102"/>
      <c r="DUP54" s="102"/>
      <c r="DUQ54" s="102"/>
      <c r="DUR54" s="102"/>
      <c r="DUS54" s="102"/>
      <c r="DUT54" s="102"/>
      <c r="DUU54" s="102"/>
      <c r="DUV54" s="102"/>
      <c r="DUW54" s="102"/>
      <c r="DUX54" s="102"/>
      <c r="DUY54" s="102"/>
      <c r="DUZ54" s="102"/>
      <c r="DVA54" s="102"/>
      <c r="DVB54" s="102"/>
      <c r="DVC54" s="102"/>
      <c r="DVD54" s="102"/>
      <c r="DVE54" s="102"/>
      <c r="DVF54" s="102"/>
      <c r="DVG54" s="102"/>
      <c r="DVH54" s="102"/>
      <c r="DVI54" s="102"/>
      <c r="DVJ54" s="102"/>
      <c r="DVK54" s="102"/>
      <c r="DVL54" s="102"/>
      <c r="DVM54" s="102"/>
      <c r="DVN54" s="102"/>
      <c r="DVO54" s="102"/>
      <c r="DVP54" s="102"/>
      <c r="DVQ54" s="102"/>
      <c r="DVR54" s="102"/>
      <c r="DVS54" s="102"/>
      <c r="DVT54" s="102"/>
      <c r="DVU54" s="102"/>
      <c r="DVV54" s="102"/>
      <c r="DVW54" s="102"/>
      <c r="DVX54" s="102"/>
      <c r="DVY54" s="102"/>
      <c r="DVZ54" s="102"/>
      <c r="DWA54" s="102"/>
      <c r="DWB54" s="102"/>
      <c r="DWC54" s="102"/>
      <c r="DWD54" s="102"/>
      <c r="DWE54" s="102"/>
      <c r="DWF54" s="102"/>
      <c r="DWG54" s="102"/>
      <c r="DWH54" s="102"/>
      <c r="DWI54" s="102"/>
      <c r="DWJ54" s="102"/>
      <c r="DWK54" s="102"/>
      <c r="DWL54" s="102"/>
      <c r="DWM54" s="102"/>
      <c r="DWN54" s="102"/>
      <c r="DWO54" s="102"/>
      <c r="DWP54" s="102"/>
      <c r="DWQ54" s="102"/>
      <c r="DWR54" s="102"/>
      <c r="DWS54" s="102"/>
      <c r="DWT54" s="102"/>
      <c r="DWU54" s="102"/>
      <c r="DWV54" s="102"/>
      <c r="DWW54" s="102"/>
      <c r="DWX54" s="102"/>
      <c r="DWY54" s="102"/>
      <c r="DWZ54" s="102"/>
      <c r="DXA54" s="102"/>
      <c r="DXB54" s="102"/>
      <c r="DXC54" s="102"/>
      <c r="DXD54" s="102"/>
      <c r="DXE54" s="102"/>
      <c r="DXF54" s="102"/>
      <c r="DXG54" s="102"/>
      <c r="DXH54" s="102"/>
      <c r="DXI54" s="102"/>
      <c r="DXJ54" s="102"/>
      <c r="DXK54" s="102"/>
      <c r="DXL54" s="102"/>
      <c r="DXM54" s="102"/>
      <c r="DXN54" s="102"/>
      <c r="DXO54" s="102"/>
      <c r="DXP54" s="102"/>
      <c r="DXQ54" s="102"/>
      <c r="DXR54" s="102"/>
      <c r="DXS54" s="102"/>
      <c r="DXT54" s="102"/>
      <c r="DXU54" s="102"/>
      <c r="DXV54" s="102"/>
      <c r="DXW54" s="102"/>
      <c r="DXX54" s="102"/>
      <c r="DXY54" s="102"/>
      <c r="DXZ54" s="102"/>
      <c r="DYA54" s="102"/>
      <c r="DYB54" s="102"/>
      <c r="DYC54" s="102"/>
      <c r="DYD54" s="102"/>
      <c r="DYE54" s="102"/>
      <c r="DYF54" s="102"/>
      <c r="DYG54" s="102"/>
      <c r="DYH54" s="102"/>
      <c r="DYI54" s="102"/>
      <c r="DYJ54" s="102"/>
      <c r="DYK54" s="102"/>
      <c r="DYL54" s="102"/>
      <c r="DYM54" s="102"/>
      <c r="DYN54" s="102"/>
      <c r="DYO54" s="102"/>
      <c r="DYP54" s="102"/>
      <c r="DYQ54" s="102"/>
      <c r="DYR54" s="102"/>
      <c r="DYS54" s="102"/>
      <c r="DYT54" s="102"/>
      <c r="DYU54" s="102"/>
      <c r="DYV54" s="102"/>
      <c r="DYW54" s="102"/>
      <c r="DYX54" s="102"/>
      <c r="DYY54" s="102"/>
      <c r="DYZ54" s="102"/>
      <c r="DZA54" s="102"/>
      <c r="DZB54" s="102"/>
      <c r="DZC54" s="102"/>
      <c r="DZD54" s="102"/>
      <c r="DZE54" s="102"/>
      <c r="DZF54" s="102"/>
      <c r="DZG54" s="102"/>
      <c r="DZH54" s="102"/>
      <c r="DZI54" s="102"/>
      <c r="DZJ54" s="102"/>
      <c r="DZK54" s="102"/>
      <c r="DZL54" s="102"/>
      <c r="DZM54" s="102"/>
      <c r="DZN54" s="102"/>
      <c r="DZO54" s="102"/>
      <c r="DZP54" s="102"/>
      <c r="DZQ54" s="102"/>
      <c r="DZR54" s="102"/>
      <c r="DZS54" s="102"/>
      <c r="DZT54" s="102"/>
      <c r="DZU54" s="102"/>
      <c r="DZV54" s="102"/>
      <c r="DZW54" s="102"/>
      <c r="DZX54" s="102"/>
      <c r="DZY54" s="102"/>
      <c r="DZZ54" s="102"/>
      <c r="EAA54" s="102"/>
      <c r="EAB54" s="102"/>
      <c r="EAC54" s="102"/>
      <c r="EAD54" s="102"/>
      <c r="EAE54" s="102"/>
      <c r="EAF54" s="102"/>
      <c r="EAG54" s="102"/>
      <c r="EAH54" s="102"/>
      <c r="EAI54" s="102"/>
      <c r="EAJ54" s="102"/>
      <c r="EAK54" s="102"/>
      <c r="EAL54" s="102"/>
      <c r="EAM54" s="102"/>
      <c r="EAN54" s="102"/>
      <c r="EAO54" s="102"/>
      <c r="EAP54" s="102"/>
      <c r="EAQ54" s="102"/>
      <c r="EAR54" s="102"/>
      <c r="EAS54" s="102"/>
      <c r="EAT54" s="102"/>
      <c r="EAU54" s="102"/>
      <c r="EAV54" s="102"/>
      <c r="EAW54" s="102"/>
      <c r="EAX54" s="102"/>
      <c r="EAY54" s="102"/>
      <c r="EAZ54" s="102"/>
      <c r="EBA54" s="102"/>
      <c r="EBB54" s="102"/>
      <c r="EBC54" s="102"/>
      <c r="EBD54" s="102"/>
      <c r="EBE54" s="102"/>
      <c r="EBF54" s="102"/>
      <c r="EBG54" s="102"/>
      <c r="EBH54" s="102"/>
      <c r="EBI54" s="102"/>
      <c r="EBJ54" s="102"/>
      <c r="EBK54" s="102"/>
      <c r="EBL54" s="102"/>
      <c r="EBM54" s="102"/>
      <c r="EBN54" s="102"/>
      <c r="EBO54" s="102"/>
      <c r="EBP54" s="102"/>
      <c r="EBQ54" s="102"/>
      <c r="EBR54" s="102"/>
      <c r="EBS54" s="102"/>
      <c r="EBT54" s="102"/>
      <c r="EBU54" s="102"/>
      <c r="EBV54" s="102"/>
      <c r="EBW54" s="102"/>
      <c r="EBX54" s="102"/>
      <c r="EBY54" s="102"/>
      <c r="EBZ54" s="102"/>
      <c r="ECA54" s="102"/>
      <c r="ECB54" s="102"/>
      <c r="ECC54" s="102"/>
      <c r="ECD54" s="102"/>
      <c r="ECE54" s="102"/>
      <c r="ECF54" s="102"/>
      <c r="ECG54" s="102"/>
      <c r="ECH54" s="102"/>
      <c r="ECI54" s="102"/>
      <c r="ECJ54" s="102"/>
      <c r="ECK54" s="102"/>
      <c r="ECL54" s="102"/>
      <c r="ECM54" s="102"/>
      <c r="ECN54" s="102"/>
      <c r="ECO54" s="102"/>
      <c r="ECP54" s="102"/>
      <c r="ECQ54" s="102"/>
      <c r="ECR54" s="102"/>
      <c r="ECS54" s="102"/>
      <c r="ECT54" s="102"/>
      <c r="ECU54" s="102"/>
      <c r="ECV54" s="102"/>
      <c r="ECW54" s="102"/>
      <c r="ECX54" s="102"/>
      <c r="ECY54" s="102"/>
      <c r="ECZ54" s="102"/>
      <c r="EDA54" s="102"/>
      <c r="EDB54" s="102"/>
      <c r="EDC54" s="102"/>
      <c r="EDD54" s="102"/>
      <c r="EDE54" s="102"/>
      <c r="EDF54" s="102"/>
      <c r="EDG54" s="102"/>
      <c r="EDH54" s="102"/>
      <c r="EDI54" s="102"/>
      <c r="EDJ54" s="102"/>
      <c r="EDK54" s="102"/>
      <c r="EDL54" s="102"/>
      <c r="EDM54" s="102"/>
      <c r="EDN54" s="102"/>
      <c r="EDO54" s="102"/>
      <c r="EDP54" s="102"/>
      <c r="EDQ54" s="102"/>
      <c r="EDR54" s="102"/>
      <c r="EDS54" s="102"/>
      <c r="EDT54" s="102"/>
      <c r="EDU54" s="102"/>
      <c r="EDV54" s="102"/>
      <c r="EDW54" s="102"/>
      <c r="EDX54" s="102"/>
      <c r="EDY54" s="102"/>
      <c r="EDZ54" s="102"/>
      <c r="EEA54" s="102"/>
      <c r="EEB54" s="102"/>
      <c r="EEC54" s="102"/>
      <c r="EED54" s="102"/>
      <c r="EEE54" s="102"/>
      <c r="EEF54" s="102"/>
      <c r="EEG54" s="102"/>
      <c r="EEH54" s="102"/>
      <c r="EEI54" s="102"/>
      <c r="EEJ54" s="102"/>
      <c r="EEK54" s="102"/>
      <c r="EEL54" s="102"/>
      <c r="EEM54" s="102"/>
      <c r="EEN54" s="102"/>
      <c r="EEO54" s="102"/>
      <c r="EEP54" s="102"/>
      <c r="EEQ54" s="102"/>
      <c r="EER54" s="102"/>
      <c r="EES54" s="102"/>
      <c r="EET54" s="102"/>
      <c r="EEU54" s="102"/>
      <c r="EEV54" s="102"/>
      <c r="EEW54" s="102"/>
      <c r="EEX54" s="102"/>
      <c r="EEY54" s="102"/>
      <c r="EEZ54" s="102"/>
      <c r="EFA54" s="102"/>
      <c r="EFB54" s="102"/>
      <c r="EFC54" s="102"/>
      <c r="EFD54" s="102"/>
      <c r="EFE54" s="102"/>
      <c r="EFF54" s="102"/>
      <c r="EFG54" s="102"/>
      <c r="EFH54" s="102"/>
      <c r="EFI54" s="102"/>
      <c r="EFJ54" s="102"/>
      <c r="EFK54" s="102"/>
      <c r="EFL54" s="102"/>
      <c r="EFM54" s="102"/>
      <c r="EFN54" s="102"/>
      <c r="EFO54" s="102"/>
      <c r="EFP54" s="102"/>
      <c r="EFQ54" s="102"/>
      <c r="EFR54" s="102"/>
      <c r="EFS54" s="102"/>
      <c r="EFT54" s="102"/>
      <c r="EFU54" s="102"/>
      <c r="EFV54" s="102"/>
      <c r="EFW54" s="102"/>
      <c r="EFX54" s="102"/>
      <c r="EFY54" s="102"/>
      <c r="EFZ54" s="102"/>
      <c r="EGA54" s="102"/>
      <c r="EGB54" s="102"/>
      <c r="EGC54" s="102"/>
      <c r="EGD54" s="102"/>
      <c r="EGE54" s="102"/>
      <c r="EGF54" s="102"/>
      <c r="EGG54" s="102"/>
      <c r="EGH54" s="102"/>
      <c r="EGI54" s="102"/>
      <c r="EGJ54" s="102"/>
      <c r="EGK54" s="102"/>
      <c r="EGL54" s="102"/>
      <c r="EGM54" s="102"/>
      <c r="EGN54" s="102"/>
      <c r="EGO54" s="102"/>
      <c r="EGP54" s="102"/>
      <c r="EGQ54" s="102"/>
      <c r="EGR54" s="102"/>
      <c r="EGS54" s="102"/>
      <c r="EGT54" s="102"/>
      <c r="EGU54" s="102"/>
      <c r="EGV54" s="102"/>
      <c r="EGW54" s="102"/>
      <c r="EGX54" s="102"/>
      <c r="EGY54" s="102"/>
      <c r="EGZ54" s="102"/>
      <c r="EHA54" s="102"/>
      <c r="EHB54" s="102"/>
      <c r="EHC54" s="102"/>
      <c r="EHD54" s="102"/>
      <c r="EHE54" s="102"/>
      <c r="EHF54" s="102"/>
      <c r="EHG54" s="102"/>
      <c r="EHH54" s="102"/>
      <c r="EHI54" s="102"/>
      <c r="EHJ54" s="102"/>
      <c r="EHK54" s="102"/>
      <c r="EHL54" s="102"/>
      <c r="EHM54" s="102"/>
      <c r="EHN54" s="102"/>
      <c r="EHO54" s="102"/>
      <c r="EHP54" s="102"/>
      <c r="EHQ54" s="102"/>
      <c r="EHR54" s="102"/>
      <c r="EHS54" s="102"/>
      <c r="EHT54" s="102"/>
      <c r="EHU54" s="102"/>
      <c r="EHV54" s="102"/>
      <c r="EHW54" s="102"/>
      <c r="EHX54" s="102"/>
      <c r="EHY54" s="102"/>
      <c r="EHZ54" s="102"/>
      <c r="EIA54" s="102"/>
      <c r="EIB54" s="102"/>
      <c r="EIC54" s="102"/>
      <c r="EID54" s="102"/>
      <c r="EIE54" s="102"/>
      <c r="EIF54" s="102"/>
      <c r="EIG54" s="102"/>
      <c r="EIH54" s="102"/>
      <c r="EII54" s="102"/>
      <c r="EIJ54" s="102"/>
      <c r="EIK54" s="102"/>
      <c r="EIL54" s="102"/>
      <c r="EIM54" s="102"/>
      <c r="EIN54" s="102"/>
      <c r="EIO54" s="102"/>
      <c r="EIP54" s="102"/>
      <c r="EIQ54" s="102"/>
      <c r="EIR54" s="102"/>
      <c r="EIS54" s="102"/>
      <c r="EIT54" s="102"/>
      <c r="EIU54" s="102"/>
      <c r="EIV54" s="102"/>
      <c r="EIW54" s="102"/>
      <c r="EIX54" s="102"/>
      <c r="EIY54" s="102"/>
      <c r="EIZ54" s="102"/>
      <c r="EJA54" s="102"/>
      <c r="EJB54" s="102"/>
      <c r="EJC54" s="102"/>
      <c r="EJD54" s="102"/>
      <c r="EJE54" s="102"/>
      <c r="EJF54" s="102"/>
      <c r="EJG54" s="102"/>
      <c r="EJH54" s="102"/>
      <c r="EJI54" s="102"/>
      <c r="EJJ54" s="102"/>
      <c r="EJK54" s="102"/>
      <c r="EJL54" s="102"/>
      <c r="EJM54" s="102"/>
      <c r="EJN54" s="102"/>
      <c r="EJO54" s="102"/>
      <c r="EJP54" s="102"/>
      <c r="EJQ54" s="102"/>
      <c r="EJR54" s="102"/>
      <c r="EJS54" s="102"/>
      <c r="EJT54" s="102"/>
      <c r="EJU54" s="102"/>
      <c r="EJV54" s="102"/>
      <c r="EJW54" s="102"/>
      <c r="EJX54" s="102"/>
      <c r="EJY54" s="102"/>
      <c r="EJZ54" s="102"/>
      <c r="EKA54" s="102"/>
      <c r="EKB54" s="102"/>
      <c r="EKC54" s="102"/>
      <c r="EKD54" s="102"/>
      <c r="EKE54" s="102"/>
      <c r="EKF54" s="102"/>
      <c r="EKG54" s="102"/>
      <c r="EKH54" s="102"/>
      <c r="EKI54" s="102"/>
      <c r="EKJ54" s="102"/>
      <c r="EKK54" s="102"/>
      <c r="EKL54" s="102"/>
      <c r="EKM54" s="102"/>
      <c r="EKN54" s="102"/>
      <c r="EKO54" s="102"/>
      <c r="EKP54" s="102"/>
      <c r="EKQ54" s="102"/>
      <c r="EKR54" s="102"/>
      <c r="EKS54" s="102"/>
      <c r="EKT54" s="102"/>
      <c r="EKU54" s="102"/>
      <c r="EKV54" s="102"/>
      <c r="EKW54" s="102"/>
      <c r="EKX54" s="102"/>
      <c r="EKY54" s="102"/>
      <c r="EKZ54" s="102"/>
      <c r="ELA54" s="102"/>
      <c r="ELB54" s="102"/>
      <c r="ELC54" s="102"/>
      <c r="ELD54" s="102"/>
      <c r="ELE54" s="102"/>
      <c r="ELF54" s="102"/>
      <c r="ELG54" s="102"/>
      <c r="ELH54" s="102"/>
      <c r="ELI54" s="102"/>
      <c r="ELJ54" s="102"/>
      <c r="ELK54" s="102"/>
      <c r="ELL54" s="102"/>
      <c r="ELM54" s="102"/>
      <c r="ELN54" s="102"/>
      <c r="ELO54" s="102"/>
      <c r="ELP54" s="102"/>
      <c r="ELQ54" s="102"/>
      <c r="ELR54" s="102"/>
      <c r="ELS54" s="102"/>
      <c r="ELT54" s="102"/>
      <c r="ELU54" s="102"/>
      <c r="ELV54" s="102"/>
      <c r="ELW54" s="102"/>
      <c r="ELX54" s="102"/>
      <c r="ELY54" s="102"/>
      <c r="ELZ54" s="102"/>
      <c r="EMA54" s="102"/>
      <c r="EMB54" s="102"/>
      <c r="EMC54" s="102"/>
      <c r="EMD54" s="102"/>
      <c r="EME54" s="102"/>
      <c r="EMF54" s="102"/>
      <c r="EMG54" s="102"/>
      <c r="EMH54" s="102"/>
      <c r="EMI54" s="102"/>
      <c r="EMJ54" s="102"/>
      <c r="EMK54" s="102"/>
      <c r="EML54" s="102"/>
      <c r="EMM54" s="102"/>
      <c r="EMN54" s="102"/>
      <c r="EMO54" s="102"/>
      <c r="EMP54" s="102"/>
      <c r="EMQ54" s="102"/>
      <c r="EMR54" s="102"/>
      <c r="EMS54" s="102"/>
      <c r="EMT54" s="102"/>
      <c r="EMU54" s="102"/>
      <c r="EMV54" s="102"/>
      <c r="EMW54" s="102"/>
      <c r="EMX54" s="102"/>
      <c r="EMY54" s="102"/>
      <c r="EMZ54" s="102"/>
      <c r="ENA54" s="102"/>
      <c r="ENB54" s="102"/>
      <c r="ENC54" s="102"/>
      <c r="END54" s="102"/>
      <c r="ENE54" s="102"/>
      <c r="ENF54" s="102"/>
      <c r="ENG54" s="102"/>
      <c r="ENH54" s="102"/>
      <c r="ENI54" s="102"/>
      <c r="ENJ54" s="102"/>
      <c r="ENK54" s="102"/>
      <c r="ENL54" s="102"/>
      <c r="ENM54" s="102"/>
      <c r="ENN54" s="102"/>
      <c r="ENO54" s="102"/>
      <c r="ENP54" s="102"/>
      <c r="ENQ54" s="102"/>
      <c r="ENR54" s="102"/>
      <c r="ENS54" s="102"/>
      <c r="ENT54" s="102"/>
      <c r="ENU54" s="102"/>
      <c r="ENV54" s="102"/>
      <c r="ENW54" s="102"/>
      <c r="ENX54" s="102"/>
      <c r="ENY54" s="102"/>
      <c r="ENZ54" s="102"/>
      <c r="EOA54" s="102"/>
      <c r="EOB54" s="102"/>
      <c r="EOC54" s="102"/>
      <c r="EOD54" s="102"/>
      <c r="EOE54" s="102"/>
      <c r="EOF54" s="102"/>
      <c r="EOG54" s="102"/>
      <c r="EOH54" s="102"/>
      <c r="EOI54" s="102"/>
      <c r="EOJ54" s="102"/>
      <c r="EOK54" s="102"/>
      <c r="EOL54" s="102"/>
      <c r="EOM54" s="102"/>
      <c r="EON54" s="102"/>
      <c r="EOO54" s="102"/>
      <c r="EOP54" s="102"/>
      <c r="EOQ54" s="102"/>
      <c r="EOR54" s="102"/>
      <c r="EOS54" s="102"/>
      <c r="EOT54" s="102"/>
      <c r="EOU54" s="102"/>
      <c r="EOV54" s="102"/>
      <c r="EOW54" s="102"/>
      <c r="EOX54" s="102"/>
      <c r="EOY54" s="102"/>
      <c r="EOZ54" s="102"/>
      <c r="EPA54" s="102"/>
      <c r="EPB54" s="102"/>
      <c r="EPC54" s="102"/>
      <c r="EPD54" s="102"/>
      <c r="EPE54" s="102"/>
      <c r="EPF54" s="102"/>
      <c r="EPG54" s="102"/>
      <c r="EPH54" s="102"/>
      <c r="EPI54" s="102"/>
      <c r="EPJ54" s="102"/>
      <c r="EPK54" s="102"/>
      <c r="EPL54" s="102"/>
      <c r="EPM54" s="102"/>
      <c r="EPN54" s="102"/>
      <c r="EPO54" s="102"/>
      <c r="EPP54" s="102"/>
      <c r="EPQ54" s="102"/>
      <c r="EPR54" s="102"/>
      <c r="EPS54" s="102"/>
      <c r="EPT54" s="102"/>
      <c r="EPU54" s="102"/>
      <c r="EPV54" s="102"/>
      <c r="EPW54" s="102"/>
      <c r="EPX54" s="102"/>
      <c r="EPY54" s="102"/>
      <c r="EPZ54" s="102"/>
      <c r="EQA54" s="102"/>
      <c r="EQB54" s="102"/>
      <c r="EQC54" s="102"/>
      <c r="EQD54" s="102"/>
      <c r="EQE54" s="102"/>
      <c r="EQF54" s="102"/>
      <c r="EQG54" s="102"/>
      <c r="EQH54" s="102"/>
      <c r="EQI54" s="102"/>
      <c r="EQJ54" s="102"/>
      <c r="EQK54" s="102"/>
      <c r="EQL54" s="102"/>
      <c r="EQM54" s="102"/>
      <c r="EQN54" s="102"/>
      <c r="EQO54" s="102"/>
      <c r="EQP54" s="102"/>
      <c r="EQQ54" s="102"/>
      <c r="EQR54" s="102"/>
      <c r="EQS54" s="102"/>
      <c r="EQT54" s="102"/>
      <c r="EQU54" s="102"/>
      <c r="EQV54" s="102"/>
      <c r="EQW54" s="102"/>
      <c r="EQX54" s="102"/>
      <c r="EQY54" s="102"/>
      <c r="EQZ54" s="102"/>
      <c r="ERA54" s="102"/>
      <c r="ERB54" s="102"/>
      <c r="ERC54" s="102"/>
      <c r="ERD54" s="102"/>
      <c r="ERE54" s="102"/>
      <c r="ERF54" s="102"/>
      <c r="ERG54" s="102"/>
      <c r="ERH54" s="102"/>
      <c r="ERI54" s="102"/>
      <c r="ERJ54" s="102"/>
      <c r="ERK54" s="102"/>
      <c r="ERL54" s="102"/>
      <c r="ERM54" s="102"/>
      <c r="ERN54" s="102"/>
      <c r="ERO54" s="102"/>
      <c r="ERP54" s="102"/>
      <c r="ERQ54" s="102"/>
      <c r="ERR54" s="102"/>
      <c r="ERS54" s="102"/>
      <c r="ERT54" s="102"/>
      <c r="ERU54" s="102"/>
      <c r="ERV54" s="102"/>
      <c r="ERW54" s="102"/>
      <c r="ERX54" s="102"/>
      <c r="ERY54" s="102"/>
      <c r="ERZ54" s="102"/>
      <c r="ESA54" s="102"/>
      <c r="ESB54" s="102"/>
      <c r="ESC54" s="102"/>
      <c r="ESD54" s="102"/>
      <c r="ESE54" s="102"/>
      <c r="ESF54" s="102"/>
      <c r="ESG54" s="102"/>
      <c r="ESH54" s="102"/>
      <c r="ESI54" s="102"/>
      <c r="ESJ54" s="102"/>
      <c r="ESK54" s="102"/>
      <c r="ESL54" s="102"/>
      <c r="ESM54" s="102"/>
      <c r="ESN54" s="102"/>
      <c r="ESO54" s="102"/>
      <c r="ESP54" s="102"/>
      <c r="ESQ54" s="102"/>
      <c r="ESR54" s="102"/>
      <c r="ESS54" s="102"/>
      <c r="EST54" s="102"/>
      <c r="ESU54" s="102"/>
      <c r="ESV54" s="102"/>
      <c r="ESW54" s="102"/>
      <c r="ESX54" s="102"/>
      <c r="ESY54" s="102"/>
      <c r="ESZ54" s="102"/>
      <c r="ETA54" s="102"/>
      <c r="ETB54" s="102"/>
      <c r="ETC54" s="102"/>
      <c r="ETD54" s="102"/>
      <c r="ETE54" s="102"/>
      <c r="ETF54" s="102"/>
      <c r="ETG54" s="102"/>
      <c r="ETH54" s="102"/>
      <c r="ETI54" s="102"/>
      <c r="ETJ54" s="102"/>
      <c r="ETK54" s="102"/>
      <c r="ETL54" s="102"/>
      <c r="ETM54" s="102"/>
      <c r="ETN54" s="102"/>
      <c r="ETO54" s="102"/>
      <c r="ETP54" s="102"/>
      <c r="ETQ54" s="102"/>
      <c r="ETR54" s="102"/>
      <c r="ETS54" s="102"/>
      <c r="ETT54" s="102"/>
      <c r="ETU54" s="102"/>
      <c r="ETV54" s="102"/>
      <c r="ETW54" s="102"/>
      <c r="ETX54" s="102"/>
      <c r="ETY54" s="102"/>
      <c r="ETZ54" s="102"/>
      <c r="EUA54" s="102"/>
      <c r="EUB54" s="102"/>
      <c r="EUC54" s="102"/>
      <c r="EUD54" s="102"/>
      <c r="EUE54" s="102"/>
      <c r="EUF54" s="102"/>
      <c r="EUG54" s="102"/>
      <c r="EUH54" s="102"/>
      <c r="EUI54" s="102"/>
      <c r="EUJ54" s="102"/>
      <c r="EUK54" s="102"/>
      <c r="EUL54" s="102"/>
      <c r="EUM54" s="102"/>
      <c r="EUN54" s="102"/>
      <c r="EUO54" s="102"/>
      <c r="EUP54" s="102"/>
      <c r="EUQ54" s="102"/>
      <c r="EUR54" s="102"/>
      <c r="EUS54" s="102"/>
      <c r="EUT54" s="102"/>
      <c r="EUU54" s="102"/>
      <c r="EUV54" s="102"/>
      <c r="EUW54" s="102"/>
      <c r="EUX54" s="102"/>
      <c r="EUY54" s="102"/>
      <c r="EUZ54" s="102"/>
      <c r="EVA54" s="102"/>
      <c r="EVB54" s="102"/>
      <c r="EVC54" s="102"/>
      <c r="EVD54" s="102"/>
      <c r="EVE54" s="102"/>
      <c r="EVF54" s="102"/>
      <c r="EVG54" s="102"/>
      <c r="EVH54" s="102"/>
      <c r="EVI54" s="102"/>
      <c r="EVJ54" s="102"/>
      <c r="EVK54" s="102"/>
      <c r="EVL54" s="102"/>
      <c r="EVM54" s="102"/>
      <c r="EVN54" s="102"/>
      <c r="EVO54" s="102"/>
      <c r="EVP54" s="102"/>
      <c r="EVQ54" s="102"/>
      <c r="EVR54" s="102"/>
      <c r="EVS54" s="102"/>
      <c r="EVT54" s="102"/>
      <c r="EVU54" s="102"/>
      <c r="EVV54" s="102"/>
      <c r="EVW54" s="102"/>
      <c r="EVX54" s="102"/>
      <c r="EVY54" s="102"/>
      <c r="EVZ54" s="102"/>
      <c r="EWA54" s="102"/>
      <c r="EWB54" s="102"/>
      <c r="EWC54" s="102"/>
      <c r="EWD54" s="102"/>
      <c r="EWE54" s="102"/>
      <c r="EWF54" s="102"/>
      <c r="EWG54" s="102"/>
      <c r="EWH54" s="102"/>
      <c r="EWI54" s="102"/>
      <c r="EWJ54" s="102"/>
      <c r="EWK54" s="102"/>
      <c r="EWL54" s="102"/>
      <c r="EWM54" s="102"/>
      <c r="EWN54" s="102"/>
      <c r="EWO54" s="102"/>
      <c r="EWP54" s="102"/>
      <c r="EWQ54" s="102"/>
      <c r="EWR54" s="102"/>
      <c r="EWS54" s="102"/>
      <c r="EWT54" s="102"/>
      <c r="EWU54" s="102"/>
      <c r="EWV54" s="102"/>
      <c r="EWW54" s="102"/>
      <c r="EWX54" s="102"/>
      <c r="EWY54" s="102"/>
      <c r="EWZ54" s="102"/>
      <c r="EXA54" s="102"/>
      <c r="EXB54" s="102"/>
      <c r="EXC54" s="102"/>
      <c r="EXD54" s="102"/>
      <c r="EXE54" s="102"/>
      <c r="EXF54" s="102"/>
      <c r="EXG54" s="102"/>
      <c r="EXH54" s="102"/>
      <c r="EXI54" s="102"/>
      <c r="EXJ54" s="102"/>
      <c r="EXK54" s="102"/>
      <c r="EXL54" s="102"/>
      <c r="EXM54" s="102"/>
      <c r="EXN54" s="102"/>
      <c r="EXO54" s="102"/>
      <c r="EXP54" s="102"/>
      <c r="EXQ54" s="102"/>
      <c r="EXR54" s="102"/>
      <c r="EXS54" s="102"/>
      <c r="EXT54" s="102"/>
      <c r="EXU54" s="102"/>
      <c r="EXV54" s="102"/>
      <c r="EXW54" s="102"/>
      <c r="EXX54" s="102"/>
      <c r="EXY54" s="102"/>
      <c r="EXZ54" s="102"/>
      <c r="EYA54" s="102"/>
      <c r="EYB54" s="102"/>
      <c r="EYC54" s="102"/>
      <c r="EYD54" s="102"/>
      <c r="EYE54" s="102"/>
      <c r="EYF54" s="102"/>
      <c r="EYG54" s="102"/>
      <c r="EYH54" s="102"/>
      <c r="EYI54" s="102"/>
      <c r="EYJ54" s="102"/>
      <c r="EYK54" s="102"/>
      <c r="EYL54" s="102"/>
      <c r="EYM54" s="102"/>
      <c r="EYN54" s="102"/>
      <c r="EYO54" s="102"/>
      <c r="EYP54" s="102"/>
      <c r="EYQ54" s="102"/>
      <c r="EYR54" s="102"/>
      <c r="EYS54" s="102"/>
      <c r="EYT54" s="102"/>
      <c r="EYU54" s="102"/>
      <c r="EYV54" s="102"/>
      <c r="EYW54" s="102"/>
      <c r="EYX54" s="102"/>
      <c r="EYY54" s="102"/>
      <c r="EYZ54" s="102"/>
      <c r="EZA54" s="102"/>
      <c r="EZB54" s="102"/>
      <c r="EZC54" s="102"/>
      <c r="EZD54" s="102"/>
      <c r="EZE54" s="102"/>
      <c r="EZF54" s="102"/>
      <c r="EZG54" s="102"/>
      <c r="EZH54" s="102"/>
      <c r="EZI54" s="102"/>
      <c r="EZJ54" s="102"/>
      <c r="EZK54" s="102"/>
      <c r="EZL54" s="102"/>
      <c r="EZM54" s="102"/>
      <c r="EZN54" s="102"/>
      <c r="EZO54" s="102"/>
      <c r="EZP54" s="102"/>
      <c r="EZQ54" s="102"/>
      <c r="EZR54" s="102"/>
      <c r="EZS54" s="102"/>
      <c r="EZT54" s="102"/>
      <c r="EZU54" s="102"/>
      <c r="EZV54" s="102"/>
      <c r="EZW54" s="102"/>
      <c r="EZX54" s="102"/>
      <c r="EZY54" s="102"/>
      <c r="EZZ54" s="102"/>
      <c r="FAA54" s="102"/>
      <c r="FAB54" s="102"/>
      <c r="FAC54" s="102"/>
      <c r="FAD54" s="102"/>
      <c r="FAE54" s="102"/>
      <c r="FAF54" s="102"/>
      <c r="FAG54" s="102"/>
      <c r="FAH54" s="102"/>
      <c r="FAI54" s="102"/>
      <c r="FAJ54" s="102"/>
      <c r="FAK54" s="102"/>
      <c r="FAL54" s="102"/>
      <c r="FAM54" s="102"/>
      <c r="FAN54" s="102"/>
      <c r="FAO54" s="102"/>
      <c r="FAP54" s="102"/>
      <c r="FAQ54" s="102"/>
      <c r="FAR54" s="102"/>
      <c r="FAS54" s="102"/>
      <c r="FAT54" s="102"/>
      <c r="FAU54" s="102"/>
      <c r="FAV54" s="102"/>
      <c r="FAW54" s="102"/>
      <c r="FAX54" s="102"/>
      <c r="FAY54" s="102"/>
      <c r="FAZ54" s="102"/>
      <c r="FBA54" s="102"/>
      <c r="FBB54" s="102"/>
      <c r="FBC54" s="102"/>
      <c r="FBD54" s="102"/>
      <c r="FBE54" s="102"/>
      <c r="FBF54" s="102"/>
      <c r="FBG54" s="102"/>
      <c r="FBH54" s="102"/>
      <c r="FBI54" s="102"/>
      <c r="FBJ54" s="102"/>
      <c r="FBK54" s="102"/>
      <c r="FBL54" s="102"/>
      <c r="FBM54" s="102"/>
      <c r="FBN54" s="102"/>
      <c r="FBO54" s="102"/>
      <c r="FBP54" s="102"/>
      <c r="FBQ54" s="102"/>
      <c r="FBR54" s="102"/>
      <c r="FBS54" s="102"/>
      <c r="FBT54" s="102"/>
      <c r="FBU54" s="102"/>
      <c r="FBV54" s="102"/>
      <c r="FBW54" s="102"/>
      <c r="FBX54" s="102"/>
      <c r="FBY54" s="102"/>
      <c r="FBZ54" s="102"/>
      <c r="FCA54" s="102"/>
      <c r="FCB54" s="102"/>
      <c r="FCC54" s="102"/>
      <c r="FCD54" s="102"/>
      <c r="FCE54" s="102"/>
      <c r="FCF54" s="102"/>
      <c r="FCG54" s="102"/>
      <c r="FCH54" s="102"/>
      <c r="FCI54" s="102"/>
      <c r="FCJ54" s="102"/>
      <c r="FCK54" s="102"/>
      <c r="FCL54" s="102"/>
      <c r="FCM54" s="102"/>
      <c r="FCN54" s="102"/>
      <c r="FCO54" s="102"/>
      <c r="FCP54" s="102"/>
      <c r="FCQ54" s="102"/>
      <c r="FCR54" s="102"/>
      <c r="FCS54" s="102"/>
      <c r="FCT54" s="102"/>
      <c r="FCU54" s="102"/>
      <c r="FCV54" s="102"/>
      <c r="FCW54" s="102"/>
      <c r="FCX54" s="102"/>
      <c r="FCY54" s="102"/>
      <c r="FCZ54" s="102"/>
      <c r="FDA54" s="102"/>
      <c r="FDB54" s="102"/>
      <c r="FDC54" s="102"/>
      <c r="FDD54" s="102"/>
      <c r="FDE54" s="102"/>
      <c r="FDF54" s="102"/>
      <c r="FDG54" s="102"/>
      <c r="FDH54" s="102"/>
      <c r="FDI54" s="102"/>
      <c r="FDJ54" s="102"/>
      <c r="FDK54" s="102"/>
      <c r="FDL54" s="102"/>
      <c r="FDM54" s="102"/>
      <c r="FDN54" s="102"/>
      <c r="FDO54" s="102"/>
      <c r="FDP54" s="102"/>
      <c r="FDQ54" s="102"/>
      <c r="FDR54" s="102"/>
      <c r="FDS54" s="102"/>
      <c r="FDT54" s="102"/>
      <c r="FDU54" s="102"/>
      <c r="FDV54" s="102"/>
      <c r="FDW54" s="102"/>
      <c r="FDX54" s="102"/>
      <c r="FDY54" s="102"/>
      <c r="FDZ54" s="102"/>
      <c r="FEA54" s="102"/>
      <c r="FEB54" s="102"/>
      <c r="FEC54" s="102"/>
      <c r="FED54" s="102"/>
      <c r="FEE54" s="102"/>
      <c r="FEF54" s="102"/>
      <c r="FEG54" s="102"/>
      <c r="FEH54" s="102"/>
      <c r="FEI54" s="102"/>
      <c r="FEJ54" s="102"/>
      <c r="FEK54" s="102"/>
      <c r="FEL54" s="102"/>
      <c r="FEM54" s="102"/>
      <c r="FEN54" s="102"/>
      <c r="FEO54" s="102"/>
      <c r="FEP54" s="102"/>
      <c r="FEQ54" s="102"/>
      <c r="FER54" s="102"/>
      <c r="FES54" s="102"/>
      <c r="FET54" s="102"/>
      <c r="FEU54" s="102"/>
      <c r="FEV54" s="102"/>
      <c r="FEW54" s="102"/>
      <c r="FEX54" s="102"/>
      <c r="FEY54" s="102"/>
      <c r="FEZ54" s="102"/>
      <c r="FFA54" s="102"/>
      <c r="FFB54" s="102"/>
      <c r="FFC54" s="102"/>
      <c r="FFD54" s="102"/>
      <c r="FFE54" s="102"/>
      <c r="FFF54" s="102"/>
      <c r="FFG54" s="102"/>
      <c r="FFH54" s="102"/>
      <c r="FFI54" s="102"/>
      <c r="FFJ54" s="102"/>
      <c r="FFK54" s="102"/>
      <c r="FFL54" s="102"/>
      <c r="FFM54" s="102"/>
      <c r="FFN54" s="102"/>
      <c r="FFO54" s="102"/>
      <c r="FFP54" s="102"/>
      <c r="FFQ54" s="102"/>
      <c r="FFR54" s="102"/>
      <c r="FFS54" s="102"/>
      <c r="FFT54" s="102"/>
      <c r="FFU54" s="102"/>
      <c r="FFV54" s="102"/>
      <c r="FFW54" s="102"/>
      <c r="FFX54" s="102"/>
      <c r="FFY54" s="102"/>
      <c r="FFZ54" s="102"/>
      <c r="FGA54" s="102"/>
      <c r="FGB54" s="102"/>
      <c r="FGC54" s="102"/>
      <c r="FGD54" s="102"/>
      <c r="FGE54" s="102"/>
      <c r="FGF54" s="102"/>
      <c r="FGG54" s="102"/>
      <c r="FGH54" s="102"/>
      <c r="FGI54" s="102"/>
      <c r="FGJ54" s="102"/>
      <c r="FGK54" s="102"/>
      <c r="FGL54" s="102"/>
      <c r="FGM54" s="102"/>
      <c r="FGN54" s="102"/>
      <c r="FGO54" s="102"/>
      <c r="FGP54" s="102"/>
      <c r="FGQ54" s="102"/>
      <c r="FGR54" s="102"/>
      <c r="FGS54" s="102"/>
      <c r="FGT54" s="102"/>
      <c r="FGU54" s="102"/>
      <c r="FGV54" s="102"/>
      <c r="FGW54" s="102"/>
      <c r="FGX54" s="102"/>
      <c r="FGY54" s="102"/>
      <c r="FGZ54" s="102"/>
      <c r="FHA54" s="102"/>
      <c r="FHB54" s="102"/>
      <c r="FHC54" s="102"/>
      <c r="FHD54" s="102"/>
      <c r="FHE54" s="102"/>
      <c r="FHF54" s="102"/>
      <c r="FHG54" s="102"/>
      <c r="FHH54" s="102"/>
      <c r="FHI54" s="102"/>
      <c r="FHJ54" s="102"/>
      <c r="FHK54" s="102"/>
      <c r="FHL54" s="102"/>
      <c r="FHM54" s="102"/>
      <c r="FHN54" s="102"/>
      <c r="FHO54" s="102"/>
      <c r="FHP54" s="102"/>
      <c r="FHQ54" s="102"/>
      <c r="FHR54" s="102"/>
      <c r="FHS54" s="102"/>
      <c r="FHT54" s="102"/>
      <c r="FHU54" s="102"/>
      <c r="FHV54" s="102"/>
      <c r="FHW54" s="102"/>
      <c r="FHX54" s="102"/>
      <c r="FHY54" s="102"/>
      <c r="FHZ54" s="102"/>
      <c r="FIA54" s="102"/>
      <c r="FIB54" s="102"/>
      <c r="FIC54" s="102"/>
      <c r="FID54" s="102"/>
      <c r="FIE54" s="102"/>
      <c r="FIF54" s="102"/>
      <c r="FIG54" s="102"/>
      <c r="FIH54" s="102"/>
      <c r="FII54" s="102"/>
      <c r="FIJ54" s="102"/>
      <c r="FIK54" s="102"/>
      <c r="FIL54" s="102"/>
      <c r="FIM54" s="102"/>
      <c r="FIN54" s="102"/>
      <c r="FIO54" s="102"/>
      <c r="FIP54" s="102"/>
      <c r="FIQ54" s="102"/>
      <c r="FIR54" s="102"/>
      <c r="FIS54" s="102"/>
      <c r="FIT54" s="102"/>
      <c r="FIU54" s="102"/>
      <c r="FIV54" s="102"/>
      <c r="FIW54" s="102"/>
      <c r="FIX54" s="102"/>
      <c r="FIY54" s="102"/>
      <c r="FIZ54" s="102"/>
      <c r="FJA54" s="102"/>
      <c r="FJB54" s="102"/>
      <c r="FJC54" s="102"/>
      <c r="FJD54" s="102"/>
      <c r="FJE54" s="102"/>
      <c r="FJF54" s="102"/>
      <c r="FJG54" s="102"/>
      <c r="FJH54" s="102"/>
      <c r="FJI54" s="102"/>
      <c r="FJJ54" s="102"/>
      <c r="FJK54" s="102"/>
      <c r="FJL54" s="102"/>
      <c r="FJM54" s="102"/>
      <c r="FJN54" s="102"/>
      <c r="FJO54" s="102"/>
      <c r="FJP54" s="102"/>
      <c r="FJQ54" s="102"/>
      <c r="FJR54" s="102"/>
      <c r="FJS54" s="102"/>
      <c r="FJT54" s="102"/>
      <c r="FJU54" s="102"/>
      <c r="FJV54" s="102"/>
      <c r="FJW54" s="102"/>
      <c r="FJX54" s="102"/>
      <c r="FJY54" s="102"/>
      <c r="FJZ54" s="102"/>
      <c r="FKA54" s="102"/>
      <c r="FKB54" s="102"/>
      <c r="FKC54" s="102"/>
      <c r="FKD54" s="102"/>
      <c r="FKE54" s="102"/>
      <c r="FKF54" s="102"/>
      <c r="FKG54" s="102"/>
      <c r="FKH54" s="102"/>
      <c r="FKI54" s="102"/>
      <c r="FKJ54" s="102"/>
      <c r="FKK54" s="102"/>
      <c r="FKL54" s="102"/>
      <c r="FKM54" s="102"/>
      <c r="FKN54" s="102"/>
      <c r="FKO54" s="102"/>
      <c r="FKP54" s="102"/>
      <c r="FKQ54" s="102"/>
      <c r="FKR54" s="102"/>
      <c r="FKS54" s="102"/>
      <c r="FKT54" s="102"/>
      <c r="FKU54" s="102"/>
      <c r="FKV54" s="102"/>
      <c r="FKW54" s="102"/>
      <c r="FKX54" s="102"/>
      <c r="FKY54" s="102"/>
      <c r="FKZ54" s="102"/>
      <c r="FLA54" s="102"/>
      <c r="FLB54" s="102"/>
      <c r="FLC54" s="102"/>
      <c r="FLD54" s="102"/>
      <c r="FLE54" s="102"/>
      <c r="FLF54" s="102"/>
      <c r="FLG54" s="102"/>
      <c r="FLH54" s="102"/>
      <c r="FLI54" s="102"/>
      <c r="FLJ54" s="102"/>
      <c r="FLK54" s="102"/>
      <c r="FLL54" s="102"/>
      <c r="FLM54" s="102"/>
      <c r="FLN54" s="102"/>
      <c r="FLO54" s="102"/>
      <c r="FLP54" s="102"/>
      <c r="FLQ54" s="102"/>
      <c r="FLR54" s="102"/>
      <c r="FLS54" s="102"/>
      <c r="FLT54" s="102"/>
      <c r="FLU54" s="102"/>
      <c r="FLV54" s="102"/>
      <c r="FLW54" s="102"/>
      <c r="FLX54" s="102"/>
      <c r="FLY54" s="102"/>
      <c r="FLZ54" s="102"/>
      <c r="FMA54" s="102"/>
      <c r="FMB54" s="102"/>
      <c r="FMC54" s="102"/>
      <c r="FMD54" s="102"/>
      <c r="FME54" s="102"/>
      <c r="FMF54" s="102"/>
      <c r="FMG54" s="102"/>
      <c r="FMH54" s="102"/>
      <c r="FMI54" s="102"/>
      <c r="FMJ54" s="102"/>
      <c r="FMK54" s="102"/>
      <c r="FML54" s="102"/>
      <c r="FMM54" s="102"/>
      <c r="FMN54" s="102"/>
      <c r="FMO54" s="102"/>
      <c r="FMP54" s="102"/>
      <c r="FMQ54" s="102"/>
      <c r="FMR54" s="102"/>
      <c r="FMS54" s="102"/>
      <c r="FMT54" s="102"/>
      <c r="FMU54" s="102"/>
      <c r="FMV54" s="102"/>
      <c r="FMW54" s="102"/>
      <c r="FMX54" s="102"/>
      <c r="FMY54" s="102"/>
      <c r="FMZ54" s="102"/>
      <c r="FNA54" s="102"/>
      <c r="FNB54" s="102"/>
      <c r="FNC54" s="102"/>
      <c r="FND54" s="102"/>
      <c r="FNE54" s="102"/>
      <c r="FNF54" s="102"/>
      <c r="FNG54" s="102"/>
      <c r="FNH54" s="102"/>
      <c r="FNI54" s="102"/>
      <c r="FNJ54" s="102"/>
      <c r="FNK54" s="102"/>
      <c r="FNL54" s="102"/>
      <c r="FNM54" s="102"/>
      <c r="FNN54" s="102"/>
      <c r="FNO54" s="102"/>
      <c r="FNP54" s="102"/>
      <c r="FNQ54" s="102"/>
      <c r="FNR54" s="102"/>
      <c r="FNS54" s="102"/>
      <c r="FNT54" s="102"/>
      <c r="FNU54" s="102"/>
      <c r="FNV54" s="102"/>
      <c r="FNW54" s="102"/>
      <c r="FNX54" s="102"/>
      <c r="FNY54" s="102"/>
      <c r="FNZ54" s="102"/>
      <c r="FOA54" s="102"/>
      <c r="FOB54" s="102"/>
      <c r="FOC54" s="102"/>
      <c r="FOD54" s="102"/>
      <c r="FOE54" s="102"/>
      <c r="FOF54" s="102"/>
      <c r="FOG54" s="102"/>
      <c r="FOH54" s="102"/>
      <c r="FOI54" s="102"/>
      <c r="FOJ54" s="102"/>
      <c r="FOK54" s="102"/>
      <c r="FOL54" s="102"/>
      <c r="FOM54" s="102"/>
      <c r="FON54" s="102"/>
      <c r="FOO54" s="102"/>
      <c r="FOP54" s="102"/>
      <c r="FOQ54" s="102"/>
      <c r="FOR54" s="102"/>
      <c r="FOS54" s="102"/>
      <c r="FOT54" s="102"/>
      <c r="FOU54" s="102"/>
      <c r="FOV54" s="102"/>
      <c r="FOW54" s="102"/>
      <c r="FOX54" s="102"/>
      <c r="FOY54" s="102"/>
      <c r="FOZ54" s="102"/>
      <c r="FPA54" s="102"/>
      <c r="FPB54" s="102"/>
      <c r="FPC54" s="102"/>
      <c r="FPD54" s="102"/>
      <c r="FPE54" s="102"/>
      <c r="FPF54" s="102"/>
      <c r="FPG54" s="102"/>
      <c r="FPH54" s="102"/>
      <c r="FPI54" s="102"/>
      <c r="FPJ54" s="102"/>
      <c r="FPK54" s="102"/>
      <c r="FPL54" s="102"/>
      <c r="FPM54" s="102"/>
      <c r="FPN54" s="102"/>
      <c r="FPO54" s="102"/>
      <c r="FPP54" s="102"/>
      <c r="FPQ54" s="102"/>
      <c r="FPR54" s="102"/>
      <c r="FPS54" s="102"/>
      <c r="FPT54" s="102"/>
      <c r="FPU54" s="102"/>
      <c r="FPV54" s="102"/>
      <c r="FPW54" s="102"/>
      <c r="FPX54" s="102"/>
      <c r="FPY54" s="102"/>
      <c r="FPZ54" s="102"/>
      <c r="FQA54" s="102"/>
      <c r="FQB54" s="102"/>
      <c r="FQC54" s="102"/>
      <c r="FQD54" s="102"/>
      <c r="FQE54" s="102"/>
      <c r="FQF54" s="102"/>
      <c r="FQG54" s="102"/>
      <c r="FQH54" s="102"/>
      <c r="FQI54" s="102"/>
      <c r="FQJ54" s="102"/>
      <c r="FQK54" s="102"/>
      <c r="FQL54" s="102"/>
      <c r="FQM54" s="102"/>
      <c r="FQN54" s="102"/>
      <c r="FQO54" s="102"/>
      <c r="FQP54" s="102"/>
      <c r="FQQ54" s="102"/>
      <c r="FQR54" s="102"/>
      <c r="FQS54" s="102"/>
      <c r="FQT54" s="102"/>
      <c r="FQU54" s="102"/>
      <c r="FQV54" s="102"/>
      <c r="FQW54" s="102"/>
      <c r="FQX54" s="102"/>
      <c r="FQY54" s="102"/>
      <c r="FQZ54" s="102"/>
      <c r="FRA54" s="102"/>
      <c r="FRB54" s="102"/>
      <c r="FRC54" s="102"/>
      <c r="FRD54" s="102"/>
      <c r="FRE54" s="102"/>
      <c r="FRF54" s="102"/>
      <c r="FRG54" s="102"/>
      <c r="FRH54" s="102"/>
      <c r="FRI54" s="102"/>
      <c r="FRJ54" s="102"/>
      <c r="FRK54" s="102"/>
      <c r="FRL54" s="102"/>
      <c r="FRM54" s="102"/>
      <c r="FRN54" s="102"/>
      <c r="FRO54" s="102"/>
      <c r="FRP54" s="102"/>
      <c r="FRQ54" s="102"/>
      <c r="FRR54" s="102"/>
      <c r="FRS54" s="102"/>
      <c r="FRT54" s="102"/>
      <c r="FRU54" s="102"/>
      <c r="FRV54" s="102"/>
      <c r="FRW54" s="102"/>
      <c r="FRX54" s="102"/>
      <c r="FRY54" s="102"/>
      <c r="FRZ54" s="102"/>
      <c r="FSA54" s="102"/>
      <c r="FSB54" s="102"/>
      <c r="FSC54" s="102"/>
      <c r="FSD54" s="102"/>
      <c r="FSE54" s="102"/>
      <c r="FSF54" s="102"/>
      <c r="FSG54" s="102"/>
      <c r="FSH54" s="102"/>
      <c r="FSI54" s="102"/>
      <c r="FSJ54" s="102"/>
      <c r="FSK54" s="102"/>
      <c r="FSL54" s="102"/>
      <c r="FSM54" s="102"/>
      <c r="FSN54" s="102"/>
      <c r="FSO54" s="102"/>
      <c r="FSP54" s="102"/>
      <c r="FSQ54" s="102"/>
      <c r="FSR54" s="102"/>
      <c r="FSS54" s="102"/>
      <c r="FST54" s="102"/>
      <c r="FSU54" s="102"/>
      <c r="FSV54" s="102"/>
      <c r="FSW54" s="102"/>
      <c r="FSX54" s="102"/>
      <c r="FSY54" s="102"/>
      <c r="FSZ54" s="102"/>
      <c r="FTA54" s="102"/>
      <c r="FTB54" s="102"/>
      <c r="FTC54" s="102"/>
      <c r="FTD54" s="102"/>
      <c r="FTE54" s="102"/>
      <c r="FTF54" s="102"/>
      <c r="FTG54" s="102"/>
      <c r="FTH54" s="102"/>
      <c r="FTI54" s="102"/>
      <c r="FTJ54" s="102"/>
      <c r="FTK54" s="102"/>
      <c r="FTL54" s="102"/>
      <c r="FTM54" s="102"/>
      <c r="FTN54" s="102"/>
      <c r="FTO54" s="102"/>
      <c r="FTP54" s="102"/>
      <c r="FTQ54" s="102"/>
      <c r="FTR54" s="102"/>
      <c r="FTS54" s="102"/>
      <c r="FTT54" s="102"/>
      <c r="FTU54" s="102"/>
      <c r="FTV54" s="102"/>
      <c r="FTW54" s="102"/>
      <c r="FTX54" s="102"/>
      <c r="FTY54" s="102"/>
      <c r="FTZ54" s="102"/>
      <c r="FUA54" s="102"/>
      <c r="FUB54" s="102"/>
      <c r="FUC54" s="102"/>
      <c r="FUD54" s="102"/>
      <c r="FUE54" s="102"/>
      <c r="FUF54" s="102"/>
      <c r="FUG54" s="102"/>
      <c r="FUH54" s="102"/>
      <c r="FUI54" s="102"/>
      <c r="FUJ54" s="102"/>
      <c r="FUK54" s="102"/>
      <c r="FUL54" s="102"/>
      <c r="FUM54" s="102"/>
      <c r="FUN54" s="102"/>
      <c r="FUO54" s="102"/>
      <c r="FUP54" s="102"/>
      <c r="FUQ54" s="102"/>
      <c r="FUR54" s="102"/>
      <c r="FUS54" s="102"/>
      <c r="FUT54" s="102"/>
      <c r="FUU54" s="102"/>
      <c r="FUV54" s="102"/>
      <c r="FUW54" s="102"/>
      <c r="FUX54" s="102"/>
      <c r="FUY54" s="102"/>
      <c r="FUZ54" s="102"/>
      <c r="FVA54" s="102"/>
      <c r="FVB54" s="102"/>
      <c r="FVC54" s="102"/>
      <c r="FVD54" s="102"/>
      <c r="FVE54" s="102"/>
      <c r="FVF54" s="102"/>
      <c r="FVG54" s="102"/>
      <c r="FVH54" s="102"/>
      <c r="FVI54" s="102"/>
      <c r="FVJ54" s="102"/>
      <c r="FVK54" s="102"/>
      <c r="FVL54" s="102"/>
      <c r="FVM54" s="102"/>
      <c r="FVN54" s="102"/>
      <c r="FVO54" s="102"/>
      <c r="FVP54" s="102"/>
      <c r="FVQ54" s="102"/>
      <c r="FVR54" s="102"/>
      <c r="FVS54" s="102"/>
      <c r="FVT54" s="102"/>
      <c r="FVU54" s="102"/>
      <c r="FVV54" s="102"/>
      <c r="FVW54" s="102"/>
      <c r="FVX54" s="102"/>
      <c r="FVY54" s="102"/>
      <c r="FVZ54" s="102"/>
      <c r="FWA54" s="102"/>
      <c r="FWB54" s="102"/>
      <c r="FWC54" s="102"/>
      <c r="FWD54" s="102"/>
      <c r="FWE54" s="102"/>
      <c r="FWF54" s="102"/>
      <c r="FWG54" s="102"/>
      <c r="FWH54" s="102"/>
      <c r="FWI54" s="102"/>
      <c r="FWJ54" s="102"/>
      <c r="FWK54" s="102"/>
      <c r="FWL54" s="102"/>
      <c r="FWM54" s="102"/>
      <c r="FWN54" s="102"/>
      <c r="FWO54" s="102"/>
      <c r="FWP54" s="102"/>
      <c r="FWQ54" s="102"/>
      <c r="FWR54" s="102"/>
      <c r="FWS54" s="102"/>
      <c r="FWT54" s="102"/>
      <c r="FWU54" s="102"/>
      <c r="FWV54" s="102"/>
      <c r="FWW54" s="102"/>
      <c r="FWX54" s="102"/>
      <c r="FWY54" s="102"/>
      <c r="FWZ54" s="102"/>
      <c r="FXA54" s="102"/>
      <c r="FXB54" s="102"/>
      <c r="FXC54" s="102"/>
      <c r="FXD54" s="102"/>
      <c r="FXE54" s="102"/>
      <c r="FXF54" s="102"/>
      <c r="FXG54" s="102"/>
      <c r="FXH54" s="102"/>
      <c r="FXI54" s="102"/>
      <c r="FXJ54" s="102"/>
      <c r="FXK54" s="102"/>
      <c r="FXL54" s="102"/>
      <c r="FXM54" s="102"/>
      <c r="FXN54" s="102"/>
      <c r="FXO54" s="102"/>
      <c r="FXP54" s="102"/>
      <c r="FXQ54" s="102"/>
      <c r="FXR54" s="102"/>
      <c r="FXS54" s="102"/>
      <c r="FXT54" s="102"/>
      <c r="FXU54" s="102"/>
      <c r="FXV54" s="102"/>
      <c r="FXW54" s="102"/>
      <c r="FXX54" s="102"/>
      <c r="FXY54" s="102"/>
      <c r="FXZ54" s="102"/>
      <c r="FYA54" s="102"/>
      <c r="FYB54" s="102"/>
      <c r="FYC54" s="102"/>
      <c r="FYD54" s="102"/>
      <c r="FYE54" s="102"/>
      <c r="FYF54" s="102"/>
      <c r="FYG54" s="102"/>
      <c r="FYH54" s="102"/>
      <c r="FYI54" s="102"/>
      <c r="FYJ54" s="102"/>
      <c r="FYK54" s="102"/>
      <c r="FYL54" s="102"/>
      <c r="FYM54" s="102"/>
      <c r="FYN54" s="102"/>
      <c r="FYO54" s="102"/>
      <c r="FYP54" s="102"/>
      <c r="FYQ54" s="102"/>
      <c r="FYR54" s="102"/>
      <c r="FYS54" s="102"/>
      <c r="FYT54" s="102"/>
      <c r="FYU54" s="102"/>
      <c r="FYV54" s="102"/>
      <c r="FYW54" s="102"/>
      <c r="FYX54" s="102"/>
      <c r="FYY54" s="102"/>
      <c r="FYZ54" s="102"/>
      <c r="FZA54" s="102"/>
      <c r="FZB54" s="102"/>
      <c r="FZC54" s="102"/>
      <c r="FZD54" s="102"/>
      <c r="FZE54" s="102"/>
      <c r="FZF54" s="102"/>
      <c r="FZG54" s="102"/>
      <c r="FZH54" s="102"/>
      <c r="FZI54" s="102"/>
      <c r="FZJ54" s="102"/>
      <c r="FZK54" s="102"/>
      <c r="FZL54" s="102"/>
      <c r="FZM54" s="102"/>
      <c r="FZN54" s="102"/>
      <c r="FZO54" s="102"/>
      <c r="FZP54" s="102"/>
      <c r="FZQ54" s="102"/>
      <c r="FZR54" s="102"/>
      <c r="FZS54" s="102"/>
      <c r="FZT54" s="102"/>
      <c r="FZU54" s="102"/>
      <c r="FZV54" s="102"/>
      <c r="FZW54" s="102"/>
      <c r="FZX54" s="102"/>
      <c r="FZY54" s="102"/>
      <c r="FZZ54" s="102"/>
      <c r="GAA54" s="102"/>
      <c r="GAB54" s="102"/>
      <c r="GAC54" s="102"/>
      <c r="GAD54" s="102"/>
      <c r="GAE54" s="102"/>
      <c r="GAF54" s="102"/>
      <c r="GAG54" s="102"/>
      <c r="GAH54" s="102"/>
      <c r="GAI54" s="102"/>
      <c r="GAJ54" s="102"/>
      <c r="GAK54" s="102"/>
      <c r="GAL54" s="102"/>
      <c r="GAM54" s="102"/>
      <c r="GAN54" s="102"/>
      <c r="GAO54" s="102"/>
      <c r="GAP54" s="102"/>
      <c r="GAQ54" s="102"/>
      <c r="GAR54" s="102"/>
      <c r="GAS54" s="102"/>
      <c r="GAT54" s="102"/>
      <c r="GAU54" s="102"/>
      <c r="GAV54" s="102"/>
      <c r="GAW54" s="102"/>
      <c r="GAX54" s="102"/>
      <c r="GAY54" s="102"/>
      <c r="GAZ54" s="102"/>
      <c r="GBA54" s="102"/>
      <c r="GBB54" s="102"/>
      <c r="GBC54" s="102"/>
      <c r="GBD54" s="102"/>
      <c r="GBE54" s="102"/>
      <c r="GBF54" s="102"/>
      <c r="GBG54" s="102"/>
      <c r="GBH54" s="102"/>
      <c r="GBI54" s="102"/>
      <c r="GBJ54" s="102"/>
      <c r="GBK54" s="102"/>
      <c r="GBL54" s="102"/>
      <c r="GBM54" s="102"/>
      <c r="GBN54" s="102"/>
      <c r="GBO54" s="102"/>
      <c r="GBP54" s="102"/>
      <c r="GBQ54" s="102"/>
      <c r="GBR54" s="102"/>
      <c r="GBS54" s="102"/>
      <c r="GBT54" s="102"/>
      <c r="GBU54" s="102"/>
      <c r="GBV54" s="102"/>
      <c r="GBW54" s="102"/>
      <c r="GBX54" s="102"/>
      <c r="GBY54" s="102"/>
      <c r="GBZ54" s="102"/>
      <c r="GCA54" s="102"/>
      <c r="GCB54" s="102"/>
      <c r="GCC54" s="102"/>
      <c r="GCD54" s="102"/>
      <c r="GCE54" s="102"/>
      <c r="GCF54" s="102"/>
      <c r="GCG54" s="102"/>
      <c r="GCH54" s="102"/>
      <c r="GCI54" s="102"/>
      <c r="GCJ54" s="102"/>
      <c r="GCK54" s="102"/>
      <c r="GCL54" s="102"/>
      <c r="GCM54" s="102"/>
      <c r="GCN54" s="102"/>
      <c r="GCO54" s="102"/>
      <c r="GCP54" s="102"/>
      <c r="GCQ54" s="102"/>
      <c r="GCR54" s="102"/>
      <c r="GCS54" s="102"/>
      <c r="GCT54" s="102"/>
      <c r="GCU54" s="102"/>
      <c r="GCV54" s="102"/>
      <c r="GCW54" s="102"/>
      <c r="GCX54" s="102"/>
      <c r="GCY54" s="102"/>
      <c r="GCZ54" s="102"/>
      <c r="GDA54" s="102"/>
      <c r="GDB54" s="102"/>
      <c r="GDC54" s="102"/>
      <c r="GDD54" s="102"/>
      <c r="GDE54" s="102"/>
      <c r="GDF54" s="102"/>
      <c r="GDG54" s="102"/>
      <c r="GDH54" s="102"/>
      <c r="GDI54" s="102"/>
      <c r="GDJ54" s="102"/>
      <c r="GDK54" s="102"/>
      <c r="GDL54" s="102"/>
      <c r="GDM54" s="102"/>
      <c r="GDN54" s="102"/>
      <c r="GDO54" s="102"/>
      <c r="GDP54" s="102"/>
      <c r="GDQ54" s="102"/>
      <c r="GDR54" s="102"/>
      <c r="GDS54" s="102"/>
      <c r="GDT54" s="102"/>
      <c r="GDU54" s="102"/>
      <c r="GDV54" s="102"/>
      <c r="GDW54" s="102"/>
      <c r="GDX54" s="102"/>
      <c r="GDY54" s="102"/>
      <c r="GDZ54" s="102"/>
      <c r="GEA54" s="102"/>
      <c r="GEB54" s="102"/>
      <c r="GEC54" s="102"/>
      <c r="GED54" s="102"/>
      <c r="GEE54" s="102"/>
      <c r="GEF54" s="102"/>
      <c r="GEG54" s="102"/>
      <c r="GEH54" s="102"/>
      <c r="GEI54" s="102"/>
      <c r="GEJ54" s="102"/>
      <c r="GEK54" s="102"/>
      <c r="GEL54" s="102"/>
      <c r="GEM54" s="102"/>
      <c r="GEN54" s="102"/>
      <c r="GEO54" s="102"/>
      <c r="GEP54" s="102"/>
      <c r="GEQ54" s="102"/>
      <c r="GER54" s="102"/>
      <c r="GES54" s="102"/>
      <c r="GET54" s="102"/>
      <c r="GEU54" s="102"/>
      <c r="GEV54" s="102"/>
      <c r="GEW54" s="102"/>
      <c r="GEX54" s="102"/>
      <c r="GEY54" s="102"/>
      <c r="GEZ54" s="102"/>
      <c r="GFA54" s="102"/>
      <c r="GFB54" s="102"/>
      <c r="GFC54" s="102"/>
      <c r="GFD54" s="102"/>
      <c r="GFE54" s="102"/>
      <c r="GFF54" s="102"/>
      <c r="GFG54" s="102"/>
      <c r="GFH54" s="102"/>
      <c r="GFI54" s="102"/>
      <c r="GFJ54" s="102"/>
      <c r="GFK54" s="102"/>
      <c r="GFL54" s="102"/>
      <c r="GFM54" s="102"/>
      <c r="GFN54" s="102"/>
      <c r="GFO54" s="102"/>
      <c r="GFP54" s="102"/>
      <c r="GFQ54" s="102"/>
      <c r="GFR54" s="102"/>
      <c r="GFS54" s="102"/>
      <c r="GFT54" s="102"/>
      <c r="GFU54" s="102"/>
      <c r="GFV54" s="102"/>
      <c r="GFW54" s="102"/>
      <c r="GFX54" s="102"/>
      <c r="GFY54" s="102"/>
      <c r="GFZ54" s="102"/>
      <c r="GGA54" s="102"/>
      <c r="GGB54" s="102"/>
      <c r="GGC54" s="102"/>
      <c r="GGD54" s="102"/>
      <c r="GGE54" s="102"/>
      <c r="GGF54" s="102"/>
      <c r="GGG54" s="102"/>
      <c r="GGH54" s="102"/>
      <c r="GGI54" s="102"/>
      <c r="GGJ54" s="102"/>
      <c r="GGK54" s="102"/>
      <c r="GGL54" s="102"/>
      <c r="GGM54" s="102"/>
      <c r="GGN54" s="102"/>
      <c r="GGO54" s="102"/>
      <c r="GGP54" s="102"/>
      <c r="GGQ54" s="102"/>
      <c r="GGR54" s="102"/>
      <c r="GGS54" s="102"/>
      <c r="GGT54" s="102"/>
      <c r="GGU54" s="102"/>
      <c r="GGV54" s="102"/>
      <c r="GGW54" s="102"/>
      <c r="GGX54" s="102"/>
      <c r="GGY54" s="102"/>
      <c r="GGZ54" s="102"/>
      <c r="GHA54" s="102"/>
      <c r="GHB54" s="102"/>
      <c r="GHC54" s="102"/>
      <c r="GHD54" s="102"/>
      <c r="GHE54" s="102"/>
      <c r="GHF54" s="102"/>
      <c r="GHG54" s="102"/>
      <c r="GHH54" s="102"/>
      <c r="GHI54" s="102"/>
      <c r="GHJ54" s="102"/>
      <c r="GHK54" s="102"/>
      <c r="GHL54" s="102"/>
      <c r="GHM54" s="102"/>
      <c r="GHN54" s="102"/>
      <c r="GHO54" s="102"/>
      <c r="GHP54" s="102"/>
      <c r="GHQ54" s="102"/>
      <c r="GHR54" s="102"/>
      <c r="GHS54" s="102"/>
      <c r="GHT54" s="102"/>
      <c r="GHU54" s="102"/>
      <c r="GHV54" s="102"/>
      <c r="GHW54" s="102"/>
      <c r="GHX54" s="102"/>
      <c r="GHY54" s="102"/>
      <c r="GHZ54" s="102"/>
      <c r="GIA54" s="102"/>
      <c r="GIB54" s="102"/>
      <c r="GIC54" s="102"/>
      <c r="GID54" s="102"/>
      <c r="GIE54" s="102"/>
      <c r="GIF54" s="102"/>
      <c r="GIG54" s="102"/>
      <c r="GIH54" s="102"/>
      <c r="GII54" s="102"/>
      <c r="GIJ54" s="102"/>
      <c r="GIK54" s="102"/>
      <c r="GIL54" s="102"/>
      <c r="GIM54" s="102"/>
      <c r="GIN54" s="102"/>
      <c r="GIO54" s="102"/>
      <c r="GIP54" s="102"/>
      <c r="GIQ54" s="102"/>
      <c r="GIR54" s="102"/>
      <c r="GIS54" s="102"/>
      <c r="GIT54" s="102"/>
      <c r="GIU54" s="102"/>
      <c r="GIV54" s="102"/>
      <c r="GIW54" s="102"/>
      <c r="GIX54" s="102"/>
      <c r="GIY54" s="102"/>
      <c r="GIZ54" s="102"/>
      <c r="GJA54" s="102"/>
      <c r="GJB54" s="102"/>
      <c r="GJC54" s="102"/>
      <c r="GJD54" s="102"/>
      <c r="GJE54" s="102"/>
      <c r="GJF54" s="102"/>
      <c r="GJG54" s="102"/>
      <c r="GJH54" s="102"/>
      <c r="GJI54" s="102"/>
      <c r="GJJ54" s="102"/>
      <c r="GJK54" s="102"/>
      <c r="GJL54" s="102"/>
      <c r="GJM54" s="102"/>
      <c r="GJN54" s="102"/>
      <c r="GJO54" s="102"/>
      <c r="GJP54" s="102"/>
      <c r="GJQ54" s="102"/>
      <c r="GJR54" s="102"/>
      <c r="GJS54" s="102"/>
      <c r="GJT54" s="102"/>
      <c r="GJU54" s="102"/>
      <c r="GJV54" s="102"/>
      <c r="GJW54" s="102"/>
      <c r="GJX54" s="102"/>
      <c r="GJY54" s="102"/>
      <c r="GJZ54" s="102"/>
      <c r="GKA54" s="102"/>
      <c r="GKB54" s="102"/>
      <c r="GKC54" s="102"/>
      <c r="GKD54" s="102"/>
      <c r="GKE54" s="102"/>
      <c r="GKF54" s="102"/>
      <c r="GKG54" s="102"/>
      <c r="GKH54" s="102"/>
      <c r="GKI54" s="102"/>
      <c r="GKJ54" s="102"/>
      <c r="GKK54" s="102"/>
      <c r="GKL54" s="102"/>
      <c r="GKM54" s="102"/>
      <c r="GKN54" s="102"/>
      <c r="GKO54" s="102"/>
      <c r="GKP54" s="102"/>
      <c r="GKQ54" s="102"/>
      <c r="GKR54" s="102"/>
      <c r="GKS54" s="102"/>
      <c r="GKT54" s="102"/>
      <c r="GKU54" s="102"/>
      <c r="GKV54" s="102"/>
      <c r="GKW54" s="102"/>
      <c r="GKX54" s="102"/>
      <c r="GKY54" s="102"/>
      <c r="GKZ54" s="102"/>
      <c r="GLA54" s="102"/>
      <c r="GLB54" s="102"/>
      <c r="GLC54" s="102"/>
      <c r="GLD54" s="102"/>
      <c r="GLE54" s="102"/>
      <c r="GLF54" s="102"/>
      <c r="GLG54" s="102"/>
      <c r="GLH54" s="102"/>
      <c r="GLI54" s="102"/>
      <c r="GLJ54" s="102"/>
      <c r="GLK54" s="102"/>
      <c r="GLL54" s="102"/>
      <c r="GLM54" s="102"/>
      <c r="GLN54" s="102"/>
      <c r="GLO54" s="102"/>
      <c r="GLP54" s="102"/>
      <c r="GLQ54" s="102"/>
      <c r="GLR54" s="102"/>
      <c r="GLS54" s="102"/>
      <c r="GLT54" s="102"/>
      <c r="GLU54" s="102"/>
      <c r="GLV54" s="102"/>
      <c r="GLW54" s="102"/>
      <c r="GLX54" s="102"/>
      <c r="GLY54" s="102"/>
      <c r="GLZ54" s="102"/>
      <c r="GMA54" s="102"/>
      <c r="GMB54" s="102"/>
      <c r="GMC54" s="102"/>
      <c r="GMD54" s="102"/>
      <c r="GME54" s="102"/>
      <c r="GMF54" s="102"/>
      <c r="GMG54" s="102"/>
      <c r="GMH54" s="102"/>
      <c r="GMI54" s="102"/>
      <c r="GMJ54" s="102"/>
      <c r="GMK54" s="102"/>
      <c r="GML54" s="102"/>
      <c r="GMM54" s="102"/>
      <c r="GMN54" s="102"/>
      <c r="GMO54" s="102"/>
      <c r="GMP54" s="102"/>
      <c r="GMQ54" s="102"/>
      <c r="GMR54" s="102"/>
      <c r="GMS54" s="102"/>
      <c r="GMT54" s="102"/>
      <c r="GMU54" s="102"/>
      <c r="GMV54" s="102"/>
      <c r="GMW54" s="102"/>
      <c r="GMX54" s="102"/>
      <c r="GMY54" s="102"/>
      <c r="GMZ54" s="102"/>
      <c r="GNA54" s="102"/>
      <c r="GNB54" s="102"/>
      <c r="GNC54" s="102"/>
      <c r="GND54" s="102"/>
      <c r="GNE54" s="102"/>
      <c r="GNF54" s="102"/>
      <c r="GNG54" s="102"/>
      <c r="GNH54" s="102"/>
      <c r="GNI54" s="102"/>
      <c r="GNJ54" s="102"/>
      <c r="GNK54" s="102"/>
      <c r="GNL54" s="102"/>
      <c r="GNM54" s="102"/>
      <c r="GNN54" s="102"/>
      <c r="GNO54" s="102"/>
      <c r="GNP54" s="102"/>
      <c r="GNQ54" s="102"/>
      <c r="GNR54" s="102"/>
      <c r="GNS54" s="102"/>
      <c r="GNT54" s="102"/>
      <c r="GNU54" s="102"/>
      <c r="GNV54" s="102"/>
      <c r="GNW54" s="102"/>
      <c r="GNX54" s="102"/>
      <c r="GNY54" s="102"/>
      <c r="GNZ54" s="102"/>
      <c r="GOA54" s="102"/>
      <c r="GOB54" s="102"/>
      <c r="GOC54" s="102"/>
      <c r="GOD54" s="102"/>
      <c r="GOE54" s="102"/>
      <c r="GOF54" s="102"/>
      <c r="GOG54" s="102"/>
      <c r="GOH54" s="102"/>
      <c r="GOI54" s="102"/>
      <c r="GOJ54" s="102"/>
      <c r="GOK54" s="102"/>
      <c r="GOL54" s="102"/>
      <c r="GOM54" s="102"/>
      <c r="GON54" s="102"/>
      <c r="GOO54" s="102"/>
      <c r="GOP54" s="102"/>
      <c r="GOQ54" s="102"/>
      <c r="GOR54" s="102"/>
      <c r="GOS54" s="102"/>
      <c r="GOT54" s="102"/>
      <c r="GOU54" s="102"/>
      <c r="GOV54" s="102"/>
      <c r="GOW54" s="102"/>
      <c r="GOX54" s="102"/>
      <c r="GOY54" s="102"/>
      <c r="GOZ54" s="102"/>
      <c r="GPA54" s="102"/>
      <c r="GPB54" s="102"/>
      <c r="GPC54" s="102"/>
      <c r="GPD54" s="102"/>
      <c r="GPE54" s="102"/>
      <c r="GPF54" s="102"/>
      <c r="GPG54" s="102"/>
      <c r="GPH54" s="102"/>
      <c r="GPI54" s="102"/>
      <c r="GPJ54" s="102"/>
      <c r="GPK54" s="102"/>
      <c r="GPL54" s="102"/>
      <c r="GPM54" s="102"/>
      <c r="GPN54" s="102"/>
      <c r="GPO54" s="102"/>
      <c r="GPP54" s="102"/>
      <c r="GPQ54" s="102"/>
      <c r="GPR54" s="102"/>
      <c r="GPS54" s="102"/>
      <c r="GPT54" s="102"/>
      <c r="GPU54" s="102"/>
      <c r="GPV54" s="102"/>
      <c r="GPW54" s="102"/>
      <c r="GPX54" s="102"/>
      <c r="GPY54" s="102"/>
      <c r="GPZ54" s="102"/>
      <c r="GQA54" s="102"/>
      <c r="GQB54" s="102"/>
      <c r="GQC54" s="102"/>
      <c r="GQD54" s="102"/>
      <c r="GQE54" s="102"/>
      <c r="GQF54" s="102"/>
      <c r="GQG54" s="102"/>
      <c r="GQH54" s="102"/>
      <c r="GQI54" s="102"/>
      <c r="GQJ54" s="102"/>
      <c r="GQK54" s="102"/>
      <c r="GQL54" s="102"/>
      <c r="GQM54" s="102"/>
      <c r="GQN54" s="102"/>
      <c r="GQO54" s="102"/>
      <c r="GQP54" s="102"/>
      <c r="GQQ54" s="102"/>
      <c r="GQR54" s="102"/>
      <c r="GQS54" s="102"/>
      <c r="GQT54" s="102"/>
      <c r="GQU54" s="102"/>
      <c r="GQV54" s="102"/>
      <c r="GQW54" s="102"/>
      <c r="GQX54" s="102"/>
      <c r="GQY54" s="102"/>
      <c r="GQZ54" s="102"/>
      <c r="GRA54" s="102"/>
      <c r="GRB54" s="102"/>
      <c r="GRC54" s="102"/>
      <c r="GRD54" s="102"/>
      <c r="GRE54" s="102"/>
      <c r="GRF54" s="102"/>
      <c r="GRG54" s="102"/>
      <c r="GRH54" s="102"/>
      <c r="GRI54" s="102"/>
      <c r="GRJ54" s="102"/>
      <c r="GRK54" s="102"/>
      <c r="GRL54" s="102"/>
      <c r="GRM54" s="102"/>
      <c r="GRN54" s="102"/>
      <c r="GRO54" s="102"/>
      <c r="GRP54" s="102"/>
      <c r="GRQ54" s="102"/>
      <c r="GRR54" s="102"/>
      <c r="GRS54" s="102"/>
      <c r="GRT54" s="102"/>
      <c r="GRU54" s="102"/>
      <c r="GRV54" s="102"/>
      <c r="GRW54" s="102"/>
      <c r="GRX54" s="102"/>
      <c r="GRY54" s="102"/>
      <c r="GRZ54" s="102"/>
      <c r="GSA54" s="102"/>
      <c r="GSB54" s="102"/>
      <c r="GSC54" s="102"/>
      <c r="GSD54" s="102"/>
      <c r="GSE54" s="102"/>
      <c r="GSF54" s="102"/>
      <c r="GSG54" s="102"/>
      <c r="GSH54" s="102"/>
      <c r="GSI54" s="102"/>
      <c r="GSJ54" s="102"/>
      <c r="GSK54" s="102"/>
      <c r="GSL54" s="102"/>
      <c r="GSM54" s="102"/>
      <c r="GSN54" s="102"/>
      <c r="GSO54" s="102"/>
      <c r="GSP54" s="102"/>
      <c r="GSQ54" s="102"/>
      <c r="GSR54" s="102"/>
      <c r="GSS54" s="102"/>
      <c r="GST54" s="102"/>
      <c r="GSU54" s="102"/>
      <c r="GSV54" s="102"/>
      <c r="GSW54" s="102"/>
      <c r="GSX54" s="102"/>
      <c r="GSY54" s="102"/>
      <c r="GSZ54" s="102"/>
      <c r="GTA54" s="102"/>
      <c r="GTB54" s="102"/>
      <c r="GTC54" s="102"/>
      <c r="GTD54" s="102"/>
      <c r="GTE54" s="102"/>
      <c r="GTF54" s="102"/>
      <c r="GTG54" s="102"/>
      <c r="GTH54" s="102"/>
      <c r="GTI54" s="102"/>
      <c r="GTJ54" s="102"/>
      <c r="GTK54" s="102"/>
      <c r="GTL54" s="102"/>
      <c r="GTM54" s="102"/>
      <c r="GTN54" s="102"/>
      <c r="GTO54" s="102"/>
      <c r="GTP54" s="102"/>
      <c r="GTQ54" s="102"/>
      <c r="GTR54" s="102"/>
      <c r="GTS54" s="102"/>
      <c r="GTT54" s="102"/>
      <c r="GTU54" s="102"/>
      <c r="GTV54" s="102"/>
      <c r="GTW54" s="102"/>
      <c r="GTX54" s="102"/>
      <c r="GTY54" s="102"/>
      <c r="GTZ54" s="102"/>
      <c r="GUA54" s="102"/>
      <c r="GUB54" s="102"/>
      <c r="GUC54" s="102"/>
      <c r="GUD54" s="102"/>
      <c r="GUE54" s="102"/>
      <c r="GUF54" s="102"/>
      <c r="GUG54" s="102"/>
      <c r="GUH54" s="102"/>
      <c r="GUI54" s="102"/>
      <c r="GUJ54" s="102"/>
      <c r="GUK54" s="102"/>
      <c r="GUL54" s="102"/>
      <c r="GUM54" s="102"/>
      <c r="GUN54" s="102"/>
      <c r="GUO54" s="102"/>
      <c r="GUP54" s="102"/>
      <c r="GUQ54" s="102"/>
      <c r="GUR54" s="102"/>
      <c r="GUS54" s="102"/>
      <c r="GUT54" s="102"/>
      <c r="GUU54" s="102"/>
      <c r="GUV54" s="102"/>
      <c r="GUW54" s="102"/>
      <c r="GUX54" s="102"/>
      <c r="GUY54" s="102"/>
      <c r="GUZ54" s="102"/>
      <c r="GVA54" s="102"/>
      <c r="GVB54" s="102"/>
      <c r="GVC54" s="102"/>
      <c r="GVD54" s="102"/>
      <c r="GVE54" s="102"/>
      <c r="GVF54" s="102"/>
      <c r="GVG54" s="102"/>
      <c r="GVH54" s="102"/>
      <c r="GVI54" s="102"/>
      <c r="GVJ54" s="102"/>
      <c r="GVK54" s="102"/>
      <c r="GVL54" s="102"/>
      <c r="GVM54" s="102"/>
      <c r="GVN54" s="102"/>
      <c r="GVO54" s="102"/>
      <c r="GVP54" s="102"/>
      <c r="GVQ54" s="102"/>
      <c r="GVR54" s="102"/>
      <c r="GVS54" s="102"/>
      <c r="GVT54" s="102"/>
      <c r="GVU54" s="102"/>
      <c r="GVV54" s="102"/>
      <c r="GVW54" s="102"/>
      <c r="GVX54" s="102"/>
      <c r="GVY54" s="102"/>
      <c r="GVZ54" s="102"/>
      <c r="GWA54" s="102"/>
      <c r="GWB54" s="102"/>
      <c r="GWC54" s="102"/>
      <c r="GWD54" s="102"/>
      <c r="GWE54" s="102"/>
      <c r="GWF54" s="102"/>
      <c r="GWG54" s="102"/>
      <c r="GWH54" s="102"/>
      <c r="GWI54" s="102"/>
      <c r="GWJ54" s="102"/>
      <c r="GWK54" s="102"/>
      <c r="GWL54" s="102"/>
      <c r="GWM54" s="102"/>
      <c r="GWN54" s="102"/>
      <c r="GWO54" s="102"/>
      <c r="GWP54" s="102"/>
      <c r="GWQ54" s="102"/>
      <c r="GWR54" s="102"/>
      <c r="GWS54" s="102"/>
      <c r="GWT54" s="102"/>
      <c r="GWU54" s="102"/>
      <c r="GWV54" s="102"/>
      <c r="GWW54" s="102"/>
      <c r="GWX54" s="102"/>
      <c r="GWY54" s="102"/>
      <c r="GWZ54" s="102"/>
      <c r="GXA54" s="102"/>
      <c r="GXB54" s="102"/>
      <c r="GXC54" s="102"/>
      <c r="GXD54" s="102"/>
      <c r="GXE54" s="102"/>
      <c r="GXF54" s="102"/>
      <c r="GXG54" s="102"/>
      <c r="GXH54" s="102"/>
      <c r="GXI54" s="102"/>
      <c r="GXJ54" s="102"/>
      <c r="GXK54" s="102"/>
      <c r="GXL54" s="102"/>
      <c r="GXM54" s="102"/>
      <c r="GXN54" s="102"/>
      <c r="GXO54" s="102"/>
      <c r="GXP54" s="102"/>
      <c r="GXQ54" s="102"/>
      <c r="GXR54" s="102"/>
      <c r="GXS54" s="102"/>
      <c r="GXT54" s="102"/>
      <c r="GXU54" s="102"/>
      <c r="GXV54" s="102"/>
      <c r="GXW54" s="102"/>
      <c r="GXX54" s="102"/>
      <c r="GXY54" s="102"/>
      <c r="GXZ54" s="102"/>
      <c r="GYA54" s="102"/>
      <c r="GYB54" s="102"/>
      <c r="GYC54" s="102"/>
      <c r="GYD54" s="102"/>
      <c r="GYE54" s="102"/>
      <c r="GYF54" s="102"/>
      <c r="GYG54" s="102"/>
      <c r="GYH54" s="102"/>
      <c r="GYI54" s="102"/>
      <c r="GYJ54" s="102"/>
      <c r="GYK54" s="102"/>
      <c r="GYL54" s="102"/>
      <c r="GYM54" s="102"/>
      <c r="GYN54" s="102"/>
      <c r="GYO54" s="102"/>
      <c r="GYP54" s="102"/>
      <c r="GYQ54" s="102"/>
      <c r="GYR54" s="102"/>
      <c r="GYS54" s="102"/>
      <c r="GYT54" s="102"/>
      <c r="GYU54" s="102"/>
      <c r="GYV54" s="102"/>
      <c r="GYW54" s="102"/>
      <c r="GYX54" s="102"/>
      <c r="GYY54" s="102"/>
      <c r="GYZ54" s="102"/>
      <c r="GZA54" s="102"/>
      <c r="GZB54" s="102"/>
      <c r="GZC54" s="102"/>
      <c r="GZD54" s="102"/>
      <c r="GZE54" s="102"/>
      <c r="GZF54" s="102"/>
      <c r="GZG54" s="102"/>
      <c r="GZH54" s="102"/>
      <c r="GZI54" s="102"/>
      <c r="GZJ54" s="102"/>
      <c r="GZK54" s="102"/>
      <c r="GZL54" s="102"/>
      <c r="GZM54" s="102"/>
      <c r="GZN54" s="102"/>
      <c r="GZO54" s="102"/>
      <c r="GZP54" s="102"/>
      <c r="GZQ54" s="102"/>
      <c r="GZR54" s="102"/>
      <c r="GZS54" s="102"/>
      <c r="GZT54" s="102"/>
      <c r="GZU54" s="102"/>
      <c r="GZV54" s="102"/>
      <c r="GZW54" s="102"/>
      <c r="GZX54" s="102"/>
      <c r="GZY54" s="102"/>
      <c r="GZZ54" s="102"/>
      <c r="HAA54" s="102"/>
      <c r="HAB54" s="102"/>
      <c r="HAC54" s="102"/>
      <c r="HAD54" s="102"/>
      <c r="HAE54" s="102"/>
      <c r="HAF54" s="102"/>
      <c r="HAG54" s="102"/>
      <c r="HAH54" s="102"/>
      <c r="HAI54" s="102"/>
      <c r="HAJ54" s="102"/>
      <c r="HAK54" s="102"/>
      <c r="HAL54" s="102"/>
      <c r="HAM54" s="102"/>
      <c r="HAN54" s="102"/>
      <c r="HAO54" s="102"/>
      <c r="HAP54" s="102"/>
      <c r="HAQ54" s="102"/>
      <c r="HAR54" s="102"/>
      <c r="HAS54" s="102"/>
      <c r="HAT54" s="102"/>
      <c r="HAU54" s="102"/>
      <c r="HAV54" s="102"/>
      <c r="HAW54" s="102"/>
      <c r="HAX54" s="102"/>
      <c r="HAY54" s="102"/>
      <c r="HAZ54" s="102"/>
      <c r="HBA54" s="102"/>
      <c r="HBB54" s="102"/>
      <c r="HBC54" s="102"/>
      <c r="HBD54" s="102"/>
      <c r="HBE54" s="102"/>
      <c r="HBF54" s="102"/>
      <c r="HBG54" s="102"/>
      <c r="HBH54" s="102"/>
      <c r="HBI54" s="102"/>
      <c r="HBJ54" s="102"/>
      <c r="HBK54" s="102"/>
      <c r="HBL54" s="102"/>
      <c r="HBM54" s="102"/>
      <c r="HBN54" s="102"/>
      <c r="HBO54" s="102"/>
      <c r="HBP54" s="102"/>
      <c r="HBQ54" s="102"/>
      <c r="HBR54" s="102"/>
      <c r="HBS54" s="102"/>
      <c r="HBT54" s="102"/>
      <c r="HBU54" s="102"/>
      <c r="HBV54" s="102"/>
      <c r="HBW54" s="102"/>
      <c r="HBX54" s="102"/>
      <c r="HBY54" s="102"/>
      <c r="HBZ54" s="102"/>
      <c r="HCA54" s="102"/>
      <c r="HCB54" s="102"/>
      <c r="HCC54" s="102"/>
      <c r="HCD54" s="102"/>
      <c r="HCE54" s="102"/>
      <c r="HCF54" s="102"/>
      <c r="HCG54" s="102"/>
      <c r="HCH54" s="102"/>
      <c r="HCI54" s="102"/>
      <c r="HCJ54" s="102"/>
      <c r="HCK54" s="102"/>
      <c r="HCL54" s="102"/>
      <c r="HCM54" s="102"/>
      <c r="HCN54" s="102"/>
      <c r="HCO54" s="102"/>
      <c r="HCP54" s="102"/>
      <c r="HCQ54" s="102"/>
      <c r="HCR54" s="102"/>
      <c r="HCS54" s="102"/>
      <c r="HCT54" s="102"/>
      <c r="HCU54" s="102"/>
      <c r="HCV54" s="102"/>
      <c r="HCW54" s="102"/>
      <c r="HCX54" s="102"/>
      <c r="HCY54" s="102"/>
      <c r="HCZ54" s="102"/>
      <c r="HDA54" s="102"/>
      <c r="HDB54" s="102"/>
      <c r="HDC54" s="102"/>
      <c r="HDD54" s="102"/>
      <c r="HDE54" s="102"/>
      <c r="HDF54" s="102"/>
      <c r="HDG54" s="102"/>
      <c r="HDH54" s="102"/>
      <c r="HDI54" s="102"/>
      <c r="HDJ54" s="102"/>
      <c r="HDK54" s="102"/>
      <c r="HDL54" s="102"/>
      <c r="HDM54" s="102"/>
      <c r="HDN54" s="102"/>
      <c r="HDO54" s="102"/>
      <c r="HDP54" s="102"/>
      <c r="HDQ54" s="102"/>
      <c r="HDR54" s="102"/>
      <c r="HDS54" s="102"/>
      <c r="HDT54" s="102"/>
      <c r="HDU54" s="102"/>
      <c r="HDV54" s="102"/>
      <c r="HDW54" s="102"/>
      <c r="HDX54" s="102"/>
      <c r="HDY54" s="102"/>
      <c r="HDZ54" s="102"/>
      <c r="HEA54" s="102"/>
      <c r="HEB54" s="102"/>
      <c r="HEC54" s="102"/>
      <c r="HED54" s="102"/>
      <c r="HEE54" s="102"/>
      <c r="HEF54" s="102"/>
      <c r="HEG54" s="102"/>
      <c r="HEH54" s="102"/>
      <c r="HEI54" s="102"/>
      <c r="HEJ54" s="102"/>
      <c r="HEK54" s="102"/>
      <c r="HEL54" s="102"/>
      <c r="HEM54" s="102"/>
      <c r="HEN54" s="102"/>
      <c r="HEO54" s="102"/>
      <c r="HEP54" s="102"/>
      <c r="HEQ54" s="102"/>
      <c r="HER54" s="102"/>
      <c r="HES54" s="102"/>
      <c r="HET54" s="102"/>
      <c r="HEU54" s="102"/>
      <c r="HEV54" s="102"/>
      <c r="HEW54" s="102"/>
      <c r="HEX54" s="102"/>
      <c r="HEY54" s="102"/>
      <c r="HEZ54" s="102"/>
      <c r="HFA54" s="102"/>
      <c r="HFB54" s="102"/>
      <c r="HFC54" s="102"/>
      <c r="HFD54" s="102"/>
      <c r="HFE54" s="102"/>
      <c r="HFF54" s="102"/>
      <c r="HFG54" s="102"/>
      <c r="HFH54" s="102"/>
      <c r="HFI54" s="102"/>
      <c r="HFJ54" s="102"/>
      <c r="HFK54" s="102"/>
      <c r="HFL54" s="102"/>
      <c r="HFM54" s="102"/>
      <c r="HFN54" s="102"/>
      <c r="HFO54" s="102"/>
      <c r="HFP54" s="102"/>
      <c r="HFQ54" s="102"/>
      <c r="HFR54" s="102"/>
      <c r="HFS54" s="102"/>
      <c r="HFT54" s="102"/>
      <c r="HFU54" s="102"/>
      <c r="HFV54" s="102"/>
      <c r="HFW54" s="102"/>
      <c r="HFX54" s="102"/>
      <c r="HFY54" s="102"/>
      <c r="HFZ54" s="102"/>
      <c r="HGA54" s="102"/>
      <c r="HGB54" s="102"/>
      <c r="HGC54" s="102"/>
      <c r="HGD54" s="102"/>
      <c r="HGE54" s="102"/>
      <c r="HGF54" s="102"/>
      <c r="HGG54" s="102"/>
      <c r="HGH54" s="102"/>
      <c r="HGI54" s="102"/>
      <c r="HGJ54" s="102"/>
      <c r="HGK54" s="102"/>
      <c r="HGL54" s="102"/>
      <c r="HGM54" s="102"/>
      <c r="HGN54" s="102"/>
      <c r="HGO54" s="102"/>
      <c r="HGP54" s="102"/>
      <c r="HGQ54" s="102"/>
      <c r="HGR54" s="102"/>
      <c r="HGS54" s="102"/>
      <c r="HGT54" s="102"/>
      <c r="HGU54" s="102"/>
      <c r="HGV54" s="102"/>
      <c r="HGW54" s="102"/>
      <c r="HGX54" s="102"/>
      <c r="HGY54" s="102"/>
      <c r="HGZ54" s="102"/>
      <c r="HHA54" s="102"/>
      <c r="HHB54" s="102"/>
      <c r="HHC54" s="102"/>
      <c r="HHD54" s="102"/>
      <c r="HHE54" s="102"/>
      <c r="HHF54" s="102"/>
      <c r="HHG54" s="102"/>
      <c r="HHH54" s="102"/>
      <c r="HHI54" s="102"/>
      <c r="HHJ54" s="102"/>
      <c r="HHK54" s="102"/>
      <c r="HHL54" s="102"/>
      <c r="HHM54" s="102"/>
      <c r="HHN54" s="102"/>
      <c r="HHO54" s="102"/>
      <c r="HHP54" s="102"/>
      <c r="HHQ54" s="102"/>
      <c r="HHR54" s="102"/>
      <c r="HHS54" s="102"/>
      <c r="HHT54" s="102"/>
      <c r="HHU54" s="102"/>
      <c r="HHV54" s="102"/>
      <c r="HHW54" s="102"/>
      <c r="HHX54" s="102"/>
      <c r="HHY54" s="102"/>
      <c r="HHZ54" s="102"/>
      <c r="HIA54" s="102"/>
      <c r="HIB54" s="102"/>
      <c r="HIC54" s="102"/>
      <c r="HID54" s="102"/>
      <c r="HIE54" s="102"/>
      <c r="HIF54" s="102"/>
      <c r="HIG54" s="102"/>
      <c r="HIH54" s="102"/>
      <c r="HII54" s="102"/>
      <c r="HIJ54" s="102"/>
      <c r="HIK54" s="102"/>
      <c r="HIL54" s="102"/>
      <c r="HIM54" s="102"/>
      <c r="HIN54" s="102"/>
      <c r="HIO54" s="102"/>
      <c r="HIP54" s="102"/>
      <c r="HIQ54" s="102"/>
      <c r="HIR54" s="102"/>
      <c r="HIS54" s="102"/>
      <c r="HIT54" s="102"/>
      <c r="HIU54" s="102"/>
      <c r="HIV54" s="102"/>
      <c r="HIW54" s="102"/>
      <c r="HIX54" s="102"/>
      <c r="HIY54" s="102"/>
      <c r="HIZ54" s="102"/>
      <c r="HJA54" s="102"/>
      <c r="HJB54" s="102"/>
      <c r="HJC54" s="102"/>
      <c r="HJD54" s="102"/>
      <c r="HJE54" s="102"/>
      <c r="HJF54" s="102"/>
      <c r="HJG54" s="102"/>
      <c r="HJH54" s="102"/>
      <c r="HJI54" s="102"/>
      <c r="HJJ54" s="102"/>
      <c r="HJK54" s="102"/>
      <c r="HJL54" s="102"/>
      <c r="HJM54" s="102"/>
      <c r="HJN54" s="102"/>
      <c r="HJO54" s="102"/>
      <c r="HJP54" s="102"/>
      <c r="HJQ54" s="102"/>
      <c r="HJR54" s="102"/>
      <c r="HJS54" s="102"/>
      <c r="HJT54" s="102"/>
      <c r="HJU54" s="102"/>
      <c r="HJV54" s="102"/>
      <c r="HJW54" s="102"/>
      <c r="HJX54" s="102"/>
      <c r="HJY54" s="102"/>
      <c r="HJZ54" s="102"/>
      <c r="HKA54" s="102"/>
      <c r="HKB54" s="102"/>
      <c r="HKC54" s="102"/>
      <c r="HKD54" s="102"/>
      <c r="HKE54" s="102"/>
      <c r="HKF54" s="102"/>
      <c r="HKG54" s="102"/>
      <c r="HKH54" s="102"/>
      <c r="HKI54" s="102"/>
      <c r="HKJ54" s="102"/>
      <c r="HKK54" s="102"/>
      <c r="HKL54" s="102"/>
      <c r="HKM54" s="102"/>
      <c r="HKN54" s="102"/>
      <c r="HKO54" s="102"/>
      <c r="HKP54" s="102"/>
      <c r="HKQ54" s="102"/>
      <c r="HKR54" s="102"/>
      <c r="HKS54" s="102"/>
      <c r="HKT54" s="102"/>
      <c r="HKU54" s="102"/>
      <c r="HKV54" s="102"/>
      <c r="HKW54" s="102"/>
      <c r="HKX54" s="102"/>
      <c r="HKY54" s="102"/>
      <c r="HKZ54" s="102"/>
      <c r="HLA54" s="102"/>
      <c r="HLB54" s="102"/>
      <c r="HLC54" s="102"/>
      <c r="HLD54" s="102"/>
      <c r="HLE54" s="102"/>
      <c r="HLF54" s="102"/>
      <c r="HLG54" s="102"/>
      <c r="HLH54" s="102"/>
      <c r="HLI54" s="102"/>
      <c r="HLJ54" s="102"/>
      <c r="HLK54" s="102"/>
      <c r="HLL54" s="102"/>
      <c r="HLM54" s="102"/>
      <c r="HLN54" s="102"/>
      <c r="HLO54" s="102"/>
      <c r="HLP54" s="102"/>
      <c r="HLQ54" s="102"/>
      <c r="HLR54" s="102"/>
      <c r="HLS54" s="102"/>
      <c r="HLT54" s="102"/>
      <c r="HLU54" s="102"/>
      <c r="HLV54" s="102"/>
      <c r="HLW54" s="102"/>
      <c r="HLX54" s="102"/>
      <c r="HLY54" s="102"/>
      <c r="HLZ54" s="102"/>
      <c r="HMA54" s="102"/>
      <c r="HMB54" s="102"/>
      <c r="HMC54" s="102"/>
      <c r="HMD54" s="102"/>
      <c r="HME54" s="102"/>
      <c r="HMF54" s="102"/>
      <c r="HMG54" s="102"/>
      <c r="HMH54" s="102"/>
      <c r="HMI54" s="102"/>
      <c r="HMJ54" s="102"/>
      <c r="HMK54" s="102"/>
      <c r="HML54" s="102"/>
      <c r="HMM54" s="102"/>
      <c r="HMN54" s="102"/>
      <c r="HMO54" s="102"/>
      <c r="HMP54" s="102"/>
      <c r="HMQ54" s="102"/>
      <c r="HMR54" s="102"/>
      <c r="HMS54" s="102"/>
      <c r="HMT54" s="102"/>
      <c r="HMU54" s="102"/>
      <c r="HMV54" s="102"/>
      <c r="HMW54" s="102"/>
      <c r="HMX54" s="102"/>
      <c r="HMY54" s="102"/>
      <c r="HMZ54" s="102"/>
      <c r="HNA54" s="102"/>
      <c r="HNB54" s="102"/>
      <c r="HNC54" s="102"/>
      <c r="HND54" s="102"/>
      <c r="HNE54" s="102"/>
      <c r="HNF54" s="102"/>
      <c r="HNG54" s="102"/>
      <c r="HNH54" s="102"/>
      <c r="HNI54" s="102"/>
      <c r="HNJ54" s="102"/>
      <c r="HNK54" s="102"/>
      <c r="HNL54" s="102"/>
      <c r="HNM54" s="102"/>
      <c r="HNN54" s="102"/>
      <c r="HNO54" s="102"/>
      <c r="HNP54" s="102"/>
      <c r="HNQ54" s="102"/>
      <c r="HNR54" s="102"/>
      <c r="HNS54" s="102"/>
      <c r="HNT54" s="102"/>
      <c r="HNU54" s="102"/>
      <c r="HNV54" s="102"/>
      <c r="HNW54" s="102"/>
      <c r="HNX54" s="102"/>
      <c r="HNY54" s="102"/>
      <c r="HNZ54" s="102"/>
      <c r="HOA54" s="102"/>
      <c r="HOB54" s="102"/>
      <c r="HOC54" s="102"/>
      <c r="HOD54" s="102"/>
      <c r="HOE54" s="102"/>
      <c r="HOF54" s="102"/>
      <c r="HOG54" s="102"/>
      <c r="HOH54" s="102"/>
      <c r="HOI54" s="102"/>
      <c r="HOJ54" s="102"/>
      <c r="HOK54" s="102"/>
      <c r="HOL54" s="102"/>
      <c r="HOM54" s="102"/>
      <c r="HON54" s="102"/>
      <c r="HOO54" s="102"/>
      <c r="HOP54" s="102"/>
      <c r="HOQ54" s="102"/>
      <c r="HOR54" s="102"/>
      <c r="HOS54" s="102"/>
      <c r="HOT54" s="102"/>
      <c r="HOU54" s="102"/>
      <c r="HOV54" s="102"/>
      <c r="HOW54" s="102"/>
      <c r="HOX54" s="102"/>
      <c r="HOY54" s="102"/>
      <c r="HOZ54" s="102"/>
      <c r="HPA54" s="102"/>
      <c r="HPB54" s="102"/>
      <c r="HPC54" s="102"/>
      <c r="HPD54" s="102"/>
      <c r="HPE54" s="102"/>
      <c r="HPF54" s="102"/>
      <c r="HPG54" s="102"/>
      <c r="HPH54" s="102"/>
      <c r="HPI54" s="102"/>
      <c r="HPJ54" s="102"/>
      <c r="HPK54" s="102"/>
      <c r="HPL54" s="102"/>
      <c r="HPM54" s="102"/>
      <c r="HPN54" s="102"/>
      <c r="HPO54" s="102"/>
      <c r="HPP54" s="102"/>
      <c r="HPQ54" s="102"/>
      <c r="HPR54" s="102"/>
      <c r="HPS54" s="102"/>
      <c r="HPT54" s="102"/>
      <c r="HPU54" s="102"/>
      <c r="HPV54" s="102"/>
      <c r="HPW54" s="102"/>
      <c r="HPX54" s="102"/>
      <c r="HPY54" s="102"/>
      <c r="HPZ54" s="102"/>
      <c r="HQA54" s="102"/>
      <c r="HQB54" s="102"/>
      <c r="HQC54" s="102"/>
      <c r="HQD54" s="102"/>
      <c r="HQE54" s="102"/>
      <c r="HQF54" s="102"/>
      <c r="HQG54" s="102"/>
      <c r="HQH54" s="102"/>
      <c r="HQI54" s="102"/>
      <c r="HQJ54" s="102"/>
      <c r="HQK54" s="102"/>
      <c r="HQL54" s="102"/>
      <c r="HQM54" s="102"/>
      <c r="HQN54" s="102"/>
      <c r="HQO54" s="102"/>
      <c r="HQP54" s="102"/>
      <c r="HQQ54" s="102"/>
      <c r="HQR54" s="102"/>
      <c r="HQS54" s="102"/>
      <c r="HQT54" s="102"/>
      <c r="HQU54" s="102"/>
      <c r="HQV54" s="102"/>
      <c r="HQW54" s="102"/>
      <c r="HQX54" s="102"/>
      <c r="HQY54" s="102"/>
      <c r="HQZ54" s="102"/>
      <c r="HRA54" s="102"/>
      <c r="HRB54" s="102"/>
      <c r="HRC54" s="102"/>
      <c r="HRD54" s="102"/>
      <c r="HRE54" s="102"/>
      <c r="HRF54" s="102"/>
      <c r="HRG54" s="102"/>
      <c r="HRH54" s="102"/>
      <c r="HRI54" s="102"/>
      <c r="HRJ54" s="102"/>
      <c r="HRK54" s="102"/>
      <c r="HRL54" s="102"/>
      <c r="HRM54" s="102"/>
      <c r="HRN54" s="102"/>
      <c r="HRO54" s="102"/>
      <c r="HRP54" s="102"/>
      <c r="HRQ54" s="102"/>
      <c r="HRR54" s="102"/>
      <c r="HRS54" s="102"/>
      <c r="HRT54" s="102"/>
      <c r="HRU54" s="102"/>
      <c r="HRV54" s="102"/>
      <c r="HRW54" s="102"/>
      <c r="HRX54" s="102"/>
      <c r="HRY54" s="102"/>
      <c r="HRZ54" s="102"/>
      <c r="HSA54" s="102"/>
      <c r="HSB54" s="102"/>
      <c r="HSC54" s="102"/>
      <c r="HSD54" s="102"/>
      <c r="HSE54" s="102"/>
      <c r="HSF54" s="102"/>
      <c r="HSG54" s="102"/>
      <c r="HSH54" s="102"/>
      <c r="HSI54" s="102"/>
      <c r="HSJ54" s="102"/>
      <c r="HSK54" s="102"/>
      <c r="HSL54" s="102"/>
      <c r="HSM54" s="102"/>
      <c r="HSN54" s="102"/>
      <c r="HSO54" s="102"/>
      <c r="HSP54" s="102"/>
      <c r="HSQ54" s="102"/>
      <c r="HSR54" s="102"/>
      <c r="HSS54" s="102"/>
      <c r="HST54" s="102"/>
      <c r="HSU54" s="102"/>
      <c r="HSV54" s="102"/>
      <c r="HSW54" s="102"/>
      <c r="HSX54" s="102"/>
      <c r="HSY54" s="102"/>
      <c r="HSZ54" s="102"/>
      <c r="HTA54" s="102"/>
      <c r="HTB54" s="102"/>
      <c r="HTC54" s="102"/>
      <c r="HTD54" s="102"/>
      <c r="HTE54" s="102"/>
      <c r="HTF54" s="102"/>
      <c r="HTG54" s="102"/>
      <c r="HTH54" s="102"/>
      <c r="HTI54" s="102"/>
      <c r="HTJ54" s="102"/>
      <c r="HTK54" s="102"/>
      <c r="HTL54" s="102"/>
      <c r="HTM54" s="102"/>
      <c r="HTN54" s="102"/>
      <c r="HTO54" s="102"/>
      <c r="HTP54" s="102"/>
      <c r="HTQ54" s="102"/>
      <c r="HTR54" s="102"/>
      <c r="HTS54" s="102"/>
      <c r="HTT54" s="102"/>
      <c r="HTU54" s="102"/>
      <c r="HTV54" s="102"/>
      <c r="HTW54" s="102"/>
      <c r="HTX54" s="102"/>
      <c r="HTY54" s="102"/>
      <c r="HTZ54" s="102"/>
      <c r="HUA54" s="102"/>
      <c r="HUB54" s="102"/>
      <c r="HUC54" s="102"/>
      <c r="HUD54" s="102"/>
      <c r="HUE54" s="102"/>
      <c r="HUF54" s="102"/>
      <c r="HUG54" s="102"/>
      <c r="HUH54" s="102"/>
      <c r="HUI54" s="102"/>
      <c r="HUJ54" s="102"/>
      <c r="HUK54" s="102"/>
      <c r="HUL54" s="102"/>
      <c r="HUM54" s="102"/>
      <c r="HUN54" s="102"/>
      <c r="HUO54" s="102"/>
      <c r="HUP54" s="102"/>
      <c r="HUQ54" s="102"/>
      <c r="HUR54" s="102"/>
      <c r="HUS54" s="102"/>
      <c r="HUT54" s="102"/>
      <c r="HUU54" s="102"/>
      <c r="HUV54" s="102"/>
      <c r="HUW54" s="102"/>
      <c r="HUX54" s="102"/>
      <c r="HUY54" s="102"/>
      <c r="HUZ54" s="102"/>
      <c r="HVA54" s="102"/>
      <c r="HVB54" s="102"/>
      <c r="HVC54" s="102"/>
      <c r="HVD54" s="102"/>
      <c r="HVE54" s="102"/>
      <c r="HVF54" s="102"/>
      <c r="HVG54" s="102"/>
      <c r="HVH54" s="102"/>
      <c r="HVI54" s="102"/>
      <c r="HVJ54" s="102"/>
      <c r="HVK54" s="102"/>
      <c r="HVL54" s="102"/>
      <c r="HVM54" s="102"/>
      <c r="HVN54" s="102"/>
      <c r="HVO54" s="102"/>
      <c r="HVP54" s="102"/>
      <c r="HVQ54" s="102"/>
      <c r="HVR54" s="102"/>
      <c r="HVS54" s="102"/>
      <c r="HVT54" s="102"/>
      <c r="HVU54" s="102"/>
      <c r="HVV54" s="102"/>
      <c r="HVW54" s="102"/>
      <c r="HVX54" s="102"/>
      <c r="HVY54" s="102"/>
      <c r="HVZ54" s="102"/>
      <c r="HWA54" s="102"/>
      <c r="HWB54" s="102"/>
      <c r="HWC54" s="102"/>
      <c r="HWD54" s="102"/>
      <c r="HWE54" s="102"/>
      <c r="HWF54" s="102"/>
      <c r="HWG54" s="102"/>
      <c r="HWH54" s="102"/>
      <c r="HWI54" s="102"/>
      <c r="HWJ54" s="102"/>
      <c r="HWK54" s="102"/>
      <c r="HWL54" s="102"/>
      <c r="HWM54" s="102"/>
      <c r="HWN54" s="102"/>
      <c r="HWO54" s="102"/>
      <c r="HWP54" s="102"/>
      <c r="HWQ54" s="102"/>
      <c r="HWR54" s="102"/>
      <c r="HWS54" s="102"/>
      <c r="HWT54" s="102"/>
      <c r="HWU54" s="102"/>
      <c r="HWV54" s="102"/>
      <c r="HWW54" s="102"/>
      <c r="HWX54" s="102"/>
      <c r="HWY54" s="102"/>
      <c r="HWZ54" s="102"/>
      <c r="HXA54" s="102"/>
      <c r="HXB54" s="102"/>
      <c r="HXC54" s="102"/>
      <c r="HXD54" s="102"/>
      <c r="HXE54" s="102"/>
      <c r="HXF54" s="102"/>
      <c r="HXG54" s="102"/>
      <c r="HXH54" s="102"/>
      <c r="HXI54" s="102"/>
      <c r="HXJ54" s="102"/>
      <c r="HXK54" s="102"/>
      <c r="HXL54" s="102"/>
      <c r="HXM54" s="102"/>
      <c r="HXN54" s="102"/>
      <c r="HXO54" s="102"/>
      <c r="HXP54" s="102"/>
      <c r="HXQ54" s="102"/>
      <c r="HXR54" s="102"/>
      <c r="HXS54" s="102"/>
      <c r="HXT54" s="102"/>
      <c r="HXU54" s="102"/>
      <c r="HXV54" s="102"/>
      <c r="HXW54" s="102"/>
      <c r="HXX54" s="102"/>
      <c r="HXY54" s="102"/>
      <c r="HXZ54" s="102"/>
      <c r="HYA54" s="102"/>
      <c r="HYB54" s="102"/>
      <c r="HYC54" s="102"/>
      <c r="HYD54" s="102"/>
      <c r="HYE54" s="102"/>
      <c r="HYF54" s="102"/>
      <c r="HYG54" s="102"/>
      <c r="HYH54" s="102"/>
      <c r="HYI54" s="102"/>
      <c r="HYJ54" s="102"/>
      <c r="HYK54" s="102"/>
      <c r="HYL54" s="102"/>
      <c r="HYM54" s="102"/>
      <c r="HYN54" s="102"/>
      <c r="HYO54" s="102"/>
      <c r="HYP54" s="102"/>
      <c r="HYQ54" s="102"/>
      <c r="HYR54" s="102"/>
      <c r="HYS54" s="102"/>
      <c r="HYT54" s="102"/>
      <c r="HYU54" s="102"/>
      <c r="HYV54" s="102"/>
      <c r="HYW54" s="102"/>
      <c r="HYX54" s="102"/>
      <c r="HYY54" s="102"/>
      <c r="HYZ54" s="102"/>
      <c r="HZA54" s="102"/>
      <c r="HZB54" s="102"/>
      <c r="HZC54" s="102"/>
      <c r="HZD54" s="102"/>
      <c r="HZE54" s="102"/>
      <c r="HZF54" s="102"/>
      <c r="HZG54" s="102"/>
      <c r="HZH54" s="102"/>
      <c r="HZI54" s="102"/>
      <c r="HZJ54" s="102"/>
      <c r="HZK54" s="102"/>
      <c r="HZL54" s="102"/>
      <c r="HZM54" s="102"/>
      <c r="HZN54" s="102"/>
      <c r="HZO54" s="102"/>
      <c r="HZP54" s="102"/>
      <c r="HZQ54" s="102"/>
      <c r="HZR54" s="102"/>
      <c r="HZS54" s="102"/>
      <c r="HZT54" s="102"/>
      <c r="HZU54" s="102"/>
      <c r="HZV54" s="102"/>
      <c r="HZW54" s="102"/>
      <c r="HZX54" s="102"/>
      <c r="HZY54" s="102"/>
      <c r="HZZ54" s="102"/>
      <c r="IAA54" s="102"/>
      <c r="IAB54" s="102"/>
      <c r="IAC54" s="102"/>
      <c r="IAD54" s="102"/>
      <c r="IAE54" s="102"/>
      <c r="IAF54" s="102"/>
      <c r="IAG54" s="102"/>
      <c r="IAH54" s="102"/>
      <c r="IAI54" s="102"/>
      <c r="IAJ54" s="102"/>
      <c r="IAK54" s="102"/>
      <c r="IAL54" s="102"/>
      <c r="IAM54" s="102"/>
      <c r="IAN54" s="102"/>
      <c r="IAO54" s="102"/>
      <c r="IAP54" s="102"/>
      <c r="IAQ54" s="102"/>
      <c r="IAR54" s="102"/>
      <c r="IAS54" s="102"/>
      <c r="IAT54" s="102"/>
      <c r="IAU54" s="102"/>
      <c r="IAV54" s="102"/>
      <c r="IAW54" s="102"/>
      <c r="IAX54" s="102"/>
      <c r="IAY54" s="102"/>
      <c r="IAZ54" s="102"/>
      <c r="IBA54" s="102"/>
      <c r="IBB54" s="102"/>
      <c r="IBC54" s="102"/>
      <c r="IBD54" s="102"/>
      <c r="IBE54" s="102"/>
      <c r="IBF54" s="102"/>
      <c r="IBG54" s="102"/>
      <c r="IBH54" s="102"/>
      <c r="IBI54" s="102"/>
      <c r="IBJ54" s="102"/>
      <c r="IBK54" s="102"/>
      <c r="IBL54" s="102"/>
      <c r="IBM54" s="102"/>
      <c r="IBN54" s="102"/>
      <c r="IBO54" s="102"/>
      <c r="IBP54" s="102"/>
      <c r="IBQ54" s="102"/>
      <c r="IBR54" s="102"/>
      <c r="IBS54" s="102"/>
      <c r="IBT54" s="102"/>
      <c r="IBU54" s="102"/>
      <c r="IBV54" s="102"/>
      <c r="IBW54" s="102"/>
      <c r="IBX54" s="102"/>
      <c r="IBY54" s="102"/>
      <c r="IBZ54" s="102"/>
      <c r="ICA54" s="102"/>
      <c r="ICB54" s="102"/>
      <c r="ICC54" s="102"/>
      <c r="ICD54" s="102"/>
      <c r="ICE54" s="102"/>
      <c r="ICF54" s="102"/>
      <c r="ICG54" s="102"/>
      <c r="ICH54" s="102"/>
      <c r="ICI54" s="102"/>
      <c r="ICJ54" s="102"/>
      <c r="ICK54" s="102"/>
      <c r="ICL54" s="102"/>
      <c r="ICM54" s="102"/>
      <c r="ICN54" s="102"/>
      <c r="ICO54" s="102"/>
      <c r="ICP54" s="102"/>
      <c r="ICQ54" s="102"/>
      <c r="ICR54" s="102"/>
      <c r="ICS54" s="102"/>
      <c r="ICT54" s="102"/>
      <c r="ICU54" s="102"/>
      <c r="ICV54" s="102"/>
      <c r="ICW54" s="102"/>
      <c r="ICX54" s="102"/>
      <c r="ICY54" s="102"/>
      <c r="ICZ54" s="102"/>
      <c r="IDA54" s="102"/>
      <c r="IDB54" s="102"/>
      <c r="IDC54" s="102"/>
      <c r="IDD54" s="102"/>
      <c r="IDE54" s="102"/>
      <c r="IDF54" s="102"/>
      <c r="IDG54" s="102"/>
      <c r="IDH54" s="102"/>
      <c r="IDI54" s="102"/>
      <c r="IDJ54" s="102"/>
      <c r="IDK54" s="102"/>
      <c r="IDL54" s="102"/>
      <c r="IDM54" s="102"/>
      <c r="IDN54" s="102"/>
      <c r="IDO54" s="102"/>
      <c r="IDP54" s="102"/>
      <c r="IDQ54" s="102"/>
      <c r="IDR54" s="102"/>
      <c r="IDS54" s="102"/>
      <c r="IDT54" s="102"/>
      <c r="IDU54" s="102"/>
      <c r="IDV54" s="102"/>
      <c r="IDW54" s="102"/>
      <c r="IDX54" s="102"/>
      <c r="IDY54" s="102"/>
      <c r="IDZ54" s="102"/>
      <c r="IEA54" s="102"/>
      <c r="IEB54" s="102"/>
      <c r="IEC54" s="102"/>
      <c r="IED54" s="102"/>
      <c r="IEE54" s="102"/>
      <c r="IEF54" s="102"/>
      <c r="IEG54" s="102"/>
      <c r="IEH54" s="102"/>
      <c r="IEI54" s="102"/>
      <c r="IEJ54" s="102"/>
      <c r="IEK54" s="102"/>
      <c r="IEL54" s="102"/>
      <c r="IEM54" s="102"/>
      <c r="IEN54" s="102"/>
      <c r="IEO54" s="102"/>
      <c r="IEP54" s="102"/>
      <c r="IEQ54" s="102"/>
      <c r="IER54" s="102"/>
      <c r="IES54" s="102"/>
      <c r="IET54" s="102"/>
      <c r="IEU54" s="102"/>
      <c r="IEV54" s="102"/>
      <c r="IEW54" s="102"/>
      <c r="IEX54" s="102"/>
      <c r="IEY54" s="102"/>
      <c r="IEZ54" s="102"/>
      <c r="IFA54" s="102"/>
      <c r="IFB54" s="102"/>
      <c r="IFC54" s="102"/>
      <c r="IFD54" s="102"/>
      <c r="IFE54" s="102"/>
      <c r="IFF54" s="102"/>
      <c r="IFG54" s="102"/>
      <c r="IFH54" s="102"/>
      <c r="IFI54" s="102"/>
      <c r="IFJ54" s="102"/>
      <c r="IFK54" s="102"/>
      <c r="IFL54" s="102"/>
      <c r="IFM54" s="102"/>
      <c r="IFN54" s="102"/>
      <c r="IFO54" s="102"/>
      <c r="IFP54" s="102"/>
      <c r="IFQ54" s="102"/>
      <c r="IFR54" s="102"/>
      <c r="IFS54" s="102"/>
      <c r="IFT54" s="102"/>
      <c r="IFU54" s="102"/>
      <c r="IFV54" s="102"/>
      <c r="IFW54" s="102"/>
      <c r="IFX54" s="102"/>
      <c r="IFY54" s="102"/>
      <c r="IFZ54" s="102"/>
      <c r="IGA54" s="102"/>
      <c r="IGB54" s="102"/>
      <c r="IGC54" s="102"/>
      <c r="IGD54" s="102"/>
      <c r="IGE54" s="102"/>
      <c r="IGF54" s="102"/>
      <c r="IGG54" s="102"/>
      <c r="IGH54" s="102"/>
      <c r="IGI54" s="102"/>
      <c r="IGJ54" s="102"/>
      <c r="IGK54" s="102"/>
      <c r="IGL54" s="102"/>
      <c r="IGM54" s="102"/>
      <c r="IGN54" s="102"/>
      <c r="IGO54" s="102"/>
      <c r="IGP54" s="102"/>
      <c r="IGQ54" s="102"/>
      <c r="IGR54" s="102"/>
      <c r="IGS54" s="102"/>
      <c r="IGT54" s="102"/>
      <c r="IGU54" s="102"/>
      <c r="IGV54" s="102"/>
      <c r="IGW54" s="102"/>
      <c r="IGX54" s="102"/>
      <c r="IGY54" s="102"/>
      <c r="IGZ54" s="102"/>
      <c r="IHA54" s="102"/>
      <c r="IHB54" s="102"/>
      <c r="IHC54" s="102"/>
      <c r="IHD54" s="102"/>
      <c r="IHE54" s="102"/>
      <c r="IHF54" s="102"/>
      <c r="IHG54" s="102"/>
      <c r="IHH54" s="102"/>
      <c r="IHI54" s="102"/>
      <c r="IHJ54" s="102"/>
      <c r="IHK54" s="102"/>
      <c r="IHL54" s="102"/>
      <c r="IHM54" s="102"/>
      <c r="IHN54" s="102"/>
      <c r="IHO54" s="102"/>
      <c r="IHP54" s="102"/>
      <c r="IHQ54" s="102"/>
      <c r="IHR54" s="102"/>
      <c r="IHS54" s="102"/>
      <c r="IHT54" s="102"/>
      <c r="IHU54" s="102"/>
      <c r="IHV54" s="102"/>
      <c r="IHW54" s="102"/>
      <c r="IHX54" s="102"/>
      <c r="IHY54" s="102"/>
      <c r="IHZ54" s="102"/>
      <c r="IIA54" s="102"/>
      <c r="IIB54" s="102"/>
      <c r="IIC54" s="102"/>
      <c r="IID54" s="102"/>
      <c r="IIE54" s="102"/>
      <c r="IIF54" s="102"/>
      <c r="IIG54" s="102"/>
      <c r="IIH54" s="102"/>
      <c r="III54" s="102"/>
      <c r="IIJ54" s="102"/>
      <c r="IIK54" s="102"/>
      <c r="IIL54" s="102"/>
      <c r="IIM54" s="102"/>
      <c r="IIN54" s="102"/>
      <c r="IIO54" s="102"/>
      <c r="IIP54" s="102"/>
      <c r="IIQ54" s="102"/>
      <c r="IIR54" s="102"/>
      <c r="IIS54" s="102"/>
      <c r="IIT54" s="102"/>
      <c r="IIU54" s="102"/>
      <c r="IIV54" s="102"/>
      <c r="IIW54" s="102"/>
      <c r="IIX54" s="102"/>
      <c r="IIY54" s="102"/>
      <c r="IIZ54" s="102"/>
      <c r="IJA54" s="102"/>
      <c r="IJB54" s="102"/>
      <c r="IJC54" s="102"/>
      <c r="IJD54" s="102"/>
      <c r="IJE54" s="102"/>
      <c r="IJF54" s="102"/>
      <c r="IJG54" s="102"/>
      <c r="IJH54" s="102"/>
      <c r="IJI54" s="102"/>
      <c r="IJJ54" s="102"/>
      <c r="IJK54" s="102"/>
      <c r="IJL54" s="102"/>
      <c r="IJM54" s="102"/>
      <c r="IJN54" s="102"/>
      <c r="IJO54" s="102"/>
      <c r="IJP54" s="102"/>
      <c r="IJQ54" s="102"/>
      <c r="IJR54" s="102"/>
      <c r="IJS54" s="102"/>
      <c r="IJT54" s="102"/>
      <c r="IJU54" s="102"/>
      <c r="IJV54" s="102"/>
      <c r="IJW54" s="102"/>
      <c r="IJX54" s="102"/>
      <c r="IJY54" s="102"/>
      <c r="IJZ54" s="102"/>
      <c r="IKA54" s="102"/>
      <c r="IKB54" s="102"/>
      <c r="IKC54" s="102"/>
      <c r="IKD54" s="102"/>
      <c r="IKE54" s="102"/>
      <c r="IKF54" s="102"/>
      <c r="IKG54" s="102"/>
      <c r="IKH54" s="102"/>
      <c r="IKI54" s="102"/>
      <c r="IKJ54" s="102"/>
      <c r="IKK54" s="102"/>
      <c r="IKL54" s="102"/>
      <c r="IKM54" s="102"/>
      <c r="IKN54" s="102"/>
      <c r="IKO54" s="102"/>
      <c r="IKP54" s="102"/>
      <c r="IKQ54" s="102"/>
      <c r="IKR54" s="102"/>
      <c r="IKS54" s="102"/>
      <c r="IKT54" s="102"/>
      <c r="IKU54" s="102"/>
      <c r="IKV54" s="102"/>
      <c r="IKW54" s="102"/>
      <c r="IKX54" s="102"/>
      <c r="IKY54" s="102"/>
      <c r="IKZ54" s="102"/>
      <c r="ILA54" s="102"/>
      <c r="ILB54" s="102"/>
      <c r="ILC54" s="102"/>
      <c r="ILD54" s="102"/>
      <c r="ILE54" s="102"/>
      <c r="ILF54" s="102"/>
      <c r="ILG54" s="102"/>
      <c r="ILH54" s="102"/>
      <c r="ILI54" s="102"/>
      <c r="ILJ54" s="102"/>
      <c r="ILK54" s="102"/>
      <c r="ILL54" s="102"/>
      <c r="ILM54" s="102"/>
      <c r="ILN54" s="102"/>
      <c r="ILO54" s="102"/>
      <c r="ILP54" s="102"/>
      <c r="ILQ54" s="102"/>
      <c r="ILR54" s="102"/>
      <c r="ILS54" s="102"/>
      <c r="ILT54" s="102"/>
      <c r="ILU54" s="102"/>
      <c r="ILV54" s="102"/>
      <c r="ILW54" s="102"/>
      <c r="ILX54" s="102"/>
      <c r="ILY54" s="102"/>
      <c r="ILZ54" s="102"/>
      <c r="IMA54" s="102"/>
      <c r="IMB54" s="102"/>
      <c r="IMC54" s="102"/>
      <c r="IMD54" s="102"/>
      <c r="IME54" s="102"/>
      <c r="IMF54" s="102"/>
      <c r="IMG54" s="102"/>
      <c r="IMH54" s="102"/>
      <c r="IMI54" s="102"/>
      <c r="IMJ54" s="102"/>
      <c r="IMK54" s="102"/>
      <c r="IML54" s="102"/>
      <c r="IMM54" s="102"/>
      <c r="IMN54" s="102"/>
      <c r="IMO54" s="102"/>
      <c r="IMP54" s="102"/>
      <c r="IMQ54" s="102"/>
      <c r="IMR54" s="102"/>
      <c r="IMS54" s="102"/>
      <c r="IMT54" s="102"/>
      <c r="IMU54" s="102"/>
      <c r="IMV54" s="102"/>
      <c r="IMW54" s="102"/>
      <c r="IMX54" s="102"/>
      <c r="IMY54" s="102"/>
      <c r="IMZ54" s="102"/>
      <c r="INA54" s="102"/>
      <c r="INB54" s="102"/>
      <c r="INC54" s="102"/>
      <c r="IND54" s="102"/>
      <c r="INE54" s="102"/>
      <c r="INF54" s="102"/>
      <c r="ING54" s="102"/>
      <c r="INH54" s="102"/>
      <c r="INI54" s="102"/>
      <c r="INJ54" s="102"/>
      <c r="INK54" s="102"/>
      <c r="INL54" s="102"/>
      <c r="INM54" s="102"/>
      <c r="INN54" s="102"/>
      <c r="INO54" s="102"/>
      <c r="INP54" s="102"/>
      <c r="INQ54" s="102"/>
      <c r="INR54" s="102"/>
      <c r="INS54" s="102"/>
      <c r="INT54" s="102"/>
      <c r="INU54" s="102"/>
      <c r="INV54" s="102"/>
      <c r="INW54" s="102"/>
      <c r="INX54" s="102"/>
      <c r="INY54" s="102"/>
      <c r="INZ54" s="102"/>
      <c r="IOA54" s="102"/>
      <c r="IOB54" s="102"/>
      <c r="IOC54" s="102"/>
      <c r="IOD54" s="102"/>
      <c r="IOE54" s="102"/>
      <c r="IOF54" s="102"/>
      <c r="IOG54" s="102"/>
      <c r="IOH54" s="102"/>
      <c r="IOI54" s="102"/>
      <c r="IOJ54" s="102"/>
      <c r="IOK54" s="102"/>
      <c r="IOL54" s="102"/>
      <c r="IOM54" s="102"/>
      <c r="ION54" s="102"/>
      <c r="IOO54" s="102"/>
      <c r="IOP54" s="102"/>
      <c r="IOQ54" s="102"/>
      <c r="IOR54" s="102"/>
      <c r="IOS54" s="102"/>
      <c r="IOT54" s="102"/>
      <c r="IOU54" s="102"/>
      <c r="IOV54" s="102"/>
      <c r="IOW54" s="102"/>
      <c r="IOX54" s="102"/>
      <c r="IOY54" s="102"/>
      <c r="IOZ54" s="102"/>
      <c r="IPA54" s="102"/>
      <c r="IPB54" s="102"/>
      <c r="IPC54" s="102"/>
      <c r="IPD54" s="102"/>
      <c r="IPE54" s="102"/>
      <c r="IPF54" s="102"/>
      <c r="IPG54" s="102"/>
      <c r="IPH54" s="102"/>
      <c r="IPI54" s="102"/>
      <c r="IPJ54" s="102"/>
      <c r="IPK54" s="102"/>
      <c r="IPL54" s="102"/>
      <c r="IPM54" s="102"/>
      <c r="IPN54" s="102"/>
      <c r="IPO54" s="102"/>
      <c r="IPP54" s="102"/>
      <c r="IPQ54" s="102"/>
      <c r="IPR54" s="102"/>
      <c r="IPS54" s="102"/>
      <c r="IPT54" s="102"/>
      <c r="IPU54" s="102"/>
      <c r="IPV54" s="102"/>
      <c r="IPW54" s="102"/>
      <c r="IPX54" s="102"/>
      <c r="IPY54" s="102"/>
      <c r="IPZ54" s="102"/>
      <c r="IQA54" s="102"/>
      <c r="IQB54" s="102"/>
      <c r="IQC54" s="102"/>
      <c r="IQD54" s="102"/>
      <c r="IQE54" s="102"/>
      <c r="IQF54" s="102"/>
      <c r="IQG54" s="102"/>
      <c r="IQH54" s="102"/>
      <c r="IQI54" s="102"/>
      <c r="IQJ54" s="102"/>
      <c r="IQK54" s="102"/>
      <c r="IQL54" s="102"/>
      <c r="IQM54" s="102"/>
      <c r="IQN54" s="102"/>
      <c r="IQO54" s="102"/>
      <c r="IQP54" s="102"/>
      <c r="IQQ54" s="102"/>
      <c r="IQR54" s="102"/>
      <c r="IQS54" s="102"/>
      <c r="IQT54" s="102"/>
      <c r="IQU54" s="102"/>
      <c r="IQV54" s="102"/>
      <c r="IQW54" s="102"/>
      <c r="IQX54" s="102"/>
      <c r="IQY54" s="102"/>
      <c r="IQZ54" s="102"/>
      <c r="IRA54" s="102"/>
      <c r="IRB54" s="102"/>
      <c r="IRC54" s="102"/>
      <c r="IRD54" s="102"/>
      <c r="IRE54" s="102"/>
      <c r="IRF54" s="102"/>
      <c r="IRG54" s="102"/>
      <c r="IRH54" s="102"/>
      <c r="IRI54" s="102"/>
      <c r="IRJ54" s="102"/>
      <c r="IRK54" s="102"/>
      <c r="IRL54" s="102"/>
      <c r="IRM54" s="102"/>
      <c r="IRN54" s="102"/>
      <c r="IRO54" s="102"/>
      <c r="IRP54" s="102"/>
      <c r="IRQ54" s="102"/>
      <c r="IRR54" s="102"/>
      <c r="IRS54" s="102"/>
      <c r="IRT54" s="102"/>
      <c r="IRU54" s="102"/>
      <c r="IRV54" s="102"/>
      <c r="IRW54" s="102"/>
      <c r="IRX54" s="102"/>
      <c r="IRY54" s="102"/>
      <c r="IRZ54" s="102"/>
      <c r="ISA54" s="102"/>
      <c r="ISB54" s="102"/>
      <c r="ISC54" s="102"/>
      <c r="ISD54" s="102"/>
      <c r="ISE54" s="102"/>
      <c r="ISF54" s="102"/>
      <c r="ISG54" s="102"/>
      <c r="ISH54" s="102"/>
      <c r="ISI54" s="102"/>
      <c r="ISJ54" s="102"/>
      <c r="ISK54" s="102"/>
      <c r="ISL54" s="102"/>
      <c r="ISM54" s="102"/>
      <c r="ISN54" s="102"/>
      <c r="ISO54" s="102"/>
      <c r="ISP54" s="102"/>
      <c r="ISQ54" s="102"/>
      <c r="ISR54" s="102"/>
      <c r="ISS54" s="102"/>
      <c r="IST54" s="102"/>
      <c r="ISU54" s="102"/>
      <c r="ISV54" s="102"/>
      <c r="ISW54" s="102"/>
      <c r="ISX54" s="102"/>
      <c r="ISY54" s="102"/>
      <c r="ISZ54" s="102"/>
      <c r="ITA54" s="102"/>
      <c r="ITB54" s="102"/>
      <c r="ITC54" s="102"/>
      <c r="ITD54" s="102"/>
      <c r="ITE54" s="102"/>
      <c r="ITF54" s="102"/>
      <c r="ITG54" s="102"/>
      <c r="ITH54" s="102"/>
      <c r="ITI54" s="102"/>
      <c r="ITJ54" s="102"/>
      <c r="ITK54" s="102"/>
      <c r="ITL54" s="102"/>
      <c r="ITM54" s="102"/>
      <c r="ITN54" s="102"/>
      <c r="ITO54" s="102"/>
      <c r="ITP54" s="102"/>
      <c r="ITQ54" s="102"/>
      <c r="ITR54" s="102"/>
      <c r="ITS54" s="102"/>
      <c r="ITT54" s="102"/>
      <c r="ITU54" s="102"/>
      <c r="ITV54" s="102"/>
      <c r="ITW54" s="102"/>
      <c r="ITX54" s="102"/>
      <c r="ITY54" s="102"/>
      <c r="ITZ54" s="102"/>
      <c r="IUA54" s="102"/>
      <c r="IUB54" s="102"/>
      <c r="IUC54" s="102"/>
      <c r="IUD54" s="102"/>
      <c r="IUE54" s="102"/>
      <c r="IUF54" s="102"/>
      <c r="IUG54" s="102"/>
      <c r="IUH54" s="102"/>
      <c r="IUI54" s="102"/>
      <c r="IUJ54" s="102"/>
      <c r="IUK54" s="102"/>
      <c r="IUL54" s="102"/>
      <c r="IUM54" s="102"/>
      <c r="IUN54" s="102"/>
      <c r="IUO54" s="102"/>
      <c r="IUP54" s="102"/>
      <c r="IUQ54" s="102"/>
      <c r="IUR54" s="102"/>
      <c r="IUS54" s="102"/>
      <c r="IUT54" s="102"/>
      <c r="IUU54" s="102"/>
      <c r="IUV54" s="102"/>
      <c r="IUW54" s="102"/>
      <c r="IUX54" s="102"/>
      <c r="IUY54" s="102"/>
      <c r="IUZ54" s="102"/>
      <c r="IVA54" s="102"/>
      <c r="IVB54" s="102"/>
      <c r="IVC54" s="102"/>
      <c r="IVD54" s="102"/>
      <c r="IVE54" s="102"/>
      <c r="IVF54" s="102"/>
      <c r="IVG54" s="102"/>
      <c r="IVH54" s="102"/>
      <c r="IVI54" s="102"/>
      <c r="IVJ54" s="102"/>
      <c r="IVK54" s="102"/>
      <c r="IVL54" s="102"/>
      <c r="IVM54" s="102"/>
      <c r="IVN54" s="102"/>
      <c r="IVO54" s="102"/>
      <c r="IVP54" s="102"/>
      <c r="IVQ54" s="102"/>
      <c r="IVR54" s="102"/>
      <c r="IVS54" s="102"/>
      <c r="IVT54" s="102"/>
      <c r="IVU54" s="102"/>
      <c r="IVV54" s="102"/>
      <c r="IVW54" s="102"/>
      <c r="IVX54" s="102"/>
      <c r="IVY54" s="102"/>
      <c r="IVZ54" s="102"/>
      <c r="IWA54" s="102"/>
      <c r="IWB54" s="102"/>
      <c r="IWC54" s="102"/>
      <c r="IWD54" s="102"/>
      <c r="IWE54" s="102"/>
      <c r="IWF54" s="102"/>
      <c r="IWG54" s="102"/>
      <c r="IWH54" s="102"/>
      <c r="IWI54" s="102"/>
      <c r="IWJ54" s="102"/>
      <c r="IWK54" s="102"/>
      <c r="IWL54" s="102"/>
      <c r="IWM54" s="102"/>
      <c r="IWN54" s="102"/>
      <c r="IWO54" s="102"/>
      <c r="IWP54" s="102"/>
      <c r="IWQ54" s="102"/>
      <c r="IWR54" s="102"/>
      <c r="IWS54" s="102"/>
      <c r="IWT54" s="102"/>
      <c r="IWU54" s="102"/>
      <c r="IWV54" s="102"/>
      <c r="IWW54" s="102"/>
      <c r="IWX54" s="102"/>
      <c r="IWY54" s="102"/>
      <c r="IWZ54" s="102"/>
      <c r="IXA54" s="102"/>
      <c r="IXB54" s="102"/>
      <c r="IXC54" s="102"/>
      <c r="IXD54" s="102"/>
      <c r="IXE54" s="102"/>
      <c r="IXF54" s="102"/>
      <c r="IXG54" s="102"/>
      <c r="IXH54" s="102"/>
      <c r="IXI54" s="102"/>
      <c r="IXJ54" s="102"/>
      <c r="IXK54" s="102"/>
      <c r="IXL54" s="102"/>
      <c r="IXM54" s="102"/>
      <c r="IXN54" s="102"/>
      <c r="IXO54" s="102"/>
      <c r="IXP54" s="102"/>
      <c r="IXQ54" s="102"/>
      <c r="IXR54" s="102"/>
      <c r="IXS54" s="102"/>
      <c r="IXT54" s="102"/>
      <c r="IXU54" s="102"/>
      <c r="IXV54" s="102"/>
      <c r="IXW54" s="102"/>
      <c r="IXX54" s="102"/>
      <c r="IXY54" s="102"/>
      <c r="IXZ54" s="102"/>
      <c r="IYA54" s="102"/>
      <c r="IYB54" s="102"/>
      <c r="IYC54" s="102"/>
      <c r="IYD54" s="102"/>
      <c r="IYE54" s="102"/>
      <c r="IYF54" s="102"/>
      <c r="IYG54" s="102"/>
      <c r="IYH54" s="102"/>
      <c r="IYI54" s="102"/>
      <c r="IYJ54" s="102"/>
      <c r="IYK54" s="102"/>
      <c r="IYL54" s="102"/>
      <c r="IYM54" s="102"/>
      <c r="IYN54" s="102"/>
      <c r="IYO54" s="102"/>
      <c r="IYP54" s="102"/>
      <c r="IYQ54" s="102"/>
      <c r="IYR54" s="102"/>
      <c r="IYS54" s="102"/>
      <c r="IYT54" s="102"/>
      <c r="IYU54" s="102"/>
      <c r="IYV54" s="102"/>
      <c r="IYW54" s="102"/>
      <c r="IYX54" s="102"/>
      <c r="IYY54" s="102"/>
      <c r="IYZ54" s="102"/>
      <c r="IZA54" s="102"/>
      <c r="IZB54" s="102"/>
      <c r="IZC54" s="102"/>
      <c r="IZD54" s="102"/>
      <c r="IZE54" s="102"/>
      <c r="IZF54" s="102"/>
      <c r="IZG54" s="102"/>
      <c r="IZH54" s="102"/>
      <c r="IZI54" s="102"/>
      <c r="IZJ54" s="102"/>
      <c r="IZK54" s="102"/>
      <c r="IZL54" s="102"/>
      <c r="IZM54" s="102"/>
      <c r="IZN54" s="102"/>
      <c r="IZO54" s="102"/>
      <c r="IZP54" s="102"/>
      <c r="IZQ54" s="102"/>
      <c r="IZR54" s="102"/>
      <c r="IZS54" s="102"/>
      <c r="IZT54" s="102"/>
      <c r="IZU54" s="102"/>
      <c r="IZV54" s="102"/>
      <c r="IZW54" s="102"/>
      <c r="IZX54" s="102"/>
      <c r="IZY54" s="102"/>
      <c r="IZZ54" s="102"/>
      <c r="JAA54" s="102"/>
      <c r="JAB54" s="102"/>
      <c r="JAC54" s="102"/>
      <c r="JAD54" s="102"/>
      <c r="JAE54" s="102"/>
      <c r="JAF54" s="102"/>
      <c r="JAG54" s="102"/>
      <c r="JAH54" s="102"/>
      <c r="JAI54" s="102"/>
      <c r="JAJ54" s="102"/>
      <c r="JAK54" s="102"/>
      <c r="JAL54" s="102"/>
      <c r="JAM54" s="102"/>
      <c r="JAN54" s="102"/>
      <c r="JAO54" s="102"/>
      <c r="JAP54" s="102"/>
      <c r="JAQ54" s="102"/>
      <c r="JAR54" s="102"/>
      <c r="JAS54" s="102"/>
      <c r="JAT54" s="102"/>
      <c r="JAU54" s="102"/>
      <c r="JAV54" s="102"/>
      <c r="JAW54" s="102"/>
      <c r="JAX54" s="102"/>
      <c r="JAY54" s="102"/>
      <c r="JAZ54" s="102"/>
      <c r="JBA54" s="102"/>
      <c r="JBB54" s="102"/>
      <c r="JBC54" s="102"/>
      <c r="JBD54" s="102"/>
      <c r="JBE54" s="102"/>
      <c r="JBF54" s="102"/>
      <c r="JBG54" s="102"/>
      <c r="JBH54" s="102"/>
      <c r="JBI54" s="102"/>
      <c r="JBJ54" s="102"/>
      <c r="JBK54" s="102"/>
      <c r="JBL54" s="102"/>
      <c r="JBM54" s="102"/>
      <c r="JBN54" s="102"/>
      <c r="JBO54" s="102"/>
      <c r="JBP54" s="102"/>
      <c r="JBQ54" s="102"/>
      <c r="JBR54" s="102"/>
      <c r="JBS54" s="102"/>
      <c r="JBT54" s="102"/>
      <c r="JBU54" s="102"/>
      <c r="JBV54" s="102"/>
      <c r="JBW54" s="102"/>
      <c r="JBX54" s="102"/>
      <c r="JBY54" s="102"/>
      <c r="JBZ54" s="102"/>
      <c r="JCA54" s="102"/>
      <c r="JCB54" s="102"/>
      <c r="JCC54" s="102"/>
      <c r="JCD54" s="102"/>
      <c r="JCE54" s="102"/>
      <c r="JCF54" s="102"/>
      <c r="JCG54" s="102"/>
      <c r="JCH54" s="102"/>
      <c r="JCI54" s="102"/>
      <c r="JCJ54" s="102"/>
      <c r="JCK54" s="102"/>
      <c r="JCL54" s="102"/>
      <c r="JCM54" s="102"/>
      <c r="JCN54" s="102"/>
      <c r="JCO54" s="102"/>
      <c r="JCP54" s="102"/>
      <c r="JCQ54" s="102"/>
      <c r="JCR54" s="102"/>
      <c r="JCS54" s="102"/>
      <c r="JCT54" s="102"/>
      <c r="JCU54" s="102"/>
      <c r="JCV54" s="102"/>
      <c r="JCW54" s="102"/>
      <c r="JCX54" s="102"/>
      <c r="JCY54" s="102"/>
      <c r="JCZ54" s="102"/>
      <c r="JDA54" s="102"/>
      <c r="JDB54" s="102"/>
      <c r="JDC54" s="102"/>
      <c r="JDD54" s="102"/>
      <c r="JDE54" s="102"/>
      <c r="JDF54" s="102"/>
      <c r="JDG54" s="102"/>
      <c r="JDH54" s="102"/>
      <c r="JDI54" s="102"/>
      <c r="JDJ54" s="102"/>
      <c r="JDK54" s="102"/>
      <c r="JDL54" s="102"/>
      <c r="JDM54" s="102"/>
      <c r="JDN54" s="102"/>
      <c r="JDO54" s="102"/>
      <c r="JDP54" s="102"/>
      <c r="JDQ54" s="102"/>
      <c r="JDR54" s="102"/>
      <c r="JDS54" s="102"/>
      <c r="JDT54" s="102"/>
      <c r="JDU54" s="102"/>
      <c r="JDV54" s="102"/>
      <c r="JDW54" s="102"/>
      <c r="JDX54" s="102"/>
      <c r="JDY54" s="102"/>
      <c r="JDZ54" s="102"/>
      <c r="JEA54" s="102"/>
      <c r="JEB54" s="102"/>
      <c r="JEC54" s="102"/>
      <c r="JED54" s="102"/>
      <c r="JEE54" s="102"/>
      <c r="JEF54" s="102"/>
      <c r="JEG54" s="102"/>
      <c r="JEH54" s="102"/>
      <c r="JEI54" s="102"/>
      <c r="JEJ54" s="102"/>
      <c r="JEK54" s="102"/>
      <c r="JEL54" s="102"/>
      <c r="JEM54" s="102"/>
      <c r="JEN54" s="102"/>
      <c r="JEO54" s="102"/>
      <c r="JEP54" s="102"/>
      <c r="JEQ54" s="102"/>
      <c r="JER54" s="102"/>
      <c r="JES54" s="102"/>
      <c r="JET54" s="102"/>
      <c r="JEU54" s="102"/>
      <c r="JEV54" s="102"/>
      <c r="JEW54" s="102"/>
      <c r="JEX54" s="102"/>
      <c r="JEY54" s="102"/>
      <c r="JEZ54" s="102"/>
      <c r="JFA54" s="102"/>
      <c r="JFB54" s="102"/>
      <c r="JFC54" s="102"/>
      <c r="JFD54" s="102"/>
      <c r="JFE54" s="102"/>
      <c r="JFF54" s="102"/>
      <c r="JFG54" s="102"/>
      <c r="JFH54" s="102"/>
      <c r="JFI54" s="102"/>
      <c r="JFJ54" s="102"/>
      <c r="JFK54" s="102"/>
      <c r="JFL54" s="102"/>
      <c r="JFM54" s="102"/>
      <c r="JFN54" s="102"/>
      <c r="JFO54" s="102"/>
      <c r="JFP54" s="102"/>
      <c r="JFQ54" s="102"/>
      <c r="JFR54" s="102"/>
      <c r="JFS54" s="102"/>
      <c r="JFT54" s="102"/>
      <c r="JFU54" s="102"/>
      <c r="JFV54" s="102"/>
      <c r="JFW54" s="102"/>
      <c r="JFX54" s="102"/>
      <c r="JFY54" s="102"/>
      <c r="JFZ54" s="102"/>
      <c r="JGA54" s="102"/>
      <c r="JGB54" s="102"/>
      <c r="JGC54" s="102"/>
      <c r="JGD54" s="102"/>
      <c r="JGE54" s="102"/>
      <c r="JGF54" s="102"/>
      <c r="JGG54" s="102"/>
      <c r="JGH54" s="102"/>
      <c r="JGI54" s="102"/>
      <c r="JGJ54" s="102"/>
      <c r="JGK54" s="102"/>
      <c r="JGL54" s="102"/>
      <c r="JGM54" s="102"/>
      <c r="JGN54" s="102"/>
      <c r="JGO54" s="102"/>
      <c r="JGP54" s="102"/>
      <c r="JGQ54" s="102"/>
      <c r="JGR54" s="102"/>
      <c r="JGS54" s="102"/>
      <c r="JGT54" s="102"/>
      <c r="JGU54" s="102"/>
      <c r="JGV54" s="102"/>
      <c r="JGW54" s="102"/>
      <c r="JGX54" s="102"/>
      <c r="JGY54" s="102"/>
      <c r="JGZ54" s="102"/>
      <c r="JHA54" s="102"/>
      <c r="JHB54" s="102"/>
      <c r="JHC54" s="102"/>
      <c r="JHD54" s="102"/>
      <c r="JHE54" s="102"/>
      <c r="JHF54" s="102"/>
      <c r="JHG54" s="102"/>
      <c r="JHH54" s="102"/>
      <c r="JHI54" s="102"/>
      <c r="JHJ54" s="102"/>
      <c r="JHK54" s="102"/>
      <c r="JHL54" s="102"/>
      <c r="JHM54" s="102"/>
      <c r="JHN54" s="102"/>
      <c r="JHO54" s="102"/>
      <c r="JHP54" s="102"/>
      <c r="JHQ54" s="102"/>
      <c r="JHR54" s="102"/>
      <c r="JHS54" s="102"/>
      <c r="JHT54" s="102"/>
      <c r="JHU54" s="102"/>
      <c r="JHV54" s="102"/>
      <c r="JHW54" s="102"/>
      <c r="JHX54" s="102"/>
      <c r="JHY54" s="102"/>
      <c r="JHZ54" s="102"/>
      <c r="JIA54" s="102"/>
      <c r="JIB54" s="102"/>
      <c r="JIC54" s="102"/>
      <c r="JID54" s="102"/>
      <c r="JIE54" s="102"/>
      <c r="JIF54" s="102"/>
      <c r="JIG54" s="102"/>
      <c r="JIH54" s="102"/>
      <c r="JII54" s="102"/>
      <c r="JIJ54" s="102"/>
      <c r="JIK54" s="102"/>
      <c r="JIL54" s="102"/>
      <c r="JIM54" s="102"/>
      <c r="JIN54" s="102"/>
      <c r="JIO54" s="102"/>
      <c r="JIP54" s="102"/>
      <c r="JIQ54" s="102"/>
      <c r="JIR54" s="102"/>
      <c r="JIS54" s="102"/>
      <c r="JIT54" s="102"/>
      <c r="JIU54" s="102"/>
      <c r="JIV54" s="102"/>
      <c r="JIW54" s="102"/>
      <c r="JIX54" s="102"/>
      <c r="JIY54" s="102"/>
      <c r="JIZ54" s="102"/>
      <c r="JJA54" s="102"/>
      <c r="JJB54" s="102"/>
      <c r="JJC54" s="102"/>
      <c r="JJD54" s="102"/>
      <c r="JJE54" s="102"/>
      <c r="JJF54" s="102"/>
      <c r="JJG54" s="102"/>
      <c r="JJH54" s="102"/>
      <c r="JJI54" s="102"/>
      <c r="JJJ54" s="102"/>
      <c r="JJK54" s="102"/>
      <c r="JJL54" s="102"/>
      <c r="JJM54" s="102"/>
      <c r="JJN54" s="102"/>
      <c r="JJO54" s="102"/>
      <c r="JJP54" s="102"/>
      <c r="JJQ54" s="102"/>
      <c r="JJR54" s="102"/>
      <c r="JJS54" s="102"/>
      <c r="JJT54" s="102"/>
      <c r="JJU54" s="102"/>
      <c r="JJV54" s="102"/>
      <c r="JJW54" s="102"/>
      <c r="JJX54" s="102"/>
      <c r="JJY54" s="102"/>
      <c r="JJZ54" s="102"/>
      <c r="JKA54" s="102"/>
      <c r="JKB54" s="102"/>
      <c r="JKC54" s="102"/>
      <c r="JKD54" s="102"/>
      <c r="JKE54" s="102"/>
      <c r="JKF54" s="102"/>
      <c r="JKG54" s="102"/>
      <c r="JKH54" s="102"/>
      <c r="JKI54" s="102"/>
      <c r="JKJ54" s="102"/>
      <c r="JKK54" s="102"/>
      <c r="JKL54" s="102"/>
      <c r="JKM54" s="102"/>
      <c r="JKN54" s="102"/>
      <c r="JKO54" s="102"/>
      <c r="JKP54" s="102"/>
      <c r="JKQ54" s="102"/>
      <c r="JKR54" s="102"/>
      <c r="JKS54" s="102"/>
      <c r="JKT54" s="102"/>
      <c r="JKU54" s="102"/>
      <c r="JKV54" s="102"/>
      <c r="JKW54" s="102"/>
      <c r="JKX54" s="102"/>
      <c r="JKY54" s="102"/>
      <c r="JKZ54" s="102"/>
      <c r="JLA54" s="102"/>
      <c r="JLB54" s="102"/>
      <c r="JLC54" s="102"/>
      <c r="JLD54" s="102"/>
      <c r="JLE54" s="102"/>
      <c r="JLF54" s="102"/>
      <c r="JLG54" s="102"/>
      <c r="JLH54" s="102"/>
      <c r="JLI54" s="102"/>
      <c r="JLJ54" s="102"/>
      <c r="JLK54" s="102"/>
      <c r="JLL54" s="102"/>
      <c r="JLM54" s="102"/>
      <c r="JLN54" s="102"/>
      <c r="JLO54" s="102"/>
      <c r="JLP54" s="102"/>
      <c r="JLQ54" s="102"/>
      <c r="JLR54" s="102"/>
      <c r="JLS54" s="102"/>
      <c r="JLT54" s="102"/>
      <c r="JLU54" s="102"/>
      <c r="JLV54" s="102"/>
      <c r="JLW54" s="102"/>
      <c r="JLX54" s="102"/>
      <c r="JLY54" s="102"/>
      <c r="JLZ54" s="102"/>
      <c r="JMA54" s="102"/>
      <c r="JMB54" s="102"/>
      <c r="JMC54" s="102"/>
      <c r="JMD54" s="102"/>
      <c r="JME54" s="102"/>
      <c r="JMF54" s="102"/>
      <c r="JMG54" s="102"/>
      <c r="JMH54" s="102"/>
      <c r="JMI54" s="102"/>
      <c r="JMJ54" s="102"/>
      <c r="JMK54" s="102"/>
      <c r="JML54" s="102"/>
      <c r="JMM54" s="102"/>
      <c r="JMN54" s="102"/>
      <c r="JMO54" s="102"/>
      <c r="JMP54" s="102"/>
      <c r="JMQ54" s="102"/>
      <c r="JMR54" s="102"/>
      <c r="JMS54" s="102"/>
      <c r="JMT54" s="102"/>
      <c r="JMU54" s="102"/>
      <c r="JMV54" s="102"/>
      <c r="JMW54" s="102"/>
      <c r="JMX54" s="102"/>
      <c r="JMY54" s="102"/>
      <c r="JMZ54" s="102"/>
      <c r="JNA54" s="102"/>
      <c r="JNB54" s="102"/>
      <c r="JNC54" s="102"/>
      <c r="JND54" s="102"/>
      <c r="JNE54" s="102"/>
      <c r="JNF54" s="102"/>
      <c r="JNG54" s="102"/>
      <c r="JNH54" s="102"/>
      <c r="JNI54" s="102"/>
      <c r="JNJ54" s="102"/>
      <c r="JNK54" s="102"/>
      <c r="JNL54" s="102"/>
      <c r="JNM54" s="102"/>
      <c r="JNN54" s="102"/>
      <c r="JNO54" s="102"/>
      <c r="JNP54" s="102"/>
      <c r="JNQ54" s="102"/>
      <c r="JNR54" s="102"/>
      <c r="JNS54" s="102"/>
      <c r="JNT54" s="102"/>
      <c r="JNU54" s="102"/>
      <c r="JNV54" s="102"/>
      <c r="JNW54" s="102"/>
      <c r="JNX54" s="102"/>
      <c r="JNY54" s="102"/>
      <c r="JNZ54" s="102"/>
      <c r="JOA54" s="102"/>
      <c r="JOB54" s="102"/>
      <c r="JOC54" s="102"/>
      <c r="JOD54" s="102"/>
      <c r="JOE54" s="102"/>
      <c r="JOF54" s="102"/>
      <c r="JOG54" s="102"/>
      <c r="JOH54" s="102"/>
      <c r="JOI54" s="102"/>
      <c r="JOJ54" s="102"/>
      <c r="JOK54" s="102"/>
      <c r="JOL54" s="102"/>
      <c r="JOM54" s="102"/>
      <c r="JON54" s="102"/>
      <c r="JOO54" s="102"/>
      <c r="JOP54" s="102"/>
      <c r="JOQ54" s="102"/>
      <c r="JOR54" s="102"/>
      <c r="JOS54" s="102"/>
      <c r="JOT54" s="102"/>
      <c r="JOU54" s="102"/>
      <c r="JOV54" s="102"/>
      <c r="JOW54" s="102"/>
      <c r="JOX54" s="102"/>
      <c r="JOY54" s="102"/>
      <c r="JOZ54" s="102"/>
      <c r="JPA54" s="102"/>
      <c r="JPB54" s="102"/>
      <c r="JPC54" s="102"/>
      <c r="JPD54" s="102"/>
      <c r="JPE54" s="102"/>
      <c r="JPF54" s="102"/>
      <c r="JPG54" s="102"/>
      <c r="JPH54" s="102"/>
      <c r="JPI54" s="102"/>
      <c r="JPJ54" s="102"/>
      <c r="JPK54" s="102"/>
      <c r="JPL54" s="102"/>
      <c r="JPM54" s="102"/>
      <c r="JPN54" s="102"/>
      <c r="JPO54" s="102"/>
      <c r="JPP54" s="102"/>
      <c r="JPQ54" s="102"/>
      <c r="JPR54" s="102"/>
      <c r="JPS54" s="102"/>
      <c r="JPT54" s="102"/>
      <c r="JPU54" s="102"/>
      <c r="JPV54" s="102"/>
      <c r="JPW54" s="102"/>
      <c r="JPX54" s="102"/>
      <c r="JPY54" s="102"/>
      <c r="JPZ54" s="102"/>
      <c r="JQA54" s="102"/>
      <c r="JQB54" s="102"/>
      <c r="JQC54" s="102"/>
      <c r="JQD54" s="102"/>
      <c r="JQE54" s="102"/>
      <c r="JQF54" s="102"/>
      <c r="JQG54" s="102"/>
      <c r="JQH54" s="102"/>
      <c r="JQI54" s="102"/>
      <c r="JQJ54" s="102"/>
      <c r="JQK54" s="102"/>
      <c r="JQL54" s="102"/>
      <c r="JQM54" s="102"/>
      <c r="JQN54" s="102"/>
      <c r="JQO54" s="102"/>
      <c r="JQP54" s="102"/>
      <c r="JQQ54" s="102"/>
      <c r="JQR54" s="102"/>
      <c r="JQS54" s="102"/>
      <c r="JQT54" s="102"/>
      <c r="JQU54" s="102"/>
      <c r="JQV54" s="102"/>
      <c r="JQW54" s="102"/>
      <c r="JQX54" s="102"/>
      <c r="JQY54" s="102"/>
      <c r="JQZ54" s="102"/>
      <c r="JRA54" s="102"/>
      <c r="JRB54" s="102"/>
      <c r="JRC54" s="102"/>
      <c r="JRD54" s="102"/>
      <c r="JRE54" s="102"/>
      <c r="JRF54" s="102"/>
      <c r="JRG54" s="102"/>
      <c r="JRH54" s="102"/>
      <c r="JRI54" s="102"/>
      <c r="JRJ54" s="102"/>
      <c r="JRK54" s="102"/>
      <c r="JRL54" s="102"/>
      <c r="JRM54" s="102"/>
      <c r="JRN54" s="102"/>
      <c r="JRO54" s="102"/>
      <c r="JRP54" s="102"/>
      <c r="JRQ54" s="102"/>
      <c r="JRR54" s="102"/>
      <c r="JRS54" s="102"/>
      <c r="JRT54" s="102"/>
      <c r="JRU54" s="102"/>
      <c r="JRV54" s="102"/>
      <c r="JRW54" s="102"/>
      <c r="JRX54" s="102"/>
      <c r="JRY54" s="102"/>
      <c r="JRZ54" s="102"/>
      <c r="JSA54" s="102"/>
      <c r="JSB54" s="102"/>
      <c r="JSC54" s="102"/>
      <c r="JSD54" s="102"/>
      <c r="JSE54" s="102"/>
      <c r="JSF54" s="102"/>
      <c r="JSG54" s="102"/>
      <c r="JSH54" s="102"/>
      <c r="JSI54" s="102"/>
      <c r="JSJ54" s="102"/>
      <c r="JSK54" s="102"/>
      <c r="JSL54" s="102"/>
      <c r="JSM54" s="102"/>
      <c r="JSN54" s="102"/>
      <c r="JSO54" s="102"/>
      <c r="JSP54" s="102"/>
      <c r="JSQ54" s="102"/>
      <c r="JSR54" s="102"/>
      <c r="JSS54" s="102"/>
      <c r="JST54" s="102"/>
      <c r="JSU54" s="102"/>
      <c r="JSV54" s="102"/>
      <c r="JSW54" s="102"/>
      <c r="JSX54" s="102"/>
      <c r="JSY54" s="102"/>
      <c r="JSZ54" s="102"/>
      <c r="JTA54" s="102"/>
      <c r="JTB54" s="102"/>
      <c r="JTC54" s="102"/>
      <c r="JTD54" s="102"/>
      <c r="JTE54" s="102"/>
      <c r="JTF54" s="102"/>
      <c r="JTG54" s="102"/>
      <c r="JTH54" s="102"/>
      <c r="JTI54" s="102"/>
      <c r="JTJ54" s="102"/>
      <c r="JTK54" s="102"/>
      <c r="JTL54" s="102"/>
      <c r="JTM54" s="102"/>
      <c r="JTN54" s="102"/>
      <c r="JTO54" s="102"/>
      <c r="JTP54" s="102"/>
      <c r="JTQ54" s="102"/>
      <c r="JTR54" s="102"/>
      <c r="JTS54" s="102"/>
      <c r="JTT54" s="102"/>
      <c r="JTU54" s="102"/>
      <c r="JTV54" s="102"/>
      <c r="JTW54" s="102"/>
      <c r="JTX54" s="102"/>
      <c r="JTY54" s="102"/>
      <c r="JTZ54" s="102"/>
      <c r="JUA54" s="102"/>
      <c r="JUB54" s="102"/>
      <c r="JUC54" s="102"/>
      <c r="JUD54" s="102"/>
      <c r="JUE54" s="102"/>
      <c r="JUF54" s="102"/>
      <c r="JUG54" s="102"/>
      <c r="JUH54" s="102"/>
      <c r="JUI54" s="102"/>
      <c r="JUJ54" s="102"/>
      <c r="JUK54" s="102"/>
      <c r="JUL54" s="102"/>
      <c r="JUM54" s="102"/>
      <c r="JUN54" s="102"/>
      <c r="JUO54" s="102"/>
      <c r="JUP54" s="102"/>
      <c r="JUQ54" s="102"/>
      <c r="JUR54" s="102"/>
      <c r="JUS54" s="102"/>
      <c r="JUT54" s="102"/>
      <c r="JUU54" s="102"/>
      <c r="JUV54" s="102"/>
      <c r="JUW54" s="102"/>
      <c r="JUX54" s="102"/>
      <c r="JUY54" s="102"/>
      <c r="JUZ54" s="102"/>
      <c r="JVA54" s="102"/>
      <c r="JVB54" s="102"/>
      <c r="JVC54" s="102"/>
      <c r="JVD54" s="102"/>
      <c r="JVE54" s="102"/>
      <c r="JVF54" s="102"/>
      <c r="JVG54" s="102"/>
      <c r="JVH54" s="102"/>
      <c r="JVI54" s="102"/>
      <c r="JVJ54" s="102"/>
      <c r="JVK54" s="102"/>
      <c r="JVL54" s="102"/>
      <c r="JVM54" s="102"/>
      <c r="JVN54" s="102"/>
      <c r="JVO54" s="102"/>
      <c r="JVP54" s="102"/>
      <c r="JVQ54" s="102"/>
      <c r="JVR54" s="102"/>
      <c r="JVS54" s="102"/>
      <c r="JVT54" s="102"/>
      <c r="JVU54" s="102"/>
      <c r="JVV54" s="102"/>
      <c r="JVW54" s="102"/>
      <c r="JVX54" s="102"/>
      <c r="JVY54" s="102"/>
      <c r="JVZ54" s="102"/>
      <c r="JWA54" s="102"/>
      <c r="JWB54" s="102"/>
      <c r="JWC54" s="102"/>
      <c r="JWD54" s="102"/>
      <c r="JWE54" s="102"/>
      <c r="JWF54" s="102"/>
      <c r="JWG54" s="102"/>
      <c r="JWH54" s="102"/>
      <c r="JWI54" s="102"/>
      <c r="JWJ54" s="102"/>
      <c r="JWK54" s="102"/>
      <c r="JWL54" s="102"/>
      <c r="JWM54" s="102"/>
      <c r="JWN54" s="102"/>
      <c r="JWO54" s="102"/>
      <c r="JWP54" s="102"/>
      <c r="JWQ54" s="102"/>
      <c r="JWR54" s="102"/>
      <c r="JWS54" s="102"/>
      <c r="JWT54" s="102"/>
      <c r="JWU54" s="102"/>
      <c r="JWV54" s="102"/>
      <c r="JWW54" s="102"/>
      <c r="JWX54" s="102"/>
      <c r="JWY54" s="102"/>
      <c r="JWZ54" s="102"/>
      <c r="JXA54" s="102"/>
      <c r="JXB54" s="102"/>
      <c r="JXC54" s="102"/>
      <c r="JXD54" s="102"/>
      <c r="JXE54" s="102"/>
      <c r="JXF54" s="102"/>
      <c r="JXG54" s="102"/>
      <c r="JXH54" s="102"/>
      <c r="JXI54" s="102"/>
      <c r="JXJ54" s="102"/>
      <c r="JXK54" s="102"/>
      <c r="JXL54" s="102"/>
      <c r="JXM54" s="102"/>
      <c r="JXN54" s="102"/>
      <c r="JXO54" s="102"/>
      <c r="JXP54" s="102"/>
      <c r="JXQ54" s="102"/>
      <c r="JXR54" s="102"/>
      <c r="JXS54" s="102"/>
      <c r="JXT54" s="102"/>
      <c r="JXU54" s="102"/>
      <c r="JXV54" s="102"/>
      <c r="JXW54" s="102"/>
      <c r="JXX54" s="102"/>
      <c r="JXY54" s="102"/>
      <c r="JXZ54" s="102"/>
      <c r="JYA54" s="102"/>
      <c r="JYB54" s="102"/>
      <c r="JYC54" s="102"/>
      <c r="JYD54" s="102"/>
      <c r="JYE54" s="102"/>
      <c r="JYF54" s="102"/>
      <c r="JYG54" s="102"/>
      <c r="JYH54" s="102"/>
      <c r="JYI54" s="102"/>
      <c r="JYJ54" s="102"/>
      <c r="JYK54" s="102"/>
      <c r="JYL54" s="102"/>
      <c r="JYM54" s="102"/>
      <c r="JYN54" s="102"/>
      <c r="JYO54" s="102"/>
      <c r="JYP54" s="102"/>
      <c r="JYQ54" s="102"/>
      <c r="JYR54" s="102"/>
      <c r="JYS54" s="102"/>
      <c r="JYT54" s="102"/>
      <c r="JYU54" s="102"/>
      <c r="JYV54" s="102"/>
      <c r="JYW54" s="102"/>
      <c r="JYX54" s="102"/>
      <c r="JYY54" s="102"/>
      <c r="JYZ54" s="102"/>
      <c r="JZA54" s="102"/>
      <c r="JZB54" s="102"/>
      <c r="JZC54" s="102"/>
      <c r="JZD54" s="102"/>
      <c r="JZE54" s="102"/>
      <c r="JZF54" s="102"/>
      <c r="JZG54" s="102"/>
      <c r="JZH54" s="102"/>
      <c r="JZI54" s="102"/>
      <c r="JZJ54" s="102"/>
      <c r="JZK54" s="102"/>
      <c r="JZL54" s="102"/>
      <c r="JZM54" s="102"/>
      <c r="JZN54" s="102"/>
      <c r="JZO54" s="102"/>
      <c r="JZP54" s="102"/>
      <c r="JZQ54" s="102"/>
      <c r="JZR54" s="102"/>
      <c r="JZS54" s="102"/>
      <c r="JZT54" s="102"/>
      <c r="JZU54" s="102"/>
      <c r="JZV54" s="102"/>
      <c r="JZW54" s="102"/>
      <c r="JZX54" s="102"/>
      <c r="JZY54" s="102"/>
      <c r="JZZ54" s="102"/>
      <c r="KAA54" s="102"/>
      <c r="KAB54" s="102"/>
      <c r="KAC54" s="102"/>
      <c r="KAD54" s="102"/>
      <c r="KAE54" s="102"/>
      <c r="KAF54" s="102"/>
      <c r="KAG54" s="102"/>
      <c r="KAH54" s="102"/>
      <c r="KAI54" s="102"/>
      <c r="KAJ54" s="102"/>
      <c r="KAK54" s="102"/>
      <c r="KAL54" s="102"/>
      <c r="KAM54" s="102"/>
      <c r="KAN54" s="102"/>
      <c r="KAO54" s="102"/>
      <c r="KAP54" s="102"/>
      <c r="KAQ54" s="102"/>
      <c r="KAR54" s="102"/>
      <c r="KAS54" s="102"/>
      <c r="KAT54" s="102"/>
      <c r="KAU54" s="102"/>
      <c r="KAV54" s="102"/>
      <c r="KAW54" s="102"/>
      <c r="KAX54" s="102"/>
      <c r="KAY54" s="102"/>
      <c r="KAZ54" s="102"/>
      <c r="KBA54" s="102"/>
      <c r="KBB54" s="102"/>
      <c r="KBC54" s="102"/>
      <c r="KBD54" s="102"/>
      <c r="KBE54" s="102"/>
      <c r="KBF54" s="102"/>
      <c r="KBG54" s="102"/>
      <c r="KBH54" s="102"/>
      <c r="KBI54" s="102"/>
      <c r="KBJ54" s="102"/>
      <c r="KBK54" s="102"/>
      <c r="KBL54" s="102"/>
      <c r="KBM54" s="102"/>
      <c r="KBN54" s="102"/>
      <c r="KBO54" s="102"/>
      <c r="KBP54" s="102"/>
      <c r="KBQ54" s="102"/>
      <c r="KBR54" s="102"/>
      <c r="KBS54" s="102"/>
      <c r="KBT54" s="102"/>
      <c r="KBU54" s="102"/>
      <c r="KBV54" s="102"/>
      <c r="KBW54" s="102"/>
      <c r="KBX54" s="102"/>
      <c r="KBY54" s="102"/>
      <c r="KBZ54" s="102"/>
      <c r="KCA54" s="102"/>
      <c r="KCB54" s="102"/>
      <c r="KCC54" s="102"/>
      <c r="KCD54" s="102"/>
      <c r="KCE54" s="102"/>
      <c r="KCF54" s="102"/>
      <c r="KCG54" s="102"/>
      <c r="KCH54" s="102"/>
      <c r="KCI54" s="102"/>
      <c r="KCJ54" s="102"/>
      <c r="KCK54" s="102"/>
      <c r="KCL54" s="102"/>
      <c r="KCM54" s="102"/>
      <c r="KCN54" s="102"/>
      <c r="KCO54" s="102"/>
      <c r="KCP54" s="102"/>
      <c r="KCQ54" s="102"/>
      <c r="KCR54" s="102"/>
      <c r="KCS54" s="102"/>
      <c r="KCT54" s="102"/>
      <c r="KCU54" s="102"/>
      <c r="KCV54" s="102"/>
      <c r="KCW54" s="102"/>
      <c r="KCX54" s="102"/>
      <c r="KCY54" s="102"/>
      <c r="KCZ54" s="102"/>
      <c r="KDA54" s="102"/>
      <c r="KDB54" s="102"/>
      <c r="KDC54" s="102"/>
      <c r="KDD54" s="102"/>
      <c r="KDE54" s="102"/>
      <c r="KDF54" s="102"/>
      <c r="KDG54" s="102"/>
      <c r="KDH54" s="102"/>
      <c r="KDI54" s="102"/>
      <c r="KDJ54" s="102"/>
      <c r="KDK54" s="102"/>
      <c r="KDL54" s="102"/>
      <c r="KDM54" s="102"/>
      <c r="KDN54" s="102"/>
      <c r="KDO54" s="102"/>
      <c r="KDP54" s="102"/>
      <c r="KDQ54" s="102"/>
      <c r="KDR54" s="102"/>
      <c r="KDS54" s="102"/>
      <c r="KDT54" s="102"/>
      <c r="KDU54" s="102"/>
      <c r="KDV54" s="102"/>
      <c r="KDW54" s="102"/>
      <c r="KDX54" s="102"/>
      <c r="KDY54" s="102"/>
      <c r="KDZ54" s="102"/>
      <c r="KEA54" s="102"/>
      <c r="KEB54" s="102"/>
      <c r="KEC54" s="102"/>
      <c r="KED54" s="102"/>
      <c r="KEE54" s="102"/>
      <c r="KEF54" s="102"/>
      <c r="KEG54" s="102"/>
      <c r="KEH54" s="102"/>
      <c r="KEI54" s="102"/>
      <c r="KEJ54" s="102"/>
      <c r="KEK54" s="102"/>
      <c r="KEL54" s="102"/>
      <c r="KEM54" s="102"/>
      <c r="KEN54" s="102"/>
      <c r="KEO54" s="102"/>
      <c r="KEP54" s="102"/>
      <c r="KEQ54" s="102"/>
      <c r="KER54" s="102"/>
      <c r="KES54" s="102"/>
      <c r="KET54" s="102"/>
      <c r="KEU54" s="102"/>
      <c r="KEV54" s="102"/>
      <c r="KEW54" s="102"/>
      <c r="KEX54" s="102"/>
      <c r="KEY54" s="102"/>
      <c r="KEZ54" s="102"/>
      <c r="KFA54" s="102"/>
      <c r="KFB54" s="102"/>
      <c r="KFC54" s="102"/>
      <c r="KFD54" s="102"/>
      <c r="KFE54" s="102"/>
      <c r="KFF54" s="102"/>
      <c r="KFG54" s="102"/>
      <c r="KFH54" s="102"/>
      <c r="KFI54" s="102"/>
      <c r="KFJ54" s="102"/>
      <c r="KFK54" s="102"/>
      <c r="KFL54" s="102"/>
      <c r="KFM54" s="102"/>
      <c r="KFN54" s="102"/>
      <c r="KFO54" s="102"/>
      <c r="KFP54" s="102"/>
      <c r="KFQ54" s="102"/>
      <c r="KFR54" s="102"/>
      <c r="KFS54" s="102"/>
      <c r="KFT54" s="102"/>
      <c r="KFU54" s="102"/>
      <c r="KFV54" s="102"/>
      <c r="KFW54" s="102"/>
      <c r="KFX54" s="102"/>
      <c r="KFY54" s="102"/>
      <c r="KFZ54" s="102"/>
      <c r="KGA54" s="102"/>
      <c r="KGB54" s="102"/>
      <c r="KGC54" s="102"/>
      <c r="KGD54" s="102"/>
      <c r="KGE54" s="102"/>
      <c r="KGF54" s="102"/>
      <c r="KGG54" s="102"/>
      <c r="KGH54" s="102"/>
      <c r="KGI54" s="102"/>
      <c r="KGJ54" s="102"/>
      <c r="KGK54" s="102"/>
      <c r="KGL54" s="102"/>
      <c r="KGM54" s="102"/>
      <c r="KGN54" s="102"/>
      <c r="KGO54" s="102"/>
      <c r="KGP54" s="102"/>
      <c r="KGQ54" s="102"/>
      <c r="KGR54" s="102"/>
      <c r="KGS54" s="102"/>
      <c r="KGT54" s="102"/>
      <c r="KGU54" s="102"/>
      <c r="KGV54" s="102"/>
      <c r="KGW54" s="102"/>
      <c r="KGX54" s="102"/>
      <c r="KGY54" s="102"/>
      <c r="KGZ54" s="102"/>
      <c r="KHA54" s="102"/>
      <c r="KHB54" s="102"/>
      <c r="KHC54" s="102"/>
      <c r="KHD54" s="102"/>
      <c r="KHE54" s="102"/>
      <c r="KHF54" s="102"/>
      <c r="KHG54" s="102"/>
      <c r="KHH54" s="102"/>
      <c r="KHI54" s="102"/>
      <c r="KHJ54" s="102"/>
      <c r="KHK54" s="102"/>
      <c r="KHL54" s="102"/>
      <c r="KHM54" s="102"/>
      <c r="KHN54" s="102"/>
      <c r="KHO54" s="102"/>
      <c r="KHP54" s="102"/>
      <c r="KHQ54" s="102"/>
      <c r="KHR54" s="102"/>
      <c r="KHS54" s="102"/>
      <c r="KHT54" s="102"/>
      <c r="KHU54" s="102"/>
      <c r="KHV54" s="102"/>
      <c r="KHW54" s="102"/>
      <c r="KHX54" s="102"/>
      <c r="KHY54" s="102"/>
      <c r="KHZ54" s="102"/>
      <c r="KIA54" s="102"/>
      <c r="KIB54" s="102"/>
      <c r="KIC54" s="102"/>
      <c r="KID54" s="102"/>
      <c r="KIE54" s="102"/>
      <c r="KIF54" s="102"/>
      <c r="KIG54" s="102"/>
      <c r="KIH54" s="102"/>
      <c r="KII54" s="102"/>
      <c r="KIJ54" s="102"/>
      <c r="KIK54" s="102"/>
      <c r="KIL54" s="102"/>
      <c r="KIM54" s="102"/>
      <c r="KIN54" s="102"/>
      <c r="KIO54" s="102"/>
      <c r="KIP54" s="102"/>
      <c r="KIQ54" s="102"/>
      <c r="KIR54" s="102"/>
      <c r="KIS54" s="102"/>
      <c r="KIT54" s="102"/>
      <c r="KIU54" s="102"/>
      <c r="KIV54" s="102"/>
      <c r="KIW54" s="102"/>
      <c r="KIX54" s="102"/>
      <c r="KIY54" s="102"/>
      <c r="KIZ54" s="102"/>
      <c r="KJA54" s="102"/>
      <c r="KJB54" s="102"/>
      <c r="KJC54" s="102"/>
      <c r="KJD54" s="102"/>
      <c r="KJE54" s="102"/>
      <c r="KJF54" s="102"/>
      <c r="KJG54" s="102"/>
      <c r="KJH54" s="102"/>
      <c r="KJI54" s="102"/>
      <c r="KJJ54" s="102"/>
      <c r="KJK54" s="102"/>
      <c r="KJL54" s="102"/>
      <c r="KJM54" s="102"/>
      <c r="KJN54" s="102"/>
      <c r="KJO54" s="102"/>
      <c r="KJP54" s="102"/>
      <c r="KJQ54" s="102"/>
      <c r="KJR54" s="102"/>
      <c r="KJS54" s="102"/>
      <c r="KJT54" s="102"/>
      <c r="KJU54" s="102"/>
      <c r="KJV54" s="102"/>
      <c r="KJW54" s="102"/>
      <c r="KJX54" s="102"/>
      <c r="KJY54" s="102"/>
      <c r="KJZ54" s="102"/>
      <c r="KKA54" s="102"/>
      <c r="KKB54" s="102"/>
      <c r="KKC54" s="102"/>
      <c r="KKD54" s="102"/>
      <c r="KKE54" s="102"/>
      <c r="KKF54" s="102"/>
      <c r="KKG54" s="102"/>
      <c r="KKH54" s="102"/>
      <c r="KKI54" s="102"/>
      <c r="KKJ54" s="102"/>
      <c r="KKK54" s="102"/>
      <c r="KKL54" s="102"/>
      <c r="KKM54" s="102"/>
      <c r="KKN54" s="102"/>
      <c r="KKO54" s="102"/>
      <c r="KKP54" s="102"/>
      <c r="KKQ54" s="102"/>
      <c r="KKR54" s="102"/>
      <c r="KKS54" s="102"/>
      <c r="KKT54" s="102"/>
      <c r="KKU54" s="102"/>
      <c r="KKV54" s="102"/>
      <c r="KKW54" s="102"/>
      <c r="KKX54" s="102"/>
      <c r="KKY54" s="102"/>
      <c r="KKZ54" s="102"/>
      <c r="KLA54" s="102"/>
      <c r="KLB54" s="102"/>
      <c r="KLC54" s="102"/>
      <c r="KLD54" s="102"/>
      <c r="KLE54" s="102"/>
      <c r="KLF54" s="102"/>
      <c r="KLG54" s="102"/>
      <c r="KLH54" s="102"/>
      <c r="KLI54" s="102"/>
      <c r="KLJ54" s="102"/>
      <c r="KLK54" s="102"/>
      <c r="KLL54" s="102"/>
      <c r="KLM54" s="102"/>
      <c r="KLN54" s="102"/>
      <c r="KLO54" s="102"/>
      <c r="KLP54" s="102"/>
      <c r="KLQ54" s="102"/>
      <c r="KLR54" s="102"/>
      <c r="KLS54" s="102"/>
      <c r="KLT54" s="102"/>
      <c r="KLU54" s="102"/>
      <c r="KLV54" s="102"/>
      <c r="KLW54" s="102"/>
      <c r="KLX54" s="102"/>
      <c r="KLY54" s="102"/>
      <c r="KLZ54" s="102"/>
      <c r="KMA54" s="102"/>
      <c r="KMB54" s="102"/>
      <c r="KMC54" s="102"/>
      <c r="KMD54" s="102"/>
      <c r="KME54" s="102"/>
      <c r="KMF54" s="102"/>
      <c r="KMG54" s="102"/>
      <c r="KMH54" s="102"/>
      <c r="KMI54" s="102"/>
      <c r="KMJ54" s="102"/>
      <c r="KMK54" s="102"/>
      <c r="KML54" s="102"/>
      <c r="KMM54" s="102"/>
      <c r="KMN54" s="102"/>
      <c r="KMO54" s="102"/>
      <c r="KMP54" s="102"/>
      <c r="KMQ54" s="102"/>
      <c r="KMR54" s="102"/>
      <c r="KMS54" s="102"/>
      <c r="KMT54" s="102"/>
      <c r="KMU54" s="102"/>
      <c r="KMV54" s="102"/>
      <c r="KMW54" s="102"/>
      <c r="KMX54" s="102"/>
      <c r="KMY54" s="102"/>
      <c r="KMZ54" s="102"/>
      <c r="KNA54" s="102"/>
      <c r="KNB54" s="102"/>
      <c r="KNC54" s="102"/>
      <c r="KND54" s="102"/>
      <c r="KNE54" s="102"/>
      <c r="KNF54" s="102"/>
      <c r="KNG54" s="102"/>
      <c r="KNH54" s="102"/>
      <c r="KNI54" s="102"/>
      <c r="KNJ54" s="102"/>
      <c r="KNK54" s="102"/>
      <c r="KNL54" s="102"/>
      <c r="KNM54" s="102"/>
      <c r="KNN54" s="102"/>
      <c r="KNO54" s="102"/>
      <c r="KNP54" s="102"/>
      <c r="KNQ54" s="102"/>
      <c r="KNR54" s="102"/>
      <c r="KNS54" s="102"/>
      <c r="KNT54" s="102"/>
      <c r="KNU54" s="102"/>
      <c r="KNV54" s="102"/>
      <c r="KNW54" s="102"/>
      <c r="KNX54" s="102"/>
      <c r="KNY54" s="102"/>
      <c r="KNZ54" s="102"/>
      <c r="KOA54" s="102"/>
      <c r="KOB54" s="102"/>
      <c r="KOC54" s="102"/>
      <c r="KOD54" s="102"/>
      <c r="KOE54" s="102"/>
      <c r="KOF54" s="102"/>
      <c r="KOG54" s="102"/>
      <c r="KOH54" s="102"/>
      <c r="KOI54" s="102"/>
      <c r="KOJ54" s="102"/>
      <c r="KOK54" s="102"/>
      <c r="KOL54" s="102"/>
      <c r="KOM54" s="102"/>
      <c r="KON54" s="102"/>
      <c r="KOO54" s="102"/>
      <c r="KOP54" s="102"/>
      <c r="KOQ54" s="102"/>
      <c r="KOR54" s="102"/>
      <c r="KOS54" s="102"/>
      <c r="KOT54" s="102"/>
      <c r="KOU54" s="102"/>
      <c r="KOV54" s="102"/>
      <c r="KOW54" s="102"/>
      <c r="KOX54" s="102"/>
      <c r="KOY54" s="102"/>
      <c r="KOZ54" s="102"/>
      <c r="KPA54" s="102"/>
      <c r="KPB54" s="102"/>
      <c r="KPC54" s="102"/>
      <c r="KPD54" s="102"/>
      <c r="KPE54" s="102"/>
      <c r="KPF54" s="102"/>
      <c r="KPG54" s="102"/>
      <c r="KPH54" s="102"/>
      <c r="KPI54" s="102"/>
      <c r="KPJ54" s="102"/>
      <c r="KPK54" s="102"/>
      <c r="KPL54" s="102"/>
      <c r="KPM54" s="102"/>
      <c r="KPN54" s="102"/>
      <c r="KPO54" s="102"/>
      <c r="KPP54" s="102"/>
      <c r="KPQ54" s="102"/>
      <c r="KPR54" s="102"/>
      <c r="KPS54" s="102"/>
      <c r="KPT54" s="102"/>
      <c r="KPU54" s="102"/>
      <c r="KPV54" s="102"/>
      <c r="KPW54" s="102"/>
      <c r="KPX54" s="102"/>
      <c r="KPY54" s="102"/>
      <c r="KPZ54" s="102"/>
      <c r="KQA54" s="102"/>
      <c r="KQB54" s="102"/>
      <c r="KQC54" s="102"/>
      <c r="KQD54" s="102"/>
      <c r="KQE54" s="102"/>
      <c r="KQF54" s="102"/>
      <c r="KQG54" s="102"/>
      <c r="KQH54" s="102"/>
      <c r="KQI54" s="102"/>
      <c r="KQJ54" s="102"/>
      <c r="KQK54" s="102"/>
      <c r="KQL54" s="102"/>
      <c r="KQM54" s="102"/>
      <c r="KQN54" s="102"/>
      <c r="KQO54" s="102"/>
      <c r="KQP54" s="102"/>
      <c r="KQQ54" s="102"/>
      <c r="KQR54" s="102"/>
      <c r="KQS54" s="102"/>
      <c r="KQT54" s="102"/>
      <c r="KQU54" s="102"/>
      <c r="KQV54" s="102"/>
      <c r="KQW54" s="102"/>
      <c r="KQX54" s="102"/>
      <c r="KQY54" s="102"/>
      <c r="KQZ54" s="102"/>
      <c r="KRA54" s="102"/>
      <c r="KRB54" s="102"/>
      <c r="KRC54" s="102"/>
      <c r="KRD54" s="102"/>
      <c r="KRE54" s="102"/>
      <c r="KRF54" s="102"/>
      <c r="KRG54" s="102"/>
      <c r="KRH54" s="102"/>
      <c r="KRI54" s="102"/>
      <c r="KRJ54" s="102"/>
      <c r="KRK54" s="102"/>
      <c r="KRL54" s="102"/>
      <c r="KRM54" s="102"/>
      <c r="KRN54" s="102"/>
      <c r="KRO54" s="102"/>
      <c r="KRP54" s="102"/>
      <c r="KRQ54" s="102"/>
      <c r="KRR54" s="102"/>
      <c r="KRS54" s="102"/>
      <c r="KRT54" s="102"/>
      <c r="KRU54" s="102"/>
      <c r="KRV54" s="102"/>
      <c r="KRW54" s="102"/>
      <c r="KRX54" s="102"/>
      <c r="KRY54" s="102"/>
      <c r="KRZ54" s="102"/>
      <c r="KSA54" s="102"/>
      <c r="KSB54" s="102"/>
      <c r="KSC54" s="102"/>
      <c r="KSD54" s="102"/>
      <c r="KSE54" s="102"/>
      <c r="KSF54" s="102"/>
      <c r="KSG54" s="102"/>
      <c r="KSH54" s="102"/>
      <c r="KSI54" s="102"/>
      <c r="KSJ54" s="102"/>
      <c r="KSK54" s="102"/>
      <c r="KSL54" s="102"/>
      <c r="KSM54" s="102"/>
      <c r="KSN54" s="102"/>
      <c r="KSO54" s="102"/>
      <c r="KSP54" s="102"/>
      <c r="KSQ54" s="102"/>
      <c r="KSR54" s="102"/>
      <c r="KSS54" s="102"/>
      <c r="KST54" s="102"/>
      <c r="KSU54" s="102"/>
      <c r="KSV54" s="102"/>
      <c r="KSW54" s="102"/>
      <c r="KSX54" s="102"/>
      <c r="KSY54" s="102"/>
      <c r="KSZ54" s="102"/>
      <c r="KTA54" s="102"/>
      <c r="KTB54" s="102"/>
      <c r="KTC54" s="102"/>
      <c r="KTD54" s="102"/>
      <c r="KTE54" s="102"/>
      <c r="KTF54" s="102"/>
      <c r="KTG54" s="102"/>
      <c r="KTH54" s="102"/>
      <c r="KTI54" s="102"/>
      <c r="KTJ54" s="102"/>
      <c r="KTK54" s="102"/>
      <c r="KTL54" s="102"/>
      <c r="KTM54" s="102"/>
      <c r="KTN54" s="102"/>
      <c r="KTO54" s="102"/>
      <c r="KTP54" s="102"/>
      <c r="KTQ54" s="102"/>
      <c r="KTR54" s="102"/>
      <c r="KTS54" s="102"/>
      <c r="KTT54" s="102"/>
      <c r="KTU54" s="102"/>
      <c r="KTV54" s="102"/>
      <c r="KTW54" s="102"/>
      <c r="KTX54" s="102"/>
      <c r="KTY54" s="102"/>
      <c r="KTZ54" s="102"/>
      <c r="KUA54" s="102"/>
      <c r="KUB54" s="102"/>
      <c r="KUC54" s="102"/>
      <c r="KUD54" s="102"/>
      <c r="KUE54" s="102"/>
      <c r="KUF54" s="102"/>
      <c r="KUG54" s="102"/>
      <c r="KUH54" s="102"/>
      <c r="KUI54" s="102"/>
      <c r="KUJ54" s="102"/>
      <c r="KUK54" s="102"/>
      <c r="KUL54" s="102"/>
      <c r="KUM54" s="102"/>
      <c r="KUN54" s="102"/>
      <c r="KUO54" s="102"/>
      <c r="KUP54" s="102"/>
      <c r="KUQ54" s="102"/>
      <c r="KUR54" s="102"/>
      <c r="KUS54" s="102"/>
      <c r="KUT54" s="102"/>
      <c r="KUU54" s="102"/>
      <c r="KUV54" s="102"/>
      <c r="KUW54" s="102"/>
      <c r="KUX54" s="102"/>
      <c r="KUY54" s="102"/>
      <c r="KUZ54" s="102"/>
      <c r="KVA54" s="102"/>
      <c r="KVB54" s="102"/>
      <c r="KVC54" s="102"/>
      <c r="KVD54" s="102"/>
      <c r="KVE54" s="102"/>
      <c r="KVF54" s="102"/>
      <c r="KVG54" s="102"/>
      <c r="KVH54" s="102"/>
      <c r="KVI54" s="102"/>
      <c r="KVJ54" s="102"/>
      <c r="KVK54" s="102"/>
      <c r="KVL54" s="102"/>
      <c r="KVM54" s="102"/>
      <c r="KVN54" s="102"/>
      <c r="KVO54" s="102"/>
      <c r="KVP54" s="102"/>
      <c r="KVQ54" s="102"/>
      <c r="KVR54" s="102"/>
      <c r="KVS54" s="102"/>
      <c r="KVT54" s="102"/>
      <c r="KVU54" s="102"/>
      <c r="KVV54" s="102"/>
      <c r="KVW54" s="102"/>
      <c r="KVX54" s="102"/>
      <c r="KVY54" s="102"/>
      <c r="KVZ54" s="102"/>
      <c r="KWA54" s="102"/>
      <c r="KWB54" s="102"/>
      <c r="KWC54" s="102"/>
      <c r="KWD54" s="102"/>
      <c r="KWE54" s="102"/>
      <c r="KWF54" s="102"/>
      <c r="KWG54" s="102"/>
      <c r="KWH54" s="102"/>
      <c r="KWI54" s="102"/>
      <c r="KWJ54" s="102"/>
      <c r="KWK54" s="102"/>
      <c r="KWL54" s="102"/>
      <c r="KWM54" s="102"/>
      <c r="KWN54" s="102"/>
      <c r="KWO54" s="102"/>
      <c r="KWP54" s="102"/>
      <c r="KWQ54" s="102"/>
      <c r="KWR54" s="102"/>
      <c r="KWS54" s="102"/>
      <c r="KWT54" s="102"/>
      <c r="KWU54" s="102"/>
      <c r="KWV54" s="102"/>
      <c r="KWW54" s="102"/>
      <c r="KWX54" s="102"/>
      <c r="KWY54" s="102"/>
      <c r="KWZ54" s="102"/>
      <c r="KXA54" s="102"/>
      <c r="KXB54" s="102"/>
      <c r="KXC54" s="102"/>
      <c r="KXD54" s="102"/>
      <c r="KXE54" s="102"/>
      <c r="KXF54" s="102"/>
      <c r="KXG54" s="102"/>
      <c r="KXH54" s="102"/>
      <c r="KXI54" s="102"/>
      <c r="KXJ54" s="102"/>
      <c r="KXK54" s="102"/>
      <c r="KXL54" s="102"/>
      <c r="KXM54" s="102"/>
      <c r="KXN54" s="102"/>
      <c r="KXO54" s="102"/>
      <c r="KXP54" s="102"/>
      <c r="KXQ54" s="102"/>
      <c r="KXR54" s="102"/>
      <c r="KXS54" s="102"/>
      <c r="KXT54" s="102"/>
      <c r="KXU54" s="102"/>
      <c r="KXV54" s="102"/>
      <c r="KXW54" s="102"/>
      <c r="KXX54" s="102"/>
      <c r="KXY54" s="102"/>
      <c r="KXZ54" s="102"/>
      <c r="KYA54" s="102"/>
      <c r="KYB54" s="102"/>
      <c r="KYC54" s="102"/>
      <c r="KYD54" s="102"/>
      <c r="KYE54" s="102"/>
      <c r="KYF54" s="102"/>
      <c r="KYG54" s="102"/>
      <c r="KYH54" s="102"/>
      <c r="KYI54" s="102"/>
      <c r="KYJ54" s="102"/>
      <c r="KYK54" s="102"/>
      <c r="KYL54" s="102"/>
      <c r="KYM54" s="102"/>
      <c r="KYN54" s="102"/>
      <c r="KYO54" s="102"/>
      <c r="KYP54" s="102"/>
      <c r="KYQ54" s="102"/>
      <c r="KYR54" s="102"/>
      <c r="KYS54" s="102"/>
      <c r="KYT54" s="102"/>
      <c r="KYU54" s="102"/>
      <c r="KYV54" s="102"/>
      <c r="KYW54" s="102"/>
      <c r="KYX54" s="102"/>
      <c r="KYY54" s="102"/>
      <c r="KYZ54" s="102"/>
      <c r="KZA54" s="102"/>
      <c r="KZB54" s="102"/>
      <c r="KZC54" s="102"/>
      <c r="KZD54" s="102"/>
      <c r="KZE54" s="102"/>
      <c r="KZF54" s="102"/>
      <c r="KZG54" s="102"/>
      <c r="KZH54" s="102"/>
      <c r="KZI54" s="102"/>
      <c r="KZJ54" s="102"/>
      <c r="KZK54" s="102"/>
      <c r="KZL54" s="102"/>
      <c r="KZM54" s="102"/>
      <c r="KZN54" s="102"/>
      <c r="KZO54" s="102"/>
      <c r="KZP54" s="102"/>
      <c r="KZQ54" s="102"/>
      <c r="KZR54" s="102"/>
      <c r="KZS54" s="102"/>
      <c r="KZT54" s="102"/>
      <c r="KZU54" s="102"/>
      <c r="KZV54" s="102"/>
      <c r="KZW54" s="102"/>
      <c r="KZX54" s="102"/>
      <c r="KZY54" s="102"/>
      <c r="KZZ54" s="102"/>
      <c r="LAA54" s="102"/>
      <c r="LAB54" s="102"/>
      <c r="LAC54" s="102"/>
      <c r="LAD54" s="102"/>
      <c r="LAE54" s="102"/>
      <c r="LAF54" s="102"/>
      <c r="LAG54" s="102"/>
      <c r="LAH54" s="102"/>
      <c r="LAI54" s="102"/>
      <c r="LAJ54" s="102"/>
      <c r="LAK54" s="102"/>
      <c r="LAL54" s="102"/>
      <c r="LAM54" s="102"/>
      <c r="LAN54" s="102"/>
      <c r="LAO54" s="102"/>
      <c r="LAP54" s="102"/>
      <c r="LAQ54" s="102"/>
      <c r="LAR54" s="102"/>
      <c r="LAS54" s="102"/>
      <c r="LAT54" s="102"/>
      <c r="LAU54" s="102"/>
      <c r="LAV54" s="102"/>
      <c r="LAW54" s="102"/>
      <c r="LAX54" s="102"/>
      <c r="LAY54" s="102"/>
      <c r="LAZ54" s="102"/>
      <c r="LBA54" s="102"/>
      <c r="LBB54" s="102"/>
      <c r="LBC54" s="102"/>
      <c r="LBD54" s="102"/>
      <c r="LBE54" s="102"/>
      <c r="LBF54" s="102"/>
      <c r="LBG54" s="102"/>
      <c r="LBH54" s="102"/>
      <c r="LBI54" s="102"/>
      <c r="LBJ54" s="102"/>
      <c r="LBK54" s="102"/>
      <c r="LBL54" s="102"/>
      <c r="LBM54" s="102"/>
      <c r="LBN54" s="102"/>
      <c r="LBO54" s="102"/>
      <c r="LBP54" s="102"/>
      <c r="LBQ54" s="102"/>
      <c r="LBR54" s="102"/>
      <c r="LBS54" s="102"/>
      <c r="LBT54" s="102"/>
      <c r="LBU54" s="102"/>
      <c r="LBV54" s="102"/>
      <c r="LBW54" s="102"/>
      <c r="LBX54" s="102"/>
      <c r="LBY54" s="102"/>
      <c r="LBZ54" s="102"/>
      <c r="LCA54" s="102"/>
      <c r="LCB54" s="102"/>
      <c r="LCC54" s="102"/>
      <c r="LCD54" s="102"/>
      <c r="LCE54" s="102"/>
      <c r="LCF54" s="102"/>
      <c r="LCG54" s="102"/>
      <c r="LCH54" s="102"/>
      <c r="LCI54" s="102"/>
      <c r="LCJ54" s="102"/>
      <c r="LCK54" s="102"/>
      <c r="LCL54" s="102"/>
      <c r="LCM54" s="102"/>
      <c r="LCN54" s="102"/>
      <c r="LCO54" s="102"/>
      <c r="LCP54" s="102"/>
      <c r="LCQ54" s="102"/>
      <c r="LCR54" s="102"/>
      <c r="LCS54" s="102"/>
      <c r="LCT54" s="102"/>
      <c r="LCU54" s="102"/>
      <c r="LCV54" s="102"/>
      <c r="LCW54" s="102"/>
      <c r="LCX54" s="102"/>
      <c r="LCY54" s="102"/>
      <c r="LCZ54" s="102"/>
      <c r="LDA54" s="102"/>
      <c r="LDB54" s="102"/>
      <c r="LDC54" s="102"/>
      <c r="LDD54" s="102"/>
      <c r="LDE54" s="102"/>
      <c r="LDF54" s="102"/>
      <c r="LDG54" s="102"/>
      <c r="LDH54" s="102"/>
      <c r="LDI54" s="102"/>
      <c r="LDJ54" s="102"/>
      <c r="LDK54" s="102"/>
      <c r="LDL54" s="102"/>
      <c r="LDM54" s="102"/>
      <c r="LDN54" s="102"/>
      <c r="LDO54" s="102"/>
      <c r="LDP54" s="102"/>
      <c r="LDQ54" s="102"/>
      <c r="LDR54" s="102"/>
      <c r="LDS54" s="102"/>
      <c r="LDT54" s="102"/>
      <c r="LDU54" s="102"/>
      <c r="LDV54" s="102"/>
      <c r="LDW54" s="102"/>
      <c r="LDX54" s="102"/>
      <c r="LDY54" s="102"/>
      <c r="LDZ54" s="102"/>
      <c r="LEA54" s="102"/>
      <c r="LEB54" s="102"/>
      <c r="LEC54" s="102"/>
      <c r="LED54" s="102"/>
      <c r="LEE54" s="102"/>
      <c r="LEF54" s="102"/>
      <c r="LEG54" s="102"/>
      <c r="LEH54" s="102"/>
      <c r="LEI54" s="102"/>
      <c r="LEJ54" s="102"/>
      <c r="LEK54" s="102"/>
      <c r="LEL54" s="102"/>
      <c r="LEM54" s="102"/>
      <c r="LEN54" s="102"/>
      <c r="LEO54" s="102"/>
      <c r="LEP54" s="102"/>
      <c r="LEQ54" s="102"/>
      <c r="LER54" s="102"/>
      <c r="LES54" s="102"/>
      <c r="LET54" s="102"/>
      <c r="LEU54" s="102"/>
      <c r="LEV54" s="102"/>
      <c r="LEW54" s="102"/>
      <c r="LEX54" s="102"/>
      <c r="LEY54" s="102"/>
      <c r="LEZ54" s="102"/>
      <c r="LFA54" s="102"/>
      <c r="LFB54" s="102"/>
      <c r="LFC54" s="102"/>
      <c r="LFD54" s="102"/>
      <c r="LFE54" s="102"/>
      <c r="LFF54" s="102"/>
      <c r="LFG54" s="102"/>
      <c r="LFH54" s="102"/>
      <c r="LFI54" s="102"/>
      <c r="LFJ54" s="102"/>
      <c r="LFK54" s="102"/>
      <c r="LFL54" s="102"/>
      <c r="LFM54" s="102"/>
      <c r="LFN54" s="102"/>
      <c r="LFO54" s="102"/>
      <c r="LFP54" s="102"/>
      <c r="LFQ54" s="102"/>
      <c r="LFR54" s="102"/>
      <c r="LFS54" s="102"/>
      <c r="LFT54" s="102"/>
      <c r="LFU54" s="102"/>
      <c r="LFV54" s="102"/>
      <c r="LFW54" s="102"/>
      <c r="LFX54" s="102"/>
      <c r="LFY54" s="102"/>
      <c r="LFZ54" s="102"/>
      <c r="LGA54" s="102"/>
      <c r="LGB54" s="102"/>
      <c r="LGC54" s="102"/>
      <c r="LGD54" s="102"/>
      <c r="LGE54" s="102"/>
      <c r="LGF54" s="102"/>
      <c r="LGG54" s="102"/>
      <c r="LGH54" s="102"/>
      <c r="LGI54" s="102"/>
      <c r="LGJ54" s="102"/>
      <c r="LGK54" s="102"/>
      <c r="LGL54" s="102"/>
      <c r="LGM54" s="102"/>
      <c r="LGN54" s="102"/>
      <c r="LGO54" s="102"/>
      <c r="LGP54" s="102"/>
      <c r="LGQ54" s="102"/>
      <c r="LGR54" s="102"/>
      <c r="LGS54" s="102"/>
      <c r="LGT54" s="102"/>
      <c r="LGU54" s="102"/>
      <c r="LGV54" s="102"/>
      <c r="LGW54" s="102"/>
      <c r="LGX54" s="102"/>
      <c r="LGY54" s="102"/>
      <c r="LGZ54" s="102"/>
      <c r="LHA54" s="102"/>
      <c r="LHB54" s="102"/>
      <c r="LHC54" s="102"/>
      <c r="LHD54" s="102"/>
      <c r="LHE54" s="102"/>
      <c r="LHF54" s="102"/>
      <c r="LHG54" s="102"/>
      <c r="LHH54" s="102"/>
      <c r="LHI54" s="102"/>
      <c r="LHJ54" s="102"/>
      <c r="LHK54" s="102"/>
      <c r="LHL54" s="102"/>
      <c r="LHM54" s="102"/>
      <c r="LHN54" s="102"/>
      <c r="LHO54" s="102"/>
      <c r="LHP54" s="102"/>
      <c r="LHQ54" s="102"/>
      <c r="LHR54" s="102"/>
      <c r="LHS54" s="102"/>
      <c r="LHT54" s="102"/>
      <c r="LHU54" s="102"/>
      <c r="LHV54" s="102"/>
      <c r="LHW54" s="102"/>
      <c r="LHX54" s="102"/>
      <c r="LHY54" s="102"/>
      <c r="LHZ54" s="102"/>
      <c r="LIA54" s="102"/>
      <c r="LIB54" s="102"/>
      <c r="LIC54" s="102"/>
      <c r="LID54" s="102"/>
      <c r="LIE54" s="102"/>
      <c r="LIF54" s="102"/>
      <c r="LIG54" s="102"/>
      <c r="LIH54" s="102"/>
      <c r="LII54" s="102"/>
      <c r="LIJ54" s="102"/>
      <c r="LIK54" s="102"/>
      <c r="LIL54" s="102"/>
      <c r="LIM54" s="102"/>
      <c r="LIN54" s="102"/>
      <c r="LIO54" s="102"/>
      <c r="LIP54" s="102"/>
      <c r="LIQ54" s="102"/>
      <c r="LIR54" s="102"/>
      <c r="LIS54" s="102"/>
      <c r="LIT54" s="102"/>
      <c r="LIU54" s="102"/>
      <c r="LIV54" s="102"/>
      <c r="LIW54" s="102"/>
      <c r="LIX54" s="102"/>
      <c r="LIY54" s="102"/>
      <c r="LIZ54" s="102"/>
      <c r="LJA54" s="102"/>
      <c r="LJB54" s="102"/>
      <c r="LJC54" s="102"/>
      <c r="LJD54" s="102"/>
      <c r="LJE54" s="102"/>
      <c r="LJF54" s="102"/>
      <c r="LJG54" s="102"/>
      <c r="LJH54" s="102"/>
      <c r="LJI54" s="102"/>
      <c r="LJJ54" s="102"/>
      <c r="LJK54" s="102"/>
      <c r="LJL54" s="102"/>
      <c r="LJM54" s="102"/>
      <c r="LJN54" s="102"/>
      <c r="LJO54" s="102"/>
      <c r="LJP54" s="102"/>
      <c r="LJQ54" s="102"/>
      <c r="LJR54" s="102"/>
      <c r="LJS54" s="102"/>
      <c r="LJT54" s="102"/>
      <c r="LJU54" s="102"/>
      <c r="LJV54" s="102"/>
      <c r="LJW54" s="102"/>
      <c r="LJX54" s="102"/>
      <c r="LJY54" s="102"/>
      <c r="LJZ54" s="102"/>
      <c r="LKA54" s="102"/>
      <c r="LKB54" s="102"/>
      <c r="LKC54" s="102"/>
      <c r="LKD54" s="102"/>
      <c r="LKE54" s="102"/>
      <c r="LKF54" s="102"/>
      <c r="LKG54" s="102"/>
      <c r="LKH54" s="102"/>
      <c r="LKI54" s="102"/>
      <c r="LKJ54" s="102"/>
      <c r="LKK54" s="102"/>
      <c r="LKL54" s="102"/>
      <c r="LKM54" s="102"/>
      <c r="LKN54" s="102"/>
      <c r="LKO54" s="102"/>
      <c r="LKP54" s="102"/>
      <c r="LKQ54" s="102"/>
      <c r="LKR54" s="102"/>
      <c r="LKS54" s="102"/>
      <c r="LKT54" s="102"/>
      <c r="LKU54" s="102"/>
      <c r="LKV54" s="102"/>
      <c r="LKW54" s="102"/>
      <c r="LKX54" s="102"/>
      <c r="LKY54" s="102"/>
      <c r="LKZ54" s="102"/>
      <c r="LLA54" s="102"/>
      <c r="LLB54" s="102"/>
      <c r="LLC54" s="102"/>
      <c r="LLD54" s="102"/>
      <c r="LLE54" s="102"/>
      <c r="LLF54" s="102"/>
      <c r="LLG54" s="102"/>
      <c r="LLH54" s="102"/>
      <c r="LLI54" s="102"/>
      <c r="LLJ54" s="102"/>
      <c r="LLK54" s="102"/>
      <c r="LLL54" s="102"/>
      <c r="LLM54" s="102"/>
      <c r="LLN54" s="102"/>
      <c r="LLO54" s="102"/>
      <c r="LLP54" s="102"/>
      <c r="LLQ54" s="102"/>
      <c r="LLR54" s="102"/>
      <c r="LLS54" s="102"/>
      <c r="LLT54" s="102"/>
      <c r="LLU54" s="102"/>
      <c r="LLV54" s="102"/>
      <c r="LLW54" s="102"/>
      <c r="LLX54" s="102"/>
      <c r="LLY54" s="102"/>
      <c r="LLZ54" s="102"/>
      <c r="LMA54" s="102"/>
      <c r="LMB54" s="102"/>
      <c r="LMC54" s="102"/>
      <c r="LMD54" s="102"/>
      <c r="LME54" s="102"/>
      <c r="LMF54" s="102"/>
      <c r="LMG54" s="102"/>
      <c r="LMH54" s="102"/>
      <c r="LMI54" s="102"/>
      <c r="LMJ54" s="102"/>
      <c r="LMK54" s="102"/>
      <c r="LML54" s="102"/>
      <c r="LMM54" s="102"/>
      <c r="LMN54" s="102"/>
      <c r="LMO54" s="102"/>
      <c r="LMP54" s="102"/>
      <c r="LMQ54" s="102"/>
      <c r="LMR54" s="102"/>
      <c r="LMS54" s="102"/>
      <c r="LMT54" s="102"/>
      <c r="LMU54" s="102"/>
      <c r="LMV54" s="102"/>
      <c r="LMW54" s="102"/>
      <c r="LMX54" s="102"/>
      <c r="LMY54" s="102"/>
      <c r="LMZ54" s="102"/>
      <c r="LNA54" s="102"/>
      <c r="LNB54" s="102"/>
      <c r="LNC54" s="102"/>
      <c r="LND54" s="102"/>
      <c r="LNE54" s="102"/>
      <c r="LNF54" s="102"/>
      <c r="LNG54" s="102"/>
      <c r="LNH54" s="102"/>
      <c r="LNI54" s="102"/>
      <c r="LNJ54" s="102"/>
      <c r="LNK54" s="102"/>
      <c r="LNL54" s="102"/>
      <c r="LNM54" s="102"/>
      <c r="LNN54" s="102"/>
      <c r="LNO54" s="102"/>
      <c r="LNP54" s="102"/>
      <c r="LNQ54" s="102"/>
      <c r="LNR54" s="102"/>
      <c r="LNS54" s="102"/>
      <c r="LNT54" s="102"/>
      <c r="LNU54" s="102"/>
      <c r="LNV54" s="102"/>
      <c r="LNW54" s="102"/>
      <c r="LNX54" s="102"/>
      <c r="LNY54" s="102"/>
      <c r="LNZ54" s="102"/>
      <c r="LOA54" s="102"/>
      <c r="LOB54" s="102"/>
      <c r="LOC54" s="102"/>
      <c r="LOD54" s="102"/>
      <c r="LOE54" s="102"/>
      <c r="LOF54" s="102"/>
      <c r="LOG54" s="102"/>
      <c r="LOH54" s="102"/>
      <c r="LOI54" s="102"/>
      <c r="LOJ54" s="102"/>
      <c r="LOK54" s="102"/>
      <c r="LOL54" s="102"/>
      <c r="LOM54" s="102"/>
      <c r="LON54" s="102"/>
      <c r="LOO54" s="102"/>
      <c r="LOP54" s="102"/>
      <c r="LOQ54" s="102"/>
      <c r="LOR54" s="102"/>
      <c r="LOS54" s="102"/>
      <c r="LOT54" s="102"/>
      <c r="LOU54" s="102"/>
      <c r="LOV54" s="102"/>
      <c r="LOW54" s="102"/>
      <c r="LOX54" s="102"/>
      <c r="LOY54" s="102"/>
      <c r="LOZ54" s="102"/>
      <c r="LPA54" s="102"/>
      <c r="LPB54" s="102"/>
      <c r="LPC54" s="102"/>
      <c r="LPD54" s="102"/>
      <c r="LPE54" s="102"/>
      <c r="LPF54" s="102"/>
      <c r="LPG54" s="102"/>
      <c r="LPH54" s="102"/>
      <c r="LPI54" s="102"/>
      <c r="LPJ54" s="102"/>
      <c r="LPK54" s="102"/>
      <c r="LPL54" s="102"/>
      <c r="LPM54" s="102"/>
      <c r="LPN54" s="102"/>
      <c r="LPO54" s="102"/>
      <c r="LPP54" s="102"/>
      <c r="LPQ54" s="102"/>
      <c r="LPR54" s="102"/>
      <c r="LPS54" s="102"/>
      <c r="LPT54" s="102"/>
      <c r="LPU54" s="102"/>
      <c r="LPV54" s="102"/>
      <c r="LPW54" s="102"/>
      <c r="LPX54" s="102"/>
      <c r="LPY54" s="102"/>
      <c r="LPZ54" s="102"/>
      <c r="LQA54" s="102"/>
      <c r="LQB54" s="102"/>
      <c r="LQC54" s="102"/>
      <c r="LQD54" s="102"/>
      <c r="LQE54" s="102"/>
      <c r="LQF54" s="102"/>
      <c r="LQG54" s="102"/>
      <c r="LQH54" s="102"/>
      <c r="LQI54" s="102"/>
      <c r="LQJ54" s="102"/>
      <c r="LQK54" s="102"/>
      <c r="LQL54" s="102"/>
      <c r="LQM54" s="102"/>
      <c r="LQN54" s="102"/>
      <c r="LQO54" s="102"/>
      <c r="LQP54" s="102"/>
      <c r="LQQ54" s="102"/>
      <c r="LQR54" s="102"/>
      <c r="LQS54" s="102"/>
      <c r="LQT54" s="102"/>
      <c r="LQU54" s="102"/>
      <c r="LQV54" s="102"/>
      <c r="LQW54" s="102"/>
      <c r="LQX54" s="102"/>
      <c r="LQY54" s="102"/>
      <c r="LQZ54" s="102"/>
      <c r="LRA54" s="102"/>
      <c r="LRB54" s="102"/>
      <c r="LRC54" s="102"/>
      <c r="LRD54" s="102"/>
      <c r="LRE54" s="102"/>
      <c r="LRF54" s="102"/>
      <c r="LRG54" s="102"/>
      <c r="LRH54" s="102"/>
      <c r="LRI54" s="102"/>
      <c r="LRJ54" s="102"/>
      <c r="LRK54" s="102"/>
      <c r="LRL54" s="102"/>
      <c r="LRM54" s="102"/>
      <c r="LRN54" s="102"/>
      <c r="LRO54" s="102"/>
      <c r="LRP54" s="102"/>
      <c r="LRQ54" s="102"/>
      <c r="LRR54" s="102"/>
      <c r="LRS54" s="102"/>
      <c r="LRT54" s="102"/>
      <c r="LRU54" s="102"/>
      <c r="LRV54" s="102"/>
      <c r="LRW54" s="102"/>
      <c r="LRX54" s="102"/>
      <c r="LRY54" s="102"/>
      <c r="LRZ54" s="102"/>
      <c r="LSA54" s="102"/>
      <c r="LSB54" s="102"/>
      <c r="LSC54" s="102"/>
      <c r="LSD54" s="102"/>
      <c r="LSE54" s="102"/>
      <c r="LSF54" s="102"/>
      <c r="LSG54" s="102"/>
      <c r="LSH54" s="102"/>
      <c r="LSI54" s="102"/>
      <c r="LSJ54" s="102"/>
      <c r="LSK54" s="102"/>
      <c r="LSL54" s="102"/>
      <c r="LSM54" s="102"/>
      <c r="LSN54" s="102"/>
      <c r="LSO54" s="102"/>
      <c r="LSP54" s="102"/>
      <c r="LSQ54" s="102"/>
      <c r="LSR54" s="102"/>
      <c r="LSS54" s="102"/>
      <c r="LST54" s="102"/>
      <c r="LSU54" s="102"/>
      <c r="LSV54" s="102"/>
      <c r="LSW54" s="102"/>
      <c r="LSX54" s="102"/>
      <c r="LSY54" s="102"/>
      <c r="LSZ54" s="102"/>
      <c r="LTA54" s="102"/>
      <c r="LTB54" s="102"/>
      <c r="LTC54" s="102"/>
      <c r="LTD54" s="102"/>
      <c r="LTE54" s="102"/>
      <c r="LTF54" s="102"/>
      <c r="LTG54" s="102"/>
      <c r="LTH54" s="102"/>
      <c r="LTI54" s="102"/>
      <c r="LTJ54" s="102"/>
      <c r="LTK54" s="102"/>
      <c r="LTL54" s="102"/>
      <c r="LTM54" s="102"/>
      <c r="LTN54" s="102"/>
      <c r="LTO54" s="102"/>
      <c r="LTP54" s="102"/>
      <c r="LTQ54" s="102"/>
      <c r="LTR54" s="102"/>
      <c r="LTS54" s="102"/>
      <c r="LTT54" s="102"/>
      <c r="LTU54" s="102"/>
      <c r="LTV54" s="102"/>
      <c r="LTW54" s="102"/>
      <c r="LTX54" s="102"/>
      <c r="LTY54" s="102"/>
      <c r="LTZ54" s="102"/>
      <c r="LUA54" s="102"/>
      <c r="LUB54" s="102"/>
      <c r="LUC54" s="102"/>
      <c r="LUD54" s="102"/>
      <c r="LUE54" s="102"/>
      <c r="LUF54" s="102"/>
      <c r="LUG54" s="102"/>
      <c r="LUH54" s="102"/>
      <c r="LUI54" s="102"/>
      <c r="LUJ54" s="102"/>
      <c r="LUK54" s="102"/>
      <c r="LUL54" s="102"/>
      <c r="LUM54" s="102"/>
      <c r="LUN54" s="102"/>
      <c r="LUO54" s="102"/>
      <c r="LUP54" s="102"/>
      <c r="LUQ54" s="102"/>
      <c r="LUR54" s="102"/>
      <c r="LUS54" s="102"/>
      <c r="LUT54" s="102"/>
      <c r="LUU54" s="102"/>
      <c r="LUV54" s="102"/>
      <c r="LUW54" s="102"/>
      <c r="LUX54" s="102"/>
      <c r="LUY54" s="102"/>
      <c r="LUZ54" s="102"/>
      <c r="LVA54" s="102"/>
      <c r="LVB54" s="102"/>
      <c r="LVC54" s="102"/>
      <c r="LVD54" s="102"/>
      <c r="LVE54" s="102"/>
      <c r="LVF54" s="102"/>
      <c r="LVG54" s="102"/>
      <c r="LVH54" s="102"/>
      <c r="LVI54" s="102"/>
      <c r="LVJ54" s="102"/>
      <c r="LVK54" s="102"/>
      <c r="LVL54" s="102"/>
      <c r="LVM54" s="102"/>
      <c r="LVN54" s="102"/>
      <c r="LVO54" s="102"/>
      <c r="LVP54" s="102"/>
      <c r="LVQ54" s="102"/>
      <c r="LVR54" s="102"/>
      <c r="LVS54" s="102"/>
      <c r="LVT54" s="102"/>
      <c r="LVU54" s="102"/>
      <c r="LVV54" s="102"/>
      <c r="LVW54" s="102"/>
      <c r="LVX54" s="102"/>
      <c r="LVY54" s="102"/>
      <c r="LVZ54" s="102"/>
      <c r="LWA54" s="102"/>
      <c r="LWB54" s="102"/>
      <c r="LWC54" s="102"/>
      <c r="LWD54" s="102"/>
      <c r="LWE54" s="102"/>
      <c r="LWF54" s="102"/>
      <c r="LWG54" s="102"/>
      <c r="LWH54" s="102"/>
      <c r="LWI54" s="102"/>
      <c r="LWJ54" s="102"/>
      <c r="LWK54" s="102"/>
      <c r="LWL54" s="102"/>
      <c r="LWM54" s="102"/>
      <c r="LWN54" s="102"/>
      <c r="LWO54" s="102"/>
      <c r="LWP54" s="102"/>
      <c r="LWQ54" s="102"/>
      <c r="LWR54" s="102"/>
      <c r="LWS54" s="102"/>
      <c r="LWT54" s="102"/>
      <c r="LWU54" s="102"/>
      <c r="LWV54" s="102"/>
      <c r="LWW54" s="102"/>
      <c r="LWX54" s="102"/>
      <c r="LWY54" s="102"/>
      <c r="LWZ54" s="102"/>
      <c r="LXA54" s="102"/>
      <c r="LXB54" s="102"/>
      <c r="LXC54" s="102"/>
      <c r="LXD54" s="102"/>
      <c r="LXE54" s="102"/>
      <c r="LXF54" s="102"/>
      <c r="LXG54" s="102"/>
      <c r="LXH54" s="102"/>
      <c r="LXI54" s="102"/>
      <c r="LXJ54" s="102"/>
      <c r="LXK54" s="102"/>
      <c r="LXL54" s="102"/>
      <c r="LXM54" s="102"/>
      <c r="LXN54" s="102"/>
      <c r="LXO54" s="102"/>
      <c r="LXP54" s="102"/>
      <c r="LXQ54" s="102"/>
      <c r="LXR54" s="102"/>
      <c r="LXS54" s="102"/>
      <c r="LXT54" s="102"/>
      <c r="LXU54" s="102"/>
      <c r="LXV54" s="102"/>
      <c r="LXW54" s="102"/>
      <c r="LXX54" s="102"/>
      <c r="LXY54" s="102"/>
      <c r="LXZ54" s="102"/>
      <c r="LYA54" s="102"/>
      <c r="LYB54" s="102"/>
      <c r="LYC54" s="102"/>
      <c r="LYD54" s="102"/>
      <c r="LYE54" s="102"/>
      <c r="LYF54" s="102"/>
      <c r="LYG54" s="102"/>
      <c r="LYH54" s="102"/>
      <c r="LYI54" s="102"/>
      <c r="LYJ54" s="102"/>
      <c r="LYK54" s="102"/>
      <c r="LYL54" s="102"/>
      <c r="LYM54" s="102"/>
      <c r="LYN54" s="102"/>
      <c r="LYO54" s="102"/>
      <c r="LYP54" s="102"/>
      <c r="LYQ54" s="102"/>
      <c r="LYR54" s="102"/>
      <c r="LYS54" s="102"/>
      <c r="LYT54" s="102"/>
      <c r="LYU54" s="102"/>
      <c r="LYV54" s="102"/>
      <c r="LYW54" s="102"/>
      <c r="LYX54" s="102"/>
      <c r="LYY54" s="102"/>
      <c r="LYZ54" s="102"/>
      <c r="LZA54" s="102"/>
      <c r="LZB54" s="102"/>
      <c r="LZC54" s="102"/>
      <c r="LZD54" s="102"/>
      <c r="LZE54" s="102"/>
      <c r="LZF54" s="102"/>
      <c r="LZG54" s="102"/>
      <c r="LZH54" s="102"/>
      <c r="LZI54" s="102"/>
      <c r="LZJ54" s="102"/>
      <c r="LZK54" s="102"/>
      <c r="LZL54" s="102"/>
      <c r="LZM54" s="102"/>
      <c r="LZN54" s="102"/>
      <c r="LZO54" s="102"/>
      <c r="LZP54" s="102"/>
      <c r="LZQ54" s="102"/>
      <c r="LZR54" s="102"/>
      <c r="LZS54" s="102"/>
      <c r="LZT54" s="102"/>
      <c r="LZU54" s="102"/>
      <c r="LZV54" s="102"/>
      <c r="LZW54" s="102"/>
      <c r="LZX54" s="102"/>
      <c r="LZY54" s="102"/>
      <c r="LZZ54" s="102"/>
      <c r="MAA54" s="102"/>
      <c r="MAB54" s="102"/>
      <c r="MAC54" s="102"/>
      <c r="MAD54" s="102"/>
      <c r="MAE54" s="102"/>
      <c r="MAF54" s="102"/>
      <c r="MAG54" s="102"/>
      <c r="MAH54" s="102"/>
      <c r="MAI54" s="102"/>
      <c r="MAJ54" s="102"/>
      <c r="MAK54" s="102"/>
      <c r="MAL54" s="102"/>
      <c r="MAM54" s="102"/>
      <c r="MAN54" s="102"/>
      <c r="MAO54" s="102"/>
      <c r="MAP54" s="102"/>
      <c r="MAQ54" s="102"/>
      <c r="MAR54" s="102"/>
      <c r="MAS54" s="102"/>
      <c r="MAT54" s="102"/>
      <c r="MAU54" s="102"/>
      <c r="MAV54" s="102"/>
      <c r="MAW54" s="102"/>
      <c r="MAX54" s="102"/>
      <c r="MAY54" s="102"/>
      <c r="MAZ54" s="102"/>
      <c r="MBA54" s="102"/>
      <c r="MBB54" s="102"/>
      <c r="MBC54" s="102"/>
      <c r="MBD54" s="102"/>
      <c r="MBE54" s="102"/>
      <c r="MBF54" s="102"/>
      <c r="MBG54" s="102"/>
      <c r="MBH54" s="102"/>
      <c r="MBI54" s="102"/>
      <c r="MBJ54" s="102"/>
      <c r="MBK54" s="102"/>
      <c r="MBL54" s="102"/>
      <c r="MBM54" s="102"/>
      <c r="MBN54" s="102"/>
      <c r="MBO54" s="102"/>
      <c r="MBP54" s="102"/>
      <c r="MBQ54" s="102"/>
      <c r="MBR54" s="102"/>
      <c r="MBS54" s="102"/>
      <c r="MBT54" s="102"/>
      <c r="MBU54" s="102"/>
      <c r="MBV54" s="102"/>
      <c r="MBW54" s="102"/>
      <c r="MBX54" s="102"/>
      <c r="MBY54" s="102"/>
      <c r="MBZ54" s="102"/>
      <c r="MCA54" s="102"/>
      <c r="MCB54" s="102"/>
      <c r="MCC54" s="102"/>
      <c r="MCD54" s="102"/>
      <c r="MCE54" s="102"/>
      <c r="MCF54" s="102"/>
      <c r="MCG54" s="102"/>
      <c r="MCH54" s="102"/>
      <c r="MCI54" s="102"/>
      <c r="MCJ54" s="102"/>
      <c r="MCK54" s="102"/>
      <c r="MCL54" s="102"/>
      <c r="MCM54" s="102"/>
      <c r="MCN54" s="102"/>
      <c r="MCO54" s="102"/>
      <c r="MCP54" s="102"/>
      <c r="MCQ54" s="102"/>
      <c r="MCR54" s="102"/>
      <c r="MCS54" s="102"/>
      <c r="MCT54" s="102"/>
      <c r="MCU54" s="102"/>
      <c r="MCV54" s="102"/>
      <c r="MCW54" s="102"/>
      <c r="MCX54" s="102"/>
      <c r="MCY54" s="102"/>
      <c r="MCZ54" s="102"/>
      <c r="MDA54" s="102"/>
      <c r="MDB54" s="102"/>
      <c r="MDC54" s="102"/>
      <c r="MDD54" s="102"/>
      <c r="MDE54" s="102"/>
      <c r="MDF54" s="102"/>
      <c r="MDG54" s="102"/>
      <c r="MDH54" s="102"/>
      <c r="MDI54" s="102"/>
      <c r="MDJ54" s="102"/>
      <c r="MDK54" s="102"/>
      <c r="MDL54" s="102"/>
      <c r="MDM54" s="102"/>
      <c r="MDN54" s="102"/>
      <c r="MDO54" s="102"/>
      <c r="MDP54" s="102"/>
      <c r="MDQ54" s="102"/>
      <c r="MDR54" s="102"/>
      <c r="MDS54" s="102"/>
      <c r="MDT54" s="102"/>
      <c r="MDU54" s="102"/>
      <c r="MDV54" s="102"/>
      <c r="MDW54" s="102"/>
      <c r="MDX54" s="102"/>
      <c r="MDY54" s="102"/>
      <c r="MDZ54" s="102"/>
      <c r="MEA54" s="102"/>
      <c r="MEB54" s="102"/>
      <c r="MEC54" s="102"/>
      <c r="MED54" s="102"/>
      <c r="MEE54" s="102"/>
      <c r="MEF54" s="102"/>
      <c r="MEG54" s="102"/>
      <c r="MEH54" s="102"/>
      <c r="MEI54" s="102"/>
      <c r="MEJ54" s="102"/>
      <c r="MEK54" s="102"/>
      <c r="MEL54" s="102"/>
      <c r="MEM54" s="102"/>
      <c r="MEN54" s="102"/>
      <c r="MEO54" s="102"/>
      <c r="MEP54" s="102"/>
      <c r="MEQ54" s="102"/>
      <c r="MER54" s="102"/>
      <c r="MES54" s="102"/>
      <c r="MET54" s="102"/>
      <c r="MEU54" s="102"/>
      <c r="MEV54" s="102"/>
      <c r="MEW54" s="102"/>
      <c r="MEX54" s="102"/>
      <c r="MEY54" s="102"/>
      <c r="MEZ54" s="102"/>
      <c r="MFA54" s="102"/>
      <c r="MFB54" s="102"/>
      <c r="MFC54" s="102"/>
      <c r="MFD54" s="102"/>
      <c r="MFE54" s="102"/>
      <c r="MFF54" s="102"/>
      <c r="MFG54" s="102"/>
      <c r="MFH54" s="102"/>
      <c r="MFI54" s="102"/>
      <c r="MFJ54" s="102"/>
      <c r="MFK54" s="102"/>
      <c r="MFL54" s="102"/>
      <c r="MFM54" s="102"/>
      <c r="MFN54" s="102"/>
      <c r="MFO54" s="102"/>
      <c r="MFP54" s="102"/>
      <c r="MFQ54" s="102"/>
      <c r="MFR54" s="102"/>
      <c r="MFS54" s="102"/>
      <c r="MFT54" s="102"/>
      <c r="MFU54" s="102"/>
      <c r="MFV54" s="102"/>
      <c r="MFW54" s="102"/>
      <c r="MFX54" s="102"/>
      <c r="MFY54" s="102"/>
      <c r="MFZ54" s="102"/>
      <c r="MGA54" s="102"/>
      <c r="MGB54" s="102"/>
      <c r="MGC54" s="102"/>
      <c r="MGD54" s="102"/>
      <c r="MGE54" s="102"/>
      <c r="MGF54" s="102"/>
      <c r="MGG54" s="102"/>
      <c r="MGH54" s="102"/>
      <c r="MGI54" s="102"/>
      <c r="MGJ54" s="102"/>
      <c r="MGK54" s="102"/>
      <c r="MGL54" s="102"/>
      <c r="MGM54" s="102"/>
      <c r="MGN54" s="102"/>
      <c r="MGO54" s="102"/>
      <c r="MGP54" s="102"/>
      <c r="MGQ54" s="102"/>
      <c r="MGR54" s="102"/>
      <c r="MGS54" s="102"/>
      <c r="MGT54" s="102"/>
      <c r="MGU54" s="102"/>
      <c r="MGV54" s="102"/>
      <c r="MGW54" s="102"/>
      <c r="MGX54" s="102"/>
      <c r="MGY54" s="102"/>
      <c r="MGZ54" s="102"/>
      <c r="MHA54" s="102"/>
      <c r="MHB54" s="102"/>
      <c r="MHC54" s="102"/>
      <c r="MHD54" s="102"/>
      <c r="MHE54" s="102"/>
      <c r="MHF54" s="102"/>
      <c r="MHG54" s="102"/>
      <c r="MHH54" s="102"/>
      <c r="MHI54" s="102"/>
      <c r="MHJ54" s="102"/>
      <c r="MHK54" s="102"/>
      <c r="MHL54" s="102"/>
      <c r="MHM54" s="102"/>
      <c r="MHN54" s="102"/>
      <c r="MHO54" s="102"/>
      <c r="MHP54" s="102"/>
      <c r="MHQ54" s="102"/>
      <c r="MHR54" s="102"/>
      <c r="MHS54" s="102"/>
      <c r="MHT54" s="102"/>
      <c r="MHU54" s="102"/>
      <c r="MHV54" s="102"/>
      <c r="MHW54" s="102"/>
      <c r="MHX54" s="102"/>
      <c r="MHY54" s="102"/>
      <c r="MHZ54" s="102"/>
      <c r="MIA54" s="102"/>
      <c r="MIB54" s="102"/>
      <c r="MIC54" s="102"/>
      <c r="MID54" s="102"/>
      <c r="MIE54" s="102"/>
      <c r="MIF54" s="102"/>
      <c r="MIG54" s="102"/>
      <c r="MIH54" s="102"/>
      <c r="MII54" s="102"/>
      <c r="MIJ54" s="102"/>
      <c r="MIK54" s="102"/>
      <c r="MIL54" s="102"/>
      <c r="MIM54" s="102"/>
      <c r="MIN54" s="102"/>
      <c r="MIO54" s="102"/>
      <c r="MIP54" s="102"/>
      <c r="MIQ54" s="102"/>
      <c r="MIR54" s="102"/>
      <c r="MIS54" s="102"/>
      <c r="MIT54" s="102"/>
      <c r="MIU54" s="102"/>
      <c r="MIV54" s="102"/>
      <c r="MIW54" s="102"/>
      <c r="MIX54" s="102"/>
      <c r="MIY54" s="102"/>
      <c r="MIZ54" s="102"/>
      <c r="MJA54" s="102"/>
      <c r="MJB54" s="102"/>
      <c r="MJC54" s="102"/>
      <c r="MJD54" s="102"/>
      <c r="MJE54" s="102"/>
      <c r="MJF54" s="102"/>
      <c r="MJG54" s="102"/>
      <c r="MJH54" s="102"/>
      <c r="MJI54" s="102"/>
      <c r="MJJ54" s="102"/>
      <c r="MJK54" s="102"/>
      <c r="MJL54" s="102"/>
      <c r="MJM54" s="102"/>
      <c r="MJN54" s="102"/>
      <c r="MJO54" s="102"/>
      <c r="MJP54" s="102"/>
      <c r="MJQ54" s="102"/>
      <c r="MJR54" s="102"/>
      <c r="MJS54" s="102"/>
      <c r="MJT54" s="102"/>
      <c r="MJU54" s="102"/>
      <c r="MJV54" s="102"/>
      <c r="MJW54" s="102"/>
      <c r="MJX54" s="102"/>
      <c r="MJY54" s="102"/>
      <c r="MJZ54" s="102"/>
      <c r="MKA54" s="102"/>
      <c r="MKB54" s="102"/>
      <c r="MKC54" s="102"/>
      <c r="MKD54" s="102"/>
      <c r="MKE54" s="102"/>
      <c r="MKF54" s="102"/>
      <c r="MKG54" s="102"/>
      <c r="MKH54" s="102"/>
      <c r="MKI54" s="102"/>
      <c r="MKJ54" s="102"/>
      <c r="MKK54" s="102"/>
      <c r="MKL54" s="102"/>
      <c r="MKM54" s="102"/>
      <c r="MKN54" s="102"/>
      <c r="MKO54" s="102"/>
      <c r="MKP54" s="102"/>
      <c r="MKQ54" s="102"/>
      <c r="MKR54" s="102"/>
      <c r="MKS54" s="102"/>
      <c r="MKT54" s="102"/>
      <c r="MKU54" s="102"/>
      <c r="MKV54" s="102"/>
      <c r="MKW54" s="102"/>
      <c r="MKX54" s="102"/>
      <c r="MKY54" s="102"/>
      <c r="MKZ54" s="102"/>
      <c r="MLA54" s="102"/>
      <c r="MLB54" s="102"/>
      <c r="MLC54" s="102"/>
      <c r="MLD54" s="102"/>
      <c r="MLE54" s="102"/>
      <c r="MLF54" s="102"/>
      <c r="MLG54" s="102"/>
      <c r="MLH54" s="102"/>
      <c r="MLI54" s="102"/>
      <c r="MLJ54" s="102"/>
      <c r="MLK54" s="102"/>
      <c r="MLL54" s="102"/>
      <c r="MLM54" s="102"/>
      <c r="MLN54" s="102"/>
      <c r="MLO54" s="102"/>
      <c r="MLP54" s="102"/>
      <c r="MLQ54" s="102"/>
      <c r="MLR54" s="102"/>
      <c r="MLS54" s="102"/>
      <c r="MLT54" s="102"/>
      <c r="MLU54" s="102"/>
      <c r="MLV54" s="102"/>
      <c r="MLW54" s="102"/>
      <c r="MLX54" s="102"/>
      <c r="MLY54" s="102"/>
      <c r="MLZ54" s="102"/>
      <c r="MMA54" s="102"/>
      <c r="MMB54" s="102"/>
      <c r="MMC54" s="102"/>
      <c r="MMD54" s="102"/>
      <c r="MME54" s="102"/>
      <c r="MMF54" s="102"/>
      <c r="MMG54" s="102"/>
      <c r="MMH54" s="102"/>
      <c r="MMI54" s="102"/>
      <c r="MMJ54" s="102"/>
      <c r="MMK54" s="102"/>
      <c r="MML54" s="102"/>
      <c r="MMM54" s="102"/>
      <c r="MMN54" s="102"/>
      <c r="MMO54" s="102"/>
      <c r="MMP54" s="102"/>
      <c r="MMQ54" s="102"/>
      <c r="MMR54" s="102"/>
      <c r="MMS54" s="102"/>
      <c r="MMT54" s="102"/>
      <c r="MMU54" s="102"/>
      <c r="MMV54" s="102"/>
      <c r="MMW54" s="102"/>
      <c r="MMX54" s="102"/>
      <c r="MMY54" s="102"/>
      <c r="MMZ54" s="102"/>
      <c r="MNA54" s="102"/>
      <c r="MNB54" s="102"/>
      <c r="MNC54" s="102"/>
      <c r="MND54" s="102"/>
      <c r="MNE54" s="102"/>
      <c r="MNF54" s="102"/>
      <c r="MNG54" s="102"/>
      <c r="MNH54" s="102"/>
      <c r="MNI54" s="102"/>
      <c r="MNJ54" s="102"/>
      <c r="MNK54" s="102"/>
      <c r="MNL54" s="102"/>
      <c r="MNM54" s="102"/>
      <c r="MNN54" s="102"/>
      <c r="MNO54" s="102"/>
      <c r="MNP54" s="102"/>
      <c r="MNQ54" s="102"/>
      <c r="MNR54" s="102"/>
      <c r="MNS54" s="102"/>
      <c r="MNT54" s="102"/>
      <c r="MNU54" s="102"/>
      <c r="MNV54" s="102"/>
      <c r="MNW54" s="102"/>
      <c r="MNX54" s="102"/>
      <c r="MNY54" s="102"/>
      <c r="MNZ54" s="102"/>
      <c r="MOA54" s="102"/>
      <c r="MOB54" s="102"/>
      <c r="MOC54" s="102"/>
      <c r="MOD54" s="102"/>
      <c r="MOE54" s="102"/>
      <c r="MOF54" s="102"/>
      <c r="MOG54" s="102"/>
      <c r="MOH54" s="102"/>
      <c r="MOI54" s="102"/>
      <c r="MOJ54" s="102"/>
      <c r="MOK54" s="102"/>
      <c r="MOL54" s="102"/>
      <c r="MOM54" s="102"/>
      <c r="MON54" s="102"/>
      <c r="MOO54" s="102"/>
      <c r="MOP54" s="102"/>
      <c r="MOQ54" s="102"/>
      <c r="MOR54" s="102"/>
      <c r="MOS54" s="102"/>
      <c r="MOT54" s="102"/>
      <c r="MOU54" s="102"/>
      <c r="MOV54" s="102"/>
      <c r="MOW54" s="102"/>
      <c r="MOX54" s="102"/>
      <c r="MOY54" s="102"/>
      <c r="MOZ54" s="102"/>
      <c r="MPA54" s="102"/>
      <c r="MPB54" s="102"/>
      <c r="MPC54" s="102"/>
      <c r="MPD54" s="102"/>
      <c r="MPE54" s="102"/>
      <c r="MPF54" s="102"/>
      <c r="MPG54" s="102"/>
      <c r="MPH54" s="102"/>
      <c r="MPI54" s="102"/>
      <c r="MPJ54" s="102"/>
      <c r="MPK54" s="102"/>
      <c r="MPL54" s="102"/>
      <c r="MPM54" s="102"/>
      <c r="MPN54" s="102"/>
      <c r="MPO54" s="102"/>
      <c r="MPP54" s="102"/>
      <c r="MPQ54" s="102"/>
      <c r="MPR54" s="102"/>
      <c r="MPS54" s="102"/>
      <c r="MPT54" s="102"/>
      <c r="MPU54" s="102"/>
      <c r="MPV54" s="102"/>
      <c r="MPW54" s="102"/>
      <c r="MPX54" s="102"/>
      <c r="MPY54" s="102"/>
      <c r="MPZ54" s="102"/>
      <c r="MQA54" s="102"/>
      <c r="MQB54" s="102"/>
      <c r="MQC54" s="102"/>
      <c r="MQD54" s="102"/>
      <c r="MQE54" s="102"/>
      <c r="MQF54" s="102"/>
      <c r="MQG54" s="102"/>
      <c r="MQH54" s="102"/>
      <c r="MQI54" s="102"/>
      <c r="MQJ54" s="102"/>
      <c r="MQK54" s="102"/>
      <c r="MQL54" s="102"/>
      <c r="MQM54" s="102"/>
      <c r="MQN54" s="102"/>
      <c r="MQO54" s="102"/>
      <c r="MQP54" s="102"/>
      <c r="MQQ54" s="102"/>
      <c r="MQR54" s="102"/>
      <c r="MQS54" s="102"/>
      <c r="MQT54" s="102"/>
      <c r="MQU54" s="102"/>
      <c r="MQV54" s="102"/>
      <c r="MQW54" s="102"/>
      <c r="MQX54" s="102"/>
      <c r="MQY54" s="102"/>
      <c r="MQZ54" s="102"/>
      <c r="MRA54" s="102"/>
      <c r="MRB54" s="102"/>
      <c r="MRC54" s="102"/>
      <c r="MRD54" s="102"/>
      <c r="MRE54" s="102"/>
      <c r="MRF54" s="102"/>
      <c r="MRG54" s="102"/>
      <c r="MRH54" s="102"/>
      <c r="MRI54" s="102"/>
      <c r="MRJ54" s="102"/>
      <c r="MRK54" s="102"/>
      <c r="MRL54" s="102"/>
      <c r="MRM54" s="102"/>
      <c r="MRN54" s="102"/>
      <c r="MRO54" s="102"/>
      <c r="MRP54" s="102"/>
      <c r="MRQ54" s="102"/>
      <c r="MRR54" s="102"/>
      <c r="MRS54" s="102"/>
      <c r="MRT54" s="102"/>
      <c r="MRU54" s="102"/>
      <c r="MRV54" s="102"/>
      <c r="MRW54" s="102"/>
      <c r="MRX54" s="102"/>
      <c r="MRY54" s="102"/>
      <c r="MRZ54" s="102"/>
      <c r="MSA54" s="102"/>
      <c r="MSB54" s="102"/>
      <c r="MSC54" s="102"/>
      <c r="MSD54" s="102"/>
      <c r="MSE54" s="102"/>
      <c r="MSF54" s="102"/>
      <c r="MSG54" s="102"/>
      <c r="MSH54" s="102"/>
      <c r="MSI54" s="102"/>
      <c r="MSJ54" s="102"/>
      <c r="MSK54" s="102"/>
      <c r="MSL54" s="102"/>
      <c r="MSM54" s="102"/>
      <c r="MSN54" s="102"/>
      <c r="MSO54" s="102"/>
      <c r="MSP54" s="102"/>
      <c r="MSQ54" s="102"/>
      <c r="MSR54" s="102"/>
      <c r="MSS54" s="102"/>
      <c r="MST54" s="102"/>
      <c r="MSU54" s="102"/>
      <c r="MSV54" s="102"/>
      <c r="MSW54" s="102"/>
      <c r="MSX54" s="102"/>
      <c r="MSY54" s="102"/>
      <c r="MSZ54" s="102"/>
      <c r="MTA54" s="102"/>
      <c r="MTB54" s="102"/>
      <c r="MTC54" s="102"/>
      <c r="MTD54" s="102"/>
      <c r="MTE54" s="102"/>
      <c r="MTF54" s="102"/>
      <c r="MTG54" s="102"/>
      <c r="MTH54" s="102"/>
      <c r="MTI54" s="102"/>
      <c r="MTJ54" s="102"/>
      <c r="MTK54" s="102"/>
      <c r="MTL54" s="102"/>
      <c r="MTM54" s="102"/>
      <c r="MTN54" s="102"/>
      <c r="MTO54" s="102"/>
      <c r="MTP54" s="102"/>
      <c r="MTQ54" s="102"/>
      <c r="MTR54" s="102"/>
      <c r="MTS54" s="102"/>
      <c r="MTT54" s="102"/>
      <c r="MTU54" s="102"/>
      <c r="MTV54" s="102"/>
      <c r="MTW54" s="102"/>
      <c r="MTX54" s="102"/>
      <c r="MTY54" s="102"/>
      <c r="MTZ54" s="102"/>
      <c r="MUA54" s="102"/>
      <c r="MUB54" s="102"/>
      <c r="MUC54" s="102"/>
      <c r="MUD54" s="102"/>
      <c r="MUE54" s="102"/>
      <c r="MUF54" s="102"/>
      <c r="MUG54" s="102"/>
      <c r="MUH54" s="102"/>
      <c r="MUI54" s="102"/>
      <c r="MUJ54" s="102"/>
      <c r="MUK54" s="102"/>
      <c r="MUL54" s="102"/>
      <c r="MUM54" s="102"/>
      <c r="MUN54" s="102"/>
      <c r="MUO54" s="102"/>
      <c r="MUP54" s="102"/>
      <c r="MUQ54" s="102"/>
      <c r="MUR54" s="102"/>
      <c r="MUS54" s="102"/>
      <c r="MUT54" s="102"/>
      <c r="MUU54" s="102"/>
      <c r="MUV54" s="102"/>
      <c r="MUW54" s="102"/>
      <c r="MUX54" s="102"/>
      <c r="MUY54" s="102"/>
      <c r="MUZ54" s="102"/>
      <c r="MVA54" s="102"/>
      <c r="MVB54" s="102"/>
      <c r="MVC54" s="102"/>
      <c r="MVD54" s="102"/>
      <c r="MVE54" s="102"/>
      <c r="MVF54" s="102"/>
      <c r="MVG54" s="102"/>
      <c r="MVH54" s="102"/>
      <c r="MVI54" s="102"/>
      <c r="MVJ54" s="102"/>
      <c r="MVK54" s="102"/>
      <c r="MVL54" s="102"/>
      <c r="MVM54" s="102"/>
      <c r="MVN54" s="102"/>
      <c r="MVO54" s="102"/>
      <c r="MVP54" s="102"/>
      <c r="MVQ54" s="102"/>
      <c r="MVR54" s="102"/>
      <c r="MVS54" s="102"/>
      <c r="MVT54" s="102"/>
      <c r="MVU54" s="102"/>
      <c r="MVV54" s="102"/>
      <c r="MVW54" s="102"/>
      <c r="MVX54" s="102"/>
      <c r="MVY54" s="102"/>
      <c r="MVZ54" s="102"/>
      <c r="MWA54" s="102"/>
      <c r="MWB54" s="102"/>
      <c r="MWC54" s="102"/>
      <c r="MWD54" s="102"/>
      <c r="MWE54" s="102"/>
      <c r="MWF54" s="102"/>
      <c r="MWG54" s="102"/>
      <c r="MWH54" s="102"/>
      <c r="MWI54" s="102"/>
      <c r="MWJ54" s="102"/>
      <c r="MWK54" s="102"/>
      <c r="MWL54" s="102"/>
      <c r="MWM54" s="102"/>
      <c r="MWN54" s="102"/>
      <c r="MWO54" s="102"/>
      <c r="MWP54" s="102"/>
      <c r="MWQ54" s="102"/>
      <c r="MWR54" s="102"/>
      <c r="MWS54" s="102"/>
      <c r="MWT54" s="102"/>
      <c r="MWU54" s="102"/>
      <c r="MWV54" s="102"/>
      <c r="MWW54" s="102"/>
      <c r="MWX54" s="102"/>
      <c r="MWY54" s="102"/>
      <c r="MWZ54" s="102"/>
      <c r="MXA54" s="102"/>
      <c r="MXB54" s="102"/>
      <c r="MXC54" s="102"/>
      <c r="MXD54" s="102"/>
      <c r="MXE54" s="102"/>
      <c r="MXF54" s="102"/>
      <c r="MXG54" s="102"/>
      <c r="MXH54" s="102"/>
      <c r="MXI54" s="102"/>
      <c r="MXJ54" s="102"/>
      <c r="MXK54" s="102"/>
      <c r="MXL54" s="102"/>
      <c r="MXM54" s="102"/>
      <c r="MXN54" s="102"/>
      <c r="MXO54" s="102"/>
      <c r="MXP54" s="102"/>
      <c r="MXQ54" s="102"/>
      <c r="MXR54" s="102"/>
      <c r="MXS54" s="102"/>
      <c r="MXT54" s="102"/>
      <c r="MXU54" s="102"/>
      <c r="MXV54" s="102"/>
      <c r="MXW54" s="102"/>
      <c r="MXX54" s="102"/>
      <c r="MXY54" s="102"/>
      <c r="MXZ54" s="102"/>
      <c r="MYA54" s="102"/>
      <c r="MYB54" s="102"/>
      <c r="MYC54" s="102"/>
      <c r="MYD54" s="102"/>
      <c r="MYE54" s="102"/>
      <c r="MYF54" s="102"/>
      <c r="MYG54" s="102"/>
      <c r="MYH54" s="102"/>
      <c r="MYI54" s="102"/>
      <c r="MYJ54" s="102"/>
      <c r="MYK54" s="102"/>
      <c r="MYL54" s="102"/>
      <c r="MYM54" s="102"/>
      <c r="MYN54" s="102"/>
      <c r="MYO54" s="102"/>
      <c r="MYP54" s="102"/>
      <c r="MYQ54" s="102"/>
      <c r="MYR54" s="102"/>
      <c r="MYS54" s="102"/>
      <c r="MYT54" s="102"/>
      <c r="MYU54" s="102"/>
      <c r="MYV54" s="102"/>
      <c r="MYW54" s="102"/>
      <c r="MYX54" s="102"/>
      <c r="MYY54" s="102"/>
      <c r="MYZ54" s="102"/>
      <c r="MZA54" s="102"/>
      <c r="MZB54" s="102"/>
      <c r="MZC54" s="102"/>
      <c r="MZD54" s="102"/>
      <c r="MZE54" s="102"/>
      <c r="MZF54" s="102"/>
      <c r="MZG54" s="102"/>
      <c r="MZH54" s="102"/>
      <c r="MZI54" s="102"/>
      <c r="MZJ54" s="102"/>
      <c r="MZK54" s="102"/>
      <c r="MZL54" s="102"/>
      <c r="MZM54" s="102"/>
      <c r="MZN54" s="102"/>
      <c r="MZO54" s="102"/>
      <c r="MZP54" s="102"/>
      <c r="MZQ54" s="102"/>
      <c r="MZR54" s="102"/>
      <c r="MZS54" s="102"/>
      <c r="MZT54" s="102"/>
      <c r="MZU54" s="102"/>
      <c r="MZV54" s="102"/>
      <c r="MZW54" s="102"/>
      <c r="MZX54" s="102"/>
      <c r="MZY54" s="102"/>
      <c r="MZZ54" s="102"/>
      <c r="NAA54" s="102"/>
      <c r="NAB54" s="102"/>
      <c r="NAC54" s="102"/>
      <c r="NAD54" s="102"/>
      <c r="NAE54" s="102"/>
      <c r="NAF54" s="102"/>
      <c r="NAG54" s="102"/>
      <c r="NAH54" s="102"/>
      <c r="NAI54" s="102"/>
      <c r="NAJ54" s="102"/>
      <c r="NAK54" s="102"/>
      <c r="NAL54" s="102"/>
      <c r="NAM54" s="102"/>
      <c r="NAN54" s="102"/>
      <c r="NAO54" s="102"/>
      <c r="NAP54" s="102"/>
      <c r="NAQ54" s="102"/>
      <c r="NAR54" s="102"/>
      <c r="NAS54" s="102"/>
      <c r="NAT54" s="102"/>
      <c r="NAU54" s="102"/>
      <c r="NAV54" s="102"/>
      <c r="NAW54" s="102"/>
      <c r="NAX54" s="102"/>
      <c r="NAY54" s="102"/>
      <c r="NAZ54" s="102"/>
      <c r="NBA54" s="102"/>
      <c r="NBB54" s="102"/>
      <c r="NBC54" s="102"/>
      <c r="NBD54" s="102"/>
      <c r="NBE54" s="102"/>
      <c r="NBF54" s="102"/>
      <c r="NBG54" s="102"/>
      <c r="NBH54" s="102"/>
      <c r="NBI54" s="102"/>
      <c r="NBJ54" s="102"/>
      <c r="NBK54" s="102"/>
      <c r="NBL54" s="102"/>
      <c r="NBM54" s="102"/>
      <c r="NBN54" s="102"/>
      <c r="NBO54" s="102"/>
      <c r="NBP54" s="102"/>
      <c r="NBQ54" s="102"/>
      <c r="NBR54" s="102"/>
      <c r="NBS54" s="102"/>
      <c r="NBT54" s="102"/>
      <c r="NBU54" s="102"/>
      <c r="NBV54" s="102"/>
      <c r="NBW54" s="102"/>
      <c r="NBX54" s="102"/>
      <c r="NBY54" s="102"/>
      <c r="NBZ54" s="102"/>
      <c r="NCA54" s="102"/>
      <c r="NCB54" s="102"/>
      <c r="NCC54" s="102"/>
      <c r="NCD54" s="102"/>
      <c r="NCE54" s="102"/>
      <c r="NCF54" s="102"/>
      <c r="NCG54" s="102"/>
      <c r="NCH54" s="102"/>
      <c r="NCI54" s="102"/>
      <c r="NCJ54" s="102"/>
      <c r="NCK54" s="102"/>
      <c r="NCL54" s="102"/>
      <c r="NCM54" s="102"/>
      <c r="NCN54" s="102"/>
      <c r="NCO54" s="102"/>
      <c r="NCP54" s="102"/>
      <c r="NCQ54" s="102"/>
      <c r="NCR54" s="102"/>
      <c r="NCS54" s="102"/>
      <c r="NCT54" s="102"/>
      <c r="NCU54" s="102"/>
      <c r="NCV54" s="102"/>
      <c r="NCW54" s="102"/>
      <c r="NCX54" s="102"/>
      <c r="NCY54" s="102"/>
      <c r="NCZ54" s="102"/>
      <c r="NDA54" s="102"/>
      <c r="NDB54" s="102"/>
      <c r="NDC54" s="102"/>
      <c r="NDD54" s="102"/>
      <c r="NDE54" s="102"/>
      <c r="NDF54" s="102"/>
      <c r="NDG54" s="102"/>
      <c r="NDH54" s="102"/>
      <c r="NDI54" s="102"/>
      <c r="NDJ54" s="102"/>
      <c r="NDK54" s="102"/>
      <c r="NDL54" s="102"/>
      <c r="NDM54" s="102"/>
      <c r="NDN54" s="102"/>
      <c r="NDO54" s="102"/>
      <c r="NDP54" s="102"/>
      <c r="NDQ54" s="102"/>
      <c r="NDR54" s="102"/>
      <c r="NDS54" s="102"/>
      <c r="NDT54" s="102"/>
      <c r="NDU54" s="102"/>
      <c r="NDV54" s="102"/>
      <c r="NDW54" s="102"/>
      <c r="NDX54" s="102"/>
      <c r="NDY54" s="102"/>
      <c r="NDZ54" s="102"/>
      <c r="NEA54" s="102"/>
      <c r="NEB54" s="102"/>
      <c r="NEC54" s="102"/>
      <c r="NED54" s="102"/>
      <c r="NEE54" s="102"/>
      <c r="NEF54" s="102"/>
      <c r="NEG54" s="102"/>
      <c r="NEH54" s="102"/>
      <c r="NEI54" s="102"/>
      <c r="NEJ54" s="102"/>
      <c r="NEK54" s="102"/>
      <c r="NEL54" s="102"/>
      <c r="NEM54" s="102"/>
      <c r="NEN54" s="102"/>
      <c r="NEO54" s="102"/>
      <c r="NEP54" s="102"/>
      <c r="NEQ54" s="102"/>
      <c r="NER54" s="102"/>
      <c r="NES54" s="102"/>
      <c r="NET54" s="102"/>
      <c r="NEU54" s="102"/>
      <c r="NEV54" s="102"/>
      <c r="NEW54" s="102"/>
      <c r="NEX54" s="102"/>
      <c r="NEY54" s="102"/>
      <c r="NEZ54" s="102"/>
      <c r="NFA54" s="102"/>
      <c r="NFB54" s="102"/>
      <c r="NFC54" s="102"/>
      <c r="NFD54" s="102"/>
      <c r="NFE54" s="102"/>
      <c r="NFF54" s="102"/>
      <c r="NFG54" s="102"/>
      <c r="NFH54" s="102"/>
      <c r="NFI54" s="102"/>
      <c r="NFJ54" s="102"/>
      <c r="NFK54" s="102"/>
      <c r="NFL54" s="102"/>
      <c r="NFM54" s="102"/>
      <c r="NFN54" s="102"/>
      <c r="NFO54" s="102"/>
      <c r="NFP54" s="102"/>
      <c r="NFQ54" s="102"/>
      <c r="NFR54" s="102"/>
      <c r="NFS54" s="102"/>
      <c r="NFT54" s="102"/>
      <c r="NFU54" s="102"/>
      <c r="NFV54" s="102"/>
      <c r="NFW54" s="102"/>
      <c r="NFX54" s="102"/>
      <c r="NFY54" s="102"/>
      <c r="NFZ54" s="102"/>
      <c r="NGA54" s="102"/>
      <c r="NGB54" s="102"/>
      <c r="NGC54" s="102"/>
      <c r="NGD54" s="102"/>
      <c r="NGE54" s="102"/>
      <c r="NGF54" s="102"/>
      <c r="NGG54" s="102"/>
      <c r="NGH54" s="102"/>
      <c r="NGI54" s="102"/>
      <c r="NGJ54" s="102"/>
      <c r="NGK54" s="102"/>
      <c r="NGL54" s="102"/>
      <c r="NGM54" s="102"/>
      <c r="NGN54" s="102"/>
      <c r="NGO54" s="102"/>
      <c r="NGP54" s="102"/>
      <c r="NGQ54" s="102"/>
      <c r="NGR54" s="102"/>
      <c r="NGS54" s="102"/>
      <c r="NGT54" s="102"/>
      <c r="NGU54" s="102"/>
      <c r="NGV54" s="102"/>
      <c r="NGW54" s="102"/>
      <c r="NGX54" s="102"/>
      <c r="NGY54" s="102"/>
      <c r="NGZ54" s="102"/>
      <c r="NHA54" s="102"/>
      <c r="NHB54" s="102"/>
      <c r="NHC54" s="102"/>
      <c r="NHD54" s="102"/>
      <c r="NHE54" s="102"/>
      <c r="NHF54" s="102"/>
      <c r="NHG54" s="102"/>
      <c r="NHH54" s="102"/>
      <c r="NHI54" s="102"/>
      <c r="NHJ54" s="102"/>
      <c r="NHK54" s="102"/>
      <c r="NHL54" s="102"/>
      <c r="NHM54" s="102"/>
      <c r="NHN54" s="102"/>
      <c r="NHO54" s="102"/>
      <c r="NHP54" s="102"/>
      <c r="NHQ54" s="102"/>
      <c r="NHR54" s="102"/>
      <c r="NHS54" s="102"/>
      <c r="NHT54" s="102"/>
      <c r="NHU54" s="102"/>
      <c r="NHV54" s="102"/>
      <c r="NHW54" s="102"/>
      <c r="NHX54" s="102"/>
      <c r="NHY54" s="102"/>
      <c r="NHZ54" s="102"/>
      <c r="NIA54" s="102"/>
      <c r="NIB54" s="102"/>
      <c r="NIC54" s="102"/>
      <c r="NID54" s="102"/>
      <c r="NIE54" s="102"/>
      <c r="NIF54" s="102"/>
      <c r="NIG54" s="102"/>
      <c r="NIH54" s="102"/>
      <c r="NII54" s="102"/>
      <c r="NIJ54" s="102"/>
      <c r="NIK54" s="102"/>
      <c r="NIL54" s="102"/>
      <c r="NIM54" s="102"/>
      <c r="NIN54" s="102"/>
      <c r="NIO54" s="102"/>
      <c r="NIP54" s="102"/>
      <c r="NIQ54" s="102"/>
      <c r="NIR54" s="102"/>
      <c r="NIS54" s="102"/>
      <c r="NIT54" s="102"/>
      <c r="NIU54" s="102"/>
      <c r="NIV54" s="102"/>
      <c r="NIW54" s="102"/>
      <c r="NIX54" s="102"/>
      <c r="NIY54" s="102"/>
      <c r="NIZ54" s="102"/>
      <c r="NJA54" s="102"/>
      <c r="NJB54" s="102"/>
      <c r="NJC54" s="102"/>
      <c r="NJD54" s="102"/>
      <c r="NJE54" s="102"/>
      <c r="NJF54" s="102"/>
      <c r="NJG54" s="102"/>
      <c r="NJH54" s="102"/>
      <c r="NJI54" s="102"/>
      <c r="NJJ54" s="102"/>
      <c r="NJK54" s="102"/>
      <c r="NJL54" s="102"/>
      <c r="NJM54" s="102"/>
      <c r="NJN54" s="102"/>
      <c r="NJO54" s="102"/>
      <c r="NJP54" s="102"/>
      <c r="NJQ54" s="102"/>
      <c r="NJR54" s="102"/>
      <c r="NJS54" s="102"/>
      <c r="NJT54" s="102"/>
      <c r="NJU54" s="102"/>
      <c r="NJV54" s="102"/>
      <c r="NJW54" s="102"/>
      <c r="NJX54" s="102"/>
      <c r="NJY54" s="102"/>
      <c r="NJZ54" s="102"/>
      <c r="NKA54" s="102"/>
      <c r="NKB54" s="102"/>
      <c r="NKC54" s="102"/>
      <c r="NKD54" s="102"/>
      <c r="NKE54" s="102"/>
      <c r="NKF54" s="102"/>
      <c r="NKG54" s="102"/>
      <c r="NKH54" s="102"/>
      <c r="NKI54" s="102"/>
      <c r="NKJ54" s="102"/>
      <c r="NKK54" s="102"/>
      <c r="NKL54" s="102"/>
      <c r="NKM54" s="102"/>
      <c r="NKN54" s="102"/>
      <c r="NKO54" s="102"/>
      <c r="NKP54" s="102"/>
      <c r="NKQ54" s="102"/>
      <c r="NKR54" s="102"/>
      <c r="NKS54" s="102"/>
      <c r="NKT54" s="102"/>
      <c r="NKU54" s="102"/>
      <c r="NKV54" s="102"/>
      <c r="NKW54" s="102"/>
      <c r="NKX54" s="102"/>
      <c r="NKY54" s="102"/>
      <c r="NKZ54" s="102"/>
      <c r="NLA54" s="102"/>
      <c r="NLB54" s="102"/>
      <c r="NLC54" s="102"/>
      <c r="NLD54" s="102"/>
      <c r="NLE54" s="102"/>
      <c r="NLF54" s="102"/>
      <c r="NLG54" s="102"/>
      <c r="NLH54" s="102"/>
      <c r="NLI54" s="102"/>
      <c r="NLJ54" s="102"/>
      <c r="NLK54" s="102"/>
      <c r="NLL54" s="102"/>
      <c r="NLM54" s="102"/>
      <c r="NLN54" s="102"/>
      <c r="NLO54" s="102"/>
      <c r="NLP54" s="102"/>
      <c r="NLQ54" s="102"/>
      <c r="NLR54" s="102"/>
      <c r="NLS54" s="102"/>
      <c r="NLT54" s="102"/>
      <c r="NLU54" s="102"/>
      <c r="NLV54" s="102"/>
      <c r="NLW54" s="102"/>
      <c r="NLX54" s="102"/>
      <c r="NLY54" s="102"/>
      <c r="NLZ54" s="102"/>
      <c r="NMA54" s="102"/>
      <c r="NMB54" s="102"/>
      <c r="NMC54" s="102"/>
      <c r="NMD54" s="102"/>
      <c r="NME54" s="102"/>
      <c r="NMF54" s="102"/>
      <c r="NMG54" s="102"/>
      <c r="NMH54" s="102"/>
      <c r="NMI54" s="102"/>
      <c r="NMJ54" s="102"/>
      <c r="NMK54" s="102"/>
      <c r="NML54" s="102"/>
      <c r="NMM54" s="102"/>
      <c r="NMN54" s="102"/>
      <c r="NMO54" s="102"/>
      <c r="NMP54" s="102"/>
      <c r="NMQ54" s="102"/>
      <c r="NMR54" s="102"/>
      <c r="NMS54" s="102"/>
      <c r="NMT54" s="102"/>
      <c r="NMU54" s="102"/>
      <c r="NMV54" s="102"/>
      <c r="NMW54" s="102"/>
      <c r="NMX54" s="102"/>
      <c r="NMY54" s="102"/>
      <c r="NMZ54" s="102"/>
      <c r="NNA54" s="102"/>
      <c r="NNB54" s="102"/>
      <c r="NNC54" s="102"/>
      <c r="NND54" s="102"/>
      <c r="NNE54" s="102"/>
      <c r="NNF54" s="102"/>
      <c r="NNG54" s="102"/>
      <c r="NNH54" s="102"/>
      <c r="NNI54" s="102"/>
      <c r="NNJ54" s="102"/>
      <c r="NNK54" s="102"/>
      <c r="NNL54" s="102"/>
      <c r="NNM54" s="102"/>
      <c r="NNN54" s="102"/>
      <c r="NNO54" s="102"/>
      <c r="NNP54" s="102"/>
      <c r="NNQ54" s="102"/>
      <c r="NNR54" s="102"/>
      <c r="NNS54" s="102"/>
      <c r="NNT54" s="102"/>
      <c r="NNU54" s="102"/>
      <c r="NNV54" s="102"/>
      <c r="NNW54" s="102"/>
      <c r="NNX54" s="102"/>
      <c r="NNY54" s="102"/>
      <c r="NNZ54" s="102"/>
      <c r="NOA54" s="102"/>
      <c r="NOB54" s="102"/>
      <c r="NOC54" s="102"/>
      <c r="NOD54" s="102"/>
      <c r="NOE54" s="102"/>
      <c r="NOF54" s="102"/>
      <c r="NOG54" s="102"/>
      <c r="NOH54" s="102"/>
      <c r="NOI54" s="102"/>
      <c r="NOJ54" s="102"/>
      <c r="NOK54" s="102"/>
      <c r="NOL54" s="102"/>
      <c r="NOM54" s="102"/>
      <c r="NON54" s="102"/>
      <c r="NOO54" s="102"/>
      <c r="NOP54" s="102"/>
      <c r="NOQ54" s="102"/>
      <c r="NOR54" s="102"/>
      <c r="NOS54" s="102"/>
      <c r="NOT54" s="102"/>
      <c r="NOU54" s="102"/>
      <c r="NOV54" s="102"/>
      <c r="NOW54" s="102"/>
      <c r="NOX54" s="102"/>
      <c r="NOY54" s="102"/>
      <c r="NOZ54" s="102"/>
      <c r="NPA54" s="102"/>
      <c r="NPB54" s="102"/>
      <c r="NPC54" s="102"/>
      <c r="NPD54" s="102"/>
      <c r="NPE54" s="102"/>
      <c r="NPF54" s="102"/>
      <c r="NPG54" s="102"/>
      <c r="NPH54" s="102"/>
      <c r="NPI54" s="102"/>
      <c r="NPJ54" s="102"/>
      <c r="NPK54" s="102"/>
      <c r="NPL54" s="102"/>
      <c r="NPM54" s="102"/>
      <c r="NPN54" s="102"/>
      <c r="NPO54" s="102"/>
      <c r="NPP54" s="102"/>
      <c r="NPQ54" s="102"/>
      <c r="NPR54" s="102"/>
      <c r="NPS54" s="102"/>
      <c r="NPT54" s="102"/>
      <c r="NPU54" s="102"/>
      <c r="NPV54" s="102"/>
      <c r="NPW54" s="102"/>
      <c r="NPX54" s="102"/>
      <c r="NPY54" s="102"/>
      <c r="NPZ54" s="102"/>
      <c r="NQA54" s="102"/>
      <c r="NQB54" s="102"/>
      <c r="NQC54" s="102"/>
      <c r="NQD54" s="102"/>
      <c r="NQE54" s="102"/>
      <c r="NQF54" s="102"/>
      <c r="NQG54" s="102"/>
      <c r="NQH54" s="102"/>
      <c r="NQI54" s="102"/>
      <c r="NQJ54" s="102"/>
      <c r="NQK54" s="102"/>
      <c r="NQL54" s="102"/>
      <c r="NQM54" s="102"/>
      <c r="NQN54" s="102"/>
      <c r="NQO54" s="102"/>
      <c r="NQP54" s="102"/>
      <c r="NQQ54" s="102"/>
      <c r="NQR54" s="102"/>
      <c r="NQS54" s="102"/>
      <c r="NQT54" s="102"/>
      <c r="NQU54" s="102"/>
      <c r="NQV54" s="102"/>
      <c r="NQW54" s="102"/>
      <c r="NQX54" s="102"/>
      <c r="NQY54" s="102"/>
      <c r="NQZ54" s="102"/>
      <c r="NRA54" s="102"/>
      <c r="NRB54" s="102"/>
      <c r="NRC54" s="102"/>
      <c r="NRD54" s="102"/>
      <c r="NRE54" s="102"/>
      <c r="NRF54" s="102"/>
      <c r="NRG54" s="102"/>
      <c r="NRH54" s="102"/>
      <c r="NRI54" s="102"/>
      <c r="NRJ54" s="102"/>
      <c r="NRK54" s="102"/>
      <c r="NRL54" s="102"/>
      <c r="NRM54" s="102"/>
      <c r="NRN54" s="102"/>
      <c r="NRO54" s="102"/>
      <c r="NRP54" s="102"/>
      <c r="NRQ54" s="102"/>
      <c r="NRR54" s="102"/>
      <c r="NRS54" s="102"/>
      <c r="NRT54" s="102"/>
      <c r="NRU54" s="102"/>
      <c r="NRV54" s="102"/>
      <c r="NRW54" s="102"/>
      <c r="NRX54" s="102"/>
      <c r="NRY54" s="102"/>
      <c r="NRZ54" s="102"/>
      <c r="NSA54" s="102"/>
      <c r="NSB54" s="102"/>
      <c r="NSC54" s="102"/>
      <c r="NSD54" s="102"/>
      <c r="NSE54" s="102"/>
      <c r="NSF54" s="102"/>
      <c r="NSG54" s="102"/>
      <c r="NSH54" s="102"/>
      <c r="NSI54" s="102"/>
      <c r="NSJ54" s="102"/>
      <c r="NSK54" s="102"/>
      <c r="NSL54" s="102"/>
      <c r="NSM54" s="102"/>
      <c r="NSN54" s="102"/>
      <c r="NSO54" s="102"/>
      <c r="NSP54" s="102"/>
      <c r="NSQ54" s="102"/>
      <c r="NSR54" s="102"/>
      <c r="NSS54" s="102"/>
      <c r="NST54" s="102"/>
      <c r="NSU54" s="102"/>
      <c r="NSV54" s="102"/>
      <c r="NSW54" s="102"/>
      <c r="NSX54" s="102"/>
      <c r="NSY54" s="102"/>
      <c r="NSZ54" s="102"/>
      <c r="NTA54" s="102"/>
      <c r="NTB54" s="102"/>
      <c r="NTC54" s="102"/>
      <c r="NTD54" s="102"/>
      <c r="NTE54" s="102"/>
      <c r="NTF54" s="102"/>
      <c r="NTG54" s="102"/>
      <c r="NTH54" s="102"/>
      <c r="NTI54" s="102"/>
      <c r="NTJ54" s="102"/>
      <c r="NTK54" s="102"/>
      <c r="NTL54" s="102"/>
      <c r="NTM54" s="102"/>
      <c r="NTN54" s="102"/>
      <c r="NTO54" s="102"/>
      <c r="NTP54" s="102"/>
      <c r="NTQ54" s="102"/>
      <c r="NTR54" s="102"/>
      <c r="NTS54" s="102"/>
      <c r="NTT54" s="102"/>
      <c r="NTU54" s="102"/>
      <c r="NTV54" s="102"/>
      <c r="NTW54" s="102"/>
      <c r="NTX54" s="102"/>
      <c r="NTY54" s="102"/>
      <c r="NTZ54" s="102"/>
      <c r="NUA54" s="102"/>
      <c r="NUB54" s="102"/>
      <c r="NUC54" s="102"/>
      <c r="NUD54" s="102"/>
      <c r="NUE54" s="102"/>
      <c r="NUF54" s="102"/>
      <c r="NUG54" s="102"/>
      <c r="NUH54" s="102"/>
      <c r="NUI54" s="102"/>
      <c r="NUJ54" s="102"/>
      <c r="NUK54" s="102"/>
      <c r="NUL54" s="102"/>
      <c r="NUM54" s="102"/>
      <c r="NUN54" s="102"/>
      <c r="NUO54" s="102"/>
      <c r="NUP54" s="102"/>
      <c r="NUQ54" s="102"/>
      <c r="NUR54" s="102"/>
      <c r="NUS54" s="102"/>
      <c r="NUT54" s="102"/>
      <c r="NUU54" s="102"/>
      <c r="NUV54" s="102"/>
      <c r="NUW54" s="102"/>
      <c r="NUX54" s="102"/>
      <c r="NUY54" s="102"/>
      <c r="NUZ54" s="102"/>
      <c r="NVA54" s="102"/>
      <c r="NVB54" s="102"/>
      <c r="NVC54" s="102"/>
      <c r="NVD54" s="102"/>
      <c r="NVE54" s="102"/>
      <c r="NVF54" s="102"/>
      <c r="NVG54" s="102"/>
      <c r="NVH54" s="102"/>
      <c r="NVI54" s="102"/>
      <c r="NVJ54" s="102"/>
      <c r="NVK54" s="102"/>
      <c r="NVL54" s="102"/>
      <c r="NVM54" s="102"/>
      <c r="NVN54" s="102"/>
      <c r="NVO54" s="102"/>
      <c r="NVP54" s="102"/>
      <c r="NVQ54" s="102"/>
      <c r="NVR54" s="102"/>
      <c r="NVS54" s="102"/>
      <c r="NVT54" s="102"/>
      <c r="NVU54" s="102"/>
      <c r="NVV54" s="102"/>
      <c r="NVW54" s="102"/>
      <c r="NVX54" s="102"/>
      <c r="NVY54" s="102"/>
      <c r="NVZ54" s="102"/>
      <c r="NWA54" s="102"/>
      <c r="NWB54" s="102"/>
      <c r="NWC54" s="102"/>
      <c r="NWD54" s="102"/>
      <c r="NWE54" s="102"/>
      <c r="NWF54" s="102"/>
      <c r="NWG54" s="102"/>
      <c r="NWH54" s="102"/>
      <c r="NWI54" s="102"/>
      <c r="NWJ54" s="102"/>
      <c r="NWK54" s="102"/>
      <c r="NWL54" s="102"/>
      <c r="NWM54" s="102"/>
      <c r="NWN54" s="102"/>
      <c r="NWO54" s="102"/>
      <c r="NWP54" s="102"/>
      <c r="NWQ54" s="102"/>
      <c r="NWR54" s="102"/>
      <c r="NWS54" s="102"/>
      <c r="NWT54" s="102"/>
      <c r="NWU54" s="102"/>
      <c r="NWV54" s="102"/>
      <c r="NWW54" s="102"/>
      <c r="NWX54" s="102"/>
      <c r="NWY54" s="102"/>
      <c r="NWZ54" s="102"/>
      <c r="NXA54" s="102"/>
      <c r="NXB54" s="102"/>
      <c r="NXC54" s="102"/>
      <c r="NXD54" s="102"/>
      <c r="NXE54" s="102"/>
      <c r="NXF54" s="102"/>
      <c r="NXG54" s="102"/>
      <c r="NXH54" s="102"/>
      <c r="NXI54" s="102"/>
      <c r="NXJ54" s="102"/>
      <c r="NXK54" s="102"/>
      <c r="NXL54" s="102"/>
      <c r="NXM54" s="102"/>
      <c r="NXN54" s="102"/>
      <c r="NXO54" s="102"/>
      <c r="NXP54" s="102"/>
      <c r="NXQ54" s="102"/>
      <c r="NXR54" s="102"/>
      <c r="NXS54" s="102"/>
      <c r="NXT54" s="102"/>
      <c r="NXU54" s="102"/>
      <c r="NXV54" s="102"/>
      <c r="NXW54" s="102"/>
      <c r="NXX54" s="102"/>
      <c r="NXY54" s="102"/>
      <c r="NXZ54" s="102"/>
      <c r="NYA54" s="102"/>
      <c r="NYB54" s="102"/>
      <c r="NYC54" s="102"/>
      <c r="NYD54" s="102"/>
      <c r="NYE54" s="102"/>
      <c r="NYF54" s="102"/>
      <c r="NYG54" s="102"/>
      <c r="NYH54" s="102"/>
      <c r="NYI54" s="102"/>
      <c r="NYJ54" s="102"/>
      <c r="NYK54" s="102"/>
      <c r="NYL54" s="102"/>
      <c r="NYM54" s="102"/>
      <c r="NYN54" s="102"/>
      <c r="NYO54" s="102"/>
      <c r="NYP54" s="102"/>
      <c r="NYQ54" s="102"/>
      <c r="NYR54" s="102"/>
      <c r="NYS54" s="102"/>
      <c r="NYT54" s="102"/>
      <c r="NYU54" s="102"/>
      <c r="NYV54" s="102"/>
      <c r="NYW54" s="102"/>
      <c r="NYX54" s="102"/>
      <c r="NYY54" s="102"/>
      <c r="NYZ54" s="102"/>
      <c r="NZA54" s="102"/>
      <c r="NZB54" s="102"/>
      <c r="NZC54" s="102"/>
      <c r="NZD54" s="102"/>
      <c r="NZE54" s="102"/>
      <c r="NZF54" s="102"/>
      <c r="NZG54" s="102"/>
      <c r="NZH54" s="102"/>
      <c r="NZI54" s="102"/>
      <c r="NZJ54" s="102"/>
      <c r="NZK54" s="102"/>
      <c r="NZL54" s="102"/>
      <c r="NZM54" s="102"/>
      <c r="NZN54" s="102"/>
      <c r="NZO54" s="102"/>
      <c r="NZP54" s="102"/>
      <c r="NZQ54" s="102"/>
      <c r="NZR54" s="102"/>
      <c r="NZS54" s="102"/>
      <c r="NZT54" s="102"/>
      <c r="NZU54" s="102"/>
      <c r="NZV54" s="102"/>
      <c r="NZW54" s="102"/>
      <c r="NZX54" s="102"/>
      <c r="NZY54" s="102"/>
      <c r="NZZ54" s="102"/>
      <c r="OAA54" s="102"/>
      <c r="OAB54" s="102"/>
      <c r="OAC54" s="102"/>
      <c r="OAD54" s="102"/>
      <c r="OAE54" s="102"/>
      <c r="OAF54" s="102"/>
      <c r="OAG54" s="102"/>
      <c r="OAH54" s="102"/>
      <c r="OAI54" s="102"/>
      <c r="OAJ54" s="102"/>
      <c r="OAK54" s="102"/>
      <c r="OAL54" s="102"/>
      <c r="OAM54" s="102"/>
      <c r="OAN54" s="102"/>
      <c r="OAO54" s="102"/>
      <c r="OAP54" s="102"/>
      <c r="OAQ54" s="102"/>
      <c r="OAR54" s="102"/>
      <c r="OAS54" s="102"/>
      <c r="OAT54" s="102"/>
      <c r="OAU54" s="102"/>
      <c r="OAV54" s="102"/>
      <c r="OAW54" s="102"/>
      <c r="OAX54" s="102"/>
      <c r="OAY54" s="102"/>
      <c r="OAZ54" s="102"/>
      <c r="OBA54" s="102"/>
      <c r="OBB54" s="102"/>
      <c r="OBC54" s="102"/>
      <c r="OBD54" s="102"/>
      <c r="OBE54" s="102"/>
      <c r="OBF54" s="102"/>
      <c r="OBG54" s="102"/>
      <c r="OBH54" s="102"/>
      <c r="OBI54" s="102"/>
      <c r="OBJ54" s="102"/>
      <c r="OBK54" s="102"/>
      <c r="OBL54" s="102"/>
      <c r="OBM54" s="102"/>
      <c r="OBN54" s="102"/>
      <c r="OBO54" s="102"/>
      <c r="OBP54" s="102"/>
      <c r="OBQ54" s="102"/>
      <c r="OBR54" s="102"/>
      <c r="OBS54" s="102"/>
      <c r="OBT54" s="102"/>
      <c r="OBU54" s="102"/>
      <c r="OBV54" s="102"/>
      <c r="OBW54" s="102"/>
      <c r="OBX54" s="102"/>
      <c r="OBY54" s="102"/>
      <c r="OBZ54" s="102"/>
      <c r="OCA54" s="102"/>
      <c r="OCB54" s="102"/>
      <c r="OCC54" s="102"/>
      <c r="OCD54" s="102"/>
      <c r="OCE54" s="102"/>
      <c r="OCF54" s="102"/>
      <c r="OCG54" s="102"/>
      <c r="OCH54" s="102"/>
      <c r="OCI54" s="102"/>
      <c r="OCJ54" s="102"/>
      <c r="OCK54" s="102"/>
      <c r="OCL54" s="102"/>
      <c r="OCM54" s="102"/>
      <c r="OCN54" s="102"/>
      <c r="OCO54" s="102"/>
      <c r="OCP54" s="102"/>
      <c r="OCQ54" s="102"/>
      <c r="OCR54" s="102"/>
      <c r="OCS54" s="102"/>
      <c r="OCT54" s="102"/>
      <c r="OCU54" s="102"/>
      <c r="OCV54" s="102"/>
      <c r="OCW54" s="102"/>
      <c r="OCX54" s="102"/>
      <c r="OCY54" s="102"/>
      <c r="OCZ54" s="102"/>
      <c r="ODA54" s="102"/>
      <c r="ODB54" s="102"/>
      <c r="ODC54" s="102"/>
      <c r="ODD54" s="102"/>
      <c r="ODE54" s="102"/>
      <c r="ODF54" s="102"/>
      <c r="ODG54" s="102"/>
      <c r="ODH54" s="102"/>
      <c r="ODI54" s="102"/>
      <c r="ODJ54" s="102"/>
      <c r="ODK54" s="102"/>
      <c r="ODL54" s="102"/>
      <c r="ODM54" s="102"/>
      <c r="ODN54" s="102"/>
      <c r="ODO54" s="102"/>
      <c r="ODP54" s="102"/>
      <c r="ODQ54" s="102"/>
      <c r="ODR54" s="102"/>
      <c r="ODS54" s="102"/>
      <c r="ODT54" s="102"/>
      <c r="ODU54" s="102"/>
      <c r="ODV54" s="102"/>
      <c r="ODW54" s="102"/>
      <c r="ODX54" s="102"/>
      <c r="ODY54" s="102"/>
      <c r="ODZ54" s="102"/>
      <c r="OEA54" s="102"/>
      <c r="OEB54" s="102"/>
      <c r="OEC54" s="102"/>
      <c r="OED54" s="102"/>
      <c r="OEE54" s="102"/>
      <c r="OEF54" s="102"/>
      <c r="OEG54" s="102"/>
      <c r="OEH54" s="102"/>
      <c r="OEI54" s="102"/>
      <c r="OEJ54" s="102"/>
      <c r="OEK54" s="102"/>
      <c r="OEL54" s="102"/>
      <c r="OEM54" s="102"/>
      <c r="OEN54" s="102"/>
      <c r="OEO54" s="102"/>
      <c r="OEP54" s="102"/>
      <c r="OEQ54" s="102"/>
      <c r="OER54" s="102"/>
      <c r="OES54" s="102"/>
      <c r="OET54" s="102"/>
      <c r="OEU54" s="102"/>
      <c r="OEV54" s="102"/>
      <c r="OEW54" s="102"/>
      <c r="OEX54" s="102"/>
      <c r="OEY54" s="102"/>
      <c r="OEZ54" s="102"/>
      <c r="OFA54" s="102"/>
      <c r="OFB54" s="102"/>
      <c r="OFC54" s="102"/>
      <c r="OFD54" s="102"/>
      <c r="OFE54" s="102"/>
      <c r="OFF54" s="102"/>
      <c r="OFG54" s="102"/>
      <c r="OFH54" s="102"/>
      <c r="OFI54" s="102"/>
      <c r="OFJ54" s="102"/>
      <c r="OFK54" s="102"/>
      <c r="OFL54" s="102"/>
      <c r="OFM54" s="102"/>
      <c r="OFN54" s="102"/>
      <c r="OFO54" s="102"/>
      <c r="OFP54" s="102"/>
      <c r="OFQ54" s="102"/>
      <c r="OFR54" s="102"/>
      <c r="OFS54" s="102"/>
      <c r="OFT54" s="102"/>
      <c r="OFU54" s="102"/>
      <c r="OFV54" s="102"/>
      <c r="OFW54" s="102"/>
      <c r="OFX54" s="102"/>
      <c r="OFY54" s="102"/>
      <c r="OFZ54" s="102"/>
      <c r="OGA54" s="102"/>
      <c r="OGB54" s="102"/>
      <c r="OGC54" s="102"/>
      <c r="OGD54" s="102"/>
      <c r="OGE54" s="102"/>
      <c r="OGF54" s="102"/>
      <c r="OGG54" s="102"/>
      <c r="OGH54" s="102"/>
      <c r="OGI54" s="102"/>
      <c r="OGJ54" s="102"/>
      <c r="OGK54" s="102"/>
      <c r="OGL54" s="102"/>
      <c r="OGM54" s="102"/>
      <c r="OGN54" s="102"/>
      <c r="OGO54" s="102"/>
      <c r="OGP54" s="102"/>
      <c r="OGQ54" s="102"/>
      <c r="OGR54" s="102"/>
      <c r="OGS54" s="102"/>
      <c r="OGT54" s="102"/>
      <c r="OGU54" s="102"/>
      <c r="OGV54" s="102"/>
      <c r="OGW54" s="102"/>
      <c r="OGX54" s="102"/>
      <c r="OGY54" s="102"/>
      <c r="OGZ54" s="102"/>
      <c r="OHA54" s="102"/>
      <c r="OHB54" s="102"/>
      <c r="OHC54" s="102"/>
      <c r="OHD54" s="102"/>
      <c r="OHE54" s="102"/>
      <c r="OHF54" s="102"/>
      <c r="OHG54" s="102"/>
      <c r="OHH54" s="102"/>
      <c r="OHI54" s="102"/>
      <c r="OHJ54" s="102"/>
      <c r="OHK54" s="102"/>
      <c r="OHL54" s="102"/>
      <c r="OHM54" s="102"/>
      <c r="OHN54" s="102"/>
      <c r="OHO54" s="102"/>
      <c r="OHP54" s="102"/>
      <c r="OHQ54" s="102"/>
      <c r="OHR54" s="102"/>
      <c r="OHS54" s="102"/>
      <c r="OHT54" s="102"/>
      <c r="OHU54" s="102"/>
      <c r="OHV54" s="102"/>
      <c r="OHW54" s="102"/>
      <c r="OHX54" s="102"/>
      <c r="OHY54" s="102"/>
      <c r="OHZ54" s="102"/>
      <c r="OIA54" s="102"/>
      <c r="OIB54" s="102"/>
      <c r="OIC54" s="102"/>
      <c r="OID54" s="102"/>
      <c r="OIE54" s="102"/>
      <c r="OIF54" s="102"/>
      <c r="OIG54" s="102"/>
      <c r="OIH54" s="102"/>
      <c r="OII54" s="102"/>
      <c r="OIJ54" s="102"/>
      <c r="OIK54" s="102"/>
      <c r="OIL54" s="102"/>
      <c r="OIM54" s="102"/>
      <c r="OIN54" s="102"/>
      <c r="OIO54" s="102"/>
      <c r="OIP54" s="102"/>
      <c r="OIQ54" s="102"/>
      <c r="OIR54" s="102"/>
      <c r="OIS54" s="102"/>
      <c r="OIT54" s="102"/>
      <c r="OIU54" s="102"/>
      <c r="OIV54" s="102"/>
      <c r="OIW54" s="102"/>
      <c r="OIX54" s="102"/>
      <c r="OIY54" s="102"/>
      <c r="OIZ54" s="102"/>
      <c r="OJA54" s="102"/>
      <c r="OJB54" s="102"/>
      <c r="OJC54" s="102"/>
      <c r="OJD54" s="102"/>
      <c r="OJE54" s="102"/>
      <c r="OJF54" s="102"/>
      <c r="OJG54" s="102"/>
      <c r="OJH54" s="102"/>
      <c r="OJI54" s="102"/>
      <c r="OJJ54" s="102"/>
      <c r="OJK54" s="102"/>
      <c r="OJL54" s="102"/>
      <c r="OJM54" s="102"/>
      <c r="OJN54" s="102"/>
      <c r="OJO54" s="102"/>
      <c r="OJP54" s="102"/>
      <c r="OJQ54" s="102"/>
      <c r="OJR54" s="102"/>
      <c r="OJS54" s="102"/>
      <c r="OJT54" s="102"/>
      <c r="OJU54" s="102"/>
      <c r="OJV54" s="102"/>
      <c r="OJW54" s="102"/>
      <c r="OJX54" s="102"/>
      <c r="OJY54" s="102"/>
      <c r="OJZ54" s="102"/>
      <c r="OKA54" s="102"/>
      <c r="OKB54" s="102"/>
      <c r="OKC54" s="102"/>
      <c r="OKD54" s="102"/>
      <c r="OKE54" s="102"/>
      <c r="OKF54" s="102"/>
      <c r="OKG54" s="102"/>
      <c r="OKH54" s="102"/>
      <c r="OKI54" s="102"/>
      <c r="OKJ54" s="102"/>
      <c r="OKK54" s="102"/>
      <c r="OKL54" s="102"/>
      <c r="OKM54" s="102"/>
      <c r="OKN54" s="102"/>
      <c r="OKO54" s="102"/>
      <c r="OKP54" s="102"/>
      <c r="OKQ54" s="102"/>
      <c r="OKR54" s="102"/>
      <c r="OKS54" s="102"/>
      <c r="OKT54" s="102"/>
      <c r="OKU54" s="102"/>
      <c r="OKV54" s="102"/>
      <c r="OKW54" s="102"/>
      <c r="OKX54" s="102"/>
      <c r="OKY54" s="102"/>
      <c r="OKZ54" s="102"/>
      <c r="OLA54" s="102"/>
      <c r="OLB54" s="102"/>
      <c r="OLC54" s="102"/>
      <c r="OLD54" s="102"/>
      <c r="OLE54" s="102"/>
      <c r="OLF54" s="102"/>
      <c r="OLG54" s="102"/>
      <c r="OLH54" s="102"/>
      <c r="OLI54" s="102"/>
      <c r="OLJ54" s="102"/>
      <c r="OLK54" s="102"/>
      <c r="OLL54" s="102"/>
      <c r="OLM54" s="102"/>
      <c r="OLN54" s="102"/>
      <c r="OLO54" s="102"/>
      <c r="OLP54" s="102"/>
      <c r="OLQ54" s="102"/>
      <c r="OLR54" s="102"/>
      <c r="OLS54" s="102"/>
      <c r="OLT54" s="102"/>
      <c r="OLU54" s="102"/>
      <c r="OLV54" s="102"/>
      <c r="OLW54" s="102"/>
      <c r="OLX54" s="102"/>
      <c r="OLY54" s="102"/>
      <c r="OLZ54" s="102"/>
      <c r="OMA54" s="102"/>
      <c r="OMB54" s="102"/>
      <c r="OMC54" s="102"/>
      <c r="OMD54" s="102"/>
      <c r="OME54" s="102"/>
      <c r="OMF54" s="102"/>
      <c r="OMG54" s="102"/>
      <c r="OMH54" s="102"/>
      <c r="OMI54" s="102"/>
      <c r="OMJ54" s="102"/>
      <c r="OMK54" s="102"/>
      <c r="OML54" s="102"/>
      <c r="OMM54" s="102"/>
      <c r="OMN54" s="102"/>
      <c r="OMO54" s="102"/>
      <c r="OMP54" s="102"/>
      <c r="OMQ54" s="102"/>
      <c r="OMR54" s="102"/>
      <c r="OMS54" s="102"/>
      <c r="OMT54" s="102"/>
      <c r="OMU54" s="102"/>
      <c r="OMV54" s="102"/>
      <c r="OMW54" s="102"/>
      <c r="OMX54" s="102"/>
      <c r="OMY54" s="102"/>
      <c r="OMZ54" s="102"/>
      <c r="ONA54" s="102"/>
      <c r="ONB54" s="102"/>
      <c r="ONC54" s="102"/>
      <c r="OND54" s="102"/>
      <c r="ONE54" s="102"/>
      <c r="ONF54" s="102"/>
      <c r="ONG54" s="102"/>
      <c r="ONH54" s="102"/>
      <c r="ONI54" s="102"/>
      <c r="ONJ54" s="102"/>
      <c r="ONK54" s="102"/>
      <c r="ONL54" s="102"/>
      <c r="ONM54" s="102"/>
      <c r="ONN54" s="102"/>
      <c r="ONO54" s="102"/>
      <c r="ONP54" s="102"/>
      <c r="ONQ54" s="102"/>
      <c r="ONR54" s="102"/>
      <c r="ONS54" s="102"/>
      <c r="ONT54" s="102"/>
      <c r="ONU54" s="102"/>
      <c r="ONV54" s="102"/>
      <c r="ONW54" s="102"/>
      <c r="ONX54" s="102"/>
      <c r="ONY54" s="102"/>
      <c r="ONZ54" s="102"/>
      <c r="OOA54" s="102"/>
      <c r="OOB54" s="102"/>
      <c r="OOC54" s="102"/>
      <c r="OOD54" s="102"/>
      <c r="OOE54" s="102"/>
      <c r="OOF54" s="102"/>
      <c r="OOG54" s="102"/>
      <c r="OOH54" s="102"/>
      <c r="OOI54" s="102"/>
      <c r="OOJ54" s="102"/>
      <c r="OOK54" s="102"/>
      <c r="OOL54" s="102"/>
      <c r="OOM54" s="102"/>
      <c r="OON54" s="102"/>
      <c r="OOO54" s="102"/>
      <c r="OOP54" s="102"/>
      <c r="OOQ54" s="102"/>
      <c r="OOR54" s="102"/>
      <c r="OOS54" s="102"/>
      <c r="OOT54" s="102"/>
      <c r="OOU54" s="102"/>
      <c r="OOV54" s="102"/>
      <c r="OOW54" s="102"/>
      <c r="OOX54" s="102"/>
      <c r="OOY54" s="102"/>
      <c r="OOZ54" s="102"/>
      <c r="OPA54" s="102"/>
      <c r="OPB54" s="102"/>
      <c r="OPC54" s="102"/>
      <c r="OPD54" s="102"/>
      <c r="OPE54" s="102"/>
      <c r="OPF54" s="102"/>
      <c r="OPG54" s="102"/>
      <c r="OPH54" s="102"/>
      <c r="OPI54" s="102"/>
      <c r="OPJ54" s="102"/>
      <c r="OPK54" s="102"/>
      <c r="OPL54" s="102"/>
      <c r="OPM54" s="102"/>
      <c r="OPN54" s="102"/>
      <c r="OPO54" s="102"/>
      <c r="OPP54" s="102"/>
      <c r="OPQ54" s="102"/>
      <c r="OPR54" s="102"/>
      <c r="OPS54" s="102"/>
      <c r="OPT54" s="102"/>
      <c r="OPU54" s="102"/>
      <c r="OPV54" s="102"/>
      <c r="OPW54" s="102"/>
      <c r="OPX54" s="102"/>
      <c r="OPY54" s="102"/>
      <c r="OPZ54" s="102"/>
      <c r="OQA54" s="102"/>
      <c r="OQB54" s="102"/>
      <c r="OQC54" s="102"/>
      <c r="OQD54" s="102"/>
      <c r="OQE54" s="102"/>
      <c r="OQF54" s="102"/>
      <c r="OQG54" s="102"/>
      <c r="OQH54" s="102"/>
      <c r="OQI54" s="102"/>
      <c r="OQJ54" s="102"/>
      <c r="OQK54" s="102"/>
      <c r="OQL54" s="102"/>
      <c r="OQM54" s="102"/>
      <c r="OQN54" s="102"/>
      <c r="OQO54" s="102"/>
      <c r="OQP54" s="102"/>
      <c r="OQQ54" s="102"/>
      <c r="OQR54" s="102"/>
      <c r="OQS54" s="102"/>
      <c r="OQT54" s="102"/>
      <c r="OQU54" s="102"/>
      <c r="OQV54" s="102"/>
      <c r="OQW54" s="102"/>
      <c r="OQX54" s="102"/>
      <c r="OQY54" s="102"/>
      <c r="OQZ54" s="102"/>
      <c r="ORA54" s="102"/>
      <c r="ORB54" s="102"/>
      <c r="ORC54" s="102"/>
      <c r="ORD54" s="102"/>
      <c r="ORE54" s="102"/>
      <c r="ORF54" s="102"/>
      <c r="ORG54" s="102"/>
      <c r="ORH54" s="102"/>
      <c r="ORI54" s="102"/>
      <c r="ORJ54" s="102"/>
      <c r="ORK54" s="102"/>
      <c r="ORL54" s="102"/>
      <c r="ORM54" s="102"/>
      <c r="ORN54" s="102"/>
      <c r="ORO54" s="102"/>
      <c r="ORP54" s="102"/>
      <c r="ORQ54" s="102"/>
      <c r="ORR54" s="102"/>
      <c r="ORS54" s="102"/>
      <c r="ORT54" s="102"/>
      <c r="ORU54" s="102"/>
      <c r="ORV54" s="102"/>
      <c r="ORW54" s="102"/>
      <c r="ORX54" s="102"/>
      <c r="ORY54" s="102"/>
      <c r="ORZ54" s="102"/>
      <c r="OSA54" s="102"/>
      <c r="OSB54" s="102"/>
      <c r="OSC54" s="102"/>
      <c r="OSD54" s="102"/>
      <c r="OSE54" s="102"/>
      <c r="OSF54" s="102"/>
      <c r="OSG54" s="102"/>
      <c r="OSH54" s="102"/>
      <c r="OSI54" s="102"/>
      <c r="OSJ54" s="102"/>
      <c r="OSK54" s="102"/>
      <c r="OSL54" s="102"/>
      <c r="OSM54" s="102"/>
      <c r="OSN54" s="102"/>
      <c r="OSO54" s="102"/>
      <c r="OSP54" s="102"/>
      <c r="OSQ54" s="102"/>
      <c r="OSR54" s="102"/>
      <c r="OSS54" s="102"/>
      <c r="OST54" s="102"/>
      <c r="OSU54" s="102"/>
      <c r="OSV54" s="102"/>
      <c r="OSW54" s="102"/>
      <c r="OSX54" s="102"/>
      <c r="OSY54" s="102"/>
      <c r="OSZ54" s="102"/>
      <c r="OTA54" s="102"/>
      <c r="OTB54" s="102"/>
      <c r="OTC54" s="102"/>
      <c r="OTD54" s="102"/>
      <c r="OTE54" s="102"/>
      <c r="OTF54" s="102"/>
      <c r="OTG54" s="102"/>
      <c r="OTH54" s="102"/>
      <c r="OTI54" s="102"/>
      <c r="OTJ54" s="102"/>
      <c r="OTK54" s="102"/>
      <c r="OTL54" s="102"/>
      <c r="OTM54" s="102"/>
      <c r="OTN54" s="102"/>
      <c r="OTO54" s="102"/>
      <c r="OTP54" s="102"/>
      <c r="OTQ54" s="102"/>
      <c r="OTR54" s="102"/>
      <c r="OTS54" s="102"/>
      <c r="OTT54" s="102"/>
      <c r="OTU54" s="102"/>
      <c r="OTV54" s="102"/>
      <c r="OTW54" s="102"/>
      <c r="OTX54" s="102"/>
      <c r="OTY54" s="102"/>
      <c r="OTZ54" s="102"/>
      <c r="OUA54" s="102"/>
      <c r="OUB54" s="102"/>
      <c r="OUC54" s="102"/>
      <c r="OUD54" s="102"/>
      <c r="OUE54" s="102"/>
      <c r="OUF54" s="102"/>
      <c r="OUG54" s="102"/>
      <c r="OUH54" s="102"/>
      <c r="OUI54" s="102"/>
      <c r="OUJ54" s="102"/>
      <c r="OUK54" s="102"/>
      <c r="OUL54" s="102"/>
      <c r="OUM54" s="102"/>
      <c r="OUN54" s="102"/>
      <c r="OUO54" s="102"/>
      <c r="OUP54" s="102"/>
      <c r="OUQ54" s="102"/>
      <c r="OUR54" s="102"/>
      <c r="OUS54" s="102"/>
      <c r="OUT54" s="102"/>
      <c r="OUU54" s="102"/>
      <c r="OUV54" s="102"/>
      <c r="OUW54" s="102"/>
      <c r="OUX54" s="102"/>
      <c r="OUY54" s="102"/>
      <c r="OUZ54" s="102"/>
      <c r="OVA54" s="102"/>
      <c r="OVB54" s="102"/>
      <c r="OVC54" s="102"/>
      <c r="OVD54" s="102"/>
      <c r="OVE54" s="102"/>
      <c r="OVF54" s="102"/>
      <c r="OVG54" s="102"/>
      <c r="OVH54" s="102"/>
      <c r="OVI54" s="102"/>
      <c r="OVJ54" s="102"/>
      <c r="OVK54" s="102"/>
      <c r="OVL54" s="102"/>
      <c r="OVM54" s="102"/>
      <c r="OVN54" s="102"/>
      <c r="OVO54" s="102"/>
      <c r="OVP54" s="102"/>
      <c r="OVQ54" s="102"/>
      <c r="OVR54" s="102"/>
      <c r="OVS54" s="102"/>
      <c r="OVT54" s="102"/>
      <c r="OVU54" s="102"/>
      <c r="OVV54" s="102"/>
      <c r="OVW54" s="102"/>
      <c r="OVX54" s="102"/>
      <c r="OVY54" s="102"/>
      <c r="OVZ54" s="102"/>
      <c r="OWA54" s="102"/>
      <c r="OWB54" s="102"/>
      <c r="OWC54" s="102"/>
      <c r="OWD54" s="102"/>
      <c r="OWE54" s="102"/>
      <c r="OWF54" s="102"/>
      <c r="OWG54" s="102"/>
      <c r="OWH54" s="102"/>
      <c r="OWI54" s="102"/>
      <c r="OWJ54" s="102"/>
      <c r="OWK54" s="102"/>
      <c r="OWL54" s="102"/>
      <c r="OWM54" s="102"/>
      <c r="OWN54" s="102"/>
      <c r="OWO54" s="102"/>
      <c r="OWP54" s="102"/>
      <c r="OWQ54" s="102"/>
      <c r="OWR54" s="102"/>
      <c r="OWS54" s="102"/>
      <c r="OWT54" s="102"/>
      <c r="OWU54" s="102"/>
      <c r="OWV54" s="102"/>
      <c r="OWW54" s="102"/>
      <c r="OWX54" s="102"/>
      <c r="OWY54" s="102"/>
      <c r="OWZ54" s="102"/>
      <c r="OXA54" s="102"/>
      <c r="OXB54" s="102"/>
      <c r="OXC54" s="102"/>
      <c r="OXD54" s="102"/>
      <c r="OXE54" s="102"/>
      <c r="OXF54" s="102"/>
      <c r="OXG54" s="102"/>
      <c r="OXH54" s="102"/>
      <c r="OXI54" s="102"/>
      <c r="OXJ54" s="102"/>
      <c r="OXK54" s="102"/>
      <c r="OXL54" s="102"/>
      <c r="OXM54" s="102"/>
      <c r="OXN54" s="102"/>
      <c r="OXO54" s="102"/>
      <c r="OXP54" s="102"/>
      <c r="OXQ54" s="102"/>
      <c r="OXR54" s="102"/>
      <c r="OXS54" s="102"/>
      <c r="OXT54" s="102"/>
      <c r="OXU54" s="102"/>
      <c r="OXV54" s="102"/>
      <c r="OXW54" s="102"/>
      <c r="OXX54" s="102"/>
      <c r="OXY54" s="102"/>
      <c r="OXZ54" s="102"/>
      <c r="OYA54" s="102"/>
      <c r="OYB54" s="102"/>
      <c r="OYC54" s="102"/>
      <c r="OYD54" s="102"/>
      <c r="OYE54" s="102"/>
      <c r="OYF54" s="102"/>
      <c r="OYG54" s="102"/>
      <c r="OYH54" s="102"/>
      <c r="OYI54" s="102"/>
      <c r="OYJ54" s="102"/>
      <c r="OYK54" s="102"/>
      <c r="OYL54" s="102"/>
      <c r="OYM54" s="102"/>
      <c r="OYN54" s="102"/>
      <c r="OYO54" s="102"/>
      <c r="OYP54" s="102"/>
      <c r="OYQ54" s="102"/>
      <c r="OYR54" s="102"/>
      <c r="OYS54" s="102"/>
      <c r="OYT54" s="102"/>
      <c r="OYU54" s="102"/>
      <c r="OYV54" s="102"/>
      <c r="OYW54" s="102"/>
      <c r="OYX54" s="102"/>
      <c r="OYY54" s="102"/>
      <c r="OYZ54" s="102"/>
      <c r="OZA54" s="102"/>
      <c r="OZB54" s="102"/>
      <c r="OZC54" s="102"/>
      <c r="OZD54" s="102"/>
      <c r="OZE54" s="102"/>
      <c r="OZF54" s="102"/>
      <c r="OZG54" s="102"/>
      <c r="OZH54" s="102"/>
      <c r="OZI54" s="102"/>
      <c r="OZJ54" s="102"/>
      <c r="OZK54" s="102"/>
      <c r="OZL54" s="102"/>
      <c r="OZM54" s="102"/>
      <c r="OZN54" s="102"/>
      <c r="OZO54" s="102"/>
      <c r="OZP54" s="102"/>
      <c r="OZQ54" s="102"/>
      <c r="OZR54" s="102"/>
      <c r="OZS54" s="102"/>
      <c r="OZT54" s="102"/>
      <c r="OZU54" s="102"/>
      <c r="OZV54" s="102"/>
      <c r="OZW54" s="102"/>
      <c r="OZX54" s="102"/>
      <c r="OZY54" s="102"/>
      <c r="OZZ54" s="102"/>
      <c r="PAA54" s="102"/>
      <c r="PAB54" s="102"/>
      <c r="PAC54" s="102"/>
      <c r="PAD54" s="102"/>
      <c r="PAE54" s="102"/>
      <c r="PAF54" s="102"/>
      <c r="PAG54" s="102"/>
      <c r="PAH54" s="102"/>
      <c r="PAI54" s="102"/>
      <c r="PAJ54" s="102"/>
      <c r="PAK54" s="102"/>
      <c r="PAL54" s="102"/>
      <c r="PAM54" s="102"/>
      <c r="PAN54" s="102"/>
      <c r="PAO54" s="102"/>
      <c r="PAP54" s="102"/>
      <c r="PAQ54" s="102"/>
      <c r="PAR54" s="102"/>
      <c r="PAS54" s="102"/>
      <c r="PAT54" s="102"/>
      <c r="PAU54" s="102"/>
      <c r="PAV54" s="102"/>
      <c r="PAW54" s="102"/>
      <c r="PAX54" s="102"/>
      <c r="PAY54" s="102"/>
      <c r="PAZ54" s="102"/>
      <c r="PBA54" s="102"/>
      <c r="PBB54" s="102"/>
      <c r="PBC54" s="102"/>
      <c r="PBD54" s="102"/>
      <c r="PBE54" s="102"/>
      <c r="PBF54" s="102"/>
      <c r="PBG54" s="102"/>
      <c r="PBH54" s="102"/>
      <c r="PBI54" s="102"/>
      <c r="PBJ54" s="102"/>
      <c r="PBK54" s="102"/>
      <c r="PBL54" s="102"/>
      <c r="PBM54" s="102"/>
      <c r="PBN54" s="102"/>
      <c r="PBO54" s="102"/>
      <c r="PBP54" s="102"/>
      <c r="PBQ54" s="102"/>
      <c r="PBR54" s="102"/>
      <c r="PBS54" s="102"/>
      <c r="PBT54" s="102"/>
      <c r="PBU54" s="102"/>
      <c r="PBV54" s="102"/>
      <c r="PBW54" s="102"/>
      <c r="PBX54" s="102"/>
      <c r="PBY54" s="102"/>
      <c r="PBZ54" s="102"/>
      <c r="PCA54" s="102"/>
      <c r="PCB54" s="102"/>
      <c r="PCC54" s="102"/>
      <c r="PCD54" s="102"/>
      <c r="PCE54" s="102"/>
      <c r="PCF54" s="102"/>
      <c r="PCG54" s="102"/>
      <c r="PCH54" s="102"/>
      <c r="PCI54" s="102"/>
      <c r="PCJ54" s="102"/>
      <c r="PCK54" s="102"/>
      <c r="PCL54" s="102"/>
      <c r="PCM54" s="102"/>
      <c r="PCN54" s="102"/>
      <c r="PCO54" s="102"/>
      <c r="PCP54" s="102"/>
      <c r="PCQ54" s="102"/>
      <c r="PCR54" s="102"/>
      <c r="PCS54" s="102"/>
      <c r="PCT54" s="102"/>
      <c r="PCU54" s="102"/>
      <c r="PCV54" s="102"/>
      <c r="PCW54" s="102"/>
      <c r="PCX54" s="102"/>
      <c r="PCY54" s="102"/>
      <c r="PCZ54" s="102"/>
      <c r="PDA54" s="102"/>
      <c r="PDB54" s="102"/>
      <c r="PDC54" s="102"/>
      <c r="PDD54" s="102"/>
      <c r="PDE54" s="102"/>
      <c r="PDF54" s="102"/>
      <c r="PDG54" s="102"/>
      <c r="PDH54" s="102"/>
      <c r="PDI54" s="102"/>
      <c r="PDJ54" s="102"/>
      <c r="PDK54" s="102"/>
      <c r="PDL54" s="102"/>
      <c r="PDM54" s="102"/>
      <c r="PDN54" s="102"/>
      <c r="PDO54" s="102"/>
      <c r="PDP54" s="102"/>
      <c r="PDQ54" s="102"/>
      <c r="PDR54" s="102"/>
      <c r="PDS54" s="102"/>
      <c r="PDT54" s="102"/>
      <c r="PDU54" s="102"/>
      <c r="PDV54" s="102"/>
      <c r="PDW54" s="102"/>
      <c r="PDX54" s="102"/>
      <c r="PDY54" s="102"/>
      <c r="PDZ54" s="102"/>
      <c r="PEA54" s="102"/>
      <c r="PEB54" s="102"/>
      <c r="PEC54" s="102"/>
      <c r="PED54" s="102"/>
      <c r="PEE54" s="102"/>
      <c r="PEF54" s="102"/>
      <c r="PEG54" s="102"/>
      <c r="PEH54" s="102"/>
      <c r="PEI54" s="102"/>
      <c r="PEJ54" s="102"/>
      <c r="PEK54" s="102"/>
      <c r="PEL54" s="102"/>
      <c r="PEM54" s="102"/>
      <c r="PEN54" s="102"/>
      <c r="PEO54" s="102"/>
      <c r="PEP54" s="102"/>
      <c r="PEQ54" s="102"/>
      <c r="PER54" s="102"/>
      <c r="PES54" s="102"/>
      <c r="PET54" s="102"/>
      <c r="PEU54" s="102"/>
      <c r="PEV54" s="102"/>
      <c r="PEW54" s="102"/>
      <c r="PEX54" s="102"/>
      <c r="PEY54" s="102"/>
      <c r="PEZ54" s="102"/>
      <c r="PFA54" s="102"/>
      <c r="PFB54" s="102"/>
      <c r="PFC54" s="102"/>
      <c r="PFD54" s="102"/>
      <c r="PFE54" s="102"/>
      <c r="PFF54" s="102"/>
      <c r="PFG54" s="102"/>
      <c r="PFH54" s="102"/>
      <c r="PFI54" s="102"/>
      <c r="PFJ54" s="102"/>
      <c r="PFK54" s="102"/>
      <c r="PFL54" s="102"/>
      <c r="PFM54" s="102"/>
      <c r="PFN54" s="102"/>
      <c r="PFO54" s="102"/>
      <c r="PFP54" s="102"/>
      <c r="PFQ54" s="102"/>
      <c r="PFR54" s="102"/>
      <c r="PFS54" s="102"/>
      <c r="PFT54" s="102"/>
      <c r="PFU54" s="102"/>
      <c r="PFV54" s="102"/>
      <c r="PFW54" s="102"/>
      <c r="PFX54" s="102"/>
      <c r="PFY54" s="102"/>
      <c r="PFZ54" s="102"/>
      <c r="PGA54" s="102"/>
      <c r="PGB54" s="102"/>
      <c r="PGC54" s="102"/>
      <c r="PGD54" s="102"/>
      <c r="PGE54" s="102"/>
      <c r="PGF54" s="102"/>
      <c r="PGG54" s="102"/>
      <c r="PGH54" s="102"/>
      <c r="PGI54" s="102"/>
      <c r="PGJ54" s="102"/>
      <c r="PGK54" s="102"/>
      <c r="PGL54" s="102"/>
      <c r="PGM54" s="102"/>
      <c r="PGN54" s="102"/>
      <c r="PGO54" s="102"/>
      <c r="PGP54" s="102"/>
      <c r="PGQ54" s="102"/>
      <c r="PGR54" s="102"/>
      <c r="PGS54" s="102"/>
      <c r="PGT54" s="102"/>
      <c r="PGU54" s="102"/>
      <c r="PGV54" s="102"/>
      <c r="PGW54" s="102"/>
      <c r="PGX54" s="102"/>
      <c r="PGY54" s="102"/>
      <c r="PGZ54" s="102"/>
      <c r="PHA54" s="102"/>
      <c r="PHB54" s="102"/>
      <c r="PHC54" s="102"/>
      <c r="PHD54" s="102"/>
      <c r="PHE54" s="102"/>
      <c r="PHF54" s="102"/>
      <c r="PHG54" s="102"/>
      <c r="PHH54" s="102"/>
      <c r="PHI54" s="102"/>
      <c r="PHJ54" s="102"/>
      <c r="PHK54" s="102"/>
      <c r="PHL54" s="102"/>
      <c r="PHM54" s="102"/>
      <c r="PHN54" s="102"/>
      <c r="PHO54" s="102"/>
      <c r="PHP54" s="102"/>
      <c r="PHQ54" s="102"/>
      <c r="PHR54" s="102"/>
      <c r="PHS54" s="102"/>
      <c r="PHT54" s="102"/>
      <c r="PHU54" s="102"/>
      <c r="PHV54" s="102"/>
      <c r="PHW54" s="102"/>
      <c r="PHX54" s="102"/>
      <c r="PHY54" s="102"/>
      <c r="PHZ54" s="102"/>
      <c r="PIA54" s="102"/>
      <c r="PIB54" s="102"/>
      <c r="PIC54" s="102"/>
      <c r="PID54" s="102"/>
      <c r="PIE54" s="102"/>
      <c r="PIF54" s="102"/>
      <c r="PIG54" s="102"/>
      <c r="PIH54" s="102"/>
      <c r="PII54" s="102"/>
      <c r="PIJ54" s="102"/>
      <c r="PIK54" s="102"/>
      <c r="PIL54" s="102"/>
      <c r="PIM54" s="102"/>
      <c r="PIN54" s="102"/>
      <c r="PIO54" s="102"/>
      <c r="PIP54" s="102"/>
      <c r="PIQ54" s="102"/>
      <c r="PIR54" s="102"/>
      <c r="PIS54" s="102"/>
      <c r="PIT54" s="102"/>
      <c r="PIU54" s="102"/>
      <c r="PIV54" s="102"/>
      <c r="PIW54" s="102"/>
      <c r="PIX54" s="102"/>
      <c r="PIY54" s="102"/>
      <c r="PIZ54" s="102"/>
      <c r="PJA54" s="102"/>
      <c r="PJB54" s="102"/>
      <c r="PJC54" s="102"/>
      <c r="PJD54" s="102"/>
      <c r="PJE54" s="102"/>
      <c r="PJF54" s="102"/>
      <c r="PJG54" s="102"/>
      <c r="PJH54" s="102"/>
      <c r="PJI54" s="102"/>
      <c r="PJJ54" s="102"/>
      <c r="PJK54" s="102"/>
      <c r="PJL54" s="102"/>
      <c r="PJM54" s="102"/>
      <c r="PJN54" s="102"/>
      <c r="PJO54" s="102"/>
      <c r="PJP54" s="102"/>
      <c r="PJQ54" s="102"/>
      <c r="PJR54" s="102"/>
      <c r="PJS54" s="102"/>
      <c r="PJT54" s="102"/>
      <c r="PJU54" s="102"/>
      <c r="PJV54" s="102"/>
      <c r="PJW54" s="102"/>
      <c r="PJX54" s="102"/>
      <c r="PJY54" s="102"/>
      <c r="PJZ54" s="102"/>
      <c r="PKA54" s="102"/>
      <c r="PKB54" s="102"/>
      <c r="PKC54" s="102"/>
      <c r="PKD54" s="102"/>
      <c r="PKE54" s="102"/>
      <c r="PKF54" s="102"/>
      <c r="PKG54" s="102"/>
      <c r="PKH54" s="102"/>
      <c r="PKI54" s="102"/>
      <c r="PKJ54" s="102"/>
      <c r="PKK54" s="102"/>
      <c r="PKL54" s="102"/>
      <c r="PKM54" s="102"/>
      <c r="PKN54" s="102"/>
      <c r="PKO54" s="102"/>
      <c r="PKP54" s="102"/>
      <c r="PKQ54" s="102"/>
      <c r="PKR54" s="102"/>
      <c r="PKS54" s="102"/>
      <c r="PKT54" s="102"/>
      <c r="PKU54" s="102"/>
      <c r="PKV54" s="102"/>
      <c r="PKW54" s="102"/>
      <c r="PKX54" s="102"/>
      <c r="PKY54" s="102"/>
      <c r="PKZ54" s="102"/>
      <c r="PLA54" s="102"/>
      <c r="PLB54" s="102"/>
      <c r="PLC54" s="102"/>
      <c r="PLD54" s="102"/>
      <c r="PLE54" s="102"/>
      <c r="PLF54" s="102"/>
      <c r="PLG54" s="102"/>
      <c r="PLH54" s="102"/>
      <c r="PLI54" s="102"/>
      <c r="PLJ54" s="102"/>
      <c r="PLK54" s="102"/>
      <c r="PLL54" s="102"/>
      <c r="PLM54" s="102"/>
      <c r="PLN54" s="102"/>
      <c r="PLO54" s="102"/>
      <c r="PLP54" s="102"/>
      <c r="PLQ54" s="102"/>
      <c r="PLR54" s="102"/>
      <c r="PLS54" s="102"/>
      <c r="PLT54" s="102"/>
      <c r="PLU54" s="102"/>
      <c r="PLV54" s="102"/>
      <c r="PLW54" s="102"/>
      <c r="PLX54" s="102"/>
      <c r="PLY54" s="102"/>
      <c r="PLZ54" s="102"/>
      <c r="PMA54" s="102"/>
      <c r="PMB54" s="102"/>
      <c r="PMC54" s="102"/>
      <c r="PMD54" s="102"/>
      <c r="PME54" s="102"/>
      <c r="PMF54" s="102"/>
      <c r="PMG54" s="102"/>
      <c r="PMH54" s="102"/>
      <c r="PMI54" s="102"/>
      <c r="PMJ54" s="102"/>
      <c r="PMK54" s="102"/>
      <c r="PML54" s="102"/>
      <c r="PMM54" s="102"/>
      <c r="PMN54" s="102"/>
      <c r="PMO54" s="102"/>
      <c r="PMP54" s="102"/>
      <c r="PMQ54" s="102"/>
      <c r="PMR54" s="102"/>
      <c r="PMS54" s="102"/>
      <c r="PMT54" s="102"/>
      <c r="PMU54" s="102"/>
      <c r="PMV54" s="102"/>
      <c r="PMW54" s="102"/>
      <c r="PMX54" s="102"/>
      <c r="PMY54" s="102"/>
      <c r="PMZ54" s="102"/>
      <c r="PNA54" s="102"/>
      <c r="PNB54" s="102"/>
      <c r="PNC54" s="102"/>
      <c r="PND54" s="102"/>
      <c r="PNE54" s="102"/>
      <c r="PNF54" s="102"/>
      <c r="PNG54" s="102"/>
      <c r="PNH54" s="102"/>
      <c r="PNI54" s="102"/>
      <c r="PNJ54" s="102"/>
      <c r="PNK54" s="102"/>
      <c r="PNL54" s="102"/>
      <c r="PNM54" s="102"/>
      <c r="PNN54" s="102"/>
      <c r="PNO54" s="102"/>
      <c r="PNP54" s="102"/>
      <c r="PNQ54" s="102"/>
      <c r="PNR54" s="102"/>
      <c r="PNS54" s="102"/>
      <c r="PNT54" s="102"/>
      <c r="PNU54" s="102"/>
      <c r="PNV54" s="102"/>
      <c r="PNW54" s="102"/>
      <c r="PNX54" s="102"/>
      <c r="PNY54" s="102"/>
      <c r="PNZ54" s="102"/>
      <c r="POA54" s="102"/>
      <c r="POB54" s="102"/>
      <c r="POC54" s="102"/>
      <c r="POD54" s="102"/>
      <c r="POE54" s="102"/>
      <c r="POF54" s="102"/>
      <c r="POG54" s="102"/>
      <c r="POH54" s="102"/>
      <c r="POI54" s="102"/>
      <c r="POJ54" s="102"/>
      <c r="POK54" s="102"/>
      <c r="POL54" s="102"/>
      <c r="POM54" s="102"/>
      <c r="PON54" s="102"/>
      <c r="POO54" s="102"/>
      <c r="POP54" s="102"/>
      <c r="POQ54" s="102"/>
      <c r="POR54" s="102"/>
      <c r="POS54" s="102"/>
      <c r="POT54" s="102"/>
      <c r="POU54" s="102"/>
      <c r="POV54" s="102"/>
      <c r="POW54" s="102"/>
      <c r="POX54" s="102"/>
      <c r="POY54" s="102"/>
      <c r="POZ54" s="102"/>
      <c r="PPA54" s="102"/>
      <c r="PPB54" s="102"/>
      <c r="PPC54" s="102"/>
      <c r="PPD54" s="102"/>
      <c r="PPE54" s="102"/>
      <c r="PPF54" s="102"/>
      <c r="PPG54" s="102"/>
      <c r="PPH54" s="102"/>
      <c r="PPI54" s="102"/>
      <c r="PPJ54" s="102"/>
      <c r="PPK54" s="102"/>
      <c r="PPL54" s="102"/>
      <c r="PPM54" s="102"/>
      <c r="PPN54" s="102"/>
      <c r="PPO54" s="102"/>
      <c r="PPP54" s="102"/>
      <c r="PPQ54" s="102"/>
      <c r="PPR54" s="102"/>
      <c r="PPS54" s="102"/>
      <c r="PPT54" s="102"/>
      <c r="PPU54" s="102"/>
      <c r="PPV54" s="102"/>
      <c r="PPW54" s="102"/>
      <c r="PPX54" s="102"/>
      <c r="PPY54" s="102"/>
      <c r="PPZ54" s="102"/>
      <c r="PQA54" s="102"/>
      <c r="PQB54" s="102"/>
      <c r="PQC54" s="102"/>
      <c r="PQD54" s="102"/>
      <c r="PQE54" s="102"/>
      <c r="PQF54" s="102"/>
      <c r="PQG54" s="102"/>
      <c r="PQH54" s="102"/>
      <c r="PQI54" s="102"/>
      <c r="PQJ54" s="102"/>
      <c r="PQK54" s="102"/>
      <c r="PQL54" s="102"/>
      <c r="PQM54" s="102"/>
      <c r="PQN54" s="102"/>
      <c r="PQO54" s="102"/>
      <c r="PQP54" s="102"/>
      <c r="PQQ54" s="102"/>
      <c r="PQR54" s="102"/>
      <c r="PQS54" s="102"/>
      <c r="PQT54" s="102"/>
      <c r="PQU54" s="102"/>
      <c r="PQV54" s="102"/>
      <c r="PQW54" s="102"/>
      <c r="PQX54" s="102"/>
      <c r="PQY54" s="102"/>
      <c r="PQZ54" s="102"/>
      <c r="PRA54" s="102"/>
      <c r="PRB54" s="102"/>
      <c r="PRC54" s="102"/>
      <c r="PRD54" s="102"/>
      <c r="PRE54" s="102"/>
      <c r="PRF54" s="102"/>
      <c r="PRG54" s="102"/>
      <c r="PRH54" s="102"/>
      <c r="PRI54" s="102"/>
      <c r="PRJ54" s="102"/>
      <c r="PRK54" s="102"/>
      <c r="PRL54" s="102"/>
      <c r="PRM54" s="102"/>
      <c r="PRN54" s="102"/>
      <c r="PRO54" s="102"/>
      <c r="PRP54" s="102"/>
      <c r="PRQ54" s="102"/>
      <c r="PRR54" s="102"/>
      <c r="PRS54" s="102"/>
      <c r="PRT54" s="102"/>
      <c r="PRU54" s="102"/>
      <c r="PRV54" s="102"/>
      <c r="PRW54" s="102"/>
      <c r="PRX54" s="102"/>
      <c r="PRY54" s="102"/>
      <c r="PRZ54" s="102"/>
      <c r="PSA54" s="102"/>
      <c r="PSB54" s="102"/>
      <c r="PSC54" s="102"/>
      <c r="PSD54" s="102"/>
      <c r="PSE54" s="102"/>
      <c r="PSF54" s="102"/>
      <c r="PSG54" s="102"/>
      <c r="PSH54" s="102"/>
      <c r="PSI54" s="102"/>
      <c r="PSJ54" s="102"/>
      <c r="PSK54" s="102"/>
      <c r="PSL54" s="102"/>
      <c r="PSM54" s="102"/>
      <c r="PSN54" s="102"/>
      <c r="PSO54" s="102"/>
      <c r="PSP54" s="102"/>
      <c r="PSQ54" s="102"/>
      <c r="PSR54" s="102"/>
      <c r="PSS54" s="102"/>
      <c r="PST54" s="102"/>
      <c r="PSU54" s="102"/>
      <c r="PSV54" s="102"/>
      <c r="PSW54" s="102"/>
      <c r="PSX54" s="102"/>
      <c r="PSY54" s="102"/>
      <c r="PSZ54" s="102"/>
      <c r="PTA54" s="102"/>
      <c r="PTB54" s="102"/>
      <c r="PTC54" s="102"/>
      <c r="PTD54" s="102"/>
      <c r="PTE54" s="102"/>
      <c r="PTF54" s="102"/>
      <c r="PTG54" s="102"/>
      <c r="PTH54" s="102"/>
      <c r="PTI54" s="102"/>
      <c r="PTJ54" s="102"/>
      <c r="PTK54" s="102"/>
      <c r="PTL54" s="102"/>
      <c r="PTM54" s="102"/>
      <c r="PTN54" s="102"/>
      <c r="PTO54" s="102"/>
      <c r="PTP54" s="102"/>
      <c r="PTQ54" s="102"/>
      <c r="PTR54" s="102"/>
      <c r="PTS54" s="102"/>
      <c r="PTT54" s="102"/>
      <c r="PTU54" s="102"/>
      <c r="PTV54" s="102"/>
      <c r="PTW54" s="102"/>
      <c r="PTX54" s="102"/>
      <c r="PTY54" s="102"/>
      <c r="PTZ54" s="102"/>
      <c r="PUA54" s="102"/>
      <c r="PUB54" s="102"/>
      <c r="PUC54" s="102"/>
      <c r="PUD54" s="102"/>
      <c r="PUE54" s="102"/>
      <c r="PUF54" s="102"/>
      <c r="PUG54" s="102"/>
      <c r="PUH54" s="102"/>
      <c r="PUI54" s="102"/>
      <c r="PUJ54" s="102"/>
      <c r="PUK54" s="102"/>
      <c r="PUL54" s="102"/>
      <c r="PUM54" s="102"/>
      <c r="PUN54" s="102"/>
      <c r="PUO54" s="102"/>
      <c r="PUP54" s="102"/>
      <c r="PUQ54" s="102"/>
      <c r="PUR54" s="102"/>
      <c r="PUS54" s="102"/>
      <c r="PUT54" s="102"/>
      <c r="PUU54" s="102"/>
      <c r="PUV54" s="102"/>
      <c r="PUW54" s="102"/>
      <c r="PUX54" s="102"/>
      <c r="PUY54" s="102"/>
      <c r="PUZ54" s="102"/>
      <c r="PVA54" s="102"/>
      <c r="PVB54" s="102"/>
      <c r="PVC54" s="102"/>
      <c r="PVD54" s="102"/>
      <c r="PVE54" s="102"/>
      <c r="PVF54" s="102"/>
      <c r="PVG54" s="102"/>
      <c r="PVH54" s="102"/>
      <c r="PVI54" s="102"/>
      <c r="PVJ54" s="102"/>
      <c r="PVK54" s="102"/>
      <c r="PVL54" s="102"/>
      <c r="PVM54" s="102"/>
      <c r="PVN54" s="102"/>
      <c r="PVO54" s="102"/>
      <c r="PVP54" s="102"/>
      <c r="PVQ54" s="102"/>
      <c r="PVR54" s="102"/>
      <c r="PVS54" s="102"/>
      <c r="PVT54" s="102"/>
      <c r="PVU54" s="102"/>
      <c r="PVV54" s="102"/>
      <c r="PVW54" s="102"/>
      <c r="PVX54" s="102"/>
      <c r="PVY54" s="102"/>
      <c r="PVZ54" s="102"/>
      <c r="PWA54" s="102"/>
      <c r="PWB54" s="102"/>
      <c r="PWC54" s="102"/>
      <c r="PWD54" s="102"/>
      <c r="PWE54" s="102"/>
      <c r="PWF54" s="102"/>
      <c r="PWG54" s="102"/>
      <c r="PWH54" s="102"/>
      <c r="PWI54" s="102"/>
      <c r="PWJ54" s="102"/>
      <c r="PWK54" s="102"/>
      <c r="PWL54" s="102"/>
      <c r="PWM54" s="102"/>
      <c r="PWN54" s="102"/>
      <c r="PWO54" s="102"/>
      <c r="PWP54" s="102"/>
      <c r="PWQ54" s="102"/>
      <c r="PWR54" s="102"/>
      <c r="PWS54" s="102"/>
      <c r="PWT54" s="102"/>
      <c r="PWU54" s="102"/>
      <c r="PWV54" s="102"/>
      <c r="PWW54" s="102"/>
      <c r="PWX54" s="102"/>
      <c r="PWY54" s="102"/>
      <c r="PWZ54" s="102"/>
      <c r="PXA54" s="102"/>
      <c r="PXB54" s="102"/>
      <c r="PXC54" s="102"/>
      <c r="PXD54" s="102"/>
      <c r="PXE54" s="102"/>
      <c r="PXF54" s="102"/>
      <c r="PXG54" s="102"/>
      <c r="PXH54" s="102"/>
      <c r="PXI54" s="102"/>
      <c r="PXJ54" s="102"/>
      <c r="PXK54" s="102"/>
      <c r="PXL54" s="102"/>
      <c r="PXM54" s="102"/>
      <c r="PXN54" s="102"/>
      <c r="PXO54" s="102"/>
      <c r="PXP54" s="102"/>
      <c r="PXQ54" s="102"/>
      <c r="PXR54" s="102"/>
      <c r="PXS54" s="102"/>
      <c r="PXT54" s="102"/>
      <c r="PXU54" s="102"/>
      <c r="PXV54" s="102"/>
      <c r="PXW54" s="102"/>
      <c r="PXX54" s="102"/>
      <c r="PXY54" s="102"/>
      <c r="PXZ54" s="102"/>
      <c r="PYA54" s="102"/>
      <c r="PYB54" s="102"/>
      <c r="PYC54" s="102"/>
      <c r="PYD54" s="102"/>
      <c r="PYE54" s="102"/>
      <c r="PYF54" s="102"/>
      <c r="PYG54" s="102"/>
      <c r="PYH54" s="102"/>
      <c r="PYI54" s="102"/>
      <c r="PYJ54" s="102"/>
      <c r="PYK54" s="102"/>
      <c r="PYL54" s="102"/>
      <c r="PYM54" s="102"/>
      <c r="PYN54" s="102"/>
      <c r="PYO54" s="102"/>
      <c r="PYP54" s="102"/>
      <c r="PYQ54" s="102"/>
      <c r="PYR54" s="102"/>
      <c r="PYS54" s="102"/>
      <c r="PYT54" s="102"/>
      <c r="PYU54" s="102"/>
      <c r="PYV54" s="102"/>
      <c r="PYW54" s="102"/>
      <c r="PYX54" s="102"/>
      <c r="PYY54" s="102"/>
      <c r="PYZ54" s="102"/>
      <c r="PZA54" s="102"/>
      <c r="PZB54" s="102"/>
      <c r="PZC54" s="102"/>
      <c r="PZD54" s="102"/>
      <c r="PZE54" s="102"/>
      <c r="PZF54" s="102"/>
      <c r="PZG54" s="102"/>
      <c r="PZH54" s="102"/>
      <c r="PZI54" s="102"/>
      <c r="PZJ54" s="102"/>
      <c r="PZK54" s="102"/>
      <c r="PZL54" s="102"/>
      <c r="PZM54" s="102"/>
      <c r="PZN54" s="102"/>
      <c r="PZO54" s="102"/>
      <c r="PZP54" s="102"/>
      <c r="PZQ54" s="102"/>
      <c r="PZR54" s="102"/>
      <c r="PZS54" s="102"/>
      <c r="PZT54" s="102"/>
      <c r="PZU54" s="102"/>
      <c r="PZV54" s="102"/>
      <c r="PZW54" s="102"/>
      <c r="PZX54" s="102"/>
      <c r="PZY54" s="102"/>
      <c r="PZZ54" s="102"/>
      <c r="QAA54" s="102"/>
      <c r="QAB54" s="102"/>
      <c r="QAC54" s="102"/>
      <c r="QAD54" s="102"/>
      <c r="QAE54" s="102"/>
      <c r="QAF54" s="102"/>
      <c r="QAG54" s="102"/>
      <c r="QAH54" s="102"/>
      <c r="QAI54" s="102"/>
      <c r="QAJ54" s="102"/>
      <c r="QAK54" s="102"/>
      <c r="QAL54" s="102"/>
      <c r="QAM54" s="102"/>
      <c r="QAN54" s="102"/>
      <c r="QAO54" s="102"/>
      <c r="QAP54" s="102"/>
      <c r="QAQ54" s="102"/>
      <c r="QAR54" s="102"/>
      <c r="QAS54" s="102"/>
      <c r="QAT54" s="102"/>
      <c r="QAU54" s="102"/>
      <c r="QAV54" s="102"/>
      <c r="QAW54" s="102"/>
      <c r="QAX54" s="102"/>
      <c r="QAY54" s="102"/>
      <c r="QAZ54" s="102"/>
      <c r="QBA54" s="102"/>
      <c r="QBB54" s="102"/>
      <c r="QBC54" s="102"/>
      <c r="QBD54" s="102"/>
      <c r="QBE54" s="102"/>
      <c r="QBF54" s="102"/>
      <c r="QBG54" s="102"/>
      <c r="QBH54" s="102"/>
      <c r="QBI54" s="102"/>
      <c r="QBJ54" s="102"/>
      <c r="QBK54" s="102"/>
      <c r="QBL54" s="102"/>
      <c r="QBM54" s="102"/>
      <c r="QBN54" s="102"/>
      <c r="QBO54" s="102"/>
      <c r="QBP54" s="102"/>
      <c r="QBQ54" s="102"/>
      <c r="QBR54" s="102"/>
      <c r="QBS54" s="102"/>
      <c r="QBT54" s="102"/>
      <c r="QBU54" s="102"/>
      <c r="QBV54" s="102"/>
      <c r="QBW54" s="102"/>
      <c r="QBX54" s="102"/>
      <c r="QBY54" s="102"/>
      <c r="QBZ54" s="102"/>
      <c r="QCA54" s="102"/>
      <c r="QCB54" s="102"/>
      <c r="QCC54" s="102"/>
      <c r="QCD54" s="102"/>
      <c r="QCE54" s="102"/>
      <c r="QCF54" s="102"/>
      <c r="QCG54" s="102"/>
      <c r="QCH54" s="102"/>
      <c r="QCI54" s="102"/>
      <c r="QCJ54" s="102"/>
      <c r="QCK54" s="102"/>
      <c r="QCL54" s="102"/>
      <c r="QCM54" s="102"/>
      <c r="QCN54" s="102"/>
      <c r="QCO54" s="102"/>
      <c r="QCP54" s="102"/>
      <c r="QCQ54" s="102"/>
      <c r="QCR54" s="102"/>
      <c r="QCS54" s="102"/>
      <c r="QCT54" s="102"/>
      <c r="QCU54" s="102"/>
      <c r="QCV54" s="102"/>
      <c r="QCW54" s="102"/>
      <c r="QCX54" s="102"/>
      <c r="QCY54" s="102"/>
      <c r="QCZ54" s="102"/>
      <c r="QDA54" s="102"/>
      <c r="QDB54" s="102"/>
      <c r="QDC54" s="102"/>
      <c r="QDD54" s="102"/>
      <c r="QDE54" s="102"/>
      <c r="QDF54" s="102"/>
      <c r="QDG54" s="102"/>
      <c r="QDH54" s="102"/>
      <c r="QDI54" s="102"/>
      <c r="QDJ54" s="102"/>
      <c r="QDK54" s="102"/>
      <c r="QDL54" s="102"/>
      <c r="QDM54" s="102"/>
      <c r="QDN54" s="102"/>
      <c r="QDO54" s="102"/>
      <c r="QDP54" s="102"/>
      <c r="QDQ54" s="102"/>
      <c r="QDR54" s="102"/>
      <c r="QDS54" s="102"/>
      <c r="QDT54" s="102"/>
      <c r="QDU54" s="102"/>
      <c r="QDV54" s="102"/>
      <c r="QDW54" s="102"/>
      <c r="QDX54" s="102"/>
      <c r="QDY54" s="102"/>
      <c r="QDZ54" s="102"/>
      <c r="QEA54" s="102"/>
      <c r="QEB54" s="102"/>
      <c r="QEC54" s="102"/>
      <c r="QED54" s="102"/>
      <c r="QEE54" s="102"/>
      <c r="QEF54" s="102"/>
      <c r="QEG54" s="102"/>
      <c r="QEH54" s="102"/>
      <c r="QEI54" s="102"/>
      <c r="QEJ54" s="102"/>
      <c r="QEK54" s="102"/>
      <c r="QEL54" s="102"/>
      <c r="QEM54" s="102"/>
      <c r="QEN54" s="102"/>
      <c r="QEO54" s="102"/>
      <c r="QEP54" s="102"/>
      <c r="QEQ54" s="102"/>
      <c r="QER54" s="102"/>
      <c r="QES54" s="102"/>
      <c r="QET54" s="102"/>
      <c r="QEU54" s="102"/>
      <c r="QEV54" s="102"/>
      <c r="QEW54" s="102"/>
      <c r="QEX54" s="102"/>
      <c r="QEY54" s="102"/>
      <c r="QEZ54" s="102"/>
      <c r="QFA54" s="102"/>
      <c r="QFB54" s="102"/>
      <c r="QFC54" s="102"/>
      <c r="QFD54" s="102"/>
      <c r="QFE54" s="102"/>
      <c r="QFF54" s="102"/>
      <c r="QFG54" s="102"/>
      <c r="QFH54" s="102"/>
      <c r="QFI54" s="102"/>
      <c r="QFJ54" s="102"/>
      <c r="QFK54" s="102"/>
      <c r="QFL54" s="102"/>
      <c r="QFM54" s="102"/>
      <c r="QFN54" s="102"/>
      <c r="QFO54" s="102"/>
      <c r="QFP54" s="102"/>
      <c r="QFQ54" s="102"/>
      <c r="QFR54" s="102"/>
      <c r="QFS54" s="102"/>
      <c r="QFT54" s="102"/>
      <c r="QFU54" s="102"/>
      <c r="QFV54" s="102"/>
      <c r="QFW54" s="102"/>
      <c r="QFX54" s="102"/>
      <c r="QFY54" s="102"/>
      <c r="QFZ54" s="102"/>
      <c r="QGA54" s="102"/>
      <c r="QGB54" s="102"/>
      <c r="QGC54" s="102"/>
      <c r="QGD54" s="102"/>
      <c r="QGE54" s="102"/>
      <c r="QGF54" s="102"/>
      <c r="QGG54" s="102"/>
      <c r="QGH54" s="102"/>
      <c r="QGI54" s="102"/>
      <c r="QGJ54" s="102"/>
      <c r="QGK54" s="102"/>
      <c r="QGL54" s="102"/>
      <c r="QGM54" s="102"/>
      <c r="QGN54" s="102"/>
      <c r="QGO54" s="102"/>
      <c r="QGP54" s="102"/>
      <c r="QGQ54" s="102"/>
      <c r="QGR54" s="102"/>
      <c r="QGS54" s="102"/>
      <c r="QGT54" s="102"/>
      <c r="QGU54" s="102"/>
      <c r="QGV54" s="102"/>
      <c r="QGW54" s="102"/>
      <c r="QGX54" s="102"/>
      <c r="QGY54" s="102"/>
      <c r="QGZ54" s="102"/>
      <c r="QHA54" s="102"/>
      <c r="QHB54" s="102"/>
      <c r="QHC54" s="102"/>
      <c r="QHD54" s="102"/>
      <c r="QHE54" s="102"/>
      <c r="QHF54" s="102"/>
      <c r="QHG54" s="102"/>
      <c r="QHH54" s="102"/>
      <c r="QHI54" s="102"/>
      <c r="QHJ54" s="102"/>
      <c r="QHK54" s="102"/>
      <c r="QHL54" s="102"/>
      <c r="QHM54" s="102"/>
      <c r="QHN54" s="102"/>
      <c r="QHO54" s="102"/>
      <c r="QHP54" s="102"/>
      <c r="QHQ54" s="102"/>
      <c r="QHR54" s="102"/>
      <c r="QHS54" s="102"/>
      <c r="QHT54" s="102"/>
      <c r="QHU54" s="102"/>
      <c r="QHV54" s="102"/>
      <c r="QHW54" s="102"/>
      <c r="QHX54" s="102"/>
      <c r="QHY54" s="102"/>
      <c r="QHZ54" s="102"/>
      <c r="QIA54" s="102"/>
      <c r="QIB54" s="102"/>
      <c r="QIC54" s="102"/>
      <c r="QID54" s="102"/>
      <c r="QIE54" s="102"/>
      <c r="QIF54" s="102"/>
      <c r="QIG54" s="102"/>
      <c r="QIH54" s="102"/>
      <c r="QII54" s="102"/>
      <c r="QIJ54" s="102"/>
      <c r="QIK54" s="102"/>
      <c r="QIL54" s="102"/>
      <c r="QIM54" s="102"/>
      <c r="QIN54" s="102"/>
      <c r="QIO54" s="102"/>
      <c r="QIP54" s="102"/>
      <c r="QIQ54" s="102"/>
      <c r="QIR54" s="102"/>
      <c r="QIS54" s="102"/>
      <c r="QIT54" s="102"/>
      <c r="QIU54" s="102"/>
      <c r="QIV54" s="102"/>
      <c r="QIW54" s="102"/>
      <c r="QIX54" s="102"/>
      <c r="QIY54" s="102"/>
      <c r="QIZ54" s="102"/>
      <c r="QJA54" s="102"/>
      <c r="QJB54" s="102"/>
      <c r="QJC54" s="102"/>
      <c r="QJD54" s="102"/>
      <c r="QJE54" s="102"/>
      <c r="QJF54" s="102"/>
      <c r="QJG54" s="102"/>
      <c r="QJH54" s="102"/>
      <c r="QJI54" s="102"/>
      <c r="QJJ54" s="102"/>
      <c r="QJK54" s="102"/>
      <c r="QJL54" s="102"/>
      <c r="QJM54" s="102"/>
      <c r="QJN54" s="102"/>
      <c r="QJO54" s="102"/>
      <c r="QJP54" s="102"/>
      <c r="QJQ54" s="102"/>
      <c r="QJR54" s="102"/>
      <c r="QJS54" s="102"/>
      <c r="QJT54" s="102"/>
      <c r="QJU54" s="102"/>
      <c r="QJV54" s="102"/>
      <c r="QJW54" s="102"/>
      <c r="QJX54" s="102"/>
      <c r="QJY54" s="102"/>
      <c r="QJZ54" s="102"/>
      <c r="QKA54" s="102"/>
      <c r="QKB54" s="102"/>
      <c r="QKC54" s="102"/>
      <c r="QKD54" s="102"/>
      <c r="QKE54" s="102"/>
      <c r="QKF54" s="102"/>
      <c r="QKG54" s="102"/>
      <c r="QKH54" s="102"/>
      <c r="QKI54" s="102"/>
      <c r="QKJ54" s="102"/>
      <c r="QKK54" s="102"/>
      <c r="QKL54" s="102"/>
      <c r="QKM54" s="102"/>
      <c r="QKN54" s="102"/>
      <c r="QKO54" s="102"/>
      <c r="QKP54" s="102"/>
      <c r="QKQ54" s="102"/>
      <c r="QKR54" s="102"/>
      <c r="QKS54" s="102"/>
      <c r="QKT54" s="102"/>
      <c r="QKU54" s="102"/>
      <c r="QKV54" s="102"/>
      <c r="QKW54" s="102"/>
      <c r="QKX54" s="102"/>
      <c r="QKY54" s="102"/>
      <c r="QKZ54" s="102"/>
      <c r="QLA54" s="102"/>
      <c r="QLB54" s="102"/>
      <c r="QLC54" s="102"/>
      <c r="QLD54" s="102"/>
      <c r="QLE54" s="102"/>
      <c r="QLF54" s="102"/>
      <c r="QLG54" s="102"/>
      <c r="QLH54" s="102"/>
      <c r="QLI54" s="102"/>
      <c r="QLJ54" s="102"/>
      <c r="QLK54" s="102"/>
      <c r="QLL54" s="102"/>
      <c r="QLM54" s="102"/>
      <c r="QLN54" s="102"/>
      <c r="QLO54" s="102"/>
      <c r="QLP54" s="102"/>
      <c r="QLQ54" s="102"/>
      <c r="QLR54" s="102"/>
      <c r="QLS54" s="102"/>
      <c r="QLT54" s="102"/>
      <c r="QLU54" s="102"/>
      <c r="QLV54" s="102"/>
      <c r="QLW54" s="102"/>
      <c r="QLX54" s="102"/>
      <c r="QLY54" s="102"/>
      <c r="QLZ54" s="102"/>
      <c r="QMA54" s="102"/>
      <c r="QMB54" s="102"/>
      <c r="QMC54" s="102"/>
      <c r="QMD54" s="102"/>
      <c r="QME54" s="102"/>
      <c r="QMF54" s="102"/>
      <c r="QMG54" s="102"/>
      <c r="QMH54" s="102"/>
      <c r="QMI54" s="102"/>
      <c r="QMJ54" s="102"/>
      <c r="QMK54" s="102"/>
      <c r="QML54" s="102"/>
      <c r="QMM54" s="102"/>
      <c r="QMN54" s="102"/>
      <c r="QMO54" s="102"/>
      <c r="QMP54" s="102"/>
      <c r="QMQ54" s="102"/>
      <c r="QMR54" s="102"/>
      <c r="QMS54" s="102"/>
      <c r="QMT54" s="102"/>
      <c r="QMU54" s="102"/>
      <c r="QMV54" s="102"/>
      <c r="QMW54" s="102"/>
      <c r="QMX54" s="102"/>
      <c r="QMY54" s="102"/>
      <c r="QMZ54" s="102"/>
      <c r="QNA54" s="102"/>
      <c r="QNB54" s="102"/>
      <c r="QNC54" s="102"/>
      <c r="QND54" s="102"/>
      <c r="QNE54" s="102"/>
      <c r="QNF54" s="102"/>
      <c r="QNG54" s="102"/>
      <c r="QNH54" s="102"/>
      <c r="QNI54" s="102"/>
      <c r="QNJ54" s="102"/>
      <c r="QNK54" s="102"/>
      <c r="QNL54" s="102"/>
      <c r="QNM54" s="102"/>
      <c r="QNN54" s="102"/>
      <c r="QNO54" s="102"/>
      <c r="QNP54" s="102"/>
      <c r="QNQ54" s="102"/>
      <c r="QNR54" s="102"/>
      <c r="QNS54" s="102"/>
      <c r="QNT54" s="102"/>
      <c r="QNU54" s="102"/>
      <c r="QNV54" s="102"/>
      <c r="QNW54" s="102"/>
      <c r="QNX54" s="102"/>
      <c r="QNY54" s="102"/>
      <c r="QNZ54" s="102"/>
      <c r="QOA54" s="102"/>
      <c r="QOB54" s="102"/>
      <c r="QOC54" s="102"/>
      <c r="QOD54" s="102"/>
      <c r="QOE54" s="102"/>
      <c r="QOF54" s="102"/>
      <c r="QOG54" s="102"/>
      <c r="QOH54" s="102"/>
      <c r="QOI54" s="102"/>
      <c r="QOJ54" s="102"/>
      <c r="QOK54" s="102"/>
      <c r="QOL54" s="102"/>
      <c r="QOM54" s="102"/>
      <c r="QON54" s="102"/>
      <c r="QOO54" s="102"/>
      <c r="QOP54" s="102"/>
      <c r="QOQ54" s="102"/>
      <c r="QOR54" s="102"/>
      <c r="QOS54" s="102"/>
      <c r="QOT54" s="102"/>
      <c r="QOU54" s="102"/>
      <c r="QOV54" s="102"/>
      <c r="QOW54" s="102"/>
      <c r="QOX54" s="102"/>
      <c r="QOY54" s="102"/>
      <c r="QOZ54" s="102"/>
      <c r="QPA54" s="102"/>
      <c r="QPB54" s="102"/>
      <c r="QPC54" s="102"/>
      <c r="QPD54" s="102"/>
      <c r="QPE54" s="102"/>
      <c r="QPF54" s="102"/>
      <c r="QPG54" s="102"/>
      <c r="QPH54" s="102"/>
      <c r="QPI54" s="102"/>
      <c r="QPJ54" s="102"/>
      <c r="QPK54" s="102"/>
      <c r="QPL54" s="102"/>
      <c r="QPM54" s="102"/>
      <c r="QPN54" s="102"/>
      <c r="QPO54" s="102"/>
      <c r="QPP54" s="102"/>
      <c r="QPQ54" s="102"/>
      <c r="QPR54" s="102"/>
      <c r="QPS54" s="102"/>
      <c r="QPT54" s="102"/>
      <c r="QPU54" s="102"/>
      <c r="QPV54" s="102"/>
      <c r="QPW54" s="102"/>
      <c r="QPX54" s="102"/>
      <c r="QPY54" s="102"/>
      <c r="QPZ54" s="102"/>
      <c r="QQA54" s="102"/>
      <c r="QQB54" s="102"/>
      <c r="QQC54" s="102"/>
      <c r="QQD54" s="102"/>
      <c r="QQE54" s="102"/>
      <c r="QQF54" s="102"/>
      <c r="QQG54" s="102"/>
      <c r="QQH54" s="102"/>
      <c r="QQI54" s="102"/>
      <c r="QQJ54" s="102"/>
      <c r="QQK54" s="102"/>
      <c r="QQL54" s="102"/>
      <c r="QQM54" s="102"/>
      <c r="QQN54" s="102"/>
      <c r="QQO54" s="102"/>
      <c r="QQP54" s="102"/>
      <c r="QQQ54" s="102"/>
      <c r="QQR54" s="102"/>
      <c r="QQS54" s="102"/>
      <c r="QQT54" s="102"/>
      <c r="QQU54" s="102"/>
      <c r="QQV54" s="102"/>
      <c r="QQW54" s="102"/>
      <c r="QQX54" s="102"/>
      <c r="QQY54" s="102"/>
      <c r="QQZ54" s="102"/>
      <c r="QRA54" s="102"/>
      <c r="QRB54" s="102"/>
      <c r="QRC54" s="102"/>
      <c r="QRD54" s="102"/>
      <c r="QRE54" s="102"/>
      <c r="QRF54" s="102"/>
      <c r="QRG54" s="102"/>
      <c r="QRH54" s="102"/>
      <c r="QRI54" s="102"/>
      <c r="QRJ54" s="102"/>
      <c r="QRK54" s="102"/>
      <c r="QRL54" s="102"/>
      <c r="QRM54" s="102"/>
      <c r="QRN54" s="102"/>
      <c r="QRO54" s="102"/>
      <c r="QRP54" s="102"/>
      <c r="QRQ54" s="102"/>
      <c r="QRR54" s="102"/>
      <c r="QRS54" s="102"/>
      <c r="QRT54" s="102"/>
      <c r="QRU54" s="102"/>
      <c r="QRV54" s="102"/>
      <c r="QRW54" s="102"/>
      <c r="QRX54" s="102"/>
      <c r="QRY54" s="102"/>
      <c r="QRZ54" s="102"/>
      <c r="QSA54" s="102"/>
      <c r="QSB54" s="102"/>
      <c r="QSC54" s="102"/>
      <c r="QSD54" s="102"/>
      <c r="QSE54" s="102"/>
      <c r="QSF54" s="102"/>
      <c r="QSG54" s="102"/>
      <c r="QSH54" s="102"/>
      <c r="QSI54" s="102"/>
      <c r="QSJ54" s="102"/>
      <c r="QSK54" s="102"/>
      <c r="QSL54" s="102"/>
      <c r="QSM54" s="102"/>
      <c r="QSN54" s="102"/>
      <c r="QSO54" s="102"/>
      <c r="QSP54" s="102"/>
      <c r="QSQ54" s="102"/>
      <c r="QSR54" s="102"/>
      <c r="QSS54" s="102"/>
      <c r="QST54" s="102"/>
      <c r="QSU54" s="102"/>
      <c r="QSV54" s="102"/>
      <c r="QSW54" s="102"/>
      <c r="QSX54" s="102"/>
      <c r="QSY54" s="102"/>
      <c r="QSZ54" s="102"/>
      <c r="QTA54" s="102"/>
      <c r="QTB54" s="102"/>
      <c r="QTC54" s="102"/>
      <c r="QTD54" s="102"/>
      <c r="QTE54" s="102"/>
      <c r="QTF54" s="102"/>
      <c r="QTG54" s="102"/>
      <c r="QTH54" s="102"/>
      <c r="QTI54" s="102"/>
      <c r="QTJ54" s="102"/>
      <c r="QTK54" s="102"/>
      <c r="QTL54" s="102"/>
      <c r="QTM54" s="102"/>
      <c r="QTN54" s="102"/>
      <c r="QTO54" s="102"/>
      <c r="QTP54" s="102"/>
      <c r="QTQ54" s="102"/>
      <c r="QTR54" s="102"/>
      <c r="QTS54" s="102"/>
      <c r="QTT54" s="102"/>
      <c r="QTU54" s="102"/>
      <c r="QTV54" s="102"/>
      <c r="QTW54" s="102"/>
      <c r="QTX54" s="102"/>
      <c r="QTY54" s="102"/>
      <c r="QTZ54" s="102"/>
      <c r="QUA54" s="102"/>
      <c r="QUB54" s="102"/>
      <c r="QUC54" s="102"/>
      <c r="QUD54" s="102"/>
      <c r="QUE54" s="102"/>
      <c r="QUF54" s="102"/>
      <c r="QUG54" s="102"/>
      <c r="QUH54" s="102"/>
      <c r="QUI54" s="102"/>
      <c r="QUJ54" s="102"/>
      <c r="QUK54" s="102"/>
      <c r="QUL54" s="102"/>
      <c r="QUM54" s="102"/>
      <c r="QUN54" s="102"/>
      <c r="QUO54" s="102"/>
      <c r="QUP54" s="102"/>
      <c r="QUQ54" s="102"/>
      <c r="QUR54" s="102"/>
      <c r="QUS54" s="102"/>
      <c r="QUT54" s="102"/>
      <c r="QUU54" s="102"/>
      <c r="QUV54" s="102"/>
      <c r="QUW54" s="102"/>
      <c r="QUX54" s="102"/>
      <c r="QUY54" s="102"/>
      <c r="QUZ54" s="102"/>
      <c r="QVA54" s="102"/>
      <c r="QVB54" s="102"/>
      <c r="QVC54" s="102"/>
      <c r="QVD54" s="102"/>
      <c r="QVE54" s="102"/>
      <c r="QVF54" s="102"/>
      <c r="QVG54" s="102"/>
      <c r="QVH54" s="102"/>
      <c r="QVI54" s="102"/>
      <c r="QVJ54" s="102"/>
      <c r="QVK54" s="102"/>
      <c r="QVL54" s="102"/>
      <c r="QVM54" s="102"/>
      <c r="QVN54" s="102"/>
      <c r="QVO54" s="102"/>
      <c r="QVP54" s="102"/>
      <c r="QVQ54" s="102"/>
      <c r="QVR54" s="102"/>
      <c r="QVS54" s="102"/>
      <c r="QVT54" s="102"/>
      <c r="QVU54" s="102"/>
      <c r="QVV54" s="102"/>
      <c r="QVW54" s="102"/>
      <c r="QVX54" s="102"/>
      <c r="QVY54" s="102"/>
      <c r="QVZ54" s="102"/>
      <c r="QWA54" s="102"/>
      <c r="QWB54" s="102"/>
      <c r="QWC54" s="102"/>
      <c r="QWD54" s="102"/>
      <c r="QWE54" s="102"/>
      <c r="QWF54" s="102"/>
      <c r="QWG54" s="102"/>
      <c r="QWH54" s="102"/>
      <c r="QWI54" s="102"/>
      <c r="QWJ54" s="102"/>
      <c r="QWK54" s="102"/>
      <c r="QWL54" s="102"/>
      <c r="QWM54" s="102"/>
      <c r="QWN54" s="102"/>
      <c r="QWO54" s="102"/>
      <c r="QWP54" s="102"/>
      <c r="QWQ54" s="102"/>
      <c r="QWR54" s="102"/>
      <c r="QWS54" s="102"/>
      <c r="QWT54" s="102"/>
      <c r="QWU54" s="102"/>
      <c r="QWV54" s="102"/>
      <c r="QWW54" s="102"/>
      <c r="QWX54" s="102"/>
      <c r="QWY54" s="102"/>
      <c r="QWZ54" s="102"/>
      <c r="QXA54" s="102"/>
      <c r="QXB54" s="102"/>
      <c r="QXC54" s="102"/>
      <c r="QXD54" s="102"/>
      <c r="QXE54" s="102"/>
      <c r="QXF54" s="102"/>
      <c r="QXG54" s="102"/>
      <c r="QXH54" s="102"/>
      <c r="QXI54" s="102"/>
      <c r="QXJ54" s="102"/>
      <c r="QXK54" s="102"/>
      <c r="QXL54" s="102"/>
      <c r="QXM54" s="102"/>
      <c r="QXN54" s="102"/>
      <c r="QXO54" s="102"/>
      <c r="QXP54" s="102"/>
      <c r="QXQ54" s="102"/>
      <c r="QXR54" s="102"/>
      <c r="QXS54" s="102"/>
      <c r="QXT54" s="102"/>
      <c r="QXU54" s="102"/>
      <c r="QXV54" s="102"/>
      <c r="QXW54" s="102"/>
      <c r="QXX54" s="102"/>
      <c r="QXY54" s="102"/>
      <c r="QXZ54" s="102"/>
      <c r="QYA54" s="102"/>
      <c r="QYB54" s="102"/>
      <c r="QYC54" s="102"/>
      <c r="QYD54" s="102"/>
      <c r="QYE54" s="102"/>
      <c r="QYF54" s="102"/>
      <c r="QYG54" s="102"/>
      <c r="QYH54" s="102"/>
      <c r="QYI54" s="102"/>
      <c r="QYJ54" s="102"/>
      <c r="QYK54" s="102"/>
      <c r="QYL54" s="102"/>
      <c r="QYM54" s="102"/>
      <c r="QYN54" s="102"/>
      <c r="QYO54" s="102"/>
      <c r="QYP54" s="102"/>
      <c r="QYQ54" s="102"/>
      <c r="QYR54" s="102"/>
      <c r="QYS54" s="102"/>
      <c r="QYT54" s="102"/>
      <c r="QYU54" s="102"/>
      <c r="QYV54" s="102"/>
      <c r="QYW54" s="102"/>
      <c r="QYX54" s="102"/>
      <c r="QYY54" s="102"/>
      <c r="QYZ54" s="102"/>
      <c r="QZA54" s="102"/>
      <c r="QZB54" s="102"/>
      <c r="QZC54" s="102"/>
      <c r="QZD54" s="102"/>
      <c r="QZE54" s="102"/>
      <c r="QZF54" s="102"/>
      <c r="QZG54" s="102"/>
      <c r="QZH54" s="102"/>
      <c r="QZI54" s="102"/>
      <c r="QZJ54" s="102"/>
      <c r="QZK54" s="102"/>
      <c r="QZL54" s="102"/>
      <c r="QZM54" s="102"/>
      <c r="QZN54" s="102"/>
      <c r="QZO54" s="102"/>
      <c r="QZP54" s="102"/>
      <c r="QZQ54" s="102"/>
      <c r="QZR54" s="102"/>
      <c r="QZS54" s="102"/>
      <c r="QZT54" s="102"/>
      <c r="QZU54" s="102"/>
      <c r="QZV54" s="102"/>
      <c r="QZW54" s="102"/>
      <c r="QZX54" s="102"/>
      <c r="QZY54" s="102"/>
      <c r="QZZ54" s="102"/>
      <c r="RAA54" s="102"/>
      <c r="RAB54" s="102"/>
      <c r="RAC54" s="102"/>
      <c r="RAD54" s="102"/>
      <c r="RAE54" s="102"/>
      <c r="RAF54" s="102"/>
      <c r="RAG54" s="102"/>
      <c r="RAH54" s="102"/>
      <c r="RAI54" s="102"/>
      <c r="RAJ54" s="102"/>
      <c r="RAK54" s="102"/>
      <c r="RAL54" s="102"/>
      <c r="RAM54" s="102"/>
      <c r="RAN54" s="102"/>
      <c r="RAO54" s="102"/>
      <c r="RAP54" s="102"/>
      <c r="RAQ54" s="102"/>
      <c r="RAR54" s="102"/>
      <c r="RAS54" s="102"/>
      <c r="RAT54" s="102"/>
      <c r="RAU54" s="102"/>
      <c r="RAV54" s="102"/>
      <c r="RAW54" s="102"/>
      <c r="RAX54" s="102"/>
      <c r="RAY54" s="102"/>
      <c r="RAZ54" s="102"/>
      <c r="RBA54" s="102"/>
      <c r="RBB54" s="102"/>
      <c r="RBC54" s="102"/>
      <c r="RBD54" s="102"/>
      <c r="RBE54" s="102"/>
      <c r="RBF54" s="102"/>
      <c r="RBG54" s="102"/>
      <c r="RBH54" s="102"/>
      <c r="RBI54" s="102"/>
      <c r="RBJ54" s="102"/>
      <c r="RBK54" s="102"/>
      <c r="RBL54" s="102"/>
      <c r="RBM54" s="102"/>
      <c r="RBN54" s="102"/>
      <c r="RBO54" s="102"/>
      <c r="RBP54" s="102"/>
      <c r="RBQ54" s="102"/>
      <c r="RBR54" s="102"/>
      <c r="RBS54" s="102"/>
      <c r="RBT54" s="102"/>
      <c r="RBU54" s="102"/>
      <c r="RBV54" s="102"/>
      <c r="RBW54" s="102"/>
      <c r="RBX54" s="102"/>
      <c r="RBY54" s="102"/>
      <c r="RBZ54" s="102"/>
      <c r="RCA54" s="102"/>
      <c r="RCB54" s="102"/>
      <c r="RCC54" s="102"/>
      <c r="RCD54" s="102"/>
      <c r="RCE54" s="102"/>
      <c r="RCF54" s="102"/>
      <c r="RCG54" s="102"/>
      <c r="RCH54" s="102"/>
      <c r="RCI54" s="102"/>
      <c r="RCJ54" s="102"/>
      <c r="RCK54" s="102"/>
      <c r="RCL54" s="102"/>
      <c r="RCM54" s="102"/>
      <c r="RCN54" s="102"/>
      <c r="RCO54" s="102"/>
      <c r="RCP54" s="102"/>
      <c r="RCQ54" s="102"/>
      <c r="RCR54" s="102"/>
      <c r="RCS54" s="102"/>
      <c r="RCT54" s="102"/>
      <c r="RCU54" s="102"/>
      <c r="RCV54" s="102"/>
      <c r="RCW54" s="102"/>
      <c r="RCX54" s="102"/>
      <c r="RCY54" s="102"/>
      <c r="RCZ54" s="102"/>
      <c r="RDA54" s="102"/>
      <c r="RDB54" s="102"/>
      <c r="RDC54" s="102"/>
      <c r="RDD54" s="102"/>
      <c r="RDE54" s="102"/>
      <c r="RDF54" s="102"/>
      <c r="RDG54" s="102"/>
      <c r="RDH54" s="102"/>
      <c r="RDI54" s="102"/>
      <c r="RDJ54" s="102"/>
      <c r="RDK54" s="102"/>
      <c r="RDL54" s="102"/>
      <c r="RDM54" s="102"/>
      <c r="RDN54" s="102"/>
      <c r="RDO54" s="102"/>
      <c r="RDP54" s="102"/>
      <c r="RDQ54" s="102"/>
      <c r="RDR54" s="102"/>
      <c r="RDS54" s="102"/>
      <c r="RDT54" s="102"/>
      <c r="RDU54" s="102"/>
      <c r="RDV54" s="102"/>
      <c r="RDW54" s="102"/>
      <c r="RDX54" s="102"/>
      <c r="RDY54" s="102"/>
      <c r="RDZ54" s="102"/>
      <c r="REA54" s="102"/>
      <c r="REB54" s="102"/>
      <c r="REC54" s="102"/>
      <c r="RED54" s="102"/>
      <c r="REE54" s="102"/>
      <c r="REF54" s="102"/>
      <c r="REG54" s="102"/>
      <c r="REH54" s="102"/>
      <c r="REI54" s="102"/>
      <c r="REJ54" s="102"/>
      <c r="REK54" s="102"/>
      <c r="REL54" s="102"/>
      <c r="REM54" s="102"/>
      <c r="REN54" s="102"/>
      <c r="REO54" s="102"/>
      <c r="REP54" s="102"/>
      <c r="REQ54" s="102"/>
      <c r="RER54" s="102"/>
      <c r="RES54" s="102"/>
      <c r="RET54" s="102"/>
      <c r="REU54" s="102"/>
      <c r="REV54" s="102"/>
      <c r="REW54" s="102"/>
      <c r="REX54" s="102"/>
      <c r="REY54" s="102"/>
      <c r="REZ54" s="102"/>
      <c r="RFA54" s="102"/>
      <c r="RFB54" s="102"/>
      <c r="RFC54" s="102"/>
      <c r="RFD54" s="102"/>
      <c r="RFE54" s="102"/>
      <c r="RFF54" s="102"/>
      <c r="RFG54" s="102"/>
      <c r="RFH54" s="102"/>
      <c r="RFI54" s="102"/>
      <c r="RFJ54" s="102"/>
      <c r="RFK54" s="102"/>
      <c r="RFL54" s="102"/>
      <c r="RFM54" s="102"/>
      <c r="RFN54" s="102"/>
      <c r="RFO54" s="102"/>
      <c r="RFP54" s="102"/>
      <c r="RFQ54" s="102"/>
      <c r="RFR54" s="102"/>
      <c r="RFS54" s="102"/>
      <c r="RFT54" s="102"/>
      <c r="RFU54" s="102"/>
      <c r="RFV54" s="102"/>
      <c r="RFW54" s="102"/>
      <c r="RFX54" s="102"/>
      <c r="RFY54" s="102"/>
      <c r="RFZ54" s="102"/>
      <c r="RGA54" s="102"/>
      <c r="RGB54" s="102"/>
      <c r="RGC54" s="102"/>
      <c r="RGD54" s="102"/>
      <c r="RGE54" s="102"/>
      <c r="RGF54" s="102"/>
      <c r="RGG54" s="102"/>
      <c r="RGH54" s="102"/>
      <c r="RGI54" s="102"/>
      <c r="RGJ54" s="102"/>
      <c r="RGK54" s="102"/>
      <c r="RGL54" s="102"/>
      <c r="RGM54" s="102"/>
      <c r="RGN54" s="102"/>
      <c r="RGO54" s="102"/>
      <c r="RGP54" s="102"/>
      <c r="RGQ54" s="102"/>
      <c r="RGR54" s="102"/>
      <c r="RGS54" s="102"/>
      <c r="RGT54" s="102"/>
      <c r="RGU54" s="102"/>
      <c r="RGV54" s="102"/>
      <c r="RGW54" s="102"/>
      <c r="RGX54" s="102"/>
      <c r="RGY54" s="102"/>
      <c r="RGZ54" s="102"/>
      <c r="RHA54" s="102"/>
      <c r="RHB54" s="102"/>
      <c r="RHC54" s="102"/>
      <c r="RHD54" s="102"/>
      <c r="RHE54" s="102"/>
      <c r="RHF54" s="102"/>
      <c r="RHG54" s="102"/>
      <c r="RHH54" s="102"/>
      <c r="RHI54" s="102"/>
      <c r="RHJ54" s="102"/>
      <c r="RHK54" s="102"/>
      <c r="RHL54" s="102"/>
      <c r="RHM54" s="102"/>
      <c r="RHN54" s="102"/>
      <c r="RHO54" s="102"/>
      <c r="RHP54" s="102"/>
      <c r="RHQ54" s="102"/>
      <c r="RHR54" s="102"/>
      <c r="RHS54" s="102"/>
      <c r="RHT54" s="102"/>
      <c r="RHU54" s="102"/>
      <c r="RHV54" s="102"/>
      <c r="RHW54" s="102"/>
      <c r="RHX54" s="102"/>
      <c r="RHY54" s="102"/>
      <c r="RHZ54" s="102"/>
      <c r="RIA54" s="102"/>
      <c r="RIB54" s="102"/>
      <c r="RIC54" s="102"/>
      <c r="RID54" s="102"/>
      <c r="RIE54" s="102"/>
      <c r="RIF54" s="102"/>
      <c r="RIG54" s="102"/>
      <c r="RIH54" s="102"/>
      <c r="RII54" s="102"/>
      <c r="RIJ54" s="102"/>
      <c r="RIK54" s="102"/>
      <c r="RIL54" s="102"/>
      <c r="RIM54" s="102"/>
      <c r="RIN54" s="102"/>
      <c r="RIO54" s="102"/>
      <c r="RIP54" s="102"/>
      <c r="RIQ54" s="102"/>
      <c r="RIR54" s="102"/>
      <c r="RIS54" s="102"/>
      <c r="RIT54" s="102"/>
      <c r="RIU54" s="102"/>
      <c r="RIV54" s="102"/>
      <c r="RIW54" s="102"/>
      <c r="RIX54" s="102"/>
      <c r="RIY54" s="102"/>
      <c r="RIZ54" s="102"/>
      <c r="RJA54" s="102"/>
      <c r="RJB54" s="102"/>
      <c r="RJC54" s="102"/>
      <c r="RJD54" s="102"/>
      <c r="RJE54" s="102"/>
      <c r="RJF54" s="102"/>
      <c r="RJG54" s="102"/>
      <c r="RJH54" s="102"/>
      <c r="RJI54" s="102"/>
      <c r="RJJ54" s="102"/>
      <c r="RJK54" s="102"/>
      <c r="RJL54" s="102"/>
      <c r="RJM54" s="102"/>
      <c r="RJN54" s="102"/>
      <c r="RJO54" s="102"/>
      <c r="RJP54" s="102"/>
      <c r="RJQ54" s="102"/>
      <c r="RJR54" s="102"/>
      <c r="RJS54" s="102"/>
      <c r="RJT54" s="102"/>
      <c r="RJU54" s="102"/>
      <c r="RJV54" s="102"/>
      <c r="RJW54" s="102"/>
      <c r="RJX54" s="102"/>
      <c r="RJY54" s="102"/>
      <c r="RJZ54" s="102"/>
      <c r="RKA54" s="102"/>
      <c r="RKB54" s="102"/>
      <c r="RKC54" s="102"/>
      <c r="RKD54" s="102"/>
      <c r="RKE54" s="102"/>
      <c r="RKF54" s="102"/>
      <c r="RKG54" s="102"/>
      <c r="RKH54" s="102"/>
      <c r="RKI54" s="102"/>
      <c r="RKJ54" s="102"/>
      <c r="RKK54" s="102"/>
      <c r="RKL54" s="102"/>
      <c r="RKM54" s="102"/>
      <c r="RKN54" s="102"/>
      <c r="RKO54" s="102"/>
      <c r="RKP54" s="102"/>
      <c r="RKQ54" s="102"/>
      <c r="RKR54" s="102"/>
      <c r="RKS54" s="102"/>
      <c r="RKT54" s="102"/>
      <c r="RKU54" s="102"/>
      <c r="RKV54" s="102"/>
      <c r="RKW54" s="102"/>
      <c r="RKX54" s="102"/>
      <c r="RKY54" s="102"/>
      <c r="RKZ54" s="102"/>
      <c r="RLA54" s="102"/>
      <c r="RLB54" s="102"/>
      <c r="RLC54" s="102"/>
      <c r="RLD54" s="102"/>
      <c r="RLE54" s="102"/>
      <c r="RLF54" s="102"/>
      <c r="RLG54" s="102"/>
      <c r="RLH54" s="102"/>
      <c r="RLI54" s="102"/>
      <c r="RLJ54" s="102"/>
      <c r="RLK54" s="102"/>
      <c r="RLL54" s="102"/>
      <c r="RLM54" s="102"/>
      <c r="RLN54" s="102"/>
      <c r="RLO54" s="102"/>
      <c r="RLP54" s="102"/>
      <c r="RLQ54" s="102"/>
      <c r="RLR54" s="102"/>
      <c r="RLS54" s="102"/>
      <c r="RLT54" s="102"/>
      <c r="RLU54" s="102"/>
      <c r="RLV54" s="102"/>
      <c r="RLW54" s="102"/>
      <c r="RLX54" s="102"/>
      <c r="RLY54" s="102"/>
      <c r="RLZ54" s="102"/>
      <c r="RMA54" s="102"/>
      <c r="RMB54" s="102"/>
      <c r="RMC54" s="102"/>
      <c r="RMD54" s="102"/>
      <c r="RME54" s="102"/>
      <c r="RMF54" s="102"/>
      <c r="RMG54" s="102"/>
      <c r="RMH54" s="102"/>
      <c r="RMI54" s="102"/>
      <c r="RMJ54" s="102"/>
      <c r="RMK54" s="102"/>
      <c r="RML54" s="102"/>
      <c r="RMM54" s="102"/>
      <c r="RMN54" s="102"/>
      <c r="RMO54" s="102"/>
      <c r="RMP54" s="102"/>
      <c r="RMQ54" s="102"/>
      <c r="RMR54" s="102"/>
      <c r="RMS54" s="102"/>
      <c r="RMT54" s="102"/>
      <c r="RMU54" s="102"/>
      <c r="RMV54" s="102"/>
      <c r="RMW54" s="102"/>
      <c r="RMX54" s="102"/>
      <c r="RMY54" s="102"/>
      <c r="RMZ54" s="102"/>
      <c r="RNA54" s="102"/>
      <c r="RNB54" s="102"/>
      <c r="RNC54" s="102"/>
      <c r="RND54" s="102"/>
      <c r="RNE54" s="102"/>
      <c r="RNF54" s="102"/>
      <c r="RNG54" s="102"/>
      <c r="RNH54" s="102"/>
      <c r="RNI54" s="102"/>
      <c r="RNJ54" s="102"/>
      <c r="RNK54" s="102"/>
      <c r="RNL54" s="102"/>
      <c r="RNM54" s="102"/>
      <c r="RNN54" s="102"/>
      <c r="RNO54" s="102"/>
      <c r="RNP54" s="102"/>
      <c r="RNQ54" s="102"/>
      <c r="RNR54" s="102"/>
      <c r="RNS54" s="102"/>
      <c r="RNT54" s="102"/>
      <c r="RNU54" s="102"/>
      <c r="RNV54" s="102"/>
      <c r="RNW54" s="102"/>
      <c r="RNX54" s="102"/>
      <c r="RNY54" s="102"/>
      <c r="RNZ54" s="102"/>
      <c r="ROA54" s="102"/>
      <c r="ROB54" s="102"/>
      <c r="ROC54" s="102"/>
      <c r="ROD54" s="102"/>
      <c r="ROE54" s="102"/>
      <c r="ROF54" s="102"/>
      <c r="ROG54" s="102"/>
      <c r="ROH54" s="102"/>
      <c r="ROI54" s="102"/>
      <c r="ROJ54" s="102"/>
      <c r="ROK54" s="102"/>
      <c r="ROL54" s="102"/>
      <c r="ROM54" s="102"/>
      <c r="RON54" s="102"/>
      <c r="ROO54" s="102"/>
      <c r="ROP54" s="102"/>
      <c r="ROQ54" s="102"/>
      <c r="ROR54" s="102"/>
      <c r="ROS54" s="102"/>
      <c r="ROT54" s="102"/>
      <c r="ROU54" s="102"/>
      <c r="ROV54" s="102"/>
      <c r="ROW54" s="102"/>
      <c r="ROX54" s="102"/>
      <c r="ROY54" s="102"/>
      <c r="ROZ54" s="102"/>
      <c r="RPA54" s="102"/>
      <c r="RPB54" s="102"/>
      <c r="RPC54" s="102"/>
      <c r="RPD54" s="102"/>
      <c r="RPE54" s="102"/>
      <c r="RPF54" s="102"/>
      <c r="RPG54" s="102"/>
      <c r="RPH54" s="102"/>
      <c r="RPI54" s="102"/>
      <c r="RPJ54" s="102"/>
      <c r="RPK54" s="102"/>
      <c r="RPL54" s="102"/>
      <c r="RPM54" s="102"/>
      <c r="RPN54" s="102"/>
      <c r="RPO54" s="102"/>
      <c r="RPP54" s="102"/>
      <c r="RPQ54" s="102"/>
      <c r="RPR54" s="102"/>
      <c r="RPS54" s="102"/>
      <c r="RPT54" s="102"/>
      <c r="RPU54" s="102"/>
      <c r="RPV54" s="102"/>
      <c r="RPW54" s="102"/>
      <c r="RPX54" s="102"/>
      <c r="RPY54" s="102"/>
      <c r="RPZ54" s="102"/>
      <c r="RQA54" s="102"/>
      <c r="RQB54" s="102"/>
      <c r="RQC54" s="102"/>
      <c r="RQD54" s="102"/>
      <c r="RQE54" s="102"/>
      <c r="RQF54" s="102"/>
      <c r="RQG54" s="102"/>
      <c r="RQH54" s="102"/>
      <c r="RQI54" s="102"/>
      <c r="RQJ54" s="102"/>
      <c r="RQK54" s="102"/>
      <c r="RQL54" s="102"/>
      <c r="RQM54" s="102"/>
      <c r="RQN54" s="102"/>
      <c r="RQO54" s="102"/>
      <c r="RQP54" s="102"/>
      <c r="RQQ54" s="102"/>
      <c r="RQR54" s="102"/>
      <c r="RQS54" s="102"/>
      <c r="RQT54" s="102"/>
      <c r="RQU54" s="102"/>
      <c r="RQV54" s="102"/>
      <c r="RQW54" s="102"/>
      <c r="RQX54" s="102"/>
      <c r="RQY54" s="102"/>
      <c r="RQZ54" s="102"/>
      <c r="RRA54" s="102"/>
      <c r="RRB54" s="102"/>
      <c r="RRC54" s="102"/>
      <c r="RRD54" s="102"/>
      <c r="RRE54" s="102"/>
      <c r="RRF54" s="102"/>
      <c r="RRG54" s="102"/>
      <c r="RRH54" s="102"/>
      <c r="RRI54" s="102"/>
      <c r="RRJ54" s="102"/>
      <c r="RRK54" s="102"/>
      <c r="RRL54" s="102"/>
      <c r="RRM54" s="102"/>
      <c r="RRN54" s="102"/>
      <c r="RRO54" s="102"/>
      <c r="RRP54" s="102"/>
      <c r="RRQ54" s="102"/>
      <c r="RRR54" s="102"/>
      <c r="RRS54" s="102"/>
      <c r="RRT54" s="102"/>
      <c r="RRU54" s="102"/>
      <c r="RRV54" s="102"/>
      <c r="RRW54" s="102"/>
      <c r="RRX54" s="102"/>
      <c r="RRY54" s="102"/>
      <c r="RRZ54" s="102"/>
      <c r="RSA54" s="102"/>
      <c r="RSB54" s="102"/>
      <c r="RSC54" s="102"/>
      <c r="RSD54" s="102"/>
      <c r="RSE54" s="102"/>
      <c r="RSF54" s="102"/>
      <c r="RSG54" s="102"/>
      <c r="RSH54" s="102"/>
      <c r="RSI54" s="102"/>
      <c r="RSJ54" s="102"/>
      <c r="RSK54" s="102"/>
      <c r="RSL54" s="102"/>
      <c r="RSM54" s="102"/>
      <c r="RSN54" s="102"/>
      <c r="RSO54" s="102"/>
      <c r="RSP54" s="102"/>
      <c r="RSQ54" s="102"/>
      <c r="RSR54" s="102"/>
      <c r="RSS54" s="102"/>
      <c r="RST54" s="102"/>
      <c r="RSU54" s="102"/>
      <c r="RSV54" s="102"/>
      <c r="RSW54" s="102"/>
      <c r="RSX54" s="102"/>
      <c r="RSY54" s="102"/>
      <c r="RSZ54" s="102"/>
      <c r="RTA54" s="102"/>
      <c r="RTB54" s="102"/>
      <c r="RTC54" s="102"/>
      <c r="RTD54" s="102"/>
      <c r="RTE54" s="102"/>
      <c r="RTF54" s="102"/>
      <c r="RTG54" s="102"/>
      <c r="RTH54" s="102"/>
      <c r="RTI54" s="102"/>
      <c r="RTJ54" s="102"/>
      <c r="RTK54" s="102"/>
      <c r="RTL54" s="102"/>
      <c r="RTM54" s="102"/>
      <c r="RTN54" s="102"/>
      <c r="RTO54" s="102"/>
      <c r="RTP54" s="102"/>
      <c r="RTQ54" s="102"/>
      <c r="RTR54" s="102"/>
      <c r="RTS54" s="102"/>
      <c r="RTT54" s="102"/>
      <c r="RTU54" s="102"/>
      <c r="RTV54" s="102"/>
      <c r="RTW54" s="102"/>
      <c r="RTX54" s="102"/>
      <c r="RTY54" s="102"/>
      <c r="RTZ54" s="102"/>
      <c r="RUA54" s="102"/>
      <c r="RUB54" s="102"/>
      <c r="RUC54" s="102"/>
      <c r="RUD54" s="102"/>
      <c r="RUE54" s="102"/>
      <c r="RUF54" s="102"/>
      <c r="RUG54" s="102"/>
      <c r="RUH54" s="102"/>
      <c r="RUI54" s="102"/>
      <c r="RUJ54" s="102"/>
      <c r="RUK54" s="102"/>
      <c r="RUL54" s="102"/>
      <c r="RUM54" s="102"/>
      <c r="RUN54" s="102"/>
      <c r="RUO54" s="102"/>
      <c r="RUP54" s="102"/>
      <c r="RUQ54" s="102"/>
      <c r="RUR54" s="102"/>
      <c r="RUS54" s="102"/>
      <c r="RUT54" s="102"/>
      <c r="RUU54" s="102"/>
      <c r="RUV54" s="102"/>
      <c r="RUW54" s="102"/>
      <c r="RUX54" s="102"/>
      <c r="RUY54" s="102"/>
      <c r="RUZ54" s="102"/>
      <c r="RVA54" s="102"/>
      <c r="RVB54" s="102"/>
      <c r="RVC54" s="102"/>
      <c r="RVD54" s="102"/>
      <c r="RVE54" s="102"/>
      <c r="RVF54" s="102"/>
      <c r="RVG54" s="102"/>
      <c r="RVH54" s="102"/>
      <c r="RVI54" s="102"/>
      <c r="RVJ54" s="102"/>
      <c r="RVK54" s="102"/>
      <c r="RVL54" s="102"/>
      <c r="RVM54" s="102"/>
      <c r="RVN54" s="102"/>
      <c r="RVO54" s="102"/>
      <c r="RVP54" s="102"/>
      <c r="RVQ54" s="102"/>
      <c r="RVR54" s="102"/>
      <c r="RVS54" s="102"/>
      <c r="RVT54" s="102"/>
      <c r="RVU54" s="102"/>
      <c r="RVV54" s="102"/>
      <c r="RVW54" s="102"/>
      <c r="RVX54" s="102"/>
      <c r="RVY54" s="102"/>
      <c r="RVZ54" s="102"/>
      <c r="RWA54" s="102"/>
      <c r="RWB54" s="102"/>
      <c r="RWC54" s="102"/>
      <c r="RWD54" s="102"/>
      <c r="RWE54" s="102"/>
      <c r="RWF54" s="102"/>
      <c r="RWG54" s="102"/>
      <c r="RWH54" s="102"/>
      <c r="RWI54" s="102"/>
      <c r="RWJ54" s="102"/>
      <c r="RWK54" s="102"/>
      <c r="RWL54" s="102"/>
      <c r="RWM54" s="102"/>
      <c r="RWN54" s="102"/>
      <c r="RWO54" s="102"/>
      <c r="RWP54" s="102"/>
      <c r="RWQ54" s="102"/>
      <c r="RWR54" s="102"/>
      <c r="RWS54" s="102"/>
      <c r="RWT54" s="102"/>
      <c r="RWU54" s="102"/>
      <c r="RWV54" s="102"/>
      <c r="RWW54" s="102"/>
      <c r="RWX54" s="102"/>
      <c r="RWY54" s="102"/>
      <c r="RWZ54" s="102"/>
      <c r="RXA54" s="102"/>
      <c r="RXB54" s="102"/>
      <c r="RXC54" s="102"/>
      <c r="RXD54" s="102"/>
      <c r="RXE54" s="102"/>
      <c r="RXF54" s="102"/>
      <c r="RXG54" s="102"/>
      <c r="RXH54" s="102"/>
      <c r="RXI54" s="102"/>
      <c r="RXJ54" s="102"/>
      <c r="RXK54" s="102"/>
      <c r="RXL54" s="102"/>
      <c r="RXM54" s="102"/>
      <c r="RXN54" s="102"/>
      <c r="RXO54" s="102"/>
      <c r="RXP54" s="102"/>
      <c r="RXQ54" s="102"/>
      <c r="RXR54" s="102"/>
      <c r="RXS54" s="102"/>
      <c r="RXT54" s="102"/>
      <c r="RXU54" s="102"/>
      <c r="RXV54" s="102"/>
      <c r="RXW54" s="102"/>
      <c r="RXX54" s="102"/>
      <c r="RXY54" s="102"/>
      <c r="RXZ54" s="102"/>
      <c r="RYA54" s="102"/>
      <c r="RYB54" s="102"/>
      <c r="RYC54" s="102"/>
      <c r="RYD54" s="102"/>
      <c r="RYE54" s="102"/>
      <c r="RYF54" s="102"/>
      <c r="RYG54" s="102"/>
      <c r="RYH54" s="102"/>
      <c r="RYI54" s="102"/>
      <c r="RYJ54" s="102"/>
      <c r="RYK54" s="102"/>
      <c r="RYL54" s="102"/>
      <c r="RYM54" s="102"/>
      <c r="RYN54" s="102"/>
      <c r="RYO54" s="102"/>
      <c r="RYP54" s="102"/>
      <c r="RYQ54" s="102"/>
      <c r="RYR54" s="102"/>
      <c r="RYS54" s="102"/>
      <c r="RYT54" s="102"/>
      <c r="RYU54" s="102"/>
      <c r="RYV54" s="102"/>
      <c r="RYW54" s="102"/>
      <c r="RYX54" s="102"/>
      <c r="RYY54" s="102"/>
      <c r="RYZ54" s="102"/>
      <c r="RZA54" s="102"/>
      <c r="RZB54" s="102"/>
      <c r="RZC54" s="102"/>
      <c r="RZD54" s="102"/>
      <c r="RZE54" s="102"/>
      <c r="RZF54" s="102"/>
      <c r="RZG54" s="102"/>
      <c r="RZH54" s="102"/>
      <c r="RZI54" s="102"/>
      <c r="RZJ54" s="102"/>
      <c r="RZK54" s="102"/>
      <c r="RZL54" s="102"/>
      <c r="RZM54" s="102"/>
      <c r="RZN54" s="102"/>
      <c r="RZO54" s="102"/>
      <c r="RZP54" s="102"/>
      <c r="RZQ54" s="102"/>
      <c r="RZR54" s="102"/>
      <c r="RZS54" s="102"/>
      <c r="RZT54" s="102"/>
      <c r="RZU54" s="102"/>
      <c r="RZV54" s="102"/>
      <c r="RZW54" s="102"/>
      <c r="RZX54" s="102"/>
      <c r="RZY54" s="102"/>
      <c r="RZZ54" s="102"/>
      <c r="SAA54" s="102"/>
      <c r="SAB54" s="102"/>
      <c r="SAC54" s="102"/>
      <c r="SAD54" s="102"/>
      <c r="SAE54" s="102"/>
      <c r="SAF54" s="102"/>
      <c r="SAG54" s="102"/>
      <c r="SAH54" s="102"/>
      <c r="SAI54" s="102"/>
      <c r="SAJ54" s="102"/>
      <c r="SAK54" s="102"/>
      <c r="SAL54" s="102"/>
      <c r="SAM54" s="102"/>
      <c r="SAN54" s="102"/>
      <c r="SAO54" s="102"/>
      <c r="SAP54" s="102"/>
      <c r="SAQ54" s="102"/>
      <c r="SAR54" s="102"/>
      <c r="SAS54" s="102"/>
      <c r="SAT54" s="102"/>
      <c r="SAU54" s="102"/>
      <c r="SAV54" s="102"/>
      <c r="SAW54" s="102"/>
      <c r="SAX54" s="102"/>
      <c r="SAY54" s="102"/>
      <c r="SAZ54" s="102"/>
      <c r="SBA54" s="102"/>
      <c r="SBB54" s="102"/>
      <c r="SBC54" s="102"/>
      <c r="SBD54" s="102"/>
      <c r="SBE54" s="102"/>
      <c r="SBF54" s="102"/>
      <c r="SBG54" s="102"/>
      <c r="SBH54" s="102"/>
      <c r="SBI54" s="102"/>
      <c r="SBJ54" s="102"/>
      <c r="SBK54" s="102"/>
      <c r="SBL54" s="102"/>
      <c r="SBM54" s="102"/>
      <c r="SBN54" s="102"/>
      <c r="SBO54" s="102"/>
      <c r="SBP54" s="102"/>
      <c r="SBQ54" s="102"/>
      <c r="SBR54" s="102"/>
      <c r="SBS54" s="102"/>
      <c r="SBT54" s="102"/>
      <c r="SBU54" s="102"/>
      <c r="SBV54" s="102"/>
      <c r="SBW54" s="102"/>
      <c r="SBX54" s="102"/>
      <c r="SBY54" s="102"/>
      <c r="SBZ54" s="102"/>
      <c r="SCA54" s="102"/>
      <c r="SCB54" s="102"/>
      <c r="SCC54" s="102"/>
      <c r="SCD54" s="102"/>
      <c r="SCE54" s="102"/>
      <c r="SCF54" s="102"/>
      <c r="SCG54" s="102"/>
      <c r="SCH54" s="102"/>
      <c r="SCI54" s="102"/>
      <c r="SCJ54" s="102"/>
      <c r="SCK54" s="102"/>
      <c r="SCL54" s="102"/>
      <c r="SCM54" s="102"/>
      <c r="SCN54" s="102"/>
      <c r="SCO54" s="102"/>
      <c r="SCP54" s="102"/>
      <c r="SCQ54" s="102"/>
      <c r="SCR54" s="102"/>
      <c r="SCS54" s="102"/>
      <c r="SCT54" s="102"/>
      <c r="SCU54" s="102"/>
      <c r="SCV54" s="102"/>
      <c r="SCW54" s="102"/>
      <c r="SCX54" s="102"/>
      <c r="SCY54" s="102"/>
      <c r="SCZ54" s="102"/>
      <c r="SDA54" s="102"/>
      <c r="SDB54" s="102"/>
      <c r="SDC54" s="102"/>
      <c r="SDD54" s="102"/>
      <c r="SDE54" s="102"/>
      <c r="SDF54" s="102"/>
      <c r="SDG54" s="102"/>
      <c r="SDH54" s="102"/>
      <c r="SDI54" s="102"/>
      <c r="SDJ54" s="102"/>
      <c r="SDK54" s="102"/>
      <c r="SDL54" s="102"/>
      <c r="SDM54" s="102"/>
      <c r="SDN54" s="102"/>
      <c r="SDO54" s="102"/>
      <c r="SDP54" s="102"/>
      <c r="SDQ54" s="102"/>
      <c r="SDR54" s="102"/>
      <c r="SDS54" s="102"/>
      <c r="SDT54" s="102"/>
      <c r="SDU54" s="102"/>
      <c r="SDV54" s="102"/>
      <c r="SDW54" s="102"/>
      <c r="SDX54" s="102"/>
      <c r="SDY54" s="102"/>
      <c r="SDZ54" s="102"/>
      <c r="SEA54" s="102"/>
      <c r="SEB54" s="102"/>
      <c r="SEC54" s="102"/>
      <c r="SED54" s="102"/>
      <c r="SEE54" s="102"/>
      <c r="SEF54" s="102"/>
      <c r="SEG54" s="102"/>
      <c r="SEH54" s="102"/>
      <c r="SEI54" s="102"/>
      <c r="SEJ54" s="102"/>
      <c r="SEK54" s="102"/>
      <c r="SEL54" s="102"/>
      <c r="SEM54" s="102"/>
      <c r="SEN54" s="102"/>
      <c r="SEO54" s="102"/>
      <c r="SEP54" s="102"/>
      <c r="SEQ54" s="102"/>
      <c r="SER54" s="102"/>
      <c r="SES54" s="102"/>
      <c r="SET54" s="102"/>
      <c r="SEU54" s="102"/>
      <c r="SEV54" s="102"/>
      <c r="SEW54" s="102"/>
      <c r="SEX54" s="102"/>
      <c r="SEY54" s="102"/>
      <c r="SEZ54" s="102"/>
      <c r="SFA54" s="102"/>
      <c r="SFB54" s="102"/>
      <c r="SFC54" s="102"/>
      <c r="SFD54" s="102"/>
      <c r="SFE54" s="102"/>
      <c r="SFF54" s="102"/>
      <c r="SFG54" s="102"/>
      <c r="SFH54" s="102"/>
      <c r="SFI54" s="102"/>
      <c r="SFJ54" s="102"/>
      <c r="SFK54" s="102"/>
      <c r="SFL54" s="102"/>
      <c r="SFM54" s="102"/>
      <c r="SFN54" s="102"/>
      <c r="SFO54" s="102"/>
      <c r="SFP54" s="102"/>
      <c r="SFQ54" s="102"/>
      <c r="SFR54" s="102"/>
      <c r="SFS54" s="102"/>
      <c r="SFT54" s="102"/>
      <c r="SFU54" s="102"/>
      <c r="SFV54" s="102"/>
      <c r="SFW54" s="102"/>
      <c r="SFX54" s="102"/>
      <c r="SFY54" s="102"/>
      <c r="SFZ54" s="102"/>
      <c r="SGA54" s="102"/>
      <c r="SGB54" s="102"/>
      <c r="SGC54" s="102"/>
      <c r="SGD54" s="102"/>
      <c r="SGE54" s="102"/>
      <c r="SGF54" s="102"/>
      <c r="SGG54" s="102"/>
      <c r="SGH54" s="102"/>
      <c r="SGI54" s="102"/>
      <c r="SGJ54" s="102"/>
      <c r="SGK54" s="102"/>
      <c r="SGL54" s="102"/>
      <c r="SGM54" s="102"/>
      <c r="SGN54" s="102"/>
      <c r="SGO54" s="102"/>
      <c r="SGP54" s="102"/>
      <c r="SGQ54" s="102"/>
      <c r="SGR54" s="102"/>
      <c r="SGS54" s="102"/>
      <c r="SGT54" s="102"/>
      <c r="SGU54" s="102"/>
      <c r="SGV54" s="102"/>
      <c r="SGW54" s="102"/>
      <c r="SGX54" s="102"/>
      <c r="SGY54" s="102"/>
      <c r="SGZ54" s="102"/>
      <c r="SHA54" s="102"/>
      <c r="SHB54" s="102"/>
      <c r="SHC54" s="102"/>
      <c r="SHD54" s="102"/>
      <c r="SHE54" s="102"/>
      <c r="SHF54" s="102"/>
      <c r="SHG54" s="102"/>
      <c r="SHH54" s="102"/>
      <c r="SHI54" s="102"/>
      <c r="SHJ54" s="102"/>
      <c r="SHK54" s="102"/>
      <c r="SHL54" s="102"/>
      <c r="SHM54" s="102"/>
      <c r="SHN54" s="102"/>
      <c r="SHO54" s="102"/>
      <c r="SHP54" s="102"/>
      <c r="SHQ54" s="102"/>
      <c r="SHR54" s="102"/>
      <c r="SHS54" s="102"/>
      <c r="SHT54" s="102"/>
      <c r="SHU54" s="102"/>
      <c r="SHV54" s="102"/>
      <c r="SHW54" s="102"/>
      <c r="SHX54" s="102"/>
      <c r="SHY54" s="102"/>
      <c r="SHZ54" s="102"/>
      <c r="SIA54" s="102"/>
      <c r="SIB54" s="102"/>
      <c r="SIC54" s="102"/>
      <c r="SID54" s="102"/>
      <c r="SIE54" s="102"/>
      <c r="SIF54" s="102"/>
      <c r="SIG54" s="102"/>
      <c r="SIH54" s="102"/>
      <c r="SII54" s="102"/>
      <c r="SIJ54" s="102"/>
      <c r="SIK54" s="102"/>
      <c r="SIL54" s="102"/>
      <c r="SIM54" s="102"/>
      <c r="SIN54" s="102"/>
      <c r="SIO54" s="102"/>
      <c r="SIP54" s="102"/>
      <c r="SIQ54" s="102"/>
      <c r="SIR54" s="102"/>
      <c r="SIS54" s="102"/>
      <c r="SIT54" s="102"/>
      <c r="SIU54" s="102"/>
      <c r="SIV54" s="102"/>
      <c r="SIW54" s="102"/>
      <c r="SIX54" s="102"/>
      <c r="SIY54" s="102"/>
      <c r="SIZ54" s="102"/>
      <c r="SJA54" s="102"/>
      <c r="SJB54" s="102"/>
      <c r="SJC54" s="102"/>
      <c r="SJD54" s="102"/>
      <c r="SJE54" s="102"/>
      <c r="SJF54" s="102"/>
      <c r="SJG54" s="102"/>
      <c r="SJH54" s="102"/>
      <c r="SJI54" s="102"/>
      <c r="SJJ54" s="102"/>
      <c r="SJK54" s="102"/>
      <c r="SJL54" s="102"/>
      <c r="SJM54" s="102"/>
      <c r="SJN54" s="102"/>
      <c r="SJO54" s="102"/>
      <c r="SJP54" s="102"/>
      <c r="SJQ54" s="102"/>
      <c r="SJR54" s="102"/>
      <c r="SJS54" s="102"/>
      <c r="SJT54" s="102"/>
      <c r="SJU54" s="102"/>
      <c r="SJV54" s="102"/>
      <c r="SJW54" s="102"/>
      <c r="SJX54" s="102"/>
      <c r="SJY54" s="102"/>
      <c r="SJZ54" s="102"/>
      <c r="SKA54" s="102"/>
      <c r="SKB54" s="102"/>
      <c r="SKC54" s="102"/>
      <c r="SKD54" s="102"/>
      <c r="SKE54" s="102"/>
      <c r="SKF54" s="102"/>
      <c r="SKG54" s="102"/>
      <c r="SKH54" s="102"/>
      <c r="SKI54" s="102"/>
      <c r="SKJ54" s="102"/>
      <c r="SKK54" s="102"/>
      <c r="SKL54" s="102"/>
      <c r="SKM54" s="102"/>
      <c r="SKN54" s="102"/>
      <c r="SKO54" s="102"/>
      <c r="SKP54" s="102"/>
      <c r="SKQ54" s="102"/>
      <c r="SKR54" s="102"/>
      <c r="SKS54" s="102"/>
      <c r="SKT54" s="102"/>
      <c r="SKU54" s="102"/>
      <c r="SKV54" s="102"/>
      <c r="SKW54" s="102"/>
      <c r="SKX54" s="102"/>
      <c r="SKY54" s="102"/>
      <c r="SKZ54" s="102"/>
      <c r="SLA54" s="102"/>
      <c r="SLB54" s="102"/>
      <c r="SLC54" s="102"/>
      <c r="SLD54" s="102"/>
      <c r="SLE54" s="102"/>
      <c r="SLF54" s="102"/>
      <c r="SLG54" s="102"/>
      <c r="SLH54" s="102"/>
      <c r="SLI54" s="102"/>
      <c r="SLJ54" s="102"/>
      <c r="SLK54" s="102"/>
      <c r="SLL54" s="102"/>
      <c r="SLM54" s="102"/>
      <c r="SLN54" s="102"/>
      <c r="SLO54" s="102"/>
      <c r="SLP54" s="102"/>
      <c r="SLQ54" s="102"/>
      <c r="SLR54" s="102"/>
      <c r="SLS54" s="102"/>
      <c r="SLT54" s="102"/>
      <c r="SLU54" s="102"/>
      <c r="SLV54" s="102"/>
      <c r="SLW54" s="102"/>
      <c r="SLX54" s="102"/>
      <c r="SLY54" s="102"/>
      <c r="SLZ54" s="102"/>
      <c r="SMA54" s="102"/>
      <c r="SMB54" s="102"/>
      <c r="SMC54" s="102"/>
      <c r="SMD54" s="102"/>
      <c r="SME54" s="102"/>
      <c r="SMF54" s="102"/>
      <c r="SMG54" s="102"/>
      <c r="SMH54" s="102"/>
      <c r="SMI54" s="102"/>
      <c r="SMJ54" s="102"/>
      <c r="SMK54" s="102"/>
      <c r="SML54" s="102"/>
      <c r="SMM54" s="102"/>
      <c r="SMN54" s="102"/>
      <c r="SMO54" s="102"/>
      <c r="SMP54" s="102"/>
      <c r="SMQ54" s="102"/>
      <c r="SMR54" s="102"/>
      <c r="SMS54" s="102"/>
      <c r="SMT54" s="102"/>
      <c r="SMU54" s="102"/>
      <c r="SMV54" s="102"/>
      <c r="SMW54" s="102"/>
      <c r="SMX54" s="102"/>
      <c r="SMY54" s="102"/>
      <c r="SMZ54" s="102"/>
      <c r="SNA54" s="102"/>
      <c r="SNB54" s="102"/>
      <c r="SNC54" s="102"/>
      <c r="SND54" s="102"/>
      <c r="SNE54" s="102"/>
      <c r="SNF54" s="102"/>
      <c r="SNG54" s="102"/>
      <c r="SNH54" s="102"/>
      <c r="SNI54" s="102"/>
      <c r="SNJ54" s="102"/>
      <c r="SNK54" s="102"/>
      <c r="SNL54" s="102"/>
      <c r="SNM54" s="102"/>
      <c r="SNN54" s="102"/>
      <c r="SNO54" s="102"/>
      <c r="SNP54" s="102"/>
      <c r="SNQ54" s="102"/>
      <c r="SNR54" s="102"/>
      <c r="SNS54" s="102"/>
      <c r="SNT54" s="102"/>
      <c r="SNU54" s="102"/>
      <c r="SNV54" s="102"/>
      <c r="SNW54" s="102"/>
      <c r="SNX54" s="102"/>
      <c r="SNY54" s="102"/>
      <c r="SNZ54" s="102"/>
      <c r="SOA54" s="102"/>
      <c r="SOB54" s="102"/>
      <c r="SOC54" s="102"/>
      <c r="SOD54" s="102"/>
      <c r="SOE54" s="102"/>
      <c r="SOF54" s="102"/>
      <c r="SOG54" s="102"/>
      <c r="SOH54" s="102"/>
      <c r="SOI54" s="102"/>
      <c r="SOJ54" s="102"/>
      <c r="SOK54" s="102"/>
      <c r="SOL54" s="102"/>
      <c r="SOM54" s="102"/>
      <c r="SON54" s="102"/>
      <c r="SOO54" s="102"/>
      <c r="SOP54" s="102"/>
      <c r="SOQ54" s="102"/>
      <c r="SOR54" s="102"/>
      <c r="SOS54" s="102"/>
      <c r="SOT54" s="102"/>
      <c r="SOU54" s="102"/>
      <c r="SOV54" s="102"/>
      <c r="SOW54" s="102"/>
      <c r="SOX54" s="102"/>
      <c r="SOY54" s="102"/>
      <c r="SOZ54" s="102"/>
      <c r="SPA54" s="102"/>
      <c r="SPB54" s="102"/>
      <c r="SPC54" s="102"/>
      <c r="SPD54" s="102"/>
      <c r="SPE54" s="102"/>
      <c r="SPF54" s="102"/>
      <c r="SPG54" s="102"/>
      <c r="SPH54" s="102"/>
      <c r="SPI54" s="102"/>
      <c r="SPJ54" s="102"/>
      <c r="SPK54" s="102"/>
      <c r="SPL54" s="102"/>
      <c r="SPM54" s="102"/>
      <c r="SPN54" s="102"/>
      <c r="SPO54" s="102"/>
      <c r="SPP54" s="102"/>
      <c r="SPQ54" s="102"/>
      <c r="SPR54" s="102"/>
      <c r="SPS54" s="102"/>
      <c r="SPT54" s="102"/>
      <c r="SPU54" s="102"/>
      <c r="SPV54" s="102"/>
      <c r="SPW54" s="102"/>
      <c r="SPX54" s="102"/>
      <c r="SPY54" s="102"/>
      <c r="SPZ54" s="102"/>
      <c r="SQA54" s="102"/>
      <c r="SQB54" s="102"/>
      <c r="SQC54" s="102"/>
      <c r="SQD54" s="102"/>
      <c r="SQE54" s="102"/>
      <c r="SQF54" s="102"/>
      <c r="SQG54" s="102"/>
      <c r="SQH54" s="102"/>
      <c r="SQI54" s="102"/>
      <c r="SQJ54" s="102"/>
      <c r="SQK54" s="102"/>
      <c r="SQL54" s="102"/>
      <c r="SQM54" s="102"/>
      <c r="SQN54" s="102"/>
      <c r="SQO54" s="102"/>
      <c r="SQP54" s="102"/>
      <c r="SQQ54" s="102"/>
      <c r="SQR54" s="102"/>
      <c r="SQS54" s="102"/>
      <c r="SQT54" s="102"/>
      <c r="SQU54" s="102"/>
      <c r="SQV54" s="102"/>
      <c r="SQW54" s="102"/>
      <c r="SQX54" s="102"/>
      <c r="SQY54" s="102"/>
      <c r="SQZ54" s="102"/>
      <c r="SRA54" s="102"/>
      <c r="SRB54" s="102"/>
      <c r="SRC54" s="102"/>
      <c r="SRD54" s="102"/>
      <c r="SRE54" s="102"/>
      <c r="SRF54" s="102"/>
      <c r="SRG54" s="102"/>
      <c r="SRH54" s="102"/>
      <c r="SRI54" s="102"/>
      <c r="SRJ54" s="102"/>
      <c r="SRK54" s="102"/>
      <c r="SRL54" s="102"/>
      <c r="SRM54" s="102"/>
      <c r="SRN54" s="102"/>
      <c r="SRO54" s="102"/>
      <c r="SRP54" s="102"/>
      <c r="SRQ54" s="102"/>
      <c r="SRR54" s="102"/>
      <c r="SRS54" s="102"/>
      <c r="SRT54" s="102"/>
      <c r="SRU54" s="102"/>
      <c r="SRV54" s="102"/>
      <c r="SRW54" s="102"/>
      <c r="SRX54" s="102"/>
      <c r="SRY54" s="102"/>
      <c r="SRZ54" s="102"/>
      <c r="SSA54" s="102"/>
      <c r="SSB54" s="102"/>
      <c r="SSC54" s="102"/>
      <c r="SSD54" s="102"/>
      <c r="SSE54" s="102"/>
      <c r="SSF54" s="102"/>
      <c r="SSG54" s="102"/>
      <c r="SSH54" s="102"/>
      <c r="SSI54" s="102"/>
      <c r="SSJ54" s="102"/>
      <c r="SSK54" s="102"/>
      <c r="SSL54" s="102"/>
      <c r="SSM54" s="102"/>
      <c r="SSN54" s="102"/>
      <c r="SSO54" s="102"/>
      <c r="SSP54" s="102"/>
      <c r="SSQ54" s="102"/>
      <c r="SSR54" s="102"/>
      <c r="SSS54" s="102"/>
      <c r="SST54" s="102"/>
      <c r="SSU54" s="102"/>
      <c r="SSV54" s="102"/>
      <c r="SSW54" s="102"/>
      <c r="SSX54" s="102"/>
      <c r="SSY54" s="102"/>
      <c r="SSZ54" s="102"/>
      <c r="STA54" s="102"/>
      <c r="STB54" s="102"/>
      <c r="STC54" s="102"/>
      <c r="STD54" s="102"/>
      <c r="STE54" s="102"/>
      <c r="STF54" s="102"/>
      <c r="STG54" s="102"/>
      <c r="STH54" s="102"/>
      <c r="STI54" s="102"/>
      <c r="STJ54" s="102"/>
      <c r="STK54" s="102"/>
      <c r="STL54" s="102"/>
      <c r="STM54" s="102"/>
      <c r="STN54" s="102"/>
      <c r="STO54" s="102"/>
      <c r="STP54" s="102"/>
      <c r="STQ54" s="102"/>
      <c r="STR54" s="102"/>
      <c r="STS54" s="102"/>
      <c r="STT54" s="102"/>
      <c r="STU54" s="102"/>
      <c r="STV54" s="102"/>
      <c r="STW54" s="102"/>
      <c r="STX54" s="102"/>
      <c r="STY54" s="102"/>
      <c r="STZ54" s="102"/>
      <c r="SUA54" s="102"/>
      <c r="SUB54" s="102"/>
      <c r="SUC54" s="102"/>
      <c r="SUD54" s="102"/>
      <c r="SUE54" s="102"/>
      <c r="SUF54" s="102"/>
      <c r="SUG54" s="102"/>
      <c r="SUH54" s="102"/>
      <c r="SUI54" s="102"/>
      <c r="SUJ54" s="102"/>
      <c r="SUK54" s="102"/>
      <c r="SUL54" s="102"/>
      <c r="SUM54" s="102"/>
      <c r="SUN54" s="102"/>
      <c r="SUO54" s="102"/>
      <c r="SUP54" s="102"/>
      <c r="SUQ54" s="102"/>
      <c r="SUR54" s="102"/>
      <c r="SUS54" s="102"/>
      <c r="SUT54" s="102"/>
      <c r="SUU54" s="102"/>
      <c r="SUV54" s="102"/>
      <c r="SUW54" s="102"/>
      <c r="SUX54" s="102"/>
      <c r="SUY54" s="102"/>
      <c r="SUZ54" s="102"/>
      <c r="SVA54" s="102"/>
      <c r="SVB54" s="102"/>
      <c r="SVC54" s="102"/>
      <c r="SVD54" s="102"/>
      <c r="SVE54" s="102"/>
      <c r="SVF54" s="102"/>
      <c r="SVG54" s="102"/>
      <c r="SVH54" s="102"/>
      <c r="SVI54" s="102"/>
      <c r="SVJ54" s="102"/>
      <c r="SVK54" s="102"/>
      <c r="SVL54" s="102"/>
      <c r="SVM54" s="102"/>
      <c r="SVN54" s="102"/>
      <c r="SVO54" s="102"/>
      <c r="SVP54" s="102"/>
      <c r="SVQ54" s="102"/>
      <c r="SVR54" s="102"/>
      <c r="SVS54" s="102"/>
      <c r="SVT54" s="102"/>
      <c r="SVU54" s="102"/>
      <c r="SVV54" s="102"/>
      <c r="SVW54" s="102"/>
      <c r="SVX54" s="102"/>
      <c r="SVY54" s="102"/>
      <c r="SVZ54" s="102"/>
      <c r="SWA54" s="102"/>
      <c r="SWB54" s="102"/>
      <c r="SWC54" s="102"/>
      <c r="SWD54" s="102"/>
      <c r="SWE54" s="102"/>
      <c r="SWF54" s="102"/>
      <c r="SWG54" s="102"/>
      <c r="SWH54" s="102"/>
      <c r="SWI54" s="102"/>
      <c r="SWJ54" s="102"/>
      <c r="SWK54" s="102"/>
      <c r="SWL54" s="102"/>
      <c r="SWM54" s="102"/>
      <c r="SWN54" s="102"/>
      <c r="SWO54" s="102"/>
      <c r="SWP54" s="102"/>
      <c r="SWQ54" s="102"/>
      <c r="SWR54" s="102"/>
      <c r="SWS54" s="102"/>
      <c r="SWT54" s="102"/>
      <c r="SWU54" s="102"/>
      <c r="SWV54" s="102"/>
      <c r="SWW54" s="102"/>
      <c r="SWX54" s="102"/>
      <c r="SWY54" s="102"/>
      <c r="SWZ54" s="102"/>
      <c r="SXA54" s="102"/>
      <c r="SXB54" s="102"/>
      <c r="SXC54" s="102"/>
      <c r="SXD54" s="102"/>
      <c r="SXE54" s="102"/>
      <c r="SXF54" s="102"/>
      <c r="SXG54" s="102"/>
      <c r="SXH54" s="102"/>
      <c r="SXI54" s="102"/>
      <c r="SXJ54" s="102"/>
      <c r="SXK54" s="102"/>
      <c r="SXL54" s="102"/>
      <c r="SXM54" s="102"/>
      <c r="SXN54" s="102"/>
      <c r="SXO54" s="102"/>
      <c r="SXP54" s="102"/>
      <c r="SXQ54" s="102"/>
      <c r="SXR54" s="102"/>
      <c r="SXS54" s="102"/>
      <c r="SXT54" s="102"/>
      <c r="SXU54" s="102"/>
      <c r="SXV54" s="102"/>
      <c r="SXW54" s="102"/>
      <c r="SXX54" s="102"/>
      <c r="SXY54" s="102"/>
      <c r="SXZ54" s="102"/>
      <c r="SYA54" s="102"/>
      <c r="SYB54" s="102"/>
      <c r="SYC54" s="102"/>
      <c r="SYD54" s="102"/>
      <c r="SYE54" s="102"/>
      <c r="SYF54" s="102"/>
      <c r="SYG54" s="102"/>
      <c r="SYH54" s="102"/>
      <c r="SYI54" s="102"/>
      <c r="SYJ54" s="102"/>
      <c r="SYK54" s="102"/>
      <c r="SYL54" s="102"/>
      <c r="SYM54" s="102"/>
      <c r="SYN54" s="102"/>
      <c r="SYO54" s="102"/>
      <c r="SYP54" s="102"/>
      <c r="SYQ54" s="102"/>
      <c r="SYR54" s="102"/>
      <c r="SYS54" s="102"/>
      <c r="SYT54" s="102"/>
      <c r="SYU54" s="102"/>
      <c r="SYV54" s="102"/>
      <c r="SYW54" s="102"/>
      <c r="SYX54" s="102"/>
      <c r="SYY54" s="102"/>
      <c r="SYZ54" s="102"/>
      <c r="SZA54" s="102"/>
      <c r="SZB54" s="102"/>
      <c r="SZC54" s="102"/>
      <c r="SZD54" s="102"/>
      <c r="SZE54" s="102"/>
      <c r="SZF54" s="102"/>
      <c r="SZG54" s="102"/>
      <c r="SZH54" s="102"/>
      <c r="SZI54" s="102"/>
      <c r="SZJ54" s="102"/>
      <c r="SZK54" s="102"/>
      <c r="SZL54" s="102"/>
      <c r="SZM54" s="102"/>
      <c r="SZN54" s="102"/>
      <c r="SZO54" s="102"/>
      <c r="SZP54" s="102"/>
      <c r="SZQ54" s="102"/>
      <c r="SZR54" s="102"/>
      <c r="SZS54" s="102"/>
      <c r="SZT54" s="102"/>
      <c r="SZU54" s="102"/>
      <c r="SZV54" s="102"/>
      <c r="SZW54" s="102"/>
      <c r="SZX54" s="102"/>
      <c r="SZY54" s="102"/>
      <c r="SZZ54" s="102"/>
      <c r="TAA54" s="102"/>
      <c r="TAB54" s="102"/>
      <c r="TAC54" s="102"/>
      <c r="TAD54" s="102"/>
      <c r="TAE54" s="102"/>
      <c r="TAF54" s="102"/>
      <c r="TAG54" s="102"/>
      <c r="TAH54" s="102"/>
      <c r="TAI54" s="102"/>
      <c r="TAJ54" s="102"/>
      <c r="TAK54" s="102"/>
      <c r="TAL54" s="102"/>
      <c r="TAM54" s="102"/>
      <c r="TAN54" s="102"/>
      <c r="TAO54" s="102"/>
      <c r="TAP54" s="102"/>
      <c r="TAQ54" s="102"/>
      <c r="TAR54" s="102"/>
      <c r="TAS54" s="102"/>
      <c r="TAT54" s="102"/>
      <c r="TAU54" s="102"/>
      <c r="TAV54" s="102"/>
      <c r="TAW54" s="102"/>
      <c r="TAX54" s="102"/>
      <c r="TAY54" s="102"/>
      <c r="TAZ54" s="102"/>
      <c r="TBA54" s="102"/>
      <c r="TBB54" s="102"/>
      <c r="TBC54" s="102"/>
      <c r="TBD54" s="102"/>
      <c r="TBE54" s="102"/>
      <c r="TBF54" s="102"/>
      <c r="TBG54" s="102"/>
      <c r="TBH54" s="102"/>
      <c r="TBI54" s="102"/>
      <c r="TBJ54" s="102"/>
      <c r="TBK54" s="102"/>
      <c r="TBL54" s="102"/>
      <c r="TBM54" s="102"/>
      <c r="TBN54" s="102"/>
      <c r="TBO54" s="102"/>
      <c r="TBP54" s="102"/>
      <c r="TBQ54" s="102"/>
      <c r="TBR54" s="102"/>
      <c r="TBS54" s="102"/>
      <c r="TBT54" s="102"/>
      <c r="TBU54" s="102"/>
      <c r="TBV54" s="102"/>
      <c r="TBW54" s="102"/>
      <c r="TBX54" s="102"/>
      <c r="TBY54" s="102"/>
      <c r="TBZ54" s="102"/>
      <c r="TCA54" s="102"/>
      <c r="TCB54" s="102"/>
      <c r="TCC54" s="102"/>
      <c r="TCD54" s="102"/>
      <c r="TCE54" s="102"/>
      <c r="TCF54" s="102"/>
      <c r="TCG54" s="102"/>
      <c r="TCH54" s="102"/>
      <c r="TCI54" s="102"/>
      <c r="TCJ54" s="102"/>
      <c r="TCK54" s="102"/>
      <c r="TCL54" s="102"/>
      <c r="TCM54" s="102"/>
      <c r="TCN54" s="102"/>
      <c r="TCO54" s="102"/>
      <c r="TCP54" s="102"/>
      <c r="TCQ54" s="102"/>
      <c r="TCR54" s="102"/>
      <c r="TCS54" s="102"/>
      <c r="TCT54" s="102"/>
      <c r="TCU54" s="102"/>
      <c r="TCV54" s="102"/>
      <c r="TCW54" s="102"/>
      <c r="TCX54" s="102"/>
      <c r="TCY54" s="102"/>
      <c r="TCZ54" s="102"/>
      <c r="TDA54" s="102"/>
      <c r="TDB54" s="102"/>
      <c r="TDC54" s="102"/>
      <c r="TDD54" s="102"/>
      <c r="TDE54" s="102"/>
      <c r="TDF54" s="102"/>
      <c r="TDG54" s="102"/>
      <c r="TDH54" s="102"/>
      <c r="TDI54" s="102"/>
      <c r="TDJ54" s="102"/>
      <c r="TDK54" s="102"/>
      <c r="TDL54" s="102"/>
      <c r="TDM54" s="102"/>
      <c r="TDN54" s="102"/>
      <c r="TDO54" s="102"/>
      <c r="TDP54" s="102"/>
      <c r="TDQ54" s="102"/>
      <c r="TDR54" s="102"/>
      <c r="TDS54" s="102"/>
      <c r="TDT54" s="102"/>
      <c r="TDU54" s="102"/>
      <c r="TDV54" s="102"/>
      <c r="TDW54" s="102"/>
      <c r="TDX54" s="102"/>
      <c r="TDY54" s="102"/>
      <c r="TDZ54" s="102"/>
      <c r="TEA54" s="102"/>
      <c r="TEB54" s="102"/>
      <c r="TEC54" s="102"/>
      <c r="TED54" s="102"/>
      <c r="TEE54" s="102"/>
      <c r="TEF54" s="102"/>
      <c r="TEG54" s="102"/>
      <c r="TEH54" s="102"/>
      <c r="TEI54" s="102"/>
      <c r="TEJ54" s="102"/>
      <c r="TEK54" s="102"/>
      <c r="TEL54" s="102"/>
      <c r="TEM54" s="102"/>
      <c r="TEN54" s="102"/>
      <c r="TEO54" s="102"/>
      <c r="TEP54" s="102"/>
      <c r="TEQ54" s="102"/>
      <c r="TER54" s="102"/>
      <c r="TES54" s="102"/>
      <c r="TET54" s="102"/>
      <c r="TEU54" s="102"/>
      <c r="TEV54" s="102"/>
      <c r="TEW54" s="102"/>
      <c r="TEX54" s="102"/>
      <c r="TEY54" s="102"/>
      <c r="TEZ54" s="102"/>
      <c r="TFA54" s="102"/>
      <c r="TFB54" s="102"/>
      <c r="TFC54" s="102"/>
      <c r="TFD54" s="102"/>
      <c r="TFE54" s="102"/>
      <c r="TFF54" s="102"/>
      <c r="TFG54" s="102"/>
      <c r="TFH54" s="102"/>
      <c r="TFI54" s="102"/>
      <c r="TFJ54" s="102"/>
      <c r="TFK54" s="102"/>
      <c r="TFL54" s="102"/>
      <c r="TFM54" s="102"/>
      <c r="TFN54" s="102"/>
      <c r="TFO54" s="102"/>
      <c r="TFP54" s="102"/>
      <c r="TFQ54" s="102"/>
      <c r="TFR54" s="102"/>
      <c r="TFS54" s="102"/>
      <c r="TFT54" s="102"/>
      <c r="TFU54" s="102"/>
      <c r="TFV54" s="102"/>
      <c r="TFW54" s="102"/>
      <c r="TFX54" s="102"/>
      <c r="TFY54" s="102"/>
      <c r="TFZ54" s="102"/>
      <c r="TGA54" s="102"/>
      <c r="TGB54" s="102"/>
      <c r="TGC54" s="102"/>
      <c r="TGD54" s="102"/>
      <c r="TGE54" s="102"/>
      <c r="TGF54" s="102"/>
      <c r="TGG54" s="102"/>
      <c r="TGH54" s="102"/>
      <c r="TGI54" s="102"/>
      <c r="TGJ54" s="102"/>
      <c r="TGK54" s="102"/>
      <c r="TGL54" s="102"/>
      <c r="TGM54" s="102"/>
      <c r="TGN54" s="102"/>
      <c r="TGO54" s="102"/>
      <c r="TGP54" s="102"/>
      <c r="TGQ54" s="102"/>
      <c r="TGR54" s="102"/>
      <c r="TGS54" s="102"/>
      <c r="TGT54" s="102"/>
      <c r="TGU54" s="102"/>
      <c r="TGV54" s="102"/>
      <c r="TGW54" s="102"/>
      <c r="TGX54" s="102"/>
      <c r="TGY54" s="102"/>
      <c r="TGZ54" s="102"/>
      <c r="THA54" s="102"/>
      <c r="THB54" s="102"/>
      <c r="THC54" s="102"/>
      <c r="THD54" s="102"/>
      <c r="THE54" s="102"/>
      <c r="THF54" s="102"/>
      <c r="THG54" s="102"/>
      <c r="THH54" s="102"/>
      <c r="THI54" s="102"/>
      <c r="THJ54" s="102"/>
      <c r="THK54" s="102"/>
      <c r="THL54" s="102"/>
      <c r="THM54" s="102"/>
      <c r="THN54" s="102"/>
      <c r="THO54" s="102"/>
      <c r="THP54" s="102"/>
      <c r="THQ54" s="102"/>
      <c r="THR54" s="102"/>
      <c r="THS54" s="102"/>
      <c r="THT54" s="102"/>
      <c r="THU54" s="102"/>
      <c r="THV54" s="102"/>
      <c r="THW54" s="102"/>
      <c r="THX54" s="102"/>
      <c r="THY54" s="102"/>
      <c r="THZ54" s="102"/>
      <c r="TIA54" s="102"/>
      <c r="TIB54" s="102"/>
      <c r="TIC54" s="102"/>
      <c r="TID54" s="102"/>
      <c r="TIE54" s="102"/>
      <c r="TIF54" s="102"/>
      <c r="TIG54" s="102"/>
      <c r="TIH54" s="102"/>
      <c r="TII54" s="102"/>
      <c r="TIJ54" s="102"/>
      <c r="TIK54" s="102"/>
      <c r="TIL54" s="102"/>
      <c r="TIM54" s="102"/>
      <c r="TIN54" s="102"/>
      <c r="TIO54" s="102"/>
      <c r="TIP54" s="102"/>
      <c r="TIQ54" s="102"/>
      <c r="TIR54" s="102"/>
      <c r="TIS54" s="102"/>
      <c r="TIT54" s="102"/>
      <c r="TIU54" s="102"/>
      <c r="TIV54" s="102"/>
      <c r="TIW54" s="102"/>
      <c r="TIX54" s="102"/>
      <c r="TIY54" s="102"/>
      <c r="TIZ54" s="102"/>
      <c r="TJA54" s="102"/>
      <c r="TJB54" s="102"/>
      <c r="TJC54" s="102"/>
      <c r="TJD54" s="102"/>
      <c r="TJE54" s="102"/>
      <c r="TJF54" s="102"/>
      <c r="TJG54" s="102"/>
      <c r="TJH54" s="102"/>
      <c r="TJI54" s="102"/>
      <c r="TJJ54" s="102"/>
      <c r="TJK54" s="102"/>
      <c r="TJL54" s="102"/>
      <c r="TJM54" s="102"/>
      <c r="TJN54" s="102"/>
      <c r="TJO54" s="102"/>
      <c r="TJP54" s="102"/>
      <c r="TJQ54" s="102"/>
      <c r="TJR54" s="102"/>
      <c r="TJS54" s="102"/>
      <c r="TJT54" s="102"/>
      <c r="TJU54" s="102"/>
      <c r="TJV54" s="102"/>
      <c r="TJW54" s="102"/>
      <c r="TJX54" s="102"/>
      <c r="TJY54" s="102"/>
      <c r="TJZ54" s="102"/>
      <c r="TKA54" s="102"/>
      <c r="TKB54" s="102"/>
      <c r="TKC54" s="102"/>
      <c r="TKD54" s="102"/>
      <c r="TKE54" s="102"/>
      <c r="TKF54" s="102"/>
      <c r="TKG54" s="102"/>
      <c r="TKH54" s="102"/>
      <c r="TKI54" s="102"/>
      <c r="TKJ54" s="102"/>
      <c r="TKK54" s="102"/>
      <c r="TKL54" s="102"/>
      <c r="TKM54" s="102"/>
      <c r="TKN54" s="102"/>
      <c r="TKO54" s="102"/>
      <c r="TKP54" s="102"/>
      <c r="TKQ54" s="102"/>
      <c r="TKR54" s="102"/>
      <c r="TKS54" s="102"/>
      <c r="TKT54" s="102"/>
      <c r="TKU54" s="102"/>
      <c r="TKV54" s="102"/>
      <c r="TKW54" s="102"/>
      <c r="TKX54" s="102"/>
      <c r="TKY54" s="102"/>
      <c r="TKZ54" s="102"/>
      <c r="TLA54" s="102"/>
      <c r="TLB54" s="102"/>
      <c r="TLC54" s="102"/>
      <c r="TLD54" s="102"/>
      <c r="TLE54" s="102"/>
      <c r="TLF54" s="102"/>
      <c r="TLG54" s="102"/>
      <c r="TLH54" s="102"/>
      <c r="TLI54" s="102"/>
      <c r="TLJ54" s="102"/>
      <c r="TLK54" s="102"/>
      <c r="TLL54" s="102"/>
      <c r="TLM54" s="102"/>
      <c r="TLN54" s="102"/>
      <c r="TLO54" s="102"/>
      <c r="TLP54" s="102"/>
      <c r="TLQ54" s="102"/>
      <c r="TLR54" s="102"/>
      <c r="TLS54" s="102"/>
      <c r="TLT54" s="102"/>
      <c r="TLU54" s="102"/>
      <c r="TLV54" s="102"/>
      <c r="TLW54" s="102"/>
      <c r="TLX54" s="102"/>
      <c r="TLY54" s="102"/>
      <c r="TLZ54" s="102"/>
      <c r="TMA54" s="102"/>
      <c r="TMB54" s="102"/>
      <c r="TMC54" s="102"/>
      <c r="TMD54" s="102"/>
      <c r="TME54" s="102"/>
      <c r="TMF54" s="102"/>
      <c r="TMG54" s="102"/>
      <c r="TMH54" s="102"/>
      <c r="TMI54" s="102"/>
      <c r="TMJ54" s="102"/>
      <c r="TMK54" s="102"/>
      <c r="TML54" s="102"/>
      <c r="TMM54" s="102"/>
      <c r="TMN54" s="102"/>
      <c r="TMO54" s="102"/>
      <c r="TMP54" s="102"/>
      <c r="TMQ54" s="102"/>
      <c r="TMR54" s="102"/>
      <c r="TMS54" s="102"/>
      <c r="TMT54" s="102"/>
      <c r="TMU54" s="102"/>
      <c r="TMV54" s="102"/>
      <c r="TMW54" s="102"/>
      <c r="TMX54" s="102"/>
      <c r="TMY54" s="102"/>
      <c r="TMZ54" s="102"/>
      <c r="TNA54" s="102"/>
      <c r="TNB54" s="102"/>
      <c r="TNC54" s="102"/>
      <c r="TND54" s="102"/>
      <c r="TNE54" s="102"/>
      <c r="TNF54" s="102"/>
      <c r="TNG54" s="102"/>
      <c r="TNH54" s="102"/>
      <c r="TNI54" s="102"/>
      <c r="TNJ54" s="102"/>
      <c r="TNK54" s="102"/>
      <c r="TNL54" s="102"/>
      <c r="TNM54" s="102"/>
      <c r="TNN54" s="102"/>
      <c r="TNO54" s="102"/>
      <c r="TNP54" s="102"/>
      <c r="TNQ54" s="102"/>
      <c r="TNR54" s="102"/>
      <c r="TNS54" s="102"/>
      <c r="TNT54" s="102"/>
      <c r="TNU54" s="102"/>
      <c r="TNV54" s="102"/>
      <c r="TNW54" s="102"/>
      <c r="TNX54" s="102"/>
      <c r="TNY54" s="102"/>
      <c r="TNZ54" s="102"/>
      <c r="TOA54" s="102"/>
      <c r="TOB54" s="102"/>
      <c r="TOC54" s="102"/>
      <c r="TOD54" s="102"/>
      <c r="TOE54" s="102"/>
      <c r="TOF54" s="102"/>
      <c r="TOG54" s="102"/>
      <c r="TOH54" s="102"/>
      <c r="TOI54" s="102"/>
      <c r="TOJ54" s="102"/>
      <c r="TOK54" s="102"/>
      <c r="TOL54" s="102"/>
      <c r="TOM54" s="102"/>
      <c r="TON54" s="102"/>
      <c r="TOO54" s="102"/>
      <c r="TOP54" s="102"/>
      <c r="TOQ54" s="102"/>
      <c r="TOR54" s="102"/>
      <c r="TOS54" s="102"/>
      <c r="TOT54" s="102"/>
      <c r="TOU54" s="102"/>
      <c r="TOV54" s="102"/>
      <c r="TOW54" s="102"/>
      <c r="TOX54" s="102"/>
      <c r="TOY54" s="102"/>
      <c r="TOZ54" s="102"/>
      <c r="TPA54" s="102"/>
      <c r="TPB54" s="102"/>
      <c r="TPC54" s="102"/>
      <c r="TPD54" s="102"/>
      <c r="TPE54" s="102"/>
      <c r="TPF54" s="102"/>
      <c r="TPG54" s="102"/>
      <c r="TPH54" s="102"/>
      <c r="TPI54" s="102"/>
      <c r="TPJ54" s="102"/>
      <c r="TPK54" s="102"/>
      <c r="TPL54" s="102"/>
      <c r="TPM54" s="102"/>
      <c r="TPN54" s="102"/>
      <c r="TPO54" s="102"/>
      <c r="TPP54" s="102"/>
      <c r="TPQ54" s="102"/>
      <c r="TPR54" s="102"/>
      <c r="TPS54" s="102"/>
      <c r="TPT54" s="102"/>
      <c r="TPU54" s="102"/>
      <c r="TPV54" s="102"/>
      <c r="TPW54" s="102"/>
      <c r="TPX54" s="102"/>
      <c r="TPY54" s="102"/>
      <c r="TPZ54" s="102"/>
      <c r="TQA54" s="102"/>
      <c r="TQB54" s="102"/>
      <c r="TQC54" s="102"/>
      <c r="TQD54" s="102"/>
      <c r="TQE54" s="102"/>
      <c r="TQF54" s="102"/>
      <c r="TQG54" s="102"/>
      <c r="TQH54" s="102"/>
      <c r="TQI54" s="102"/>
      <c r="TQJ54" s="102"/>
      <c r="TQK54" s="102"/>
      <c r="TQL54" s="102"/>
      <c r="TQM54" s="102"/>
      <c r="TQN54" s="102"/>
      <c r="TQO54" s="102"/>
      <c r="TQP54" s="102"/>
      <c r="TQQ54" s="102"/>
      <c r="TQR54" s="102"/>
      <c r="TQS54" s="102"/>
      <c r="TQT54" s="102"/>
      <c r="TQU54" s="102"/>
      <c r="TQV54" s="102"/>
      <c r="TQW54" s="102"/>
      <c r="TQX54" s="102"/>
      <c r="TQY54" s="102"/>
      <c r="TQZ54" s="102"/>
      <c r="TRA54" s="102"/>
      <c r="TRB54" s="102"/>
      <c r="TRC54" s="102"/>
      <c r="TRD54" s="102"/>
      <c r="TRE54" s="102"/>
      <c r="TRF54" s="102"/>
      <c r="TRG54" s="102"/>
      <c r="TRH54" s="102"/>
      <c r="TRI54" s="102"/>
      <c r="TRJ54" s="102"/>
      <c r="TRK54" s="102"/>
      <c r="TRL54" s="102"/>
      <c r="TRM54" s="102"/>
      <c r="TRN54" s="102"/>
      <c r="TRO54" s="102"/>
      <c r="TRP54" s="102"/>
      <c r="TRQ54" s="102"/>
      <c r="TRR54" s="102"/>
      <c r="TRS54" s="102"/>
      <c r="TRT54" s="102"/>
      <c r="TRU54" s="102"/>
      <c r="TRV54" s="102"/>
      <c r="TRW54" s="102"/>
      <c r="TRX54" s="102"/>
      <c r="TRY54" s="102"/>
      <c r="TRZ54" s="102"/>
      <c r="TSA54" s="102"/>
      <c r="TSB54" s="102"/>
      <c r="TSC54" s="102"/>
      <c r="TSD54" s="102"/>
      <c r="TSE54" s="102"/>
      <c r="TSF54" s="102"/>
      <c r="TSG54" s="102"/>
      <c r="TSH54" s="102"/>
      <c r="TSI54" s="102"/>
      <c r="TSJ54" s="102"/>
      <c r="TSK54" s="102"/>
      <c r="TSL54" s="102"/>
      <c r="TSM54" s="102"/>
      <c r="TSN54" s="102"/>
      <c r="TSO54" s="102"/>
      <c r="TSP54" s="102"/>
      <c r="TSQ54" s="102"/>
      <c r="TSR54" s="102"/>
      <c r="TSS54" s="102"/>
      <c r="TST54" s="102"/>
      <c r="TSU54" s="102"/>
      <c r="TSV54" s="102"/>
      <c r="TSW54" s="102"/>
      <c r="TSX54" s="102"/>
      <c r="TSY54" s="102"/>
      <c r="TSZ54" s="102"/>
      <c r="TTA54" s="102"/>
      <c r="TTB54" s="102"/>
      <c r="TTC54" s="102"/>
      <c r="TTD54" s="102"/>
      <c r="TTE54" s="102"/>
      <c r="TTF54" s="102"/>
      <c r="TTG54" s="102"/>
      <c r="TTH54" s="102"/>
      <c r="TTI54" s="102"/>
      <c r="TTJ54" s="102"/>
      <c r="TTK54" s="102"/>
      <c r="TTL54" s="102"/>
      <c r="TTM54" s="102"/>
      <c r="TTN54" s="102"/>
      <c r="TTO54" s="102"/>
      <c r="TTP54" s="102"/>
      <c r="TTQ54" s="102"/>
      <c r="TTR54" s="102"/>
      <c r="TTS54" s="102"/>
      <c r="TTT54" s="102"/>
      <c r="TTU54" s="102"/>
      <c r="TTV54" s="102"/>
      <c r="TTW54" s="102"/>
      <c r="TTX54" s="102"/>
      <c r="TTY54" s="102"/>
      <c r="TTZ54" s="102"/>
      <c r="TUA54" s="102"/>
      <c r="TUB54" s="102"/>
      <c r="TUC54" s="102"/>
      <c r="TUD54" s="102"/>
      <c r="TUE54" s="102"/>
      <c r="TUF54" s="102"/>
      <c r="TUG54" s="102"/>
      <c r="TUH54" s="102"/>
      <c r="TUI54" s="102"/>
      <c r="TUJ54" s="102"/>
      <c r="TUK54" s="102"/>
      <c r="TUL54" s="102"/>
      <c r="TUM54" s="102"/>
      <c r="TUN54" s="102"/>
      <c r="TUO54" s="102"/>
      <c r="TUP54" s="102"/>
      <c r="TUQ54" s="102"/>
      <c r="TUR54" s="102"/>
      <c r="TUS54" s="102"/>
      <c r="TUT54" s="102"/>
      <c r="TUU54" s="102"/>
      <c r="TUV54" s="102"/>
      <c r="TUW54" s="102"/>
      <c r="TUX54" s="102"/>
      <c r="TUY54" s="102"/>
      <c r="TUZ54" s="102"/>
      <c r="TVA54" s="102"/>
      <c r="TVB54" s="102"/>
      <c r="TVC54" s="102"/>
      <c r="TVD54" s="102"/>
      <c r="TVE54" s="102"/>
      <c r="TVF54" s="102"/>
      <c r="TVG54" s="102"/>
      <c r="TVH54" s="102"/>
      <c r="TVI54" s="102"/>
      <c r="TVJ54" s="102"/>
      <c r="TVK54" s="102"/>
      <c r="TVL54" s="102"/>
      <c r="TVM54" s="102"/>
      <c r="TVN54" s="102"/>
      <c r="TVO54" s="102"/>
      <c r="TVP54" s="102"/>
      <c r="TVQ54" s="102"/>
      <c r="TVR54" s="102"/>
      <c r="TVS54" s="102"/>
      <c r="TVT54" s="102"/>
      <c r="TVU54" s="102"/>
      <c r="TVV54" s="102"/>
      <c r="TVW54" s="102"/>
      <c r="TVX54" s="102"/>
      <c r="TVY54" s="102"/>
      <c r="TVZ54" s="102"/>
      <c r="TWA54" s="102"/>
      <c r="TWB54" s="102"/>
      <c r="TWC54" s="102"/>
      <c r="TWD54" s="102"/>
      <c r="TWE54" s="102"/>
      <c r="TWF54" s="102"/>
      <c r="TWG54" s="102"/>
      <c r="TWH54" s="102"/>
      <c r="TWI54" s="102"/>
      <c r="TWJ54" s="102"/>
      <c r="TWK54" s="102"/>
      <c r="TWL54" s="102"/>
      <c r="TWM54" s="102"/>
      <c r="TWN54" s="102"/>
      <c r="TWO54" s="102"/>
      <c r="TWP54" s="102"/>
      <c r="TWQ54" s="102"/>
      <c r="TWR54" s="102"/>
      <c r="TWS54" s="102"/>
      <c r="TWT54" s="102"/>
      <c r="TWU54" s="102"/>
      <c r="TWV54" s="102"/>
      <c r="TWW54" s="102"/>
      <c r="TWX54" s="102"/>
      <c r="TWY54" s="102"/>
      <c r="TWZ54" s="102"/>
      <c r="TXA54" s="102"/>
      <c r="TXB54" s="102"/>
      <c r="TXC54" s="102"/>
      <c r="TXD54" s="102"/>
      <c r="TXE54" s="102"/>
      <c r="TXF54" s="102"/>
      <c r="TXG54" s="102"/>
      <c r="TXH54" s="102"/>
      <c r="TXI54" s="102"/>
      <c r="TXJ54" s="102"/>
      <c r="TXK54" s="102"/>
      <c r="TXL54" s="102"/>
      <c r="TXM54" s="102"/>
      <c r="TXN54" s="102"/>
      <c r="TXO54" s="102"/>
      <c r="TXP54" s="102"/>
      <c r="TXQ54" s="102"/>
      <c r="TXR54" s="102"/>
      <c r="TXS54" s="102"/>
      <c r="TXT54" s="102"/>
      <c r="TXU54" s="102"/>
      <c r="TXV54" s="102"/>
      <c r="TXW54" s="102"/>
      <c r="TXX54" s="102"/>
      <c r="TXY54" s="102"/>
      <c r="TXZ54" s="102"/>
      <c r="TYA54" s="102"/>
      <c r="TYB54" s="102"/>
      <c r="TYC54" s="102"/>
      <c r="TYD54" s="102"/>
      <c r="TYE54" s="102"/>
      <c r="TYF54" s="102"/>
      <c r="TYG54" s="102"/>
      <c r="TYH54" s="102"/>
      <c r="TYI54" s="102"/>
      <c r="TYJ54" s="102"/>
      <c r="TYK54" s="102"/>
      <c r="TYL54" s="102"/>
      <c r="TYM54" s="102"/>
      <c r="TYN54" s="102"/>
      <c r="TYO54" s="102"/>
      <c r="TYP54" s="102"/>
      <c r="TYQ54" s="102"/>
      <c r="TYR54" s="102"/>
      <c r="TYS54" s="102"/>
      <c r="TYT54" s="102"/>
      <c r="TYU54" s="102"/>
      <c r="TYV54" s="102"/>
      <c r="TYW54" s="102"/>
      <c r="TYX54" s="102"/>
      <c r="TYY54" s="102"/>
      <c r="TYZ54" s="102"/>
      <c r="TZA54" s="102"/>
      <c r="TZB54" s="102"/>
      <c r="TZC54" s="102"/>
      <c r="TZD54" s="102"/>
      <c r="TZE54" s="102"/>
      <c r="TZF54" s="102"/>
      <c r="TZG54" s="102"/>
      <c r="TZH54" s="102"/>
      <c r="TZI54" s="102"/>
      <c r="TZJ54" s="102"/>
      <c r="TZK54" s="102"/>
      <c r="TZL54" s="102"/>
      <c r="TZM54" s="102"/>
      <c r="TZN54" s="102"/>
      <c r="TZO54" s="102"/>
      <c r="TZP54" s="102"/>
      <c r="TZQ54" s="102"/>
      <c r="TZR54" s="102"/>
      <c r="TZS54" s="102"/>
      <c r="TZT54" s="102"/>
      <c r="TZU54" s="102"/>
      <c r="TZV54" s="102"/>
      <c r="TZW54" s="102"/>
      <c r="TZX54" s="102"/>
      <c r="TZY54" s="102"/>
      <c r="TZZ54" s="102"/>
      <c r="UAA54" s="102"/>
      <c r="UAB54" s="102"/>
      <c r="UAC54" s="102"/>
      <c r="UAD54" s="102"/>
      <c r="UAE54" s="102"/>
      <c r="UAF54" s="102"/>
      <c r="UAG54" s="102"/>
      <c r="UAH54" s="102"/>
      <c r="UAI54" s="102"/>
      <c r="UAJ54" s="102"/>
      <c r="UAK54" s="102"/>
      <c r="UAL54" s="102"/>
      <c r="UAM54" s="102"/>
      <c r="UAN54" s="102"/>
      <c r="UAO54" s="102"/>
      <c r="UAP54" s="102"/>
      <c r="UAQ54" s="102"/>
      <c r="UAR54" s="102"/>
      <c r="UAS54" s="102"/>
      <c r="UAT54" s="102"/>
      <c r="UAU54" s="102"/>
      <c r="UAV54" s="102"/>
      <c r="UAW54" s="102"/>
      <c r="UAX54" s="102"/>
      <c r="UAY54" s="102"/>
      <c r="UAZ54" s="102"/>
      <c r="UBA54" s="102"/>
      <c r="UBB54" s="102"/>
      <c r="UBC54" s="102"/>
      <c r="UBD54" s="102"/>
      <c r="UBE54" s="102"/>
      <c r="UBF54" s="102"/>
      <c r="UBG54" s="102"/>
      <c r="UBH54" s="102"/>
      <c r="UBI54" s="102"/>
      <c r="UBJ54" s="102"/>
      <c r="UBK54" s="102"/>
      <c r="UBL54" s="102"/>
      <c r="UBM54" s="102"/>
      <c r="UBN54" s="102"/>
      <c r="UBO54" s="102"/>
      <c r="UBP54" s="102"/>
      <c r="UBQ54" s="102"/>
      <c r="UBR54" s="102"/>
      <c r="UBS54" s="102"/>
      <c r="UBT54" s="102"/>
      <c r="UBU54" s="102"/>
      <c r="UBV54" s="102"/>
      <c r="UBW54" s="102"/>
      <c r="UBX54" s="102"/>
      <c r="UBY54" s="102"/>
      <c r="UBZ54" s="102"/>
      <c r="UCA54" s="102"/>
      <c r="UCB54" s="102"/>
      <c r="UCC54" s="102"/>
      <c r="UCD54" s="102"/>
      <c r="UCE54" s="102"/>
      <c r="UCF54" s="102"/>
      <c r="UCG54" s="102"/>
      <c r="UCH54" s="102"/>
      <c r="UCI54" s="102"/>
      <c r="UCJ54" s="102"/>
      <c r="UCK54" s="102"/>
      <c r="UCL54" s="102"/>
      <c r="UCM54" s="102"/>
      <c r="UCN54" s="102"/>
      <c r="UCO54" s="102"/>
      <c r="UCP54" s="102"/>
      <c r="UCQ54" s="102"/>
      <c r="UCR54" s="102"/>
      <c r="UCS54" s="102"/>
      <c r="UCT54" s="102"/>
      <c r="UCU54" s="102"/>
      <c r="UCV54" s="102"/>
      <c r="UCW54" s="102"/>
      <c r="UCX54" s="102"/>
      <c r="UCY54" s="102"/>
      <c r="UCZ54" s="102"/>
      <c r="UDA54" s="102"/>
      <c r="UDB54" s="102"/>
      <c r="UDC54" s="102"/>
      <c r="UDD54" s="102"/>
      <c r="UDE54" s="102"/>
      <c r="UDF54" s="102"/>
      <c r="UDG54" s="102"/>
      <c r="UDH54" s="102"/>
      <c r="UDI54" s="102"/>
      <c r="UDJ54" s="102"/>
      <c r="UDK54" s="102"/>
      <c r="UDL54" s="102"/>
      <c r="UDM54" s="102"/>
      <c r="UDN54" s="102"/>
      <c r="UDO54" s="102"/>
      <c r="UDP54" s="102"/>
      <c r="UDQ54" s="102"/>
      <c r="UDR54" s="102"/>
      <c r="UDS54" s="102"/>
      <c r="UDT54" s="102"/>
      <c r="UDU54" s="102"/>
      <c r="UDV54" s="102"/>
      <c r="UDW54" s="102"/>
      <c r="UDX54" s="102"/>
      <c r="UDY54" s="102"/>
      <c r="UDZ54" s="102"/>
      <c r="UEA54" s="102"/>
      <c r="UEB54" s="102"/>
      <c r="UEC54" s="102"/>
      <c r="UED54" s="102"/>
      <c r="UEE54" s="102"/>
      <c r="UEF54" s="102"/>
      <c r="UEG54" s="102"/>
      <c r="UEH54" s="102"/>
      <c r="UEI54" s="102"/>
      <c r="UEJ54" s="102"/>
      <c r="UEK54" s="102"/>
      <c r="UEL54" s="102"/>
      <c r="UEM54" s="102"/>
      <c r="UEN54" s="102"/>
      <c r="UEO54" s="102"/>
      <c r="UEP54" s="102"/>
      <c r="UEQ54" s="102"/>
      <c r="UER54" s="102"/>
      <c r="UES54" s="102"/>
      <c r="UET54" s="102"/>
      <c r="UEU54" s="102"/>
      <c r="UEV54" s="102"/>
      <c r="UEW54" s="102"/>
      <c r="UEX54" s="102"/>
      <c r="UEY54" s="102"/>
      <c r="UEZ54" s="102"/>
      <c r="UFA54" s="102"/>
      <c r="UFB54" s="102"/>
      <c r="UFC54" s="102"/>
      <c r="UFD54" s="102"/>
      <c r="UFE54" s="102"/>
      <c r="UFF54" s="102"/>
      <c r="UFG54" s="102"/>
      <c r="UFH54" s="102"/>
      <c r="UFI54" s="102"/>
      <c r="UFJ54" s="102"/>
      <c r="UFK54" s="102"/>
      <c r="UFL54" s="102"/>
      <c r="UFM54" s="102"/>
      <c r="UFN54" s="102"/>
      <c r="UFO54" s="102"/>
      <c r="UFP54" s="102"/>
      <c r="UFQ54" s="102"/>
      <c r="UFR54" s="102"/>
      <c r="UFS54" s="102"/>
      <c r="UFT54" s="102"/>
      <c r="UFU54" s="102"/>
      <c r="UFV54" s="102"/>
      <c r="UFW54" s="102"/>
      <c r="UFX54" s="102"/>
      <c r="UFY54" s="102"/>
      <c r="UFZ54" s="102"/>
      <c r="UGA54" s="102"/>
      <c r="UGB54" s="102"/>
      <c r="UGC54" s="102"/>
      <c r="UGD54" s="102"/>
      <c r="UGE54" s="102"/>
      <c r="UGF54" s="102"/>
      <c r="UGG54" s="102"/>
      <c r="UGH54" s="102"/>
      <c r="UGI54" s="102"/>
      <c r="UGJ54" s="102"/>
      <c r="UGK54" s="102"/>
      <c r="UGL54" s="102"/>
      <c r="UGM54" s="102"/>
      <c r="UGN54" s="102"/>
      <c r="UGO54" s="102"/>
      <c r="UGP54" s="102"/>
      <c r="UGQ54" s="102"/>
      <c r="UGR54" s="102"/>
      <c r="UGS54" s="102"/>
      <c r="UGT54" s="102"/>
      <c r="UGU54" s="102"/>
      <c r="UGV54" s="102"/>
      <c r="UGW54" s="102"/>
      <c r="UGX54" s="102"/>
      <c r="UGY54" s="102"/>
      <c r="UGZ54" s="102"/>
      <c r="UHA54" s="102"/>
      <c r="UHB54" s="102"/>
      <c r="UHC54" s="102"/>
      <c r="UHD54" s="102"/>
      <c r="UHE54" s="102"/>
      <c r="UHF54" s="102"/>
      <c r="UHG54" s="102"/>
      <c r="UHH54" s="102"/>
      <c r="UHI54" s="102"/>
      <c r="UHJ54" s="102"/>
      <c r="UHK54" s="102"/>
      <c r="UHL54" s="102"/>
      <c r="UHM54" s="102"/>
      <c r="UHN54" s="102"/>
      <c r="UHO54" s="102"/>
      <c r="UHP54" s="102"/>
      <c r="UHQ54" s="102"/>
      <c r="UHR54" s="102"/>
      <c r="UHS54" s="102"/>
      <c r="UHT54" s="102"/>
      <c r="UHU54" s="102"/>
      <c r="UHV54" s="102"/>
      <c r="UHW54" s="102"/>
      <c r="UHX54" s="102"/>
      <c r="UHY54" s="102"/>
      <c r="UHZ54" s="102"/>
      <c r="UIA54" s="102"/>
      <c r="UIB54" s="102"/>
      <c r="UIC54" s="102"/>
      <c r="UID54" s="102"/>
      <c r="UIE54" s="102"/>
      <c r="UIF54" s="102"/>
      <c r="UIG54" s="102"/>
      <c r="UIH54" s="102"/>
      <c r="UII54" s="102"/>
      <c r="UIJ54" s="102"/>
      <c r="UIK54" s="102"/>
      <c r="UIL54" s="102"/>
      <c r="UIM54" s="102"/>
      <c r="UIN54" s="102"/>
      <c r="UIO54" s="102"/>
      <c r="UIP54" s="102"/>
      <c r="UIQ54" s="102"/>
      <c r="UIR54" s="102"/>
      <c r="UIS54" s="102"/>
      <c r="UIT54" s="102"/>
      <c r="UIU54" s="102"/>
      <c r="UIV54" s="102"/>
      <c r="UIW54" s="102"/>
      <c r="UIX54" s="102"/>
      <c r="UIY54" s="102"/>
      <c r="UIZ54" s="102"/>
      <c r="UJA54" s="102"/>
      <c r="UJB54" s="102"/>
      <c r="UJC54" s="102"/>
      <c r="UJD54" s="102"/>
      <c r="UJE54" s="102"/>
      <c r="UJF54" s="102"/>
      <c r="UJG54" s="102"/>
      <c r="UJH54" s="102"/>
      <c r="UJI54" s="102"/>
      <c r="UJJ54" s="102"/>
      <c r="UJK54" s="102"/>
      <c r="UJL54" s="102"/>
      <c r="UJM54" s="102"/>
      <c r="UJN54" s="102"/>
      <c r="UJO54" s="102"/>
      <c r="UJP54" s="102"/>
      <c r="UJQ54" s="102"/>
      <c r="UJR54" s="102"/>
      <c r="UJS54" s="102"/>
      <c r="UJT54" s="102"/>
      <c r="UJU54" s="102"/>
      <c r="UJV54" s="102"/>
      <c r="UJW54" s="102"/>
      <c r="UJX54" s="102"/>
      <c r="UJY54" s="102"/>
      <c r="UJZ54" s="102"/>
      <c r="UKA54" s="102"/>
      <c r="UKB54" s="102"/>
      <c r="UKC54" s="102"/>
      <c r="UKD54" s="102"/>
      <c r="UKE54" s="102"/>
      <c r="UKF54" s="102"/>
      <c r="UKG54" s="102"/>
      <c r="UKH54" s="102"/>
      <c r="UKI54" s="102"/>
      <c r="UKJ54" s="102"/>
      <c r="UKK54" s="102"/>
      <c r="UKL54" s="102"/>
      <c r="UKM54" s="102"/>
      <c r="UKN54" s="102"/>
      <c r="UKO54" s="102"/>
      <c r="UKP54" s="102"/>
      <c r="UKQ54" s="102"/>
      <c r="UKR54" s="102"/>
      <c r="UKS54" s="102"/>
      <c r="UKT54" s="102"/>
      <c r="UKU54" s="102"/>
      <c r="UKV54" s="102"/>
      <c r="UKW54" s="102"/>
      <c r="UKX54" s="102"/>
      <c r="UKY54" s="102"/>
      <c r="UKZ54" s="102"/>
      <c r="ULA54" s="102"/>
      <c r="ULB54" s="102"/>
      <c r="ULC54" s="102"/>
      <c r="ULD54" s="102"/>
      <c r="ULE54" s="102"/>
      <c r="ULF54" s="102"/>
      <c r="ULG54" s="102"/>
      <c r="ULH54" s="102"/>
      <c r="ULI54" s="102"/>
      <c r="ULJ54" s="102"/>
      <c r="ULK54" s="102"/>
      <c r="ULL54" s="102"/>
      <c r="ULM54" s="102"/>
      <c r="ULN54" s="102"/>
      <c r="ULO54" s="102"/>
      <c r="ULP54" s="102"/>
      <c r="ULQ54" s="102"/>
      <c r="ULR54" s="102"/>
      <c r="ULS54" s="102"/>
      <c r="ULT54" s="102"/>
      <c r="ULU54" s="102"/>
      <c r="ULV54" s="102"/>
      <c r="ULW54" s="102"/>
      <c r="ULX54" s="102"/>
      <c r="ULY54" s="102"/>
      <c r="ULZ54" s="102"/>
      <c r="UMA54" s="102"/>
      <c r="UMB54" s="102"/>
      <c r="UMC54" s="102"/>
      <c r="UMD54" s="102"/>
      <c r="UME54" s="102"/>
      <c r="UMF54" s="102"/>
      <c r="UMG54" s="102"/>
      <c r="UMH54" s="102"/>
      <c r="UMI54" s="102"/>
      <c r="UMJ54" s="102"/>
      <c r="UMK54" s="102"/>
      <c r="UML54" s="102"/>
      <c r="UMM54" s="102"/>
      <c r="UMN54" s="102"/>
      <c r="UMO54" s="102"/>
      <c r="UMP54" s="102"/>
      <c r="UMQ54" s="102"/>
      <c r="UMR54" s="102"/>
      <c r="UMS54" s="102"/>
      <c r="UMT54" s="102"/>
      <c r="UMU54" s="102"/>
      <c r="UMV54" s="102"/>
      <c r="UMW54" s="102"/>
      <c r="UMX54" s="102"/>
      <c r="UMY54" s="102"/>
      <c r="UMZ54" s="102"/>
      <c r="UNA54" s="102"/>
      <c r="UNB54" s="102"/>
      <c r="UNC54" s="102"/>
      <c r="UND54" s="102"/>
      <c r="UNE54" s="102"/>
      <c r="UNF54" s="102"/>
      <c r="UNG54" s="102"/>
      <c r="UNH54" s="102"/>
      <c r="UNI54" s="102"/>
      <c r="UNJ54" s="102"/>
      <c r="UNK54" s="102"/>
      <c r="UNL54" s="102"/>
      <c r="UNM54" s="102"/>
      <c r="UNN54" s="102"/>
      <c r="UNO54" s="102"/>
      <c r="UNP54" s="102"/>
      <c r="UNQ54" s="102"/>
      <c r="UNR54" s="102"/>
      <c r="UNS54" s="102"/>
      <c r="UNT54" s="102"/>
      <c r="UNU54" s="102"/>
      <c r="UNV54" s="102"/>
      <c r="UNW54" s="102"/>
      <c r="UNX54" s="102"/>
      <c r="UNY54" s="102"/>
      <c r="UNZ54" s="102"/>
      <c r="UOA54" s="102"/>
      <c r="UOB54" s="102"/>
      <c r="UOC54" s="102"/>
      <c r="UOD54" s="102"/>
      <c r="UOE54" s="102"/>
      <c r="UOF54" s="102"/>
      <c r="UOG54" s="102"/>
      <c r="UOH54" s="102"/>
      <c r="UOI54" s="102"/>
      <c r="UOJ54" s="102"/>
      <c r="UOK54" s="102"/>
      <c r="UOL54" s="102"/>
      <c r="UOM54" s="102"/>
      <c r="UON54" s="102"/>
      <c r="UOO54" s="102"/>
      <c r="UOP54" s="102"/>
      <c r="UOQ54" s="102"/>
      <c r="UOR54" s="102"/>
      <c r="UOS54" s="102"/>
      <c r="UOT54" s="102"/>
      <c r="UOU54" s="102"/>
      <c r="UOV54" s="102"/>
      <c r="UOW54" s="102"/>
      <c r="UOX54" s="102"/>
      <c r="UOY54" s="102"/>
      <c r="UOZ54" s="102"/>
      <c r="UPA54" s="102"/>
      <c r="UPB54" s="102"/>
      <c r="UPC54" s="102"/>
      <c r="UPD54" s="102"/>
      <c r="UPE54" s="102"/>
      <c r="UPF54" s="102"/>
      <c r="UPG54" s="102"/>
      <c r="UPH54" s="102"/>
      <c r="UPI54" s="102"/>
      <c r="UPJ54" s="102"/>
      <c r="UPK54" s="102"/>
      <c r="UPL54" s="102"/>
      <c r="UPM54" s="102"/>
      <c r="UPN54" s="102"/>
      <c r="UPO54" s="102"/>
      <c r="UPP54" s="102"/>
      <c r="UPQ54" s="102"/>
      <c r="UPR54" s="102"/>
      <c r="UPS54" s="102"/>
      <c r="UPT54" s="102"/>
      <c r="UPU54" s="102"/>
      <c r="UPV54" s="102"/>
      <c r="UPW54" s="102"/>
      <c r="UPX54" s="102"/>
      <c r="UPY54" s="102"/>
      <c r="UPZ54" s="102"/>
      <c r="UQA54" s="102"/>
      <c r="UQB54" s="102"/>
      <c r="UQC54" s="102"/>
      <c r="UQD54" s="102"/>
      <c r="UQE54" s="102"/>
      <c r="UQF54" s="102"/>
      <c r="UQG54" s="102"/>
      <c r="UQH54" s="102"/>
      <c r="UQI54" s="102"/>
      <c r="UQJ54" s="102"/>
      <c r="UQK54" s="102"/>
      <c r="UQL54" s="102"/>
      <c r="UQM54" s="102"/>
      <c r="UQN54" s="102"/>
      <c r="UQO54" s="102"/>
      <c r="UQP54" s="102"/>
      <c r="UQQ54" s="102"/>
      <c r="UQR54" s="102"/>
      <c r="UQS54" s="102"/>
      <c r="UQT54" s="102"/>
      <c r="UQU54" s="102"/>
      <c r="UQV54" s="102"/>
      <c r="UQW54" s="102"/>
      <c r="UQX54" s="102"/>
      <c r="UQY54" s="102"/>
      <c r="UQZ54" s="102"/>
      <c r="URA54" s="102"/>
      <c r="URB54" s="102"/>
      <c r="URC54" s="102"/>
      <c r="URD54" s="102"/>
      <c r="URE54" s="102"/>
      <c r="URF54" s="102"/>
      <c r="URG54" s="102"/>
      <c r="URH54" s="102"/>
      <c r="URI54" s="102"/>
      <c r="URJ54" s="102"/>
      <c r="URK54" s="102"/>
      <c r="URL54" s="102"/>
      <c r="URM54" s="102"/>
      <c r="URN54" s="102"/>
      <c r="URO54" s="102"/>
      <c r="URP54" s="102"/>
      <c r="URQ54" s="102"/>
      <c r="URR54" s="102"/>
      <c r="URS54" s="102"/>
      <c r="URT54" s="102"/>
      <c r="URU54" s="102"/>
      <c r="URV54" s="102"/>
      <c r="URW54" s="102"/>
      <c r="URX54" s="102"/>
      <c r="URY54" s="102"/>
      <c r="URZ54" s="102"/>
      <c r="USA54" s="102"/>
      <c r="USB54" s="102"/>
      <c r="USC54" s="102"/>
      <c r="USD54" s="102"/>
      <c r="USE54" s="102"/>
      <c r="USF54" s="102"/>
      <c r="USG54" s="102"/>
      <c r="USH54" s="102"/>
      <c r="USI54" s="102"/>
      <c r="USJ54" s="102"/>
      <c r="USK54" s="102"/>
      <c r="USL54" s="102"/>
      <c r="USM54" s="102"/>
      <c r="USN54" s="102"/>
      <c r="USO54" s="102"/>
      <c r="USP54" s="102"/>
      <c r="USQ54" s="102"/>
      <c r="USR54" s="102"/>
      <c r="USS54" s="102"/>
      <c r="UST54" s="102"/>
      <c r="USU54" s="102"/>
      <c r="USV54" s="102"/>
      <c r="USW54" s="102"/>
      <c r="USX54" s="102"/>
      <c r="USY54" s="102"/>
      <c r="USZ54" s="102"/>
      <c r="UTA54" s="102"/>
      <c r="UTB54" s="102"/>
      <c r="UTC54" s="102"/>
      <c r="UTD54" s="102"/>
      <c r="UTE54" s="102"/>
      <c r="UTF54" s="102"/>
      <c r="UTG54" s="102"/>
      <c r="UTH54" s="102"/>
      <c r="UTI54" s="102"/>
      <c r="UTJ54" s="102"/>
      <c r="UTK54" s="102"/>
      <c r="UTL54" s="102"/>
      <c r="UTM54" s="102"/>
      <c r="UTN54" s="102"/>
      <c r="UTO54" s="102"/>
      <c r="UTP54" s="102"/>
      <c r="UTQ54" s="102"/>
      <c r="UTR54" s="102"/>
      <c r="UTS54" s="102"/>
      <c r="UTT54" s="102"/>
      <c r="UTU54" s="102"/>
      <c r="UTV54" s="102"/>
      <c r="UTW54" s="102"/>
      <c r="UTX54" s="102"/>
      <c r="UTY54" s="102"/>
      <c r="UTZ54" s="102"/>
      <c r="UUA54" s="102"/>
      <c r="UUB54" s="102"/>
      <c r="UUC54" s="102"/>
      <c r="UUD54" s="102"/>
      <c r="UUE54" s="102"/>
      <c r="UUF54" s="102"/>
      <c r="UUG54" s="102"/>
      <c r="UUH54" s="102"/>
      <c r="UUI54" s="102"/>
      <c r="UUJ54" s="102"/>
      <c r="UUK54" s="102"/>
      <c r="UUL54" s="102"/>
      <c r="UUM54" s="102"/>
      <c r="UUN54" s="102"/>
      <c r="UUO54" s="102"/>
      <c r="UUP54" s="102"/>
      <c r="UUQ54" s="102"/>
      <c r="UUR54" s="102"/>
      <c r="UUS54" s="102"/>
      <c r="UUT54" s="102"/>
      <c r="UUU54" s="102"/>
      <c r="UUV54" s="102"/>
      <c r="UUW54" s="102"/>
      <c r="UUX54" s="102"/>
      <c r="UUY54" s="102"/>
      <c r="UUZ54" s="102"/>
      <c r="UVA54" s="102"/>
      <c r="UVB54" s="102"/>
      <c r="UVC54" s="102"/>
      <c r="UVD54" s="102"/>
      <c r="UVE54" s="102"/>
      <c r="UVF54" s="102"/>
      <c r="UVG54" s="102"/>
      <c r="UVH54" s="102"/>
      <c r="UVI54" s="102"/>
      <c r="UVJ54" s="102"/>
      <c r="UVK54" s="102"/>
      <c r="UVL54" s="102"/>
      <c r="UVM54" s="102"/>
      <c r="UVN54" s="102"/>
      <c r="UVO54" s="102"/>
      <c r="UVP54" s="102"/>
      <c r="UVQ54" s="102"/>
      <c r="UVR54" s="102"/>
      <c r="UVS54" s="102"/>
      <c r="UVT54" s="102"/>
      <c r="UVU54" s="102"/>
      <c r="UVV54" s="102"/>
      <c r="UVW54" s="102"/>
      <c r="UVX54" s="102"/>
      <c r="UVY54" s="102"/>
      <c r="UVZ54" s="102"/>
      <c r="UWA54" s="102"/>
      <c r="UWB54" s="102"/>
      <c r="UWC54" s="102"/>
      <c r="UWD54" s="102"/>
      <c r="UWE54" s="102"/>
      <c r="UWF54" s="102"/>
      <c r="UWG54" s="102"/>
      <c r="UWH54" s="102"/>
      <c r="UWI54" s="102"/>
      <c r="UWJ54" s="102"/>
      <c r="UWK54" s="102"/>
      <c r="UWL54" s="102"/>
      <c r="UWM54" s="102"/>
      <c r="UWN54" s="102"/>
      <c r="UWO54" s="102"/>
      <c r="UWP54" s="102"/>
      <c r="UWQ54" s="102"/>
      <c r="UWR54" s="102"/>
      <c r="UWS54" s="102"/>
      <c r="UWT54" s="102"/>
      <c r="UWU54" s="102"/>
      <c r="UWV54" s="102"/>
      <c r="UWW54" s="102"/>
      <c r="UWX54" s="102"/>
      <c r="UWY54" s="102"/>
      <c r="UWZ54" s="102"/>
      <c r="UXA54" s="102"/>
      <c r="UXB54" s="102"/>
      <c r="UXC54" s="102"/>
      <c r="UXD54" s="102"/>
      <c r="UXE54" s="102"/>
      <c r="UXF54" s="102"/>
      <c r="UXG54" s="102"/>
      <c r="UXH54" s="102"/>
      <c r="UXI54" s="102"/>
      <c r="UXJ54" s="102"/>
      <c r="UXK54" s="102"/>
      <c r="UXL54" s="102"/>
      <c r="UXM54" s="102"/>
      <c r="UXN54" s="102"/>
      <c r="UXO54" s="102"/>
      <c r="UXP54" s="102"/>
      <c r="UXQ54" s="102"/>
      <c r="UXR54" s="102"/>
      <c r="UXS54" s="102"/>
      <c r="UXT54" s="102"/>
      <c r="UXU54" s="102"/>
      <c r="UXV54" s="102"/>
      <c r="UXW54" s="102"/>
      <c r="UXX54" s="102"/>
      <c r="UXY54" s="102"/>
      <c r="UXZ54" s="102"/>
      <c r="UYA54" s="102"/>
      <c r="UYB54" s="102"/>
      <c r="UYC54" s="102"/>
      <c r="UYD54" s="102"/>
      <c r="UYE54" s="102"/>
      <c r="UYF54" s="102"/>
      <c r="UYG54" s="102"/>
      <c r="UYH54" s="102"/>
      <c r="UYI54" s="102"/>
      <c r="UYJ54" s="102"/>
      <c r="UYK54" s="102"/>
      <c r="UYL54" s="102"/>
      <c r="UYM54" s="102"/>
      <c r="UYN54" s="102"/>
      <c r="UYO54" s="102"/>
      <c r="UYP54" s="102"/>
      <c r="UYQ54" s="102"/>
      <c r="UYR54" s="102"/>
      <c r="UYS54" s="102"/>
      <c r="UYT54" s="102"/>
      <c r="UYU54" s="102"/>
      <c r="UYV54" s="102"/>
      <c r="UYW54" s="102"/>
      <c r="UYX54" s="102"/>
      <c r="UYY54" s="102"/>
      <c r="UYZ54" s="102"/>
      <c r="UZA54" s="102"/>
      <c r="UZB54" s="102"/>
      <c r="UZC54" s="102"/>
      <c r="UZD54" s="102"/>
      <c r="UZE54" s="102"/>
      <c r="UZF54" s="102"/>
      <c r="UZG54" s="102"/>
      <c r="UZH54" s="102"/>
      <c r="UZI54" s="102"/>
      <c r="UZJ54" s="102"/>
      <c r="UZK54" s="102"/>
      <c r="UZL54" s="102"/>
      <c r="UZM54" s="102"/>
      <c r="UZN54" s="102"/>
      <c r="UZO54" s="102"/>
      <c r="UZP54" s="102"/>
      <c r="UZQ54" s="102"/>
      <c r="UZR54" s="102"/>
      <c r="UZS54" s="102"/>
      <c r="UZT54" s="102"/>
      <c r="UZU54" s="102"/>
      <c r="UZV54" s="102"/>
      <c r="UZW54" s="102"/>
      <c r="UZX54" s="102"/>
      <c r="UZY54" s="102"/>
      <c r="UZZ54" s="102"/>
      <c r="VAA54" s="102"/>
      <c r="VAB54" s="102"/>
      <c r="VAC54" s="102"/>
      <c r="VAD54" s="102"/>
      <c r="VAE54" s="102"/>
      <c r="VAF54" s="102"/>
      <c r="VAG54" s="102"/>
      <c r="VAH54" s="102"/>
      <c r="VAI54" s="102"/>
      <c r="VAJ54" s="102"/>
      <c r="VAK54" s="102"/>
      <c r="VAL54" s="102"/>
      <c r="VAM54" s="102"/>
      <c r="VAN54" s="102"/>
      <c r="VAO54" s="102"/>
      <c r="VAP54" s="102"/>
      <c r="VAQ54" s="102"/>
      <c r="VAR54" s="102"/>
      <c r="VAS54" s="102"/>
      <c r="VAT54" s="102"/>
      <c r="VAU54" s="102"/>
      <c r="VAV54" s="102"/>
      <c r="VAW54" s="102"/>
      <c r="VAX54" s="102"/>
      <c r="VAY54" s="102"/>
      <c r="VAZ54" s="102"/>
      <c r="VBA54" s="102"/>
      <c r="VBB54" s="102"/>
      <c r="VBC54" s="102"/>
      <c r="VBD54" s="102"/>
      <c r="VBE54" s="102"/>
      <c r="VBF54" s="102"/>
      <c r="VBG54" s="102"/>
      <c r="VBH54" s="102"/>
      <c r="VBI54" s="102"/>
      <c r="VBJ54" s="102"/>
      <c r="VBK54" s="102"/>
      <c r="VBL54" s="102"/>
      <c r="VBM54" s="102"/>
      <c r="VBN54" s="102"/>
      <c r="VBO54" s="102"/>
      <c r="VBP54" s="102"/>
      <c r="VBQ54" s="102"/>
      <c r="VBR54" s="102"/>
      <c r="VBS54" s="102"/>
      <c r="VBT54" s="102"/>
      <c r="VBU54" s="102"/>
      <c r="VBV54" s="102"/>
      <c r="VBW54" s="102"/>
      <c r="VBX54" s="102"/>
      <c r="VBY54" s="102"/>
      <c r="VBZ54" s="102"/>
      <c r="VCA54" s="102"/>
      <c r="VCB54" s="102"/>
      <c r="VCC54" s="102"/>
      <c r="VCD54" s="102"/>
      <c r="VCE54" s="102"/>
      <c r="VCF54" s="102"/>
      <c r="VCG54" s="102"/>
      <c r="VCH54" s="102"/>
      <c r="VCI54" s="102"/>
      <c r="VCJ54" s="102"/>
      <c r="VCK54" s="102"/>
      <c r="VCL54" s="102"/>
      <c r="VCM54" s="102"/>
      <c r="VCN54" s="102"/>
      <c r="VCO54" s="102"/>
      <c r="VCP54" s="102"/>
      <c r="VCQ54" s="102"/>
      <c r="VCR54" s="102"/>
      <c r="VCS54" s="102"/>
      <c r="VCT54" s="102"/>
      <c r="VCU54" s="102"/>
      <c r="VCV54" s="102"/>
      <c r="VCW54" s="102"/>
      <c r="VCX54" s="102"/>
      <c r="VCY54" s="102"/>
      <c r="VCZ54" s="102"/>
      <c r="VDA54" s="102"/>
      <c r="VDB54" s="102"/>
      <c r="VDC54" s="102"/>
      <c r="VDD54" s="102"/>
      <c r="VDE54" s="102"/>
      <c r="VDF54" s="102"/>
      <c r="VDG54" s="102"/>
      <c r="VDH54" s="102"/>
      <c r="VDI54" s="102"/>
      <c r="VDJ54" s="102"/>
      <c r="VDK54" s="102"/>
      <c r="VDL54" s="102"/>
      <c r="VDM54" s="102"/>
      <c r="VDN54" s="102"/>
      <c r="VDO54" s="102"/>
      <c r="VDP54" s="102"/>
      <c r="VDQ54" s="102"/>
      <c r="VDR54" s="102"/>
      <c r="VDS54" s="102"/>
      <c r="VDT54" s="102"/>
      <c r="VDU54" s="102"/>
      <c r="VDV54" s="102"/>
      <c r="VDW54" s="102"/>
      <c r="VDX54" s="102"/>
      <c r="VDY54" s="102"/>
      <c r="VDZ54" s="102"/>
      <c r="VEA54" s="102"/>
      <c r="VEB54" s="102"/>
      <c r="VEC54" s="102"/>
      <c r="VED54" s="102"/>
      <c r="VEE54" s="102"/>
      <c r="VEF54" s="102"/>
      <c r="VEG54" s="102"/>
      <c r="VEH54" s="102"/>
      <c r="VEI54" s="102"/>
      <c r="VEJ54" s="102"/>
      <c r="VEK54" s="102"/>
      <c r="VEL54" s="102"/>
      <c r="VEM54" s="102"/>
      <c r="VEN54" s="102"/>
      <c r="VEO54" s="102"/>
      <c r="VEP54" s="102"/>
      <c r="VEQ54" s="102"/>
      <c r="VER54" s="102"/>
      <c r="VES54" s="102"/>
      <c r="VET54" s="102"/>
      <c r="VEU54" s="102"/>
      <c r="VEV54" s="102"/>
      <c r="VEW54" s="102"/>
      <c r="VEX54" s="102"/>
      <c r="VEY54" s="102"/>
      <c r="VEZ54" s="102"/>
      <c r="VFA54" s="102"/>
      <c r="VFB54" s="102"/>
      <c r="VFC54" s="102"/>
      <c r="VFD54" s="102"/>
      <c r="VFE54" s="102"/>
      <c r="VFF54" s="102"/>
      <c r="VFG54" s="102"/>
      <c r="VFH54" s="102"/>
      <c r="VFI54" s="102"/>
      <c r="VFJ54" s="102"/>
      <c r="VFK54" s="102"/>
      <c r="VFL54" s="102"/>
      <c r="VFM54" s="102"/>
      <c r="VFN54" s="102"/>
      <c r="VFO54" s="102"/>
      <c r="VFP54" s="102"/>
      <c r="VFQ54" s="102"/>
      <c r="VFR54" s="102"/>
      <c r="VFS54" s="102"/>
      <c r="VFT54" s="102"/>
      <c r="VFU54" s="102"/>
      <c r="VFV54" s="102"/>
      <c r="VFW54" s="102"/>
      <c r="VFX54" s="102"/>
      <c r="VFY54" s="102"/>
      <c r="VFZ54" s="102"/>
      <c r="VGA54" s="102"/>
      <c r="VGB54" s="102"/>
      <c r="VGC54" s="102"/>
      <c r="VGD54" s="102"/>
      <c r="VGE54" s="102"/>
      <c r="VGF54" s="102"/>
      <c r="VGG54" s="102"/>
      <c r="VGH54" s="102"/>
      <c r="VGI54" s="102"/>
      <c r="VGJ54" s="102"/>
      <c r="VGK54" s="102"/>
      <c r="VGL54" s="102"/>
      <c r="VGM54" s="102"/>
      <c r="VGN54" s="102"/>
      <c r="VGO54" s="102"/>
      <c r="VGP54" s="102"/>
      <c r="VGQ54" s="102"/>
      <c r="VGR54" s="102"/>
      <c r="VGS54" s="102"/>
      <c r="VGT54" s="102"/>
      <c r="VGU54" s="102"/>
      <c r="VGV54" s="102"/>
      <c r="VGW54" s="102"/>
      <c r="VGX54" s="102"/>
      <c r="VGY54" s="102"/>
      <c r="VGZ54" s="102"/>
      <c r="VHA54" s="102"/>
      <c r="VHB54" s="102"/>
      <c r="VHC54" s="102"/>
      <c r="VHD54" s="102"/>
      <c r="VHE54" s="102"/>
      <c r="VHF54" s="102"/>
      <c r="VHG54" s="102"/>
      <c r="VHH54" s="102"/>
      <c r="VHI54" s="102"/>
      <c r="VHJ54" s="102"/>
      <c r="VHK54" s="102"/>
      <c r="VHL54" s="102"/>
      <c r="VHM54" s="102"/>
      <c r="VHN54" s="102"/>
      <c r="VHO54" s="102"/>
      <c r="VHP54" s="102"/>
      <c r="VHQ54" s="102"/>
      <c r="VHR54" s="102"/>
      <c r="VHS54" s="102"/>
      <c r="VHT54" s="102"/>
      <c r="VHU54" s="102"/>
      <c r="VHV54" s="102"/>
      <c r="VHW54" s="102"/>
      <c r="VHX54" s="102"/>
      <c r="VHY54" s="102"/>
      <c r="VHZ54" s="102"/>
      <c r="VIA54" s="102"/>
      <c r="VIB54" s="102"/>
      <c r="VIC54" s="102"/>
      <c r="VID54" s="102"/>
      <c r="VIE54" s="102"/>
      <c r="VIF54" s="102"/>
      <c r="VIG54" s="102"/>
      <c r="VIH54" s="102"/>
      <c r="VII54" s="102"/>
      <c r="VIJ54" s="102"/>
      <c r="VIK54" s="102"/>
      <c r="VIL54" s="102"/>
      <c r="VIM54" s="102"/>
      <c r="VIN54" s="102"/>
      <c r="VIO54" s="102"/>
      <c r="VIP54" s="102"/>
      <c r="VIQ54" s="102"/>
      <c r="VIR54" s="102"/>
      <c r="VIS54" s="102"/>
      <c r="VIT54" s="102"/>
      <c r="VIU54" s="102"/>
      <c r="VIV54" s="102"/>
      <c r="VIW54" s="102"/>
      <c r="VIX54" s="102"/>
      <c r="VIY54" s="102"/>
      <c r="VIZ54" s="102"/>
      <c r="VJA54" s="102"/>
      <c r="VJB54" s="102"/>
      <c r="VJC54" s="102"/>
      <c r="VJD54" s="102"/>
      <c r="VJE54" s="102"/>
      <c r="VJF54" s="102"/>
      <c r="VJG54" s="102"/>
      <c r="VJH54" s="102"/>
      <c r="VJI54" s="102"/>
      <c r="VJJ54" s="102"/>
      <c r="VJK54" s="102"/>
      <c r="VJL54" s="102"/>
      <c r="VJM54" s="102"/>
      <c r="VJN54" s="102"/>
      <c r="VJO54" s="102"/>
      <c r="VJP54" s="102"/>
      <c r="VJQ54" s="102"/>
      <c r="VJR54" s="102"/>
      <c r="VJS54" s="102"/>
      <c r="VJT54" s="102"/>
      <c r="VJU54" s="102"/>
      <c r="VJV54" s="102"/>
      <c r="VJW54" s="102"/>
      <c r="VJX54" s="102"/>
      <c r="VJY54" s="102"/>
      <c r="VJZ54" s="102"/>
      <c r="VKA54" s="102"/>
      <c r="VKB54" s="102"/>
      <c r="VKC54" s="102"/>
      <c r="VKD54" s="102"/>
      <c r="VKE54" s="102"/>
      <c r="VKF54" s="102"/>
      <c r="VKG54" s="102"/>
      <c r="VKH54" s="102"/>
      <c r="VKI54" s="102"/>
      <c r="VKJ54" s="102"/>
      <c r="VKK54" s="102"/>
      <c r="VKL54" s="102"/>
      <c r="VKM54" s="102"/>
      <c r="VKN54" s="102"/>
      <c r="VKO54" s="102"/>
      <c r="VKP54" s="102"/>
      <c r="VKQ54" s="102"/>
      <c r="VKR54" s="102"/>
      <c r="VKS54" s="102"/>
      <c r="VKT54" s="102"/>
      <c r="VKU54" s="102"/>
      <c r="VKV54" s="102"/>
      <c r="VKW54" s="102"/>
      <c r="VKX54" s="102"/>
      <c r="VKY54" s="102"/>
      <c r="VKZ54" s="102"/>
      <c r="VLA54" s="102"/>
      <c r="VLB54" s="102"/>
      <c r="VLC54" s="102"/>
      <c r="VLD54" s="102"/>
      <c r="VLE54" s="102"/>
      <c r="VLF54" s="102"/>
      <c r="VLG54" s="102"/>
      <c r="VLH54" s="102"/>
      <c r="VLI54" s="102"/>
      <c r="VLJ54" s="102"/>
      <c r="VLK54" s="102"/>
      <c r="VLL54" s="102"/>
      <c r="VLM54" s="102"/>
      <c r="VLN54" s="102"/>
      <c r="VLO54" s="102"/>
      <c r="VLP54" s="102"/>
      <c r="VLQ54" s="102"/>
      <c r="VLR54" s="102"/>
      <c r="VLS54" s="102"/>
      <c r="VLT54" s="102"/>
      <c r="VLU54" s="102"/>
      <c r="VLV54" s="102"/>
      <c r="VLW54" s="102"/>
      <c r="VLX54" s="102"/>
      <c r="VLY54" s="102"/>
      <c r="VLZ54" s="102"/>
      <c r="VMA54" s="102"/>
      <c r="VMB54" s="102"/>
      <c r="VMC54" s="102"/>
      <c r="VMD54" s="102"/>
      <c r="VME54" s="102"/>
      <c r="VMF54" s="102"/>
      <c r="VMG54" s="102"/>
      <c r="VMH54" s="102"/>
      <c r="VMI54" s="102"/>
      <c r="VMJ54" s="102"/>
      <c r="VMK54" s="102"/>
      <c r="VML54" s="102"/>
      <c r="VMM54" s="102"/>
      <c r="VMN54" s="102"/>
      <c r="VMO54" s="102"/>
      <c r="VMP54" s="102"/>
      <c r="VMQ54" s="102"/>
      <c r="VMR54" s="102"/>
      <c r="VMS54" s="102"/>
      <c r="VMT54" s="102"/>
      <c r="VMU54" s="102"/>
      <c r="VMV54" s="102"/>
      <c r="VMW54" s="102"/>
      <c r="VMX54" s="102"/>
      <c r="VMY54" s="102"/>
      <c r="VMZ54" s="102"/>
      <c r="VNA54" s="102"/>
      <c r="VNB54" s="102"/>
      <c r="VNC54" s="102"/>
      <c r="VND54" s="102"/>
      <c r="VNE54" s="102"/>
      <c r="VNF54" s="102"/>
      <c r="VNG54" s="102"/>
      <c r="VNH54" s="102"/>
      <c r="VNI54" s="102"/>
      <c r="VNJ54" s="102"/>
      <c r="VNK54" s="102"/>
      <c r="VNL54" s="102"/>
      <c r="VNM54" s="102"/>
      <c r="VNN54" s="102"/>
      <c r="VNO54" s="102"/>
      <c r="VNP54" s="102"/>
      <c r="VNQ54" s="102"/>
      <c r="VNR54" s="102"/>
      <c r="VNS54" s="102"/>
      <c r="VNT54" s="102"/>
      <c r="VNU54" s="102"/>
      <c r="VNV54" s="102"/>
      <c r="VNW54" s="102"/>
      <c r="VNX54" s="102"/>
      <c r="VNY54" s="102"/>
      <c r="VNZ54" s="102"/>
      <c r="VOA54" s="102"/>
      <c r="VOB54" s="102"/>
      <c r="VOC54" s="102"/>
      <c r="VOD54" s="102"/>
      <c r="VOE54" s="102"/>
      <c r="VOF54" s="102"/>
      <c r="VOG54" s="102"/>
      <c r="VOH54" s="102"/>
      <c r="VOI54" s="102"/>
      <c r="VOJ54" s="102"/>
      <c r="VOK54" s="102"/>
      <c r="VOL54" s="102"/>
      <c r="VOM54" s="102"/>
      <c r="VON54" s="102"/>
      <c r="VOO54" s="102"/>
      <c r="VOP54" s="102"/>
      <c r="VOQ54" s="102"/>
      <c r="VOR54" s="102"/>
      <c r="VOS54" s="102"/>
      <c r="VOT54" s="102"/>
      <c r="VOU54" s="102"/>
      <c r="VOV54" s="102"/>
      <c r="VOW54" s="102"/>
      <c r="VOX54" s="102"/>
      <c r="VOY54" s="102"/>
      <c r="VOZ54" s="102"/>
      <c r="VPA54" s="102"/>
      <c r="VPB54" s="102"/>
      <c r="VPC54" s="102"/>
      <c r="VPD54" s="102"/>
      <c r="VPE54" s="102"/>
      <c r="VPF54" s="102"/>
      <c r="VPG54" s="102"/>
      <c r="VPH54" s="102"/>
      <c r="VPI54" s="102"/>
      <c r="VPJ54" s="102"/>
      <c r="VPK54" s="102"/>
      <c r="VPL54" s="102"/>
      <c r="VPM54" s="102"/>
      <c r="VPN54" s="102"/>
      <c r="VPO54" s="102"/>
      <c r="VPP54" s="102"/>
      <c r="VPQ54" s="102"/>
      <c r="VPR54" s="102"/>
      <c r="VPS54" s="102"/>
      <c r="VPT54" s="102"/>
      <c r="VPU54" s="102"/>
      <c r="VPV54" s="102"/>
      <c r="VPW54" s="102"/>
      <c r="VPX54" s="102"/>
      <c r="VPY54" s="102"/>
      <c r="VPZ54" s="102"/>
      <c r="VQA54" s="102"/>
      <c r="VQB54" s="102"/>
      <c r="VQC54" s="102"/>
      <c r="VQD54" s="102"/>
      <c r="VQE54" s="102"/>
      <c r="VQF54" s="102"/>
      <c r="VQG54" s="102"/>
      <c r="VQH54" s="102"/>
      <c r="VQI54" s="102"/>
      <c r="VQJ54" s="102"/>
      <c r="VQK54" s="102"/>
      <c r="VQL54" s="102"/>
      <c r="VQM54" s="102"/>
      <c r="VQN54" s="102"/>
      <c r="VQO54" s="102"/>
      <c r="VQP54" s="102"/>
      <c r="VQQ54" s="102"/>
      <c r="VQR54" s="102"/>
      <c r="VQS54" s="102"/>
      <c r="VQT54" s="102"/>
      <c r="VQU54" s="102"/>
      <c r="VQV54" s="102"/>
      <c r="VQW54" s="102"/>
      <c r="VQX54" s="102"/>
      <c r="VQY54" s="102"/>
      <c r="VQZ54" s="102"/>
      <c r="VRA54" s="102"/>
      <c r="VRB54" s="102"/>
      <c r="VRC54" s="102"/>
      <c r="VRD54" s="102"/>
      <c r="VRE54" s="102"/>
      <c r="VRF54" s="102"/>
      <c r="VRG54" s="102"/>
      <c r="VRH54" s="102"/>
      <c r="VRI54" s="102"/>
      <c r="VRJ54" s="102"/>
      <c r="VRK54" s="102"/>
      <c r="VRL54" s="102"/>
      <c r="VRM54" s="102"/>
      <c r="VRN54" s="102"/>
      <c r="VRO54" s="102"/>
      <c r="VRP54" s="102"/>
      <c r="VRQ54" s="102"/>
      <c r="VRR54" s="102"/>
      <c r="VRS54" s="102"/>
      <c r="VRT54" s="102"/>
      <c r="VRU54" s="102"/>
      <c r="VRV54" s="102"/>
      <c r="VRW54" s="102"/>
      <c r="VRX54" s="102"/>
      <c r="VRY54" s="102"/>
      <c r="VRZ54" s="102"/>
      <c r="VSA54" s="102"/>
      <c r="VSB54" s="102"/>
      <c r="VSC54" s="102"/>
      <c r="VSD54" s="102"/>
      <c r="VSE54" s="102"/>
      <c r="VSF54" s="102"/>
      <c r="VSG54" s="102"/>
      <c r="VSH54" s="102"/>
      <c r="VSI54" s="102"/>
      <c r="VSJ54" s="102"/>
      <c r="VSK54" s="102"/>
      <c r="VSL54" s="102"/>
      <c r="VSM54" s="102"/>
      <c r="VSN54" s="102"/>
      <c r="VSO54" s="102"/>
      <c r="VSP54" s="102"/>
      <c r="VSQ54" s="102"/>
      <c r="VSR54" s="102"/>
      <c r="VSS54" s="102"/>
      <c r="VST54" s="102"/>
      <c r="VSU54" s="102"/>
      <c r="VSV54" s="102"/>
      <c r="VSW54" s="102"/>
      <c r="VSX54" s="102"/>
      <c r="VSY54" s="102"/>
      <c r="VSZ54" s="102"/>
      <c r="VTA54" s="102"/>
      <c r="VTB54" s="102"/>
      <c r="VTC54" s="102"/>
      <c r="VTD54" s="102"/>
      <c r="VTE54" s="102"/>
      <c r="VTF54" s="102"/>
      <c r="VTG54" s="102"/>
      <c r="VTH54" s="102"/>
      <c r="VTI54" s="102"/>
      <c r="VTJ54" s="102"/>
      <c r="VTK54" s="102"/>
      <c r="VTL54" s="102"/>
      <c r="VTM54" s="102"/>
      <c r="VTN54" s="102"/>
      <c r="VTO54" s="102"/>
      <c r="VTP54" s="102"/>
      <c r="VTQ54" s="102"/>
      <c r="VTR54" s="102"/>
      <c r="VTS54" s="102"/>
      <c r="VTT54" s="102"/>
      <c r="VTU54" s="102"/>
      <c r="VTV54" s="102"/>
      <c r="VTW54" s="102"/>
      <c r="VTX54" s="102"/>
      <c r="VTY54" s="102"/>
      <c r="VTZ54" s="102"/>
      <c r="VUA54" s="102"/>
      <c r="VUB54" s="102"/>
      <c r="VUC54" s="102"/>
      <c r="VUD54" s="102"/>
      <c r="VUE54" s="102"/>
      <c r="VUF54" s="102"/>
      <c r="VUG54" s="102"/>
      <c r="VUH54" s="102"/>
      <c r="VUI54" s="102"/>
      <c r="VUJ54" s="102"/>
      <c r="VUK54" s="102"/>
      <c r="VUL54" s="102"/>
      <c r="VUM54" s="102"/>
      <c r="VUN54" s="102"/>
      <c r="VUO54" s="102"/>
      <c r="VUP54" s="102"/>
      <c r="VUQ54" s="102"/>
      <c r="VUR54" s="102"/>
      <c r="VUS54" s="102"/>
      <c r="VUT54" s="102"/>
      <c r="VUU54" s="102"/>
      <c r="VUV54" s="102"/>
      <c r="VUW54" s="102"/>
      <c r="VUX54" s="102"/>
      <c r="VUY54" s="102"/>
      <c r="VUZ54" s="102"/>
      <c r="VVA54" s="102"/>
      <c r="VVB54" s="102"/>
      <c r="VVC54" s="102"/>
      <c r="VVD54" s="102"/>
      <c r="VVE54" s="102"/>
      <c r="VVF54" s="102"/>
      <c r="VVG54" s="102"/>
      <c r="VVH54" s="102"/>
      <c r="VVI54" s="102"/>
      <c r="VVJ54" s="102"/>
      <c r="VVK54" s="102"/>
      <c r="VVL54" s="102"/>
      <c r="VVM54" s="102"/>
      <c r="VVN54" s="102"/>
      <c r="VVO54" s="102"/>
      <c r="VVP54" s="102"/>
      <c r="VVQ54" s="102"/>
      <c r="VVR54" s="102"/>
      <c r="VVS54" s="102"/>
      <c r="VVT54" s="102"/>
      <c r="VVU54" s="102"/>
      <c r="VVV54" s="102"/>
      <c r="VVW54" s="102"/>
      <c r="VVX54" s="102"/>
      <c r="VVY54" s="102"/>
      <c r="VVZ54" s="102"/>
      <c r="VWA54" s="102"/>
      <c r="VWB54" s="102"/>
      <c r="VWC54" s="102"/>
      <c r="VWD54" s="102"/>
      <c r="VWE54" s="102"/>
      <c r="VWF54" s="102"/>
      <c r="VWG54" s="102"/>
      <c r="VWH54" s="102"/>
      <c r="VWI54" s="102"/>
      <c r="VWJ54" s="102"/>
      <c r="VWK54" s="102"/>
      <c r="VWL54" s="102"/>
      <c r="VWM54" s="102"/>
      <c r="VWN54" s="102"/>
      <c r="VWO54" s="102"/>
      <c r="VWP54" s="102"/>
      <c r="VWQ54" s="102"/>
      <c r="VWR54" s="102"/>
      <c r="VWS54" s="102"/>
      <c r="VWT54" s="102"/>
      <c r="VWU54" s="102"/>
      <c r="VWV54" s="102"/>
      <c r="VWW54" s="102"/>
      <c r="VWX54" s="102"/>
      <c r="VWY54" s="102"/>
      <c r="VWZ54" s="102"/>
      <c r="VXA54" s="102"/>
      <c r="VXB54" s="102"/>
      <c r="VXC54" s="102"/>
      <c r="VXD54" s="102"/>
      <c r="VXE54" s="102"/>
      <c r="VXF54" s="102"/>
      <c r="VXG54" s="102"/>
      <c r="VXH54" s="102"/>
      <c r="VXI54" s="102"/>
      <c r="VXJ54" s="102"/>
      <c r="VXK54" s="102"/>
      <c r="VXL54" s="102"/>
      <c r="VXM54" s="102"/>
      <c r="VXN54" s="102"/>
      <c r="VXO54" s="102"/>
      <c r="VXP54" s="102"/>
      <c r="VXQ54" s="102"/>
      <c r="VXR54" s="102"/>
      <c r="VXS54" s="102"/>
      <c r="VXT54" s="102"/>
      <c r="VXU54" s="102"/>
      <c r="VXV54" s="102"/>
      <c r="VXW54" s="102"/>
      <c r="VXX54" s="102"/>
      <c r="VXY54" s="102"/>
      <c r="VXZ54" s="102"/>
      <c r="VYA54" s="102"/>
      <c r="VYB54" s="102"/>
      <c r="VYC54" s="102"/>
      <c r="VYD54" s="102"/>
      <c r="VYE54" s="102"/>
      <c r="VYF54" s="102"/>
      <c r="VYG54" s="102"/>
      <c r="VYH54" s="102"/>
      <c r="VYI54" s="102"/>
      <c r="VYJ54" s="102"/>
      <c r="VYK54" s="102"/>
      <c r="VYL54" s="102"/>
      <c r="VYM54" s="102"/>
      <c r="VYN54" s="102"/>
      <c r="VYO54" s="102"/>
      <c r="VYP54" s="102"/>
      <c r="VYQ54" s="102"/>
      <c r="VYR54" s="102"/>
      <c r="VYS54" s="102"/>
      <c r="VYT54" s="102"/>
      <c r="VYU54" s="102"/>
      <c r="VYV54" s="102"/>
      <c r="VYW54" s="102"/>
      <c r="VYX54" s="102"/>
      <c r="VYY54" s="102"/>
      <c r="VYZ54" s="102"/>
      <c r="VZA54" s="102"/>
      <c r="VZB54" s="102"/>
      <c r="VZC54" s="102"/>
      <c r="VZD54" s="102"/>
      <c r="VZE54" s="102"/>
      <c r="VZF54" s="102"/>
      <c r="VZG54" s="102"/>
      <c r="VZH54" s="102"/>
      <c r="VZI54" s="102"/>
      <c r="VZJ54" s="102"/>
      <c r="VZK54" s="102"/>
      <c r="VZL54" s="102"/>
      <c r="VZM54" s="102"/>
      <c r="VZN54" s="102"/>
      <c r="VZO54" s="102"/>
      <c r="VZP54" s="102"/>
      <c r="VZQ54" s="102"/>
      <c r="VZR54" s="102"/>
      <c r="VZS54" s="102"/>
      <c r="VZT54" s="102"/>
      <c r="VZU54" s="102"/>
      <c r="VZV54" s="102"/>
      <c r="VZW54" s="102"/>
      <c r="VZX54" s="102"/>
      <c r="VZY54" s="102"/>
      <c r="VZZ54" s="102"/>
      <c r="WAA54" s="102"/>
      <c r="WAB54" s="102"/>
      <c r="WAC54" s="102"/>
      <c r="WAD54" s="102"/>
      <c r="WAE54" s="102"/>
      <c r="WAF54" s="102"/>
      <c r="WAG54" s="102"/>
      <c r="WAH54" s="102"/>
      <c r="WAI54" s="102"/>
      <c r="WAJ54" s="102"/>
      <c r="WAK54" s="102"/>
      <c r="WAL54" s="102"/>
      <c r="WAM54" s="102"/>
      <c r="WAN54" s="102"/>
      <c r="WAO54" s="102"/>
      <c r="WAP54" s="102"/>
      <c r="WAQ54" s="102"/>
      <c r="WAR54" s="102"/>
      <c r="WAS54" s="102"/>
      <c r="WAT54" s="102"/>
      <c r="WAU54" s="102"/>
      <c r="WAV54" s="102"/>
      <c r="WAW54" s="102"/>
      <c r="WAX54" s="102"/>
      <c r="WAY54" s="102"/>
      <c r="WAZ54" s="102"/>
      <c r="WBA54" s="102"/>
      <c r="WBB54" s="102"/>
      <c r="WBC54" s="102"/>
      <c r="WBD54" s="102"/>
      <c r="WBE54" s="102"/>
      <c r="WBF54" s="102"/>
      <c r="WBG54" s="102"/>
      <c r="WBH54" s="102"/>
      <c r="WBI54" s="102"/>
      <c r="WBJ54" s="102"/>
      <c r="WBK54" s="102"/>
      <c r="WBL54" s="102"/>
      <c r="WBM54" s="102"/>
      <c r="WBN54" s="102"/>
      <c r="WBO54" s="102"/>
      <c r="WBP54" s="102"/>
      <c r="WBQ54" s="102"/>
      <c r="WBR54" s="102"/>
      <c r="WBS54" s="102"/>
      <c r="WBT54" s="102"/>
      <c r="WBU54" s="102"/>
      <c r="WBV54" s="102"/>
      <c r="WBW54" s="102"/>
      <c r="WBX54" s="102"/>
      <c r="WBY54" s="102"/>
      <c r="WBZ54" s="102"/>
      <c r="WCA54" s="102"/>
      <c r="WCB54" s="102"/>
      <c r="WCC54" s="102"/>
      <c r="WCD54" s="102"/>
      <c r="WCE54" s="102"/>
      <c r="WCF54" s="102"/>
      <c r="WCG54" s="102"/>
      <c r="WCH54" s="102"/>
      <c r="WCI54" s="102"/>
      <c r="WCJ54" s="102"/>
      <c r="WCK54" s="102"/>
      <c r="WCL54" s="102"/>
      <c r="WCM54" s="102"/>
      <c r="WCN54" s="102"/>
      <c r="WCO54" s="102"/>
      <c r="WCP54" s="102"/>
      <c r="WCQ54" s="102"/>
      <c r="WCR54" s="102"/>
      <c r="WCS54" s="102"/>
      <c r="WCT54" s="102"/>
      <c r="WCU54" s="102"/>
      <c r="WCV54" s="102"/>
      <c r="WCW54" s="102"/>
      <c r="WCX54" s="102"/>
      <c r="WCY54" s="102"/>
      <c r="WCZ54" s="102"/>
      <c r="WDA54" s="102"/>
      <c r="WDB54" s="102"/>
      <c r="WDC54" s="102"/>
      <c r="WDD54" s="102"/>
      <c r="WDE54" s="102"/>
      <c r="WDF54" s="102"/>
      <c r="WDG54" s="102"/>
      <c r="WDH54" s="102"/>
      <c r="WDI54" s="102"/>
      <c r="WDJ54" s="102"/>
      <c r="WDK54" s="102"/>
      <c r="WDL54" s="102"/>
      <c r="WDM54" s="102"/>
      <c r="WDN54" s="102"/>
      <c r="WDO54" s="102"/>
      <c r="WDP54" s="102"/>
      <c r="WDQ54" s="102"/>
      <c r="WDR54" s="102"/>
      <c r="WDS54" s="102"/>
      <c r="WDT54" s="102"/>
      <c r="WDU54" s="102"/>
      <c r="WDV54" s="102"/>
      <c r="WDW54" s="102"/>
      <c r="WDX54" s="102"/>
      <c r="WDY54" s="102"/>
      <c r="WDZ54" s="102"/>
      <c r="WEA54" s="102"/>
      <c r="WEB54" s="102"/>
      <c r="WEC54" s="102"/>
      <c r="WED54" s="102"/>
      <c r="WEE54" s="102"/>
      <c r="WEF54" s="102"/>
      <c r="WEG54" s="102"/>
      <c r="WEH54" s="102"/>
      <c r="WEI54" s="102"/>
      <c r="WEJ54" s="102"/>
      <c r="WEK54" s="102"/>
      <c r="WEL54" s="102"/>
      <c r="WEM54" s="102"/>
      <c r="WEN54" s="102"/>
      <c r="WEO54" s="102"/>
      <c r="WEP54" s="102"/>
      <c r="WEQ54" s="102"/>
      <c r="WER54" s="102"/>
      <c r="WES54" s="102"/>
      <c r="WET54" s="102"/>
      <c r="WEU54" s="102"/>
      <c r="WEV54" s="102"/>
      <c r="WEW54" s="102"/>
      <c r="WEX54" s="102"/>
      <c r="WEY54" s="102"/>
      <c r="WEZ54" s="102"/>
      <c r="WFA54" s="102"/>
      <c r="WFB54" s="102"/>
      <c r="WFC54" s="102"/>
      <c r="WFD54" s="102"/>
      <c r="WFE54" s="102"/>
      <c r="WFF54" s="102"/>
      <c r="WFG54" s="102"/>
      <c r="WFH54" s="102"/>
      <c r="WFI54" s="102"/>
      <c r="WFJ54" s="102"/>
      <c r="WFK54" s="102"/>
      <c r="WFL54" s="102"/>
      <c r="WFM54" s="102"/>
      <c r="WFN54" s="102"/>
      <c r="WFO54" s="102"/>
      <c r="WFP54" s="102"/>
      <c r="WFQ54" s="102"/>
      <c r="WFR54" s="102"/>
      <c r="WFS54" s="102"/>
      <c r="WFT54" s="102"/>
      <c r="WFU54" s="102"/>
      <c r="WFV54" s="102"/>
      <c r="WFW54" s="102"/>
      <c r="WFX54" s="102"/>
      <c r="WFY54" s="102"/>
      <c r="WFZ54" s="102"/>
      <c r="WGA54" s="102"/>
      <c r="WGB54" s="102"/>
      <c r="WGC54" s="102"/>
      <c r="WGD54" s="102"/>
      <c r="WGE54" s="102"/>
      <c r="WGF54" s="102"/>
      <c r="WGG54" s="102"/>
      <c r="WGH54" s="102"/>
      <c r="WGI54" s="102"/>
      <c r="WGJ54" s="102"/>
      <c r="WGK54" s="102"/>
      <c r="WGL54" s="102"/>
      <c r="WGM54" s="102"/>
      <c r="WGN54" s="102"/>
      <c r="WGO54" s="102"/>
      <c r="WGP54" s="102"/>
      <c r="WGQ54" s="102"/>
      <c r="WGR54" s="102"/>
      <c r="WGS54" s="102"/>
      <c r="WGT54" s="102"/>
      <c r="WGU54" s="102"/>
      <c r="WGV54" s="102"/>
      <c r="WGW54" s="102"/>
      <c r="WGX54" s="102"/>
      <c r="WGY54" s="102"/>
      <c r="WGZ54" s="102"/>
      <c r="WHA54" s="102"/>
      <c r="WHB54" s="102"/>
      <c r="WHC54" s="102"/>
      <c r="WHD54" s="102"/>
      <c r="WHE54" s="102"/>
      <c r="WHF54" s="102"/>
      <c r="WHG54" s="102"/>
      <c r="WHH54" s="102"/>
      <c r="WHI54" s="102"/>
      <c r="WHJ54" s="102"/>
      <c r="WHK54" s="102"/>
      <c r="WHL54" s="102"/>
      <c r="WHM54" s="102"/>
      <c r="WHN54" s="102"/>
      <c r="WHO54" s="102"/>
      <c r="WHP54" s="102"/>
      <c r="WHQ54" s="102"/>
      <c r="WHR54" s="102"/>
      <c r="WHS54" s="102"/>
      <c r="WHT54" s="102"/>
      <c r="WHU54" s="102"/>
      <c r="WHV54" s="102"/>
      <c r="WHW54" s="102"/>
      <c r="WHX54" s="102"/>
      <c r="WHY54" s="102"/>
      <c r="WHZ54" s="102"/>
      <c r="WIA54" s="102"/>
      <c r="WIB54" s="102"/>
      <c r="WIC54" s="102"/>
      <c r="WID54" s="102"/>
      <c r="WIE54" s="102"/>
      <c r="WIF54" s="102"/>
      <c r="WIG54" s="102"/>
      <c r="WIH54" s="102"/>
      <c r="WII54" s="102"/>
      <c r="WIJ54" s="102"/>
      <c r="WIK54" s="102"/>
      <c r="WIL54" s="102"/>
      <c r="WIM54" s="102"/>
      <c r="WIN54" s="102"/>
      <c r="WIO54" s="102"/>
      <c r="WIP54" s="102"/>
      <c r="WIQ54" s="102"/>
      <c r="WIR54" s="102"/>
      <c r="WIS54" s="102"/>
      <c r="WIT54" s="102"/>
      <c r="WIU54" s="102"/>
      <c r="WIV54" s="102"/>
      <c r="WIW54" s="102"/>
      <c r="WIX54" s="102"/>
      <c r="WIY54" s="102"/>
      <c r="WIZ54" s="102"/>
      <c r="WJA54" s="102"/>
      <c r="WJB54" s="102"/>
      <c r="WJC54" s="102"/>
      <c r="WJD54" s="102"/>
      <c r="WJE54" s="102"/>
      <c r="WJF54" s="102"/>
      <c r="WJG54" s="102"/>
      <c r="WJH54" s="102"/>
      <c r="WJI54" s="102"/>
      <c r="WJJ54" s="102"/>
      <c r="WJK54" s="102"/>
      <c r="WJL54" s="102"/>
      <c r="WJM54" s="102"/>
      <c r="WJN54" s="102"/>
      <c r="WJO54" s="102"/>
      <c r="WJP54" s="102"/>
      <c r="WJQ54" s="102"/>
      <c r="WJR54" s="102"/>
      <c r="WJS54" s="102"/>
      <c r="WJT54" s="102"/>
      <c r="WJU54" s="102"/>
      <c r="WJV54" s="102"/>
      <c r="WJW54" s="102"/>
      <c r="WJX54" s="102"/>
      <c r="WJY54" s="102"/>
      <c r="WJZ54" s="102"/>
      <c r="WKA54" s="102"/>
      <c r="WKB54" s="102"/>
      <c r="WKC54" s="102"/>
      <c r="WKD54" s="102"/>
      <c r="WKE54" s="102"/>
      <c r="WKF54" s="102"/>
      <c r="WKG54" s="102"/>
      <c r="WKH54" s="102"/>
      <c r="WKI54" s="102"/>
      <c r="WKJ54" s="102"/>
      <c r="WKK54" s="102"/>
      <c r="WKL54" s="102"/>
      <c r="WKM54" s="102"/>
      <c r="WKN54" s="102"/>
      <c r="WKO54" s="102"/>
      <c r="WKP54" s="102"/>
      <c r="WKQ54" s="102"/>
      <c r="WKR54" s="102"/>
      <c r="WKS54" s="102"/>
      <c r="WKT54" s="102"/>
      <c r="WKU54" s="102"/>
      <c r="WKV54" s="102"/>
      <c r="WKW54" s="102"/>
      <c r="WKX54" s="102"/>
      <c r="WKY54" s="102"/>
      <c r="WKZ54" s="102"/>
      <c r="WLA54" s="102"/>
      <c r="WLB54" s="102"/>
      <c r="WLC54" s="102"/>
      <c r="WLD54" s="102"/>
      <c r="WLE54" s="102"/>
      <c r="WLF54" s="102"/>
      <c r="WLG54" s="102"/>
      <c r="WLH54" s="102"/>
      <c r="WLI54" s="102"/>
      <c r="WLJ54" s="102"/>
      <c r="WLK54" s="102"/>
      <c r="WLL54" s="102"/>
      <c r="WLM54" s="102"/>
      <c r="WLN54" s="102"/>
      <c r="WLO54" s="102"/>
      <c r="WLP54" s="102"/>
      <c r="WLQ54" s="102"/>
      <c r="WLR54" s="102"/>
      <c r="WLS54" s="102"/>
      <c r="WLT54" s="102"/>
      <c r="WLU54" s="102"/>
      <c r="WLV54" s="102"/>
      <c r="WLW54" s="102"/>
      <c r="WLX54" s="102"/>
      <c r="WLY54" s="102"/>
      <c r="WLZ54" s="102"/>
      <c r="WMA54" s="102"/>
      <c r="WMB54" s="102"/>
      <c r="WMC54" s="102"/>
      <c r="WMD54" s="102"/>
      <c r="WME54" s="102"/>
      <c r="WMF54" s="102"/>
      <c r="WMG54" s="102"/>
      <c r="WMH54" s="102"/>
      <c r="WMI54" s="102"/>
      <c r="WMJ54" s="102"/>
      <c r="WMK54" s="102"/>
      <c r="WML54" s="102"/>
      <c r="WMM54" s="102"/>
      <c r="WMN54" s="102"/>
      <c r="WMO54" s="102"/>
      <c r="WMP54" s="102"/>
      <c r="WMQ54" s="102"/>
      <c r="WMR54" s="102"/>
      <c r="WMS54" s="102"/>
      <c r="WMT54" s="102"/>
      <c r="WMU54" s="102"/>
      <c r="WMV54" s="102"/>
      <c r="WMW54" s="102"/>
      <c r="WMX54" s="102"/>
      <c r="WMY54" s="102"/>
      <c r="WMZ54" s="102"/>
      <c r="WNA54" s="102"/>
      <c r="WNB54" s="102"/>
      <c r="WNC54" s="102"/>
      <c r="WND54" s="102"/>
      <c r="WNE54" s="102"/>
      <c r="WNF54" s="102"/>
      <c r="WNG54" s="102"/>
      <c r="WNH54" s="102"/>
      <c r="WNI54" s="102"/>
      <c r="WNJ54" s="102"/>
      <c r="WNK54" s="102"/>
      <c r="WNL54" s="102"/>
      <c r="WNM54" s="102"/>
      <c r="WNN54" s="102"/>
      <c r="WNO54" s="102"/>
      <c r="WNP54" s="102"/>
      <c r="WNQ54" s="102"/>
      <c r="WNR54" s="102"/>
      <c r="WNS54" s="102"/>
      <c r="WNT54" s="102"/>
      <c r="WNU54" s="102"/>
      <c r="WNV54" s="102"/>
      <c r="WNW54" s="102"/>
      <c r="WNX54" s="102"/>
      <c r="WNY54" s="102"/>
      <c r="WNZ54" s="102"/>
      <c r="WOA54" s="102"/>
      <c r="WOB54" s="102"/>
      <c r="WOC54" s="102"/>
      <c r="WOD54" s="102"/>
      <c r="WOE54" s="102"/>
      <c r="WOF54" s="102"/>
      <c r="WOG54" s="102"/>
      <c r="WOH54" s="102"/>
      <c r="WOI54" s="102"/>
      <c r="WOJ54" s="102"/>
      <c r="WOK54" s="102"/>
      <c r="WOL54" s="102"/>
      <c r="WOM54" s="102"/>
      <c r="WON54" s="102"/>
      <c r="WOO54" s="102"/>
      <c r="WOP54" s="102"/>
      <c r="WOQ54" s="102"/>
      <c r="WOR54" s="102"/>
      <c r="WOS54" s="102"/>
      <c r="WOT54" s="102"/>
      <c r="WOU54" s="102"/>
      <c r="WOV54" s="102"/>
      <c r="WOW54" s="102"/>
      <c r="WOX54" s="102"/>
      <c r="WOY54" s="102"/>
      <c r="WOZ54" s="102"/>
      <c r="WPA54" s="102"/>
      <c r="WPB54" s="102"/>
      <c r="WPC54" s="102"/>
      <c r="WPD54" s="102"/>
      <c r="WPE54" s="102"/>
      <c r="WPF54" s="102"/>
      <c r="WPG54" s="102"/>
      <c r="WPH54" s="102"/>
      <c r="WPI54" s="102"/>
      <c r="WPJ54" s="102"/>
      <c r="WPK54" s="102"/>
      <c r="WPL54" s="102"/>
      <c r="WPM54" s="102"/>
      <c r="WPN54" s="102"/>
      <c r="WPO54" s="102"/>
      <c r="WPP54" s="102"/>
      <c r="WPQ54" s="102"/>
      <c r="WPR54" s="102"/>
      <c r="WPS54" s="102"/>
      <c r="WPT54" s="102"/>
      <c r="WPU54" s="102"/>
      <c r="WPV54" s="102"/>
      <c r="WPW54" s="102"/>
      <c r="WPX54" s="102"/>
      <c r="WPY54" s="102"/>
      <c r="WPZ54" s="102"/>
      <c r="WQA54" s="102"/>
      <c r="WQB54" s="102"/>
      <c r="WQC54" s="102"/>
      <c r="WQD54" s="102"/>
      <c r="WQE54" s="102"/>
      <c r="WQF54" s="102"/>
      <c r="WQG54" s="102"/>
      <c r="WQH54" s="102"/>
      <c r="WQI54" s="102"/>
      <c r="WQJ54" s="102"/>
      <c r="WQK54" s="102"/>
      <c r="WQL54" s="102"/>
      <c r="WQM54" s="102"/>
      <c r="WQN54" s="102"/>
      <c r="WQO54" s="102"/>
      <c r="WQP54" s="102"/>
      <c r="WQQ54" s="102"/>
      <c r="WQR54" s="102"/>
      <c r="WQS54" s="102"/>
      <c r="WQT54" s="102"/>
      <c r="WQU54" s="102"/>
      <c r="WQV54" s="102"/>
      <c r="WQW54" s="102"/>
      <c r="WQX54" s="102"/>
      <c r="WQY54" s="102"/>
      <c r="WQZ54" s="102"/>
      <c r="WRA54" s="102"/>
      <c r="WRB54" s="102"/>
      <c r="WRC54" s="102"/>
      <c r="WRD54" s="102"/>
      <c r="WRE54" s="102"/>
      <c r="WRF54" s="102"/>
      <c r="WRG54" s="102"/>
      <c r="WRH54" s="102"/>
      <c r="WRI54" s="102"/>
      <c r="WRJ54" s="102"/>
      <c r="WRK54" s="102"/>
      <c r="WRL54" s="102"/>
      <c r="WRM54" s="102"/>
      <c r="WRN54" s="102"/>
      <c r="WRO54" s="102"/>
      <c r="WRP54" s="102"/>
      <c r="WRQ54" s="102"/>
      <c r="WRR54" s="102"/>
      <c r="WRS54" s="102"/>
      <c r="WRT54" s="102"/>
      <c r="WRU54" s="102"/>
      <c r="WRV54" s="102"/>
      <c r="WRW54" s="102"/>
      <c r="WRX54" s="102"/>
      <c r="WRY54" s="102"/>
      <c r="WRZ54" s="102"/>
      <c r="WSA54" s="102"/>
      <c r="WSB54" s="102"/>
      <c r="WSC54" s="102"/>
      <c r="WSD54" s="102"/>
      <c r="WSE54" s="102"/>
      <c r="WSF54" s="102"/>
      <c r="WSG54" s="102"/>
      <c r="WSH54" s="102"/>
      <c r="WSI54" s="102"/>
      <c r="WSJ54" s="102"/>
      <c r="WSK54" s="102"/>
      <c r="WSL54" s="102"/>
      <c r="WSM54" s="102"/>
      <c r="WSN54" s="102"/>
      <c r="WSO54" s="102"/>
      <c r="WSP54" s="102"/>
      <c r="WSQ54" s="102"/>
      <c r="WSR54" s="102"/>
      <c r="WSS54" s="102"/>
      <c r="WST54" s="102"/>
      <c r="WSU54" s="102"/>
      <c r="WSV54" s="102"/>
      <c r="WSW54" s="102"/>
      <c r="WSX54" s="102"/>
      <c r="WSY54" s="102"/>
      <c r="WSZ54" s="102"/>
      <c r="WTA54" s="102"/>
      <c r="WTB54" s="102"/>
      <c r="WTC54" s="102"/>
      <c r="WTD54" s="102"/>
      <c r="WTE54" s="102"/>
      <c r="WTF54" s="102"/>
      <c r="WTG54" s="102"/>
      <c r="WTH54" s="102"/>
      <c r="WTI54" s="102"/>
      <c r="WTJ54" s="102"/>
      <c r="WTK54" s="102"/>
      <c r="WTL54" s="102"/>
      <c r="WTM54" s="102"/>
      <c r="WTN54" s="102"/>
      <c r="WTO54" s="102"/>
      <c r="WTP54" s="102"/>
      <c r="WTQ54" s="102"/>
      <c r="WTR54" s="102"/>
      <c r="WTS54" s="102"/>
      <c r="WTT54" s="102"/>
      <c r="WTU54" s="102"/>
      <c r="WTV54" s="102"/>
      <c r="WTW54" s="102"/>
      <c r="WTX54" s="102"/>
      <c r="WTY54" s="102"/>
      <c r="WTZ54" s="102"/>
      <c r="WUA54" s="102"/>
      <c r="WUB54" s="102"/>
      <c r="WUC54" s="102"/>
      <c r="WUD54" s="102"/>
      <c r="WUE54" s="102"/>
      <c r="WUF54" s="102"/>
      <c r="WUG54" s="102"/>
      <c r="WUH54" s="102"/>
      <c r="WUI54" s="102"/>
      <c r="WUJ54" s="102"/>
      <c r="WUK54" s="102"/>
      <c r="WUL54" s="102"/>
      <c r="WUM54" s="102"/>
      <c r="WUN54" s="102"/>
      <c r="WUO54" s="102"/>
      <c r="WUP54" s="102"/>
      <c r="WUQ54" s="102"/>
      <c r="WUR54" s="102"/>
      <c r="WUS54" s="102"/>
      <c r="WUT54" s="102"/>
      <c r="WUU54" s="102"/>
      <c r="WUV54" s="102"/>
      <c r="WUW54" s="102"/>
      <c r="WUX54" s="102"/>
      <c r="WUY54" s="102"/>
      <c r="WUZ54" s="102"/>
      <c r="WVA54" s="102"/>
      <c r="WVB54" s="102"/>
      <c r="WVC54" s="102"/>
      <c r="WVD54" s="102"/>
      <c r="WVE54" s="102"/>
      <c r="WVF54" s="102"/>
      <c r="WVG54" s="102"/>
      <c r="WVH54" s="102"/>
      <c r="WVI54" s="102"/>
      <c r="WVJ54" s="102"/>
      <c r="WVK54" s="102"/>
      <c r="WVL54" s="102"/>
      <c r="WVM54" s="102"/>
      <c r="WVN54" s="102"/>
      <c r="WVO54" s="102"/>
      <c r="WVP54" s="102"/>
      <c r="WVQ54" s="102"/>
      <c r="WVR54" s="102"/>
      <c r="WVS54" s="102"/>
      <c r="WVT54" s="102"/>
      <c r="WVU54" s="102"/>
      <c r="WVV54" s="102"/>
      <c r="WVW54" s="102"/>
      <c r="WVX54" s="102"/>
      <c r="WVY54" s="102"/>
      <c r="WVZ54" s="102"/>
      <c r="WWA54" s="102"/>
      <c r="WWB54" s="102"/>
      <c r="WWC54" s="102"/>
      <c r="WWD54" s="102"/>
      <c r="WWE54" s="102"/>
      <c r="WWF54" s="102"/>
      <c r="WWG54" s="102"/>
      <c r="WWH54" s="102"/>
      <c r="WWI54" s="102"/>
      <c r="WWJ54" s="102"/>
      <c r="WWK54" s="102"/>
      <c r="WWL54" s="102"/>
      <c r="WWM54" s="102"/>
      <c r="WWN54" s="102"/>
      <c r="WWO54" s="102"/>
      <c r="WWP54" s="102"/>
      <c r="WWQ54" s="102"/>
      <c r="WWR54" s="102"/>
      <c r="WWS54" s="102"/>
      <c r="WWT54" s="102"/>
      <c r="WWU54" s="102"/>
      <c r="WWV54" s="102"/>
      <c r="WWW54" s="102"/>
      <c r="WWX54" s="102"/>
      <c r="WWY54" s="102"/>
      <c r="WWZ54" s="102"/>
      <c r="WXA54" s="102"/>
      <c r="WXB54" s="102"/>
      <c r="WXC54" s="102"/>
      <c r="WXD54" s="102"/>
      <c r="WXE54" s="102"/>
      <c r="WXF54" s="102"/>
      <c r="WXG54" s="102"/>
      <c r="WXH54" s="102"/>
      <c r="WXI54" s="102"/>
      <c r="WXJ54" s="102"/>
      <c r="WXK54" s="102"/>
      <c r="WXL54" s="102"/>
      <c r="WXM54" s="102"/>
      <c r="WXN54" s="102"/>
      <c r="WXO54" s="102"/>
      <c r="WXP54" s="102"/>
      <c r="WXQ54" s="102"/>
      <c r="WXR54" s="102"/>
      <c r="WXS54" s="102"/>
      <c r="WXT54" s="102"/>
      <c r="WXU54" s="102"/>
      <c r="WXV54" s="102"/>
      <c r="WXW54" s="102"/>
      <c r="WXX54" s="102"/>
      <c r="WXY54" s="102"/>
      <c r="WXZ54" s="102"/>
      <c r="WYA54" s="102"/>
      <c r="WYB54" s="102"/>
      <c r="WYC54" s="102"/>
      <c r="WYD54" s="102"/>
      <c r="WYE54" s="102"/>
      <c r="WYF54" s="102"/>
      <c r="WYG54" s="102"/>
      <c r="WYH54" s="102"/>
      <c r="WYI54" s="102"/>
      <c r="WYJ54" s="102"/>
      <c r="WYK54" s="102"/>
      <c r="WYL54" s="102"/>
      <c r="WYM54" s="102"/>
      <c r="WYN54" s="102"/>
      <c r="WYO54" s="102"/>
      <c r="WYP54" s="102"/>
      <c r="WYQ54" s="102"/>
      <c r="WYR54" s="102"/>
      <c r="WYS54" s="102"/>
      <c r="WYT54" s="102"/>
      <c r="WYU54" s="102"/>
      <c r="WYV54" s="102"/>
      <c r="WYW54" s="102"/>
      <c r="WYX54" s="102"/>
      <c r="WYY54" s="102"/>
      <c r="WYZ54" s="102"/>
      <c r="WZA54" s="102"/>
      <c r="WZB54" s="102"/>
      <c r="WZC54" s="102"/>
      <c r="WZD54" s="102"/>
      <c r="WZE54" s="102"/>
      <c r="WZF54" s="102"/>
      <c r="WZG54" s="102"/>
      <c r="WZH54" s="102"/>
      <c r="WZI54" s="102"/>
      <c r="WZJ54" s="102"/>
      <c r="WZK54" s="102"/>
      <c r="WZL54" s="102"/>
      <c r="WZM54" s="102"/>
      <c r="WZN54" s="102"/>
      <c r="WZO54" s="102"/>
      <c r="WZP54" s="102"/>
      <c r="WZQ54" s="102"/>
      <c r="WZR54" s="102"/>
      <c r="WZS54" s="102"/>
      <c r="WZT54" s="102"/>
      <c r="WZU54" s="102"/>
      <c r="WZV54" s="102"/>
      <c r="WZW54" s="102"/>
      <c r="WZX54" s="102"/>
      <c r="WZY54" s="102"/>
      <c r="WZZ54" s="102"/>
      <c r="XAA54" s="102"/>
      <c r="XAB54" s="102"/>
      <c r="XAC54" s="102"/>
      <c r="XAD54" s="102"/>
      <c r="XAE54" s="102"/>
      <c r="XAF54" s="102"/>
      <c r="XAG54" s="102"/>
      <c r="XAH54" s="102"/>
      <c r="XAI54" s="102"/>
      <c r="XAJ54" s="102"/>
      <c r="XAK54" s="102"/>
      <c r="XAL54" s="102"/>
      <c r="XAM54" s="102"/>
      <c r="XAN54" s="102"/>
      <c r="XAO54" s="102"/>
      <c r="XAP54" s="102"/>
      <c r="XAQ54" s="102"/>
      <c r="XAR54" s="102"/>
      <c r="XAS54" s="102"/>
      <c r="XAT54" s="102"/>
      <c r="XAU54" s="102"/>
      <c r="XAV54" s="102"/>
      <c r="XAW54" s="102"/>
      <c r="XAX54" s="102"/>
      <c r="XAY54" s="102"/>
      <c r="XAZ54" s="102"/>
      <c r="XBA54" s="102"/>
      <c r="XBB54" s="102"/>
      <c r="XBC54" s="102"/>
      <c r="XBD54" s="102"/>
      <c r="XBE54" s="102"/>
      <c r="XBF54" s="102"/>
      <c r="XBG54" s="102"/>
      <c r="XBH54" s="102"/>
      <c r="XBI54" s="102"/>
      <c r="XBJ54" s="102"/>
      <c r="XBK54" s="102"/>
      <c r="XBL54" s="102"/>
      <c r="XBM54" s="102"/>
      <c r="XBN54" s="102"/>
      <c r="XBO54" s="102"/>
      <c r="XBP54" s="102"/>
      <c r="XBQ54" s="102"/>
      <c r="XBR54" s="102"/>
      <c r="XBS54" s="102"/>
      <c r="XBT54" s="102"/>
      <c r="XBU54" s="102"/>
      <c r="XBV54" s="102"/>
      <c r="XBW54" s="102"/>
      <c r="XBX54" s="102"/>
      <c r="XBY54" s="102"/>
      <c r="XBZ54" s="102"/>
      <c r="XCA54" s="102"/>
      <c r="XCB54" s="102"/>
      <c r="XCC54" s="102"/>
      <c r="XCD54" s="102"/>
      <c r="XCE54" s="102"/>
      <c r="XCF54" s="102"/>
      <c r="XCG54" s="102"/>
      <c r="XCH54" s="102"/>
      <c r="XCI54" s="102"/>
      <c r="XCJ54" s="102"/>
      <c r="XCK54" s="102"/>
      <c r="XCL54" s="102"/>
      <c r="XCM54" s="102"/>
      <c r="XCN54" s="102"/>
      <c r="XCO54" s="102"/>
      <c r="XCP54" s="102"/>
      <c r="XCQ54" s="102"/>
      <c r="XCR54" s="102"/>
      <c r="XCS54" s="102"/>
      <c r="XCT54" s="102"/>
      <c r="XCU54" s="102"/>
      <c r="XCV54" s="102"/>
      <c r="XCW54" s="102"/>
      <c r="XCX54" s="102"/>
      <c r="XCY54" s="102"/>
      <c r="XCZ54" s="102"/>
    </row>
    <row r="55" spans="1:16328" ht="13.5" thickBot="1">
      <c r="A55" s="139"/>
      <c r="B55" s="140">
        <f>B27-B54</f>
        <v>0</v>
      </c>
      <c r="C55" s="140">
        <f>C27-C54</f>
        <v>0</v>
      </c>
      <c r="D55" s="140">
        <f>D27-D54</f>
        <v>-0.41066000005230308</v>
      </c>
      <c r="E55" s="140">
        <f>E27-E54</f>
        <v>0</v>
      </c>
      <c r="F55" s="139"/>
      <c r="G55" s="1315"/>
    </row>
    <row r="56" spans="1:16328" ht="13.5" thickBot="1">
      <c r="A56" s="1584" t="s">
        <v>632</v>
      </c>
      <c r="B56" s="1585"/>
      <c r="C56" s="1245">
        <f>[27]USD!$I$3</f>
        <v>128.57241379310344</v>
      </c>
      <c r="D56" s="1246"/>
      <c r="E56" s="1245">
        <f>[4]E_BCDC!$C$56</f>
        <v>114.24</v>
      </c>
      <c r="F56" s="141"/>
      <c r="G56" s="1316"/>
    </row>
    <row r="57" spans="1:16328">
      <c r="A57" s="142" t="s">
        <v>48</v>
      </c>
      <c r="B57" s="1200">
        <f>B2</f>
        <v>45046</v>
      </c>
      <c r="C57" s="1200">
        <f>C2</f>
        <v>45046</v>
      </c>
      <c r="D57" s="1200">
        <f>D2</f>
        <v>44681</v>
      </c>
      <c r="E57" s="1200">
        <f>E2</f>
        <v>44681</v>
      </c>
      <c r="F57" s="1586" t="s">
        <v>85</v>
      </c>
      <c r="G57" s="1588" t="s">
        <v>86</v>
      </c>
    </row>
    <row r="58" spans="1:16328" ht="27" customHeight="1" thickBot="1">
      <c r="A58" s="606"/>
      <c r="B58" s="112" t="s">
        <v>110</v>
      </c>
      <c r="C58" s="112" t="s">
        <v>97</v>
      </c>
      <c r="D58" s="112" t="s">
        <v>110</v>
      </c>
      <c r="E58" s="112" t="s">
        <v>97</v>
      </c>
      <c r="F58" s="1587"/>
      <c r="G58" s="1589"/>
    </row>
    <row r="59" spans="1:16328">
      <c r="A59" s="603" t="s">
        <v>49</v>
      </c>
      <c r="B59" s="604"/>
      <c r="C59" s="605"/>
      <c r="D59" s="604"/>
      <c r="E59" s="604"/>
      <c r="F59" s="215"/>
      <c r="G59" s="1306"/>
    </row>
    <row r="60" spans="1:16328">
      <c r="A60" s="27" t="s">
        <v>50</v>
      </c>
      <c r="B60" s="277">
        <f>'[26]CBK-Format _Consolidated'!K61</f>
        <v>51261.546299999987</v>
      </c>
      <c r="C60" s="280">
        <f>B60*$C$56</f>
        <v>6590820.7425579289</v>
      </c>
      <c r="D60" s="843">
        <f>[4]E_BCDC!B60</f>
        <v>37751.747639999994</v>
      </c>
      <c r="E60" s="115">
        <f>[4]E_BCDC!C60</f>
        <v>4312759.6503935987</v>
      </c>
      <c r="F60" s="116">
        <f>C60-E60</f>
        <v>2278061.0921643302</v>
      </c>
      <c r="G60" s="1308">
        <f>IFERROR(F60/E60,0)</f>
        <v>0.52821424721788657</v>
      </c>
      <c r="H60" s="1505"/>
      <c r="J60" s="143"/>
      <c r="K60" s="860"/>
    </row>
    <row r="61" spans="1:16328">
      <c r="A61" s="27" t="s">
        <v>51</v>
      </c>
      <c r="B61" s="277">
        <f>'[26]CBK-Format _Consolidated'!K62</f>
        <v>5283.9470100000008</v>
      </c>
      <c r="C61" s="280">
        <f>B61*$C$56</f>
        <v>679369.8214305517</v>
      </c>
      <c r="D61" s="843">
        <f>[4]E_BCDC!B61</f>
        <v>4092.0833199999997</v>
      </c>
      <c r="E61" s="115">
        <f>[4]E_BCDC!C61</f>
        <v>467479.59847679996</v>
      </c>
      <c r="F61" s="116">
        <f>C61-E61</f>
        <v>211890.22295375174</v>
      </c>
      <c r="G61" s="1308">
        <f>IFERROR(F61/E61,0)</f>
        <v>0.45326089875185732</v>
      </c>
      <c r="H61" s="1505"/>
      <c r="J61" s="143"/>
      <c r="K61" s="860"/>
    </row>
    <row r="62" spans="1:16328">
      <c r="A62" s="27" t="s">
        <v>52</v>
      </c>
      <c r="B62" s="277">
        <f>'[26]CBK-Format _Consolidated'!K63</f>
        <v>9899.6584899999998</v>
      </c>
      <c r="C62" s="280">
        <f>B62*$C$56</f>
        <v>1272822.9877866895</v>
      </c>
      <c r="D62" s="843">
        <f>[4]E_BCDC!B62</f>
        <v>6894.1227899999994</v>
      </c>
      <c r="E62" s="115">
        <f>[4]E_BCDC!C62</f>
        <v>787584.5875295999</v>
      </c>
      <c r="F62" s="116">
        <f>C62-E62</f>
        <v>485238.40025708964</v>
      </c>
      <c r="G62" s="1308">
        <f>IFERROR(F62/E62,0)</f>
        <v>0.6161095683437976</v>
      </c>
      <c r="H62" s="1505"/>
      <c r="J62" s="143"/>
      <c r="K62" s="860"/>
    </row>
    <row r="63" spans="1:16328">
      <c r="A63" s="27" t="s">
        <v>53</v>
      </c>
      <c r="B63" s="277">
        <f>'[26]CBK-Format _Consolidated'!K64</f>
        <v>0</v>
      </c>
      <c r="C63" s="280">
        <f>B63*$C$56</f>
        <v>0</v>
      </c>
      <c r="D63" s="843">
        <f>[4]E_BCDC!B63</f>
        <v>0</v>
      </c>
      <c r="E63" s="115">
        <f>[4]E_BCDC!C63</f>
        <v>0</v>
      </c>
      <c r="F63" s="116">
        <f>C63-E63</f>
        <v>0</v>
      </c>
      <c r="G63" s="1308">
        <f>IFERROR(F63/E63,0)</f>
        <v>0</v>
      </c>
      <c r="J63" s="143"/>
      <c r="K63" s="860"/>
    </row>
    <row r="64" spans="1:16328" ht="14.25" customHeight="1">
      <c r="A64" s="271" t="s">
        <v>54</v>
      </c>
      <c r="B64" s="152">
        <f>SUM(B60:B63)</f>
        <v>66445.151799999992</v>
      </c>
      <c r="C64" s="152">
        <f>SUM(C60:C63)</f>
        <v>8543013.5517751705</v>
      </c>
      <c r="D64" s="152">
        <f>SUM(D60:D63)</f>
        <v>48737.953749999993</v>
      </c>
      <c r="E64" s="152">
        <f>SUM(E60:E63)</f>
        <v>5567823.8363999985</v>
      </c>
      <c r="F64" s="281">
        <f>C64-E64</f>
        <v>2975189.715375172</v>
      </c>
      <c r="G64" s="1313">
        <f>IFERROR(F64/E64,0)</f>
        <v>0.53435413956969724</v>
      </c>
      <c r="J64" s="143"/>
      <c r="K64" s="860"/>
    </row>
    <row r="65" spans="1:11">
      <c r="A65" s="122"/>
      <c r="B65" s="267"/>
      <c r="C65" s="267"/>
      <c r="D65" s="277"/>
      <c r="E65" s="267"/>
      <c r="F65" s="116"/>
      <c r="G65" s="1308"/>
      <c r="J65" s="143"/>
      <c r="K65" s="860"/>
    </row>
    <row r="66" spans="1:11">
      <c r="A66" s="31" t="s">
        <v>55</v>
      </c>
      <c r="B66" s="276"/>
      <c r="C66" s="276"/>
      <c r="D66" s="277"/>
      <c r="E66" s="280"/>
      <c r="F66" s="116"/>
      <c r="G66" s="1308"/>
      <c r="J66" s="143"/>
      <c r="K66" s="860"/>
    </row>
    <row r="67" spans="1:11">
      <c r="A67" s="27" t="s">
        <v>56</v>
      </c>
      <c r="B67" s="277">
        <f>'[26]CBK-Format _Consolidated'!$K$68</f>
        <v>14116.497702770308</v>
      </c>
      <c r="C67" s="280">
        <f>B67*$C$56</f>
        <v>1814992.1839499781</v>
      </c>
      <c r="D67" s="843">
        <f>[4]E_BCDC!B67</f>
        <v>11710.562907811569</v>
      </c>
      <c r="E67" s="115">
        <f>[4]E_BCDC!C67</f>
        <v>1337814.7065883935</v>
      </c>
      <c r="F67" s="116">
        <f>C67-E67</f>
        <v>477177.47736158455</v>
      </c>
      <c r="G67" s="1308">
        <f>IFERROR(F67/E67,0)</f>
        <v>0.35668428147157311</v>
      </c>
      <c r="H67" s="1505"/>
      <c r="J67" s="143"/>
      <c r="K67" s="860"/>
    </row>
    <row r="68" spans="1:11">
      <c r="A68" s="27" t="s">
        <v>57</v>
      </c>
      <c r="B68" s="827">
        <f>'[26]CBK-Format _Consolidated'!$K$69</f>
        <v>197.28124</v>
      </c>
      <c r="C68" s="278">
        <f>B68*$C$56</f>
        <v>25364.925222896549</v>
      </c>
      <c r="D68" s="843">
        <f>[4]E_BCDC!B68</f>
        <v>5081.9588700000004</v>
      </c>
      <c r="E68" s="115">
        <f>[4]E_BCDC!C68</f>
        <v>580562.98130880005</v>
      </c>
      <c r="F68" s="116">
        <f>C68-E68</f>
        <v>-555198.05608590355</v>
      </c>
      <c r="G68" s="1308">
        <f>IFERROR(F68/E68,0)</f>
        <v>-0.95630977854338084</v>
      </c>
      <c r="H68" s="1505"/>
      <c r="J68" s="846"/>
      <c r="K68" s="860"/>
    </row>
    <row r="69" spans="1:11">
      <c r="A69" s="27" t="s">
        <v>58</v>
      </c>
      <c r="B69" s="277">
        <f>'[26]CBK-Format _Consolidated'!$K$70</f>
        <v>145.22896059999999</v>
      </c>
      <c r="C69" s="280">
        <f>B69*$C$56</f>
        <v>18672.438017005516</v>
      </c>
      <c r="D69" s="843">
        <f>[4]E_BCDC!B69</f>
        <v>179.17220262034874</v>
      </c>
      <c r="E69" s="115">
        <f>[4]E_BCDC!C69</f>
        <v>20468.632427348639</v>
      </c>
      <c r="F69" s="116">
        <f>C69-E69</f>
        <v>-1796.1944103431233</v>
      </c>
      <c r="G69" s="1308">
        <f>IFERROR(F69/E69,0)</f>
        <v>-8.7753513417104703E-2</v>
      </c>
      <c r="H69" s="1505"/>
      <c r="J69" s="143"/>
      <c r="K69" s="860"/>
    </row>
    <row r="70" spans="1:11">
      <c r="A70" s="271" t="s">
        <v>59</v>
      </c>
      <c r="B70" s="152">
        <f>SUM(B67:B69)</f>
        <v>14459.007903370308</v>
      </c>
      <c r="C70" s="152">
        <f>SUM(C67:C69)</f>
        <v>1859029.5471898802</v>
      </c>
      <c r="D70" s="152">
        <f>SUM(D67:D69)</f>
        <v>16971.693980431919</v>
      </c>
      <c r="E70" s="152">
        <f>SUM(E67:E69)</f>
        <v>1938846.3203245425</v>
      </c>
      <c r="F70" s="281">
        <f>C70-E70</f>
        <v>-79816.773134662304</v>
      </c>
      <c r="G70" s="1317">
        <f>IFERROR(F70/E70,0)</f>
        <v>-4.1167147853833928E-2</v>
      </c>
      <c r="J70" s="143"/>
      <c r="K70" s="860"/>
    </row>
    <row r="71" spans="1:11">
      <c r="A71" s="271" t="s">
        <v>60</v>
      </c>
      <c r="B71" s="152">
        <f>B64-B70</f>
        <v>51986.143896629685</v>
      </c>
      <c r="C71" s="152">
        <f>C64-C70</f>
        <v>6683984.0045852903</v>
      </c>
      <c r="D71" s="152">
        <f>D64-D70</f>
        <v>31766.259769568074</v>
      </c>
      <c r="E71" s="152">
        <f>E64-E70</f>
        <v>3628977.516075456</v>
      </c>
      <c r="F71" s="281">
        <f>C71-E71</f>
        <v>3055006.4885098343</v>
      </c>
      <c r="G71" s="1317">
        <f>IFERROR(F71/E71,0)</f>
        <v>0.84183670881864803</v>
      </c>
      <c r="J71" s="143"/>
      <c r="K71" s="860"/>
    </row>
    <row r="72" spans="1:11">
      <c r="A72" s="122"/>
      <c r="B72" s="267"/>
      <c r="C72" s="267"/>
      <c r="D72" s="277"/>
      <c r="E72" s="267"/>
      <c r="F72" s="116"/>
      <c r="G72" s="1308"/>
      <c r="J72" s="143"/>
    </row>
    <row r="73" spans="1:11">
      <c r="A73" s="31" t="s">
        <v>61</v>
      </c>
      <c r="B73" s="276"/>
      <c r="C73" s="276"/>
      <c r="D73" s="277"/>
      <c r="E73" s="276"/>
      <c r="F73" s="116"/>
      <c r="G73" s="1308"/>
      <c r="J73" s="143"/>
    </row>
    <row r="74" spans="1:11">
      <c r="A74" s="27" t="s">
        <v>62</v>
      </c>
      <c r="B74" s="277">
        <f>'[26]CBK-Format _Consolidated'!$K$75</f>
        <v>1485.4536500000002</v>
      </c>
      <c r="C74" s="280">
        <f>B74*$C$56</f>
        <v>190988.36135827587</v>
      </c>
      <c r="D74" s="843">
        <f>[4]E_BCDC!B74</f>
        <v>1522.68778</v>
      </c>
      <c r="E74" s="115">
        <f>[4]E_BCDC!C74</f>
        <v>173951.8519872</v>
      </c>
      <c r="F74" s="116">
        <f t="shared" ref="F74:F80" si="8">C74-E74</f>
        <v>17036.509371075867</v>
      </c>
      <c r="G74" s="1308">
        <f t="shared" ref="G74:G80" si="9">IFERROR(F74/E74,0)</f>
        <v>9.7938074107595433E-2</v>
      </c>
      <c r="H74" s="1505"/>
      <c r="J74" s="143"/>
      <c r="K74" s="143"/>
    </row>
    <row r="75" spans="1:11">
      <c r="A75" s="27" t="s">
        <v>63</v>
      </c>
      <c r="B75" s="277">
        <f>'[26]CBK-Format _Consolidated'!$K$76</f>
        <v>40622.32557999999</v>
      </c>
      <c r="C75" s="280">
        <f>B75*$C$56</f>
        <v>5222910.4537099293</v>
      </c>
      <c r="D75" s="843">
        <f>[4]E_BCDC!B75</f>
        <v>28909.909369999994</v>
      </c>
      <c r="E75" s="115">
        <f>[4]E_BCDC!C75</f>
        <v>3302668.0464287992</v>
      </c>
      <c r="F75" s="116">
        <f t="shared" si="8"/>
        <v>1920242.4072811301</v>
      </c>
      <c r="G75" s="1308">
        <f t="shared" si="9"/>
        <v>0.58142155986809008</v>
      </c>
      <c r="J75" s="143"/>
      <c r="K75" s="143"/>
    </row>
    <row r="76" spans="1:11">
      <c r="A76" s="27" t="s">
        <v>64</v>
      </c>
      <c r="B76" s="277">
        <f>'[26]CBK-Format _Consolidated'!$K$77</f>
        <v>27631.106137659906</v>
      </c>
      <c r="C76" s="280">
        <f>B76*$C$56</f>
        <v>3552598.0118923695</v>
      </c>
      <c r="D76" s="843">
        <f>[4]E_BCDC!B76</f>
        <v>7217.6829174945569</v>
      </c>
      <c r="E76" s="115">
        <f>[4]E_BCDC!C76</f>
        <v>824548.09649457817</v>
      </c>
      <c r="F76" s="116">
        <f t="shared" si="8"/>
        <v>2728049.9153977912</v>
      </c>
      <c r="G76" s="1308">
        <f t="shared" si="9"/>
        <v>3.3085394617920016</v>
      </c>
      <c r="J76" s="143"/>
      <c r="K76" s="388"/>
    </row>
    <row r="77" spans="1:11">
      <c r="A77" s="27" t="s">
        <v>65</v>
      </c>
      <c r="B77" s="277">
        <f>'[26]CBK-Format _Consolidated'!$K$78</f>
        <v>0</v>
      </c>
      <c r="C77" s="280">
        <f>B77*$C$56</f>
        <v>0</v>
      </c>
      <c r="D77" s="843">
        <f>[4]E_BCDC!B77</f>
        <v>0</v>
      </c>
      <c r="E77" s="115">
        <f>[4]E_BCDC!C77</f>
        <v>0</v>
      </c>
      <c r="F77" s="116">
        <f t="shared" si="8"/>
        <v>0</v>
      </c>
      <c r="G77" s="1308">
        <f t="shared" si="9"/>
        <v>0</v>
      </c>
      <c r="J77" s="143"/>
    </row>
    <row r="78" spans="1:11">
      <c r="A78" s="27" t="s">
        <v>66</v>
      </c>
      <c r="B78" s="277">
        <f>'[26]CBK-Format _Consolidated'!$K$79</f>
        <v>2695.4514112024813</v>
      </c>
      <c r="C78" s="280">
        <f>B78*$C$56</f>
        <v>346560.69420033001</v>
      </c>
      <c r="D78" s="843">
        <f>[4]E_BCDC!B78</f>
        <v>4552.8618458983656</v>
      </c>
      <c r="E78" s="115">
        <f>[4]E_BCDC!C78</f>
        <v>520118.93727542926</v>
      </c>
      <c r="F78" s="116">
        <f t="shared" si="8"/>
        <v>-173558.24307509925</v>
      </c>
      <c r="G78" s="1308">
        <f t="shared" si="9"/>
        <v>-0.33368952875328856</v>
      </c>
      <c r="J78" s="143"/>
    </row>
    <row r="79" spans="1:11">
      <c r="A79" s="271" t="s">
        <v>67</v>
      </c>
      <c r="B79" s="152">
        <f>SUM(B74:B78)</f>
        <v>72434.336778862373</v>
      </c>
      <c r="C79" s="152">
        <f>SUM(C74:C78)</f>
        <v>9313057.5211609043</v>
      </c>
      <c r="D79" s="152">
        <f>SUM(D74:D78)</f>
        <v>42203.141913392916</v>
      </c>
      <c r="E79" s="152">
        <f>SUM(E74:E78)</f>
        <v>4821286.9321860066</v>
      </c>
      <c r="F79" s="281">
        <f t="shared" si="8"/>
        <v>4491770.5889748977</v>
      </c>
      <c r="G79" s="1317">
        <f t="shared" si="9"/>
        <v>0.93165386174979137</v>
      </c>
      <c r="J79" s="143"/>
    </row>
    <row r="80" spans="1:11">
      <c r="A80" s="271" t="s">
        <v>68</v>
      </c>
      <c r="B80" s="152">
        <f>B71+B79</f>
        <v>124420.48067549206</v>
      </c>
      <c r="C80" s="152">
        <f>C71+C79</f>
        <v>15997041.525746195</v>
      </c>
      <c r="D80" s="152">
        <f>D71+D79</f>
        <v>73969.40168296099</v>
      </c>
      <c r="E80" s="152">
        <f>E71+E79</f>
        <v>8450264.4482614622</v>
      </c>
      <c r="F80" s="281">
        <f t="shared" si="8"/>
        <v>7546777.0774847325</v>
      </c>
      <c r="G80" s="1317">
        <f t="shared" si="9"/>
        <v>0.8930817637354993</v>
      </c>
      <c r="J80" s="143"/>
    </row>
    <row r="81" spans="1:14">
      <c r="A81" s="122"/>
      <c r="B81" s="267"/>
      <c r="C81" s="267"/>
      <c r="D81" s="277"/>
      <c r="E81" s="267"/>
      <c r="F81" s="116"/>
      <c r="G81" s="1308"/>
      <c r="J81" s="143"/>
    </row>
    <row r="82" spans="1:14">
      <c r="A82" s="31" t="s">
        <v>69</v>
      </c>
      <c r="B82" s="826"/>
      <c r="C82" s="826"/>
      <c r="D82" s="827"/>
      <c r="E82" s="826"/>
      <c r="F82" s="116"/>
      <c r="G82" s="1308"/>
      <c r="J82" s="143"/>
    </row>
    <row r="83" spans="1:14">
      <c r="A83" s="27" t="s">
        <v>70</v>
      </c>
      <c r="B83" s="827">
        <f>'[26]CBK-Format _Consolidated'!K84</f>
        <v>12659.150736891508</v>
      </c>
      <c r="C83" s="278">
        <f t="shared" ref="C83:C89" si="10">B83*$C$56</f>
        <v>1627617.5668128852</v>
      </c>
      <c r="D83" s="843">
        <f>[4]E_BCDC!B83</f>
        <v>4749.2391703431795</v>
      </c>
      <c r="E83" s="115">
        <f>[4]E_BCDC!C83</f>
        <v>542553.08282000478</v>
      </c>
      <c r="F83" s="116">
        <f t="shared" ref="F83:F89" si="11">C83-E83</f>
        <v>1085064.4839928804</v>
      </c>
      <c r="G83" s="1308">
        <f t="shared" ref="G83:G89" si="12">IFERROR(F83/E83,0)</f>
        <v>1.9999231749879431</v>
      </c>
      <c r="H83" s="1505"/>
      <c r="J83" s="143"/>
    </row>
    <row r="84" spans="1:14">
      <c r="A84" s="27" t="s">
        <v>71</v>
      </c>
      <c r="B84" s="827">
        <f>'[26]CBK-Format _Consolidated'!K85</f>
        <v>16049.608420000004</v>
      </c>
      <c r="C84" s="278">
        <f t="shared" si="10"/>
        <v>2063536.8949935175</v>
      </c>
      <c r="D84" s="843">
        <f>[4]E_BCDC!B84</f>
        <v>13911.367680000003</v>
      </c>
      <c r="E84" s="115">
        <f>[4]E_BCDC!C84</f>
        <v>1589234.6437632004</v>
      </c>
      <c r="F84" s="116">
        <f t="shared" si="11"/>
        <v>474302.25123031717</v>
      </c>
      <c r="G84" s="1308">
        <f t="shared" si="12"/>
        <v>0.29844696193332498</v>
      </c>
      <c r="H84" s="1505"/>
      <c r="J84" s="143"/>
    </row>
    <row r="85" spans="1:14">
      <c r="A85" s="27" t="s">
        <v>72</v>
      </c>
      <c r="B85" s="827">
        <f>'[26]CBK-Format _Consolidated'!K86</f>
        <v>46.289470000000001</v>
      </c>
      <c r="C85" s="278">
        <f t="shared" si="10"/>
        <v>5951.5488911034481</v>
      </c>
      <c r="D85" s="843">
        <f>[4]E_BCDC!B85</f>
        <v>65.041020000000003</v>
      </c>
      <c r="E85" s="115">
        <f>[4]E_BCDC!C85</f>
        <v>7430.2861247999999</v>
      </c>
      <c r="F85" s="116">
        <f t="shared" si="11"/>
        <v>-1478.7372336965518</v>
      </c>
      <c r="G85" s="1308">
        <f t="shared" si="12"/>
        <v>-0.1990148439588327</v>
      </c>
      <c r="H85" s="1505"/>
      <c r="I85" s="455"/>
      <c r="J85" s="143"/>
    </row>
    <row r="86" spans="1:14">
      <c r="A86" s="27" t="s">
        <v>73</v>
      </c>
      <c r="B86" s="827">
        <f>'[26]CBK-Format _Consolidated'!K87</f>
        <v>60.464570000000478</v>
      </c>
      <c r="C86" s="278">
        <f t="shared" si="10"/>
        <v>7774.0757138621293</v>
      </c>
      <c r="D86" s="843">
        <f>[4]E_BCDC!B86</f>
        <v>45.34061000000019</v>
      </c>
      <c r="E86" s="115">
        <f>[4]E_BCDC!C86</f>
        <v>5179.7112864000219</v>
      </c>
      <c r="F86" s="116">
        <f t="shared" si="11"/>
        <v>2594.3644274621074</v>
      </c>
      <c r="G86" s="1308">
        <f t="shared" si="12"/>
        <v>0.50087047018893405</v>
      </c>
      <c r="H86" s="1505"/>
      <c r="I86" s="455"/>
      <c r="J86" s="143"/>
      <c r="K86" s="860"/>
    </row>
    <row r="87" spans="1:14" ht="13.5" thickBot="1">
      <c r="A87" s="27" t="s">
        <v>74</v>
      </c>
      <c r="B87" s="827">
        <f>'[26]CBK-Format _Consolidated'!K88</f>
        <v>4023.0152555684131</v>
      </c>
      <c r="C87" s="278">
        <f t="shared" si="10"/>
        <v>517248.78213490976</v>
      </c>
      <c r="D87" s="843">
        <f>[4]E_BCDC!B87</f>
        <v>3096.8096394374215</v>
      </c>
      <c r="E87" s="115">
        <f>[4]E_BCDC!C87</f>
        <v>353779.53320933104</v>
      </c>
      <c r="F87" s="116">
        <f t="shared" si="11"/>
        <v>163469.24892557872</v>
      </c>
      <c r="G87" s="1308">
        <f t="shared" si="12"/>
        <v>0.46206530785616168</v>
      </c>
      <c r="H87" s="1506"/>
      <c r="J87" s="143"/>
      <c r="K87" s="860"/>
    </row>
    <row r="88" spans="1:14" ht="13.5" thickBot="1">
      <c r="A88" s="27" t="s">
        <v>75</v>
      </c>
      <c r="B88" s="827">
        <f>'[26]CBK-Format _Consolidated'!K89</f>
        <v>266.43067106827999</v>
      </c>
      <c r="C88" s="278">
        <f t="shared" si="10"/>
        <v>34255.634487765128</v>
      </c>
      <c r="D88" s="843">
        <f>[4]E_BCDC!B88</f>
        <v>1138.3138533587285</v>
      </c>
      <c r="E88" s="115">
        <f>[4]E_BCDC!C88</f>
        <v>130040.97460770114</v>
      </c>
      <c r="F88" s="116">
        <f t="shared" si="11"/>
        <v>-95785.340119936009</v>
      </c>
      <c r="G88" s="1308">
        <f t="shared" si="12"/>
        <v>-0.7365781470716809</v>
      </c>
      <c r="J88" s="143"/>
      <c r="K88" s="1507"/>
      <c r="L88" s="1508" t="s">
        <v>664</v>
      </c>
      <c r="M88" s="1509"/>
    </row>
    <row r="89" spans="1:14" ht="13.5" thickBot="1">
      <c r="A89" s="27" t="s">
        <v>76</v>
      </c>
      <c r="B89" s="827">
        <f>'[26]CBK-Format _Consolidated'!K90</f>
        <v>45218.011750058657</v>
      </c>
      <c r="C89" s="278">
        <f t="shared" si="10"/>
        <v>5813788.9176299553</v>
      </c>
      <c r="D89" s="843">
        <f>[4]E_BCDC!B89</f>
        <v>29497.394938025725</v>
      </c>
      <c r="E89" s="115">
        <f>[4]E_BCDC!C89</f>
        <v>3369782.3977200589</v>
      </c>
      <c r="F89" s="116">
        <f t="shared" si="11"/>
        <v>2444006.5199098964</v>
      </c>
      <c r="G89" s="1308">
        <f t="shared" si="12"/>
        <v>0.72527131768611297</v>
      </c>
      <c r="H89" s="1505"/>
      <c r="J89" s="143"/>
      <c r="K89" s="1507"/>
      <c r="L89" s="1508" t="s">
        <v>615</v>
      </c>
      <c r="M89" s="1509" t="s">
        <v>616</v>
      </c>
    </row>
    <row r="90" spans="1:14">
      <c r="A90" s="271" t="s">
        <v>77</v>
      </c>
      <c r="B90" s="66">
        <f>SUM(B83:B89)</f>
        <v>78322.970873586863</v>
      </c>
      <c r="C90" s="66">
        <f>SUM(C83:C89)</f>
        <v>10070173.420663998</v>
      </c>
      <c r="D90" s="66">
        <f>SUM(D83:D89)</f>
        <v>52503.506911165059</v>
      </c>
      <c r="E90" s="66">
        <f>SUM(E83:E89)</f>
        <v>5998000.6295314953</v>
      </c>
      <c r="F90" s="281">
        <f>C90-E90</f>
        <v>4072172.7911325023</v>
      </c>
      <c r="G90" s="1317">
        <f>IFERROR(F90/E90,0)</f>
        <v>0.67892170118871431</v>
      </c>
      <c r="J90" s="143"/>
      <c r="K90" s="1510" t="s">
        <v>474</v>
      </c>
      <c r="L90" s="1511">
        <f>1684480+250</f>
        <v>1684730</v>
      </c>
      <c r="M90" s="1512">
        <f>L90/$L$94</f>
        <v>0.85461115048081482</v>
      </c>
    </row>
    <row r="91" spans="1:14">
      <c r="A91" s="271" t="s">
        <v>78</v>
      </c>
      <c r="B91" s="152">
        <f>B80-B90</f>
        <v>46097.509801905195</v>
      </c>
      <c r="C91" s="152">
        <f>C80-C90</f>
        <v>5926868.1050821971</v>
      </c>
      <c r="D91" s="152">
        <f>D80-D90</f>
        <v>21465.894771795931</v>
      </c>
      <c r="E91" s="152">
        <f>E80-E90</f>
        <v>2452263.8187299669</v>
      </c>
      <c r="F91" s="281">
        <f t="shared" ref="F91:F98" si="13">C91-E91</f>
        <v>3474604.2863522302</v>
      </c>
      <c r="G91" s="1317">
        <f>IFERROR(F91/E91,0)</f>
        <v>1.4168966078664962</v>
      </c>
      <c r="J91" s="143"/>
      <c r="K91" s="1510" t="s">
        <v>665</v>
      </c>
      <c r="L91" s="1513">
        <v>240000</v>
      </c>
      <c r="M91" s="1514">
        <f>L91/$L$94</f>
        <v>0.12174453836246495</v>
      </c>
    </row>
    <row r="92" spans="1:14">
      <c r="A92" s="272" t="s">
        <v>80</v>
      </c>
      <c r="B92" s="278">
        <v>0</v>
      </c>
      <c r="C92" s="278">
        <v>0</v>
      </c>
      <c r="D92" s="277">
        <f>[28]EBCL!$B94+[28]BCDC!$B$94</f>
        <v>0</v>
      </c>
      <c r="E92" s="277">
        <f>[28]EBCL!$C94+[28]BCDC!$C$94</f>
        <v>0</v>
      </c>
      <c r="F92" s="116">
        <f t="shared" si="13"/>
        <v>0</v>
      </c>
      <c r="G92" s="1308" t="s">
        <v>101</v>
      </c>
      <c r="H92" s="289"/>
      <c r="J92" s="846"/>
      <c r="K92" s="1510" t="s">
        <v>580</v>
      </c>
      <c r="L92" s="1513">
        <v>35395</v>
      </c>
      <c r="M92" s="1514">
        <f>L92/$L$94</f>
        <v>1.7954783063914362E-2</v>
      </c>
    </row>
    <row r="93" spans="1:14">
      <c r="A93" s="273" t="s">
        <v>81</v>
      </c>
      <c r="B93" s="279">
        <f>B91+B92</f>
        <v>46097.509801905195</v>
      </c>
      <c r="C93" s="279">
        <f>C91+C92</f>
        <v>5926868.1050821971</v>
      </c>
      <c r="D93" s="279">
        <f>D91+D92</f>
        <v>21465.894771795931</v>
      </c>
      <c r="E93" s="279">
        <f>E91+E92</f>
        <v>2452263.8187299669</v>
      </c>
      <c r="F93" s="281">
        <f t="shared" si="13"/>
        <v>3474604.2863522302</v>
      </c>
      <c r="G93" s="1317">
        <f t="shared" ref="G93:G98" si="14">IFERROR(F93/E93,0)</f>
        <v>1.4168966078664962</v>
      </c>
      <c r="J93" s="143"/>
      <c r="K93" s="1510" t="s">
        <v>514</v>
      </c>
      <c r="L93" s="1513">
        <f>11466-250</f>
        <v>11216</v>
      </c>
      <c r="M93" s="1514">
        <f>L93/$L$94</f>
        <v>5.6895280928058612E-3</v>
      </c>
      <c r="N93" s="1212">
        <f>SUM(M91:M93)</f>
        <v>0.14538884951918518</v>
      </c>
    </row>
    <row r="94" spans="1:14">
      <c r="A94" s="272" t="s">
        <v>91</v>
      </c>
      <c r="B94" s="277">
        <f>-'[26]CBK-Format _Consolidated'!$K$95</f>
        <v>-15113.747891327468</v>
      </c>
      <c r="C94" s="280">
        <f>B94*$C$56</f>
        <v>-1943211.0478483997</v>
      </c>
      <c r="D94" s="843">
        <f>[4]E_BCDC!B94</f>
        <v>-4294.9198540092384</v>
      </c>
      <c r="E94" s="115">
        <f>[4]E_BCDC!C94</f>
        <v>-490651.64412201539</v>
      </c>
      <c r="F94" s="116">
        <f>C94-E94</f>
        <v>-1452559.4037263843</v>
      </c>
      <c r="G94" s="1308">
        <f t="shared" si="14"/>
        <v>2.9604698590700358</v>
      </c>
      <c r="I94" s="105" t="s">
        <v>644</v>
      </c>
      <c r="J94" s="1281">
        <f>(C94+C95)/C93</f>
        <v>-0.31274996489017415</v>
      </c>
      <c r="K94" s="1510"/>
      <c r="L94" s="1515">
        <f>SUM(L90:L93)</f>
        <v>1971341</v>
      </c>
      <c r="M94" s="1516">
        <v>1</v>
      </c>
    </row>
    <row r="95" spans="1:14" ht="13.5" thickBot="1">
      <c r="A95" s="23" t="s">
        <v>92</v>
      </c>
      <c r="B95" s="277">
        <f>-'[26]CBK-Format _Consolidated'!$K$96</f>
        <v>696.75331925715943</v>
      </c>
      <c r="C95" s="280">
        <f>B95*$C$56</f>
        <v>89583.25607524981</v>
      </c>
      <c r="D95" s="843">
        <f>[4]E_BCDC!B95</f>
        <v>-326.32900729516575</v>
      </c>
      <c r="E95" s="115">
        <f>[4]E_BCDC!C95</f>
        <v>-37279.825793399737</v>
      </c>
      <c r="F95" s="116">
        <f t="shared" si="13"/>
        <v>126863.08186864955</v>
      </c>
      <c r="G95" s="1308">
        <f t="shared" si="14"/>
        <v>-3.4029955657976871</v>
      </c>
      <c r="H95" s="1505"/>
      <c r="J95" s="813"/>
      <c r="K95" s="1517"/>
      <c r="L95" s="1518">
        <v>0</v>
      </c>
      <c r="M95" s="1519">
        <v>0</v>
      </c>
    </row>
    <row r="96" spans="1:14" ht="13.5" thickBot="1">
      <c r="A96" s="274" t="s">
        <v>93</v>
      </c>
      <c r="B96" s="146">
        <f>SUM(B93:B95)</f>
        <v>31680.515229834888</v>
      </c>
      <c r="C96" s="146">
        <f>SUM(C93:C95)</f>
        <v>4073240.3133090474</v>
      </c>
      <c r="D96" s="146">
        <f>SUM(D93:D95)</f>
        <v>16844.645910491527</v>
      </c>
      <c r="E96" s="146">
        <f>SUM(E93:E95)</f>
        <v>1924332.3488145517</v>
      </c>
      <c r="F96" s="282">
        <f t="shared" si="13"/>
        <v>2148907.9644944957</v>
      </c>
      <c r="G96" s="1314">
        <f t="shared" si="14"/>
        <v>1.1167031338522628</v>
      </c>
      <c r="J96" s="143"/>
      <c r="K96" s="1520"/>
      <c r="M96" s="707"/>
    </row>
    <row r="97" spans="1:23">
      <c r="A97" s="122" t="s">
        <v>111</v>
      </c>
      <c r="B97" s="386">
        <f>-B96*(1-M90)</f>
        <v>-4605.9936614407188</v>
      </c>
      <c r="C97" s="280">
        <f>B97*$C$56</f>
        <v>-592203.72296716773</v>
      </c>
      <c r="D97" s="843">
        <f>[4]E_BCDC!$B$97</f>
        <v>-3788.6201637798613</v>
      </c>
      <c r="E97" s="115">
        <f>[4]E_BCDC!$C$97</f>
        <v>-432811.96751021134</v>
      </c>
      <c r="F97" s="116">
        <f t="shared" si="13"/>
        <v>-159391.75545695639</v>
      </c>
      <c r="G97" s="1308">
        <f t="shared" si="14"/>
        <v>0.36827021298387702</v>
      </c>
      <c r="J97" s="846"/>
      <c r="K97" s="1521"/>
      <c r="M97" s="707"/>
    </row>
    <row r="98" spans="1:23" ht="13.5" thickBot="1">
      <c r="A98" s="187" t="s">
        <v>112</v>
      </c>
      <c r="B98" s="67">
        <f>B96+B97</f>
        <v>27074.521568394168</v>
      </c>
      <c r="C98" s="67">
        <f>C96+C97</f>
        <v>3481036.5903418795</v>
      </c>
      <c r="D98" s="67">
        <f>D96+D97</f>
        <v>13056.025746711664</v>
      </c>
      <c r="E98" s="67">
        <f>E96+E97</f>
        <v>1491520.3813043404</v>
      </c>
      <c r="F98" s="275">
        <f t="shared" si="13"/>
        <v>1989516.2090375391</v>
      </c>
      <c r="G98" s="1314">
        <f t="shared" si="14"/>
        <v>1.3338846950905889</v>
      </c>
      <c r="J98" s="846"/>
      <c r="K98" s="846"/>
    </row>
    <row r="99" spans="1:23">
      <c r="A99" s="57" t="s">
        <v>150</v>
      </c>
      <c r="B99" s="1208">
        <f>B2</f>
        <v>45046</v>
      </c>
      <c r="C99" s="1208">
        <f>B99</f>
        <v>45046</v>
      </c>
      <c r="D99" s="1208">
        <f>D2</f>
        <v>44681</v>
      </c>
      <c r="E99" s="1208">
        <f>E2</f>
        <v>44681</v>
      </c>
      <c r="F99" s="270" t="s">
        <v>151</v>
      </c>
      <c r="G99" s="1306"/>
      <c r="K99" s="707"/>
      <c r="L99" s="388"/>
      <c r="M99" s="707"/>
    </row>
    <row r="100" spans="1:23">
      <c r="A100" s="83"/>
      <c r="B100" s="84" t="s">
        <v>110</v>
      </c>
      <c r="C100" s="84" t="s">
        <v>97</v>
      </c>
      <c r="D100" s="84" t="s">
        <v>110</v>
      </c>
      <c r="E100" s="84" t="s">
        <v>97</v>
      </c>
      <c r="F100" s="810"/>
      <c r="G100" s="1308"/>
    </row>
    <row r="101" spans="1:23">
      <c r="A101" s="83"/>
      <c r="B101" s="21" t="s">
        <v>614</v>
      </c>
      <c r="C101" s="21" t="s">
        <v>614</v>
      </c>
      <c r="D101" s="21" t="s">
        <v>614</v>
      </c>
      <c r="E101" s="21" t="s">
        <v>614</v>
      </c>
      <c r="F101" s="85"/>
      <c r="G101" s="1308"/>
      <c r="K101" s="707"/>
      <c r="L101" s="1454"/>
      <c r="M101" s="105"/>
    </row>
    <row r="102" spans="1:23" ht="13.5" customHeight="1">
      <c r="A102" s="206"/>
      <c r="B102" s="206"/>
      <c r="C102" s="268"/>
      <c r="D102" s="268"/>
      <c r="E102" s="266"/>
      <c r="F102" s="206"/>
      <c r="G102" s="1308"/>
      <c r="K102" s="388">
        <f>B96*N93</f>
        <v>4605.9936614407188</v>
      </c>
      <c r="L102" s="1455"/>
      <c r="M102" s="105"/>
    </row>
    <row r="103" spans="1:23" s="105" customFormat="1">
      <c r="A103" s="788" t="s">
        <v>114</v>
      </c>
      <c r="B103" s="788"/>
      <c r="C103" s="790"/>
      <c r="D103" s="790"/>
      <c r="E103" s="789"/>
      <c r="F103" s="788"/>
      <c r="G103" s="1318"/>
      <c r="H103" s="287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</row>
    <row r="104" spans="1:23" s="105" customFormat="1">
      <c r="A104" s="788" t="s">
        <v>115</v>
      </c>
      <c r="B104" s="787">
        <f>'[26]CBK_ Disclosures-E BCDC'!$B$7</f>
        <v>98422.605312588013</v>
      </c>
      <c r="C104" s="787">
        <f>'[6]30_March_2023'!$J$6</f>
        <v>11919088.2343449</v>
      </c>
      <c r="D104" s="787">
        <f>[4]E_BCDC!$B$106</f>
        <v>82102.458236715596</v>
      </c>
      <c r="E104" s="789">
        <f>D104*E1</f>
        <v>9511569.786723502</v>
      </c>
      <c r="F104" s="788">
        <f>C104-E104</f>
        <v>2407518.4476213977</v>
      </c>
      <c r="G104" s="1318">
        <f>IFERROR(F104/E104,0)</f>
        <v>0.25311473306770821</v>
      </c>
      <c r="H104" s="287"/>
      <c r="L104" s="102"/>
      <c r="M104" s="103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</row>
    <row r="105" spans="1:23">
      <c r="A105" s="206" t="s">
        <v>116</v>
      </c>
      <c r="B105" s="787">
        <f>'[26]CBK_ Disclosures-E BCDC'!$B$8</f>
        <v>0</v>
      </c>
      <c r="C105" s="115">
        <f>'[6]30_March_2023'!$J$7</f>
        <v>1572976.5148533545</v>
      </c>
      <c r="D105" s="115">
        <v>0</v>
      </c>
      <c r="E105" s="266">
        <v>0</v>
      </c>
      <c r="F105" s="206"/>
      <c r="G105" s="1308"/>
      <c r="M105" s="370"/>
    </row>
    <row r="106" spans="1:23" s="105" customFormat="1">
      <c r="A106" s="31" t="s">
        <v>117</v>
      </c>
      <c r="B106" s="788">
        <f>B104</f>
        <v>98422.605312588013</v>
      </c>
      <c r="C106" s="790">
        <f>C104-C105</f>
        <v>10346111.719491545</v>
      </c>
      <c r="D106" s="787">
        <f>D104</f>
        <v>82102.458236715596</v>
      </c>
      <c r="E106" s="789">
        <f>E104</f>
        <v>9511569.786723502</v>
      </c>
      <c r="F106" s="788">
        <f>C106-E106</f>
        <v>834541.93276804313</v>
      </c>
      <c r="G106" s="1318">
        <f>IFERROR(F106/E106,0)</f>
        <v>8.7739663534080206E-2</v>
      </c>
      <c r="H106" s="287"/>
      <c r="K106" s="103"/>
      <c r="L106" s="102"/>
      <c r="M106" s="103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</row>
    <row r="107" spans="1:23">
      <c r="A107" s="27" t="s">
        <v>382</v>
      </c>
      <c r="B107" s="206">
        <f>'[26]CBK_ Disclosures-E BCDC'!$B$10</f>
        <v>52121.923999999999</v>
      </c>
      <c r="C107" s="268">
        <f>'[6]30_March_2023'!$J$9</f>
        <v>3552906.8437811462</v>
      </c>
      <c r="D107" s="115">
        <f>[4]E_BCDC!$B$109</f>
        <v>0</v>
      </c>
      <c r="E107" s="266">
        <f>D107*E1</f>
        <v>0</v>
      </c>
      <c r="F107" s="206">
        <f>C107-E107</f>
        <v>3552906.8437811462</v>
      </c>
      <c r="G107" s="1308">
        <f>IFERROR(F107/E107,0)</f>
        <v>0</v>
      </c>
      <c r="K107" s="370"/>
    </row>
    <row r="108" spans="1:23" s="105" customFormat="1">
      <c r="A108" s="31" t="s">
        <v>119</v>
      </c>
      <c r="B108" s="787">
        <f>B106-B107</f>
        <v>46300.681312588014</v>
      </c>
      <c r="C108" s="787">
        <f>C106-C107</f>
        <v>6793204.8757103989</v>
      </c>
      <c r="D108" s="787">
        <f>D106-D107</f>
        <v>82102.458236715596</v>
      </c>
      <c r="E108" s="789">
        <f>E106-E107</f>
        <v>9511569.786723502</v>
      </c>
      <c r="F108" s="788">
        <f>C108-E108</f>
        <v>-2718364.9110131031</v>
      </c>
      <c r="G108" s="1318">
        <f>IFERROR(F108/E108,0)</f>
        <v>-0.28579561228762346</v>
      </c>
      <c r="H108" s="287"/>
      <c r="K108" s="103"/>
      <c r="L108" s="102"/>
      <c r="M108" s="707"/>
    </row>
    <row r="109" spans="1:23">
      <c r="A109" s="27" t="s">
        <v>120</v>
      </c>
      <c r="B109" s="115">
        <v>0</v>
      </c>
      <c r="C109" s="115">
        <f>'[6]30_March_2023'!$J$11</f>
        <v>4769584.4543852713</v>
      </c>
      <c r="D109" s="115">
        <v>0</v>
      </c>
      <c r="E109" s="266">
        <v>0</v>
      </c>
      <c r="F109" s="206"/>
      <c r="G109" s="1308"/>
      <c r="M109" s="707"/>
    </row>
    <row r="110" spans="1:23" s="105" customFormat="1">
      <c r="A110" s="356" t="s">
        <v>121</v>
      </c>
      <c r="B110" s="791">
        <f>B108-B109</f>
        <v>46300.681312588014</v>
      </c>
      <c r="C110" s="791">
        <f>C108-C109</f>
        <v>2023620.4213251276</v>
      </c>
      <c r="D110" s="791">
        <f>D108-D109</f>
        <v>82102.458236715596</v>
      </c>
      <c r="E110" s="791">
        <f>E108-E109</f>
        <v>9511569.786723502</v>
      </c>
      <c r="F110" s="791">
        <f>C110-E110</f>
        <v>-7487949.3653983744</v>
      </c>
      <c r="G110" s="1319">
        <f>F110/E110</f>
        <v>-0.78724643074692569</v>
      </c>
      <c r="H110" s="287"/>
      <c r="K110" s="707"/>
      <c r="L110" s="102"/>
      <c r="M110" s="102"/>
    </row>
    <row r="111" spans="1:23">
      <c r="A111" s="27"/>
      <c r="B111" s="206"/>
      <c r="C111" s="206"/>
      <c r="D111" s="268"/>
      <c r="E111" s="268"/>
      <c r="F111" s="266"/>
      <c r="G111" s="1308"/>
      <c r="K111" s="707"/>
      <c r="M111" s="707"/>
    </row>
    <row r="112" spans="1:23">
      <c r="A112" s="31" t="s">
        <v>122</v>
      </c>
      <c r="B112" s="206"/>
      <c r="C112" s="206"/>
      <c r="D112" s="268"/>
      <c r="E112" s="268"/>
      <c r="F112" s="266"/>
      <c r="G112" s="1308"/>
    </row>
    <row r="113" spans="1:13">
      <c r="A113" s="27" t="s">
        <v>123</v>
      </c>
      <c r="B113" s="431">
        <f>'[26]CBK_ Disclosures-E BCDC'!$B$16</f>
        <v>11815.4690430521</v>
      </c>
      <c r="C113" s="115">
        <f>B113*$C$1</f>
        <v>1606903.7898550858</v>
      </c>
      <c r="D113" s="115">
        <f>[4]E_BCDC!$B$115</f>
        <v>33208.0036072652</v>
      </c>
      <c r="E113" s="115">
        <f>D113*E1</f>
        <v>3847147.2179016732</v>
      </c>
      <c r="F113" s="355">
        <f>C113-E113</f>
        <v>-2240243.4280465874</v>
      </c>
      <c r="G113" s="1308">
        <f>IFERROR(F113/E113,0)</f>
        <v>-0.58231289346615389</v>
      </c>
      <c r="K113" s="707"/>
    </row>
    <row r="114" spans="1:13">
      <c r="A114" s="27" t="s">
        <v>124</v>
      </c>
      <c r="B114" s="431">
        <f>'[26]CBK_ Disclosures-E BCDC'!$B$17</f>
        <v>33694.093649853494</v>
      </c>
      <c r="C114" s="115">
        <f>B114*$C$1</f>
        <v>4582396.7363800751</v>
      </c>
      <c r="D114" s="115">
        <f>[4]E_BCDC!$B$116</f>
        <v>0</v>
      </c>
      <c r="E114" s="115">
        <f>D114*E1</f>
        <v>0</v>
      </c>
      <c r="F114" s="355">
        <f>C114-E114</f>
        <v>4582396.7363800751</v>
      </c>
      <c r="G114" s="1308">
        <f>IFERROR(F114/E114,0)</f>
        <v>0</v>
      </c>
    </row>
    <row r="115" spans="1:13">
      <c r="A115" s="855" t="s">
        <v>125</v>
      </c>
      <c r="B115" s="797">
        <f>B113+B114</f>
        <v>45509.562692905594</v>
      </c>
      <c r="C115" s="797">
        <f>SUM(C113:C114)</f>
        <v>6189300.5262351613</v>
      </c>
      <c r="D115" s="797">
        <f>SUM(D113:D114)</f>
        <v>33208.0036072652</v>
      </c>
      <c r="E115" s="797">
        <f>SUM(E113:E114)</f>
        <v>3847147.2179016732</v>
      </c>
      <c r="F115" s="798">
        <f>C115-E115</f>
        <v>2342153.3083334882</v>
      </c>
      <c r="G115" s="1318">
        <f>F115/E115</f>
        <v>0.60880262066263091</v>
      </c>
    </row>
    <row r="116" spans="1:13">
      <c r="A116" s="27"/>
      <c r="B116" s="208"/>
      <c r="C116" s="206"/>
      <c r="D116" s="268"/>
      <c r="E116" s="268"/>
      <c r="F116" s="266"/>
      <c r="G116" s="1308"/>
    </row>
    <row r="117" spans="1:13">
      <c r="A117" s="31" t="s">
        <v>126</v>
      </c>
      <c r="B117" s="206"/>
      <c r="C117" s="206"/>
      <c r="D117" s="268"/>
      <c r="E117" s="268"/>
      <c r="F117" s="266"/>
      <c r="G117" s="1308"/>
    </row>
    <row r="118" spans="1:13">
      <c r="A118" s="27" t="s">
        <v>127</v>
      </c>
      <c r="B118" s="206">
        <f>'[26]CBK_ Disclosures-E BCDC'!$B$21</f>
        <v>159145.306722262</v>
      </c>
      <c r="C118" s="115">
        <f>B118*$C$1</f>
        <v>21643761.714227632</v>
      </c>
      <c r="D118" s="115">
        <f>[4]E_BCDC!$B$120</f>
        <v>168432.80883557099</v>
      </c>
      <c r="E118" s="115">
        <f>D118*E1</f>
        <v>19512940.903600898</v>
      </c>
      <c r="F118" s="266">
        <f>C118-E118</f>
        <v>2130820.810626734</v>
      </c>
      <c r="G118" s="1308">
        <f>IFERROR(F118/E118,0)</f>
        <v>0.10920039276260579</v>
      </c>
    </row>
    <row r="119" spans="1:13">
      <c r="A119" s="27" t="s">
        <v>128</v>
      </c>
      <c r="B119" s="206">
        <f>'[26]CBK_ Disclosures-E BCDC'!$B$22</f>
        <v>0</v>
      </c>
      <c r="C119" s="115">
        <v>0</v>
      </c>
      <c r="D119" s="115"/>
      <c r="E119" s="115"/>
      <c r="F119" s="266"/>
      <c r="G119" s="1308"/>
    </row>
    <row r="120" spans="1:13">
      <c r="A120" s="356" t="s">
        <v>129</v>
      </c>
      <c r="B120" s="470">
        <f>SUM(B118:B119)</f>
        <v>159145.306722262</v>
      </c>
      <c r="C120" s="207">
        <f>SUM(C118:C119)</f>
        <v>21643761.714227632</v>
      </c>
      <c r="D120" s="207">
        <f>SUM(D118:D119)</f>
        <v>168432.80883557099</v>
      </c>
      <c r="E120" s="207">
        <f>SUM(E118:E119)</f>
        <v>19512940.903600898</v>
      </c>
      <c r="F120" s="791">
        <f>C120-E120</f>
        <v>2130820.810626734</v>
      </c>
      <c r="G120" s="1319">
        <f>F120/E120</f>
        <v>0.10920039276260579</v>
      </c>
    </row>
    <row r="121" spans="1:13">
      <c r="A121" s="27"/>
      <c r="B121" s="432"/>
      <c r="C121" s="206"/>
      <c r="D121" s="268"/>
      <c r="E121" s="268"/>
      <c r="F121" s="266"/>
      <c r="G121" s="1308"/>
      <c r="L121" s="105"/>
      <c r="M121" s="105"/>
    </row>
    <row r="122" spans="1:13">
      <c r="A122" s="31" t="s">
        <v>130</v>
      </c>
      <c r="B122" s="471"/>
      <c r="C122" s="206"/>
      <c r="D122" s="277"/>
      <c r="E122" s="268"/>
      <c r="F122" s="266"/>
      <c r="G122" s="1308"/>
    </row>
    <row r="123" spans="1:13" s="105" customFormat="1">
      <c r="A123" s="31" t="s">
        <v>131</v>
      </c>
      <c r="B123" s="787">
        <f>'[26]CBK_ Disclosures-E BCDC'!$B$26</f>
        <v>286931.1850652647</v>
      </c>
      <c r="C123" s="787">
        <f>B123*C1</f>
        <v>39022641.168876</v>
      </c>
      <c r="D123" s="787">
        <f>[4]E_BCDC!$B$123</f>
        <v>190510.44682101748</v>
      </c>
      <c r="E123" s="787">
        <f>D123*E1</f>
        <v>22070635.264214873</v>
      </c>
      <c r="F123" s="798">
        <f>C123-E123</f>
        <v>16952005.904661126</v>
      </c>
      <c r="G123" s="1318">
        <f t="shared" ref="G123:G128" si="15">IFERROR(F123/E123,0)</f>
        <v>0.76807965433360015</v>
      </c>
      <c r="H123" s="287"/>
    </row>
    <row r="124" spans="1:13">
      <c r="A124" s="27" t="s">
        <v>132</v>
      </c>
      <c r="B124" s="115">
        <f>'[26]CBK_ Disclosures-E BCDC'!$B$27</f>
        <v>30000</v>
      </c>
      <c r="C124" s="115">
        <f>B124*C1</f>
        <v>4080000</v>
      </c>
      <c r="D124" s="115">
        <f>B124</f>
        <v>30000</v>
      </c>
      <c r="E124" s="115">
        <f>C124</f>
        <v>4080000</v>
      </c>
      <c r="F124" s="355"/>
      <c r="G124" s="1308"/>
    </row>
    <row r="125" spans="1:13" s="105" customFormat="1">
      <c r="A125" s="47" t="s">
        <v>133</v>
      </c>
      <c r="B125" s="470">
        <f>B123-B124</f>
        <v>256931.1850652647</v>
      </c>
      <c r="C125" s="470">
        <f>C123-C124</f>
        <v>34942641.168876</v>
      </c>
      <c r="D125" s="470">
        <f>D123-D124</f>
        <v>160510.44682101748</v>
      </c>
      <c r="E125" s="207">
        <f>E123-E124</f>
        <v>17990635.264214873</v>
      </c>
      <c r="F125" s="791">
        <f>C125-E125</f>
        <v>16952005.904661126</v>
      </c>
      <c r="G125" s="1319">
        <f>F125/E125</f>
        <v>0.942268333257821</v>
      </c>
      <c r="H125" s="287"/>
    </row>
    <row r="126" spans="1:13">
      <c r="A126" s="27" t="s">
        <v>134</v>
      </c>
      <c r="B126" s="115">
        <f>'[26]CBK_ Disclosures-E BCDC'!$B$29</f>
        <v>40799.155468038014</v>
      </c>
      <c r="C126" s="115">
        <f>B126*C1</f>
        <v>5548685.1436531702</v>
      </c>
      <c r="D126" s="115">
        <f>[4]E_BCDC!$B$126</f>
        <v>35047.604189807811</v>
      </c>
      <c r="E126" s="115">
        <f>D126*E1</f>
        <v>4060264.9453892349</v>
      </c>
      <c r="F126" s="355">
        <f>B126-D126</f>
        <v>5751.551278230203</v>
      </c>
      <c r="G126" s="1308">
        <f t="shared" si="15"/>
        <v>1.4165458056527968E-3</v>
      </c>
    </row>
    <row r="127" spans="1:13" s="105" customFormat="1">
      <c r="A127" s="31" t="s">
        <v>135</v>
      </c>
      <c r="B127" s="797">
        <f>B123+B126</f>
        <v>327730.34053330269</v>
      </c>
      <c r="C127" s="797">
        <f>C123+C126</f>
        <v>44571326.312529169</v>
      </c>
      <c r="D127" s="797">
        <f>D123+D126</f>
        <v>225558.05101082529</v>
      </c>
      <c r="E127" s="797">
        <f>E123+E126</f>
        <v>26130900.209604107</v>
      </c>
      <c r="F127" s="798">
        <f>C127-E127</f>
        <v>18440426.102925062</v>
      </c>
      <c r="G127" s="1318">
        <f t="shared" si="15"/>
        <v>0.70569425297286537</v>
      </c>
      <c r="H127" s="287"/>
      <c r="L127" s="102"/>
      <c r="M127" s="102"/>
    </row>
    <row r="128" spans="1:13">
      <c r="A128" s="690" t="s">
        <v>136</v>
      </c>
      <c r="B128" s="691">
        <f>'[26]CBK_ Disclosures-E BCDC'!$B$31</f>
        <v>2447746.8735957141</v>
      </c>
      <c r="C128" s="691">
        <f>B128*$C$1</f>
        <v>332893574.80901712</v>
      </c>
      <c r="D128" s="691">
        <f>[4]E_BCDC!$B$128</f>
        <v>2192382.070061367</v>
      </c>
      <c r="E128" s="207">
        <f>D128*E1</f>
        <v>253987462.81660935</v>
      </c>
      <c r="F128" s="692">
        <f>C128-E128</f>
        <v>78906111.992407769</v>
      </c>
      <c r="G128" s="1320">
        <f t="shared" si="15"/>
        <v>0.31066931854578039</v>
      </c>
    </row>
    <row r="129" spans="1:13">
      <c r="A129" s="31" t="s">
        <v>137</v>
      </c>
      <c r="B129" s="277"/>
      <c r="C129" s="277"/>
      <c r="D129" s="277"/>
      <c r="E129" s="218"/>
      <c r="F129" s="355"/>
      <c r="G129" s="1308"/>
    </row>
    <row r="130" spans="1:13" hidden="1">
      <c r="A130" s="27" t="s">
        <v>138</v>
      </c>
      <c r="B130" s="442">
        <f>B123/(B31+B32)</f>
        <v>0.10307853614492909</v>
      </c>
      <c r="C130" s="442">
        <f>B130</f>
        <v>0.10307853614492909</v>
      </c>
      <c r="D130" s="442">
        <f>D123/(D31+D32)</f>
        <v>7.9589667624966068E-2</v>
      </c>
      <c r="E130" s="442">
        <f>D130</f>
        <v>7.9589667624966068E-2</v>
      </c>
      <c r="F130" s="442">
        <f>B130-D130</f>
        <v>2.3488868519963027E-2</v>
      </c>
      <c r="G130" s="1308">
        <f>IFERROR(F130/D130,0)</f>
        <v>0.29512459620568798</v>
      </c>
    </row>
    <row r="131" spans="1:13" hidden="1">
      <c r="A131" s="27" t="s">
        <v>139</v>
      </c>
      <c r="B131" s="442">
        <v>0.08</v>
      </c>
      <c r="C131" s="442">
        <v>0.08</v>
      </c>
      <c r="D131" s="442">
        <v>0.08</v>
      </c>
      <c r="E131" s="442">
        <v>0.08</v>
      </c>
      <c r="F131" s="277"/>
      <c r="G131" s="1308"/>
    </row>
    <row r="132" spans="1:13" hidden="1">
      <c r="A132" s="47" t="s">
        <v>140</v>
      </c>
      <c r="B132" s="477">
        <f>B130-B131</f>
        <v>2.3078536144929093E-2</v>
      </c>
      <c r="C132" s="477">
        <f>C130-C131</f>
        <v>2.3078536144929093E-2</v>
      </c>
      <c r="D132" s="477">
        <f>D130-D131</f>
        <v>-4.1033237503393383E-4</v>
      </c>
      <c r="E132" s="477">
        <f>E130-E131</f>
        <v>-4.1033237503393383E-4</v>
      </c>
      <c r="F132" s="443">
        <f>E132-C132</f>
        <v>-2.3488868519963027E-2</v>
      </c>
      <c r="G132" s="1321">
        <f>F132/E132</f>
        <v>57.243517570409928</v>
      </c>
    </row>
    <row r="133" spans="1:13">
      <c r="A133" s="27" t="s">
        <v>141</v>
      </c>
      <c r="B133" s="373">
        <f>B123/B128</f>
        <v>0.11722257238297105</v>
      </c>
      <c r="C133" s="373">
        <f>B133</f>
        <v>0.11722257238297105</v>
      </c>
      <c r="D133" s="373">
        <f>D123/D128</f>
        <v>8.6896553945857116E-2</v>
      </c>
      <c r="E133" s="373">
        <f>D133</f>
        <v>8.6896553945857116E-2</v>
      </c>
      <c r="F133" s="373">
        <f>B133-D133</f>
        <v>3.0326018437113939E-2</v>
      </c>
      <c r="G133" s="1308">
        <f>IFERROR(F133/D133,0)</f>
        <v>0.34898988579005397</v>
      </c>
    </row>
    <row r="134" spans="1:13">
      <c r="A134" s="27" t="s">
        <v>142</v>
      </c>
      <c r="B134" s="373">
        <v>7.0000000000000007E-2</v>
      </c>
      <c r="C134" s="373">
        <v>7.0000000000000007E-2</v>
      </c>
      <c r="D134" s="373">
        <v>7.0000000000000007E-2</v>
      </c>
      <c r="E134" s="373">
        <v>7.0000000000000007E-2</v>
      </c>
      <c r="F134" s="373"/>
      <c r="G134" s="1308"/>
    </row>
    <row r="135" spans="1:13">
      <c r="A135" s="47" t="s">
        <v>143</v>
      </c>
      <c r="B135" s="443">
        <f>B133-B134</f>
        <v>4.7222572382971048E-2</v>
      </c>
      <c r="C135" s="443">
        <f>B135</f>
        <v>4.7222572382971048E-2</v>
      </c>
      <c r="D135" s="443">
        <f>D133-D134</f>
        <v>1.689655394585711E-2</v>
      </c>
      <c r="E135" s="443">
        <f>D135</f>
        <v>1.689655394585711E-2</v>
      </c>
      <c r="F135" s="443">
        <f>B135-D135</f>
        <v>3.0326018437113939E-2</v>
      </c>
      <c r="G135" s="1321">
        <f>IFERROR(F135/D135,0)</f>
        <v>1.7948049368107761</v>
      </c>
    </row>
    <row r="136" spans="1:13">
      <c r="A136" s="27" t="s">
        <v>144</v>
      </c>
      <c r="B136" s="373">
        <f>B127/B128</f>
        <v>0.13389061755877982</v>
      </c>
      <c r="C136" s="373">
        <f>B136</f>
        <v>0.13389061755877982</v>
      </c>
      <c r="D136" s="373">
        <f>D127/D128</f>
        <v>0.10288263806340639</v>
      </c>
      <c r="E136" s="373">
        <f>D136</f>
        <v>0.10288263806340639</v>
      </c>
      <c r="F136" s="373">
        <f>B136-D136</f>
        <v>3.1007979495373428E-2</v>
      </c>
      <c r="G136" s="1308">
        <f>IFERROR(F136/D136,0)</f>
        <v>0.30139176132189832</v>
      </c>
    </row>
    <row r="137" spans="1:13">
      <c r="A137" s="27" t="s">
        <v>145</v>
      </c>
      <c r="B137" s="373">
        <v>0.1</v>
      </c>
      <c r="C137" s="373">
        <v>0.1</v>
      </c>
      <c r="D137" s="373">
        <v>0.1</v>
      </c>
      <c r="E137" s="373">
        <v>0.1</v>
      </c>
      <c r="F137" s="373"/>
      <c r="G137" s="1308"/>
    </row>
    <row r="138" spans="1:13">
      <c r="A138" s="47" t="s">
        <v>146</v>
      </c>
      <c r="B138" s="443">
        <f>B136-B137</f>
        <v>3.3890617558779812E-2</v>
      </c>
      <c r="C138" s="443">
        <f>B138</f>
        <v>3.3890617558779812E-2</v>
      </c>
      <c r="D138" s="443">
        <f>D136-D137</f>
        <v>2.8826380634063842E-3</v>
      </c>
      <c r="E138" s="443">
        <f>D138</f>
        <v>2.8826380634063842E-3</v>
      </c>
      <c r="F138" s="443">
        <f>B138-D138</f>
        <v>3.1007979495373428E-2</v>
      </c>
      <c r="G138" s="1321">
        <f>IFERROR(F138/D138,0)</f>
        <v>10.756806374342956</v>
      </c>
    </row>
    <row r="139" spans="1:13">
      <c r="A139" s="27"/>
      <c r="B139" s="277"/>
      <c r="C139" s="277"/>
      <c r="D139" s="277"/>
      <c r="E139" s="373"/>
      <c r="F139" s="277"/>
      <c r="G139" s="1308"/>
      <c r="L139" s="105"/>
      <c r="M139" s="105"/>
    </row>
    <row r="140" spans="1:13">
      <c r="A140" s="31" t="s">
        <v>147</v>
      </c>
      <c r="B140" s="277"/>
      <c r="C140" s="277"/>
      <c r="D140" s="277"/>
      <c r="E140" s="373"/>
      <c r="F140" s="277"/>
      <c r="G140" s="1308"/>
    </row>
    <row r="141" spans="1:13" s="105" customFormat="1">
      <c r="A141" s="31" t="s">
        <v>148</v>
      </c>
      <c r="B141" s="799">
        <f>'[26]CBK_ Disclosures-E BCDC'!$B$43</f>
        <v>1.3442995584413668</v>
      </c>
      <c r="C141" s="799">
        <f>B141</f>
        <v>1.3442995584413668</v>
      </c>
      <c r="D141" s="799">
        <f>[4]E_BCDC!$B$141</f>
        <v>1.4033703289987824</v>
      </c>
      <c r="E141" s="799">
        <f>D141</f>
        <v>1.4033703289987824</v>
      </c>
      <c r="F141" s="799">
        <f>B141-D141</f>
        <v>-5.9070770557415608E-2</v>
      </c>
      <c r="G141" s="1318">
        <f>IFERROR(F141/D141,0)</f>
        <v>-4.2092076009301788E-2</v>
      </c>
      <c r="H141" s="287"/>
      <c r="L141" s="102"/>
      <c r="M141" s="102"/>
    </row>
    <row r="142" spans="1:13">
      <c r="A142" s="27" t="s">
        <v>149</v>
      </c>
      <c r="B142" s="373">
        <v>1</v>
      </c>
      <c r="C142" s="373">
        <f>B142</f>
        <v>1</v>
      </c>
      <c r="D142" s="373">
        <f>[28]EBCL!$B$144</f>
        <v>1</v>
      </c>
      <c r="E142" s="373">
        <v>1</v>
      </c>
      <c r="F142" s="373"/>
      <c r="G142" s="1308"/>
    </row>
    <row r="143" spans="1:13">
      <c r="A143" s="47" t="s">
        <v>154</v>
      </c>
      <c r="B143" s="443">
        <f>B141-B142</f>
        <v>0.34429955844136684</v>
      </c>
      <c r="C143" s="443">
        <f>B143</f>
        <v>0.34429955844136684</v>
      </c>
      <c r="D143" s="443">
        <f>[4]E_BCDC!$B$143</f>
        <v>0.40337032899878245</v>
      </c>
      <c r="E143" s="443">
        <f>D143</f>
        <v>0.40337032899878245</v>
      </c>
      <c r="F143" s="443">
        <f>F141-F142</f>
        <v>-5.9070770557415608E-2</v>
      </c>
      <c r="G143" s="1321">
        <f>G141-G142</f>
        <v>-4.2092076009301788E-2</v>
      </c>
    </row>
  </sheetData>
  <sortState xmlns:xlrd2="http://schemas.microsoft.com/office/spreadsheetml/2017/richdata2" ref="K78:M81">
    <sortCondition descending="1" ref="M78:M81"/>
  </sortState>
  <mergeCells count="6">
    <mergeCell ref="A1:B1"/>
    <mergeCell ref="A56:B56"/>
    <mergeCell ref="F57:F58"/>
    <mergeCell ref="G57:G58"/>
    <mergeCell ref="F2:F5"/>
    <mergeCell ref="G2:G5"/>
  </mergeCells>
  <pageMargins left="0.7" right="0.7" top="0.75" bottom="0.75" header="0.3" footer="0.3"/>
  <pageSetup paperSize="8" scale="4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  <pageSetUpPr fitToPage="1"/>
  </sheetPr>
  <dimension ref="A1:AK197"/>
  <sheetViews>
    <sheetView workbookViewId="0">
      <selection activeCell="V93" sqref="V93"/>
    </sheetView>
  </sheetViews>
  <sheetFormatPr defaultColWidth="9.140625" defaultRowHeight="12.75"/>
  <cols>
    <col min="1" max="1" width="59.140625" style="304" customWidth="1"/>
    <col min="2" max="2" width="16.28515625" style="50" customWidth="1"/>
    <col min="3" max="3" width="13.7109375" style="50" customWidth="1"/>
    <col min="4" max="4" width="13.7109375" style="50" hidden="1" customWidth="1"/>
    <col min="5" max="6" width="13.7109375" style="50" customWidth="1"/>
    <col min="7" max="7" width="15.42578125" style="154" customWidth="1"/>
    <col min="8" max="8" width="62" style="348" hidden="1" customWidth="1"/>
    <col min="9" max="9" width="14.5703125" style="102" customWidth="1"/>
    <col min="10" max="10" width="15.7109375" style="102" hidden="1" customWidth="1"/>
    <col min="11" max="11" width="17.140625" style="102" hidden="1" customWidth="1"/>
    <col min="12" max="12" width="11.5703125" style="102" hidden="1" customWidth="1"/>
    <col min="13" max="13" width="0" style="102" hidden="1" customWidth="1"/>
    <col min="14" max="14" width="15" style="102" hidden="1" customWidth="1"/>
    <col min="15" max="16" width="14.5703125" style="102" hidden="1" customWidth="1"/>
    <col min="17" max="17" width="15" style="102" customWidth="1"/>
    <col min="18" max="18" width="13" style="102" bestFit="1" customWidth="1"/>
    <col min="19" max="19" width="9.140625" style="102"/>
    <col min="20" max="20" width="13.5703125" style="102" bestFit="1" customWidth="1"/>
    <col min="21" max="32" width="9.140625" style="102"/>
    <col min="33" max="33" width="16.28515625" style="50" customWidth="1"/>
    <col min="34" max="34" width="13" style="102" bestFit="1" customWidth="1"/>
    <col min="35" max="35" width="9.140625" style="102"/>
    <col min="36" max="36" width="16.28515625" style="50" customWidth="1"/>
    <col min="37" max="37" width="12" style="102" bestFit="1" customWidth="1"/>
    <col min="38" max="16384" width="9.140625" style="102"/>
  </cols>
  <sheetData>
    <row r="1" spans="1:37" ht="20.25">
      <c r="A1" s="1545" t="s">
        <v>542</v>
      </c>
      <c r="B1" s="1568"/>
      <c r="C1" s="93"/>
      <c r="D1" s="93"/>
      <c r="E1" s="93"/>
      <c r="F1" s="153"/>
      <c r="G1" s="150"/>
      <c r="AG1" s="102"/>
      <c r="AJ1" s="102"/>
    </row>
    <row r="2" spans="1:37" ht="12.75" customHeight="1">
      <c r="A2" s="291" t="s">
        <v>862</v>
      </c>
      <c r="B2" s="1191">
        <f>GROUP!G3</f>
        <v>45046</v>
      </c>
      <c r="C2" s="1191">
        <f>B2</f>
        <v>45046</v>
      </c>
      <c r="D2" s="1191">
        <f>EBKL!C2</f>
        <v>44681</v>
      </c>
      <c r="E2" s="1191">
        <f>EBKL!C2</f>
        <v>44681</v>
      </c>
      <c r="F2" s="1537" t="s">
        <v>85</v>
      </c>
      <c r="G2" s="1571" t="s">
        <v>86</v>
      </c>
      <c r="AG2" s="19">
        <v>44530</v>
      </c>
      <c r="AJ2" s="19">
        <v>44530</v>
      </c>
    </row>
    <row r="3" spans="1:37">
      <c r="A3" s="292" t="s">
        <v>0</v>
      </c>
      <c r="B3" s="19" t="s">
        <v>82</v>
      </c>
      <c r="C3" s="19" t="s">
        <v>82</v>
      </c>
      <c r="D3" s="19" t="s">
        <v>96</v>
      </c>
      <c r="E3" s="19" t="str">
        <f>D3</f>
        <v>Prior year</v>
      </c>
      <c r="F3" s="1538"/>
      <c r="G3" s="1572"/>
      <c r="AG3" s="19" t="s">
        <v>82</v>
      </c>
      <c r="AJ3" s="19" t="s">
        <v>82</v>
      </c>
    </row>
    <row r="4" spans="1:37">
      <c r="A4" s="292"/>
      <c r="B4" s="19" t="s">
        <v>512</v>
      </c>
      <c r="C4" s="19" t="s">
        <v>97</v>
      </c>
      <c r="D4" s="19" t="s">
        <v>512</v>
      </c>
      <c r="E4" s="19" t="s">
        <v>97</v>
      </c>
      <c r="F4" s="21" t="s">
        <v>403</v>
      </c>
      <c r="G4" s="22"/>
      <c r="AG4" s="19" t="s">
        <v>512</v>
      </c>
      <c r="AJ4" s="19" t="s">
        <v>97</v>
      </c>
    </row>
    <row r="5" spans="1:37">
      <c r="A5" s="291" t="s">
        <v>1</v>
      </c>
      <c r="B5" s="21" t="s">
        <v>879</v>
      </c>
      <c r="C5" s="21" t="s">
        <v>879</v>
      </c>
      <c r="D5" s="21" t="s">
        <v>879</v>
      </c>
      <c r="E5" s="19" t="s">
        <v>879</v>
      </c>
      <c r="F5" s="21"/>
      <c r="G5" s="22"/>
      <c r="AG5" s="19" t="s">
        <v>84</v>
      </c>
      <c r="AJ5" s="19" t="s">
        <v>84</v>
      </c>
    </row>
    <row r="6" spans="1:37" ht="13.5" thickBot="1">
      <c r="A6" s="293"/>
      <c r="B6" s="25"/>
      <c r="C6" s="817">
        <f>'[40]PUB-Format '!$OQ$3</f>
        <v>0.15420000000124448</v>
      </c>
      <c r="D6" s="100">
        <f>[4]EBSSL!$C$6</f>
        <v>0.27009999999805001</v>
      </c>
      <c r="E6" s="25"/>
      <c r="F6" s="25"/>
      <c r="G6" s="1291"/>
      <c r="AG6" s="25"/>
      <c r="AJ6" s="25">
        <v>0.28724579163635094</v>
      </c>
    </row>
    <row r="7" spans="1:37" ht="15.75" thickBot="1">
      <c r="A7" s="293" t="s">
        <v>2</v>
      </c>
      <c r="B7" s="25">
        <f>'[40]PUB-Format '!$LO$8</f>
        <v>13143695.957557317</v>
      </c>
      <c r="C7" s="24">
        <f>B7*$C$6</f>
        <v>2026757.9166716954</v>
      </c>
      <c r="D7" s="25">
        <f>[4]EBSSL!$B$7</f>
        <v>4930277.934928257</v>
      </c>
      <c r="E7" s="75">
        <f>D7*D6</f>
        <v>1331668.0702145083</v>
      </c>
      <c r="F7" s="25">
        <f>(C7-E7)</f>
        <v>695089.84645718709</v>
      </c>
      <c r="G7" s="1291">
        <f>IFERROR(F7/E7,0)</f>
        <v>0.52196929700748951</v>
      </c>
      <c r="H7" s="357"/>
      <c r="I7" s="103"/>
      <c r="AG7" s="25">
        <v>8355019.0139683187</v>
      </c>
      <c r="AH7" s="103">
        <f>B7-AG7</f>
        <v>4788676.9435889982</v>
      </c>
      <c r="AJ7" s="25">
        <v>2399944.0508040939</v>
      </c>
      <c r="AK7" s="103">
        <f>C7-AJ7</f>
        <v>-373186.13413239853</v>
      </c>
    </row>
    <row r="8" spans="1:37">
      <c r="A8" s="294" t="s">
        <v>3</v>
      </c>
      <c r="B8" s="25">
        <v>0</v>
      </c>
      <c r="C8" s="24">
        <f t="shared" ref="C8:C27" si="0">B8*$C$6</f>
        <v>0</v>
      </c>
      <c r="D8" s="25">
        <v>0</v>
      </c>
      <c r="E8" s="75">
        <f>[4]EBSSL!$C8</f>
        <v>0</v>
      </c>
      <c r="F8" s="25">
        <f t="shared" ref="F8:F28" si="1">(C8-E8)</f>
        <v>0</v>
      </c>
      <c r="G8" s="1291">
        <f t="shared" ref="G8:G28" si="2">IFERROR(F8/E8,0)</f>
        <v>0</v>
      </c>
      <c r="AG8" s="25">
        <v>0</v>
      </c>
      <c r="AH8" s="103">
        <f t="shared" ref="AH8:AH71" si="3">B8-AG8</f>
        <v>0</v>
      </c>
      <c r="AJ8" s="25">
        <v>0</v>
      </c>
      <c r="AK8" s="103">
        <f t="shared" ref="AK8:AK71" si="4">C8-AJ8</f>
        <v>0</v>
      </c>
    </row>
    <row r="9" spans="1:37">
      <c r="A9" s="294" t="s">
        <v>4</v>
      </c>
      <c r="B9" s="25">
        <v>0</v>
      </c>
      <c r="C9" s="24">
        <f t="shared" si="0"/>
        <v>0</v>
      </c>
      <c r="D9" s="25">
        <v>0</v>
      </c>
      <c r="E9" s="75">
        <f>[4]EBSSL!$C9</f>
        <v>0</v>
      </c>
      <c r="F9" s="25">
        <f t="shared" si="1"/>
        <v>0</v>
      </c>
      <c r="G9" s="1291">
        <f t="shared" si="2"/>
        <v>0</v>
      </c>
      <c r="I9" s="103"/>
      <c r="AG9" s="25">
        <v>0</v>
      </c>
      <c r="AH9" s="103">
        <f t="shared" si="3"/>
        <v>0</v>
      </c>
      <c r="AJ9" s="25">
        <v>0</v>
      </c>
      <c r="AK9" s="103">
        <f t="shared" si="4"/>
        <v>0</v>
      </c>
    </row>
    <row r="10" spans="1:37">
      <c r="A10" s="294" t="s">
        <v>5</v>
      </c>
      <c r="B10" s="25">
        <v>0</v>
      </c>
      <c r="C10" s="24">
        <f>B10*$C$6</f>
        <v>0</v>
      </c>
      <c r="D10" s="25">
        <v>0</v>
      </c>
      <c r="E10" s="75">
        <f>[4]EBSSL!$C10</f>
        <v>0</v>
      </c>
      <c r="F10" s="25">
        <f t="shared" si="1"/>
        <v>0</v>
      </c>
      <c r="G10" s="1291">
        <f t="shared" si="2"/>
        <v>0</v>
      </c>
      <c r="I10" s="103"/>
      <c r="AG10" s="25">
        <v>0</v>
      </c>
      <c r="AH10" s="103">
        <f t="shared" si="3"/>
        <v>0</v>
      </c>
      <c r="AJ10" s="25">
        <v>0</v>
      </c>
      <c r="AK10" s="103">
        <f t="shared" si="4"/>
        <v>0</v>
      </c>
    </row>
    <row r="11" spans="1:37">
      <c r="A11" s="294" t="s">
        <v>6</v>
      </c>
      <c r="B11" s="25">
        <v>0</v>
      </c>
      <c r="C11" s="24">
        <f t="shared" si="0"/>
        <v>0</v>
      </c>
      <c r="D11" s="25">
        <v>0</v>
      </c>
      <c r="E11" s="75">
        <f>[4]EBSSL!$C11</f>
        <v>0</v>
      </c>
      <c r="F11" s="25">
        <f t="shared" si="1"/>
        <v>0</v>
      </c>
      <c r="G11" s="1291">
        <f t="shared" si="2"/>
        <v>0</v>
      </c>
      <c r="AG11" s="25">
        <v>0</v>
      </c>
      <c r="AH11" s="103">
        <f t="shared" si="3"/>
        <v>0</v>
      </c>
      <c r="AJ11" s="25">
        <v>0</v>
      </c>
      <c r="AK11" s="103">
        <f t="shared" si="4"/>
        <v>0</v>
      </c>
    </row>
    <row r="12" spans="1:37">
      <c r="A12" s="27" t="s">
        <v>7</v>
      </c>
      <c r="B12" s="25">
        <f>'[40]PUB-Format '!$LO9+'[40]PUB-Format '!$LO13+'[40]PUB-Format '!$LO18</f>
        <v>96215457.33855994</v>
      </c>
      <c r="C12" s="24">
        <f t="shared" si="0"/>
        <v>14836423.521725681</v>
      </c>
      <c r="D12" s="25">
        <f>[4]EBSSL!$B$12</f>
        <v>43982564.499645486</v>
      </c>
      <c r="E12" s="75">
        <f>[4]EBSSL!$C12</f>
        <v>11879690.67126848</v>
      </c>
      <c r="F12" s="25">
        <f t="shared" si="1"/>
        <v>2956732.8504572008</v>
      </c>
      <c r="G12" s="1291">
        <f t="shared" si="2"/>
        <v>0.2488897171041819</v>
      </c>
      <c r="H12" s="429" t="s">
        <v>306</v>
      </c>
      <c r="I12" s="103"/>
      <c r="J12" s="430"/>
      <c r="AG12" s="25">
        <v>36757146.478073932</v>
      </c>
      <c r="AH12" s="103">
        <f t="shared" si="3"/>
        <v>59458310.860486008</v>
      </c>
      <c r="AJ12" s="25">
        <v>10558335.638387656</v>
      </c>
      <c r="AK12" s="103">
        <f t="shared" si="4"/>
        <v>4278087.8833380248</v>
      </c>
    </row>
    <row r="13" spans="1:37">
      <c r="A13" s="294" t="s">
        <v>8</v>
      </c>
      <c r="B13" s="25">
        <v>0</v>
      </c>
      <c r="C13" s="24">
        <f t="shared" si="0"/>
        <v>0</v>
      </c>
      <c r="D13" s="25">
        <v>0</v>
      </c>
      <c r="E13" s="75">
        <f>[4]EBSSL!$C13</f>
        <v>0</v>
      </c>
      <c r="F13" s="25">
        <f t="shared" si="1"/>
        <v>0</v>
      </c>
      <c r="G13" s="1291">
        <f t="shared" si="2"/>
        <v>0</v>
      </c>
      <c r="H13" s="349"/>
      <c r="I13" s="103"/>
      <c r="J13" s="104"/>
      <c r="AG13" s="25">
        <v>0</v>
      </c>
      <c r="AH13" s="103">
        <f t="shared" si="3"/>
        <v>0</v>
      </c>
      <c r="AJ13" s="25">
        <v>0</v>
      </c>
      <c r="AK13" s="103">
        <f t="shared" si="4"/>
        <v>0</v>
      </c>
    </row>
    <row r="14" spans="1:37">
      <c r="A14" s="294" t="s">
        <v>9</v>
      </c>
      <c r="B14" s="25">
        <f>'[40]PUB-Format '!$LO15</f>
        <v>0</v>
      </c>
      <c r="C14" s="24">
        <f t="shared" si="0"/>
        <v>0</v>
      </c>
      <c r="D14" s="25">
        <f>[4]EBSSL!$B$14</f>
        <v>66103.482561208424</v>
      </c>
      <c r="E14" s="75">
        <f>[4]EBSSL!$C14</f>
        <v>17854.550639653495</v>
      </c>
      <c r="F14" s="25">
        <f t="shared" si="1"/>
        <v>-17854.550639653495</v>
      </c>
      <c r="G14" s="1291">
        <f t="shared" si="2"/>
        <v>-1</v>
      </c>
      <c r="I14" s="103"/>
      <c r="AG14" s="25">
        <v>0</v>
      </c>
      <c r="AH14" s="103">
        <f t="shared" si="3"/>
        <v>0</v>
      </c>
      <c r="AJ14" s="25">
        <v>0</v>
      </c>
      <c r="AK14" s="103">
        <f t="shared" si="4"/>
        <v>0</v>
      </c>
    </row>
    <row r="15" spans="1:37">
      <c r="A15" s="294" t="s">
        <v>10</v>
      </c>
      <c r="B15" s="25">
        <f>'[40]PUB-Format '!$LO16</f>
        <v>3370127.2462026766</v>
      </c>
      <c r="C15" s="24">
        <f t="shared" si="0"/>
        <v>519673.6213686468</v>
      </c>
      <c r="D15" s="25">
        <f>[4]EBSSL!$B$15</f>
        <v>1101134.9537273294</v>
      </c>
      <c r="E15" s="75">
        <f>[4]EBSSL!$C15</f>
        <v>297416.55099960446</v>
      </c>
      <c r="F15" s="25">
        <f t="shared" si="1"/>
        <v>222257.07036904234</v>
      </c>
      <c r="G15" s="1291">
        <f t="shared" si="2"/>
        <v>0.7472922055684047</v>
      </c>
      <c r="AG15" s="25">
        <v>792455.36694147345</v>
      </c>
      <c r="AH15" s="103">
        <f t="shared" si="3"/>
        <v>2577671.8792612031</v>
      </c>
      <c r="AJ15" s="25">
        <v>227629.4692135785</v>
      </c>
      <c r="AK15" s="103">
        <f t="shared" si="4"/>
        <v>292044.1521550683</v>
      </c>
    </row>
    <row r="16" spans="1:37">
      <c r="A16" s="294" t="s">
        <v>11</v>
      </c>
      <c r="B16" s="25">
        <v>0</v>
      </c>
      <c r="C16" s="24">
        <f t="shared" si="0"/>
        <v>0</v>
      </c>
      <c r="D16" s="25">
        <v>0</v>
      </c>
      <c r="E16" s="75">
        <f>[4]EBSSL!$C16</f>
        <v>0</v>
      </c>
      <c r="F16" s="25">
        <f t="shared" si="1"/>
        <v>0</v>
      </c>
      <c r="G16" s="1291">
        <f t="shared" si="2"/>
        <v>0</v>
      </c>
      <c r="AG16" s="25">
        <v>0</v>
      </c>
      <c r="AH16" s="103">
        <f t="shared" si="3"/>
        <v>0</v>
      </c>
      <c r="AJ16" s="25">
        <v>0</v>
      </c>
      <c r="AK16" s="103">
        <f t="shared" si="4"/>
        <v>0</v>
      </c>
    </row>
    <row r="17" spans="1:37">
      <c r="A17" s="294" t="s">
        <v>12</v>
      </c>
      <c r="B17" s="25">
        <f>'[40]PUB-Format '!$LO$19</f>
        <v>193517.70254815815</v>
      </c>
      <c r="C17" s="24">
        <f t="shared" si="0"/>
        <v>29840.429733166817</v>
      </c>
      <c r="D17" s="25">
        <f>[4]EBSSL!$B$17</f>
        <v>14332.323648503421</v>
      </c>
      <c r="E17" s="75">
        <f>[4]EBSSL!$C17</f>
        <v>3871.1606174328263</v>
      </c>
      <c r="F17" s="25">
        <f t="shared" si="1"/>
        <v>25969.26911573399</v>
      </c>
      <c r="G17" s="1291">
        <f t="shared" si="2"/>
        <v>6.7083936013369554</v>
      </c>
      <c r="AG17" s="25">
        <v>0</v>
      </c>
      <c r="AH17" s="103">
        <f t="shared" si="3"/>
        <v>193517.70254815815</v>
      </c>
      <c r="AJ17" s="25">
        <v>0</v>
      </c>
      <c r="AK17" s="103">
        <f t="shared" si="4"/>
        <v>29840.429733166817</v>
      </c>
    </row>
    <row r="18" spans="1:37">
      <c r="A18" s="294" t="s">
        <v>13</v>
      </c>
      <c r="B18" s="25">
        <v>0</v>
      </c>
      <c r="C18" s="24">
        <f t="shared" si="0"/>
        <v>0</v>
      </c>
      <c r="D18" s="25">
        <v>0</v>
      </c>
      <c r="E18" s="75">
        <f>[4]EBSSL!$C18</f>
        <v>0</v>
      </c>
      <c r="F18" s="25">
        <f t="shared" si="1"/>
        <v>0</v>
      </c>
      <c r="G18" s="1291">
        <f t="shared" si="2"/>
        <v>0</v>
      </c>
      <c r="AG18" s="25">
        <v>0</v>
      </c>
      <c r="AH18" s="103">
        <f t="shared" si="3"/>
        <v>0</v>
      </c>
      <c r="AJ18" s="25">
        <v>0</v>
      </c>
      <c r="AK18" s="103">
        <f t="shared" si="4"/>
        <v>0</v>
      </c>
    </row>
    <row r="19" spans="1:37">
      <c r="A19" s="294" t="s">
        <v>14</v>
      </c>
      <c r="B19" s="25">
        <v>0</v>
      </c>
      <c r="C19" s="24">
        <f t="shared" si="0"/>
        <v>0</v>
      </c>
      <c r="D19" s="25">
        <v>0</v>
      </c>
      <c r="E19" s="75">
        <f>[4]EBSSL!$C19</f>
        <v>0</v>
      </c>
      <c r="F19" s="25">
        <f t="shared" si="1"/>
        <v>0</v>
      </c>
      <c r="G19" s="1291">
        <f t="shared" si="2"/>
        <v>0</v>
      </c>
      <c r="AG19" s="25">
        <v>0</v>
      </c>
      <c r="AH19" s="103">
        <f t="shared" si="3"/>
        <v>0</v>
      </c>
      <c r="AJ19" s="25">
        <v>0</v>
      </c>
      <c r="AK19" s="103">
        <f t="shared" si="4"/>
        <v>0</v>
      </c>
    </row>
    <row r="20" spans="1:37">
      <c r="A20" s="294" t="s">
        <v>15</v>
      </c>
      <c r="B20" s="25">
        <v>0</v>
      </c>
      <c r="C20" s="24">
        <f t="shared" si="0"/>
        <v>0</v>
      </c>
      <c r="D20" s="25">
        <v>0</v>
      </c>
      <c r="E20" s="75">
        <f>[4]EBSSL!$C20</f>
        <v>0</v>
      </c>
      <c r="F20" s="25">
        <f t="shared" si="1"/>
        <v>0</v>
      </c>
      <c r="G20" s="1291">
        <f t="shared" si="2"/>
        <v>0</v>
      </c>
      <c r="AG20" s="25">
        <v>0</v>
      </c>
      <c r="AH20" s="103">
        <f t="shared" si="3"/>
        <v>0</v>
      </c>
      <c r="AJ20" s="25">
        <v>0</v>
      </c>
      <c r="AK20" s="103">
        <f t="shared" si="4"/>
        <v>0</v>
      </c>
    </row>
    <row r="21" spans="1:37">
      <c r="A21" s="294" t="s">
        <v>16</v>
      </c>
      <c r="B21" s="25">
        <v>0</v>
      </c>
      <c r="C21" s="24">
        <f t="shared" si="0"/>
        <v>0</v>
      </c>
      <c r="D21" s="25">
        <v>0</v>
      </c>
      <c r="E21" s="75">
        <f>[4]EBSSL!$C21</f>
        <v>0</v>
      </c>
      <c r="F21" s="25">
        <f t="shared" si="1"/>
        <v>0</v>
      </c>
      <c r="G21" s="1291">
        <f t="shared" si="2"/>
        <v>0</v>
      </c>
      <c r="AG21" s="25">
        <v>0</v>
      </c>
      <c r="AH21" s="103">
        <f t="shared" si="3"/>
        <v>0</v>
      </c>
      <c r="AJ21" s="25">
        <v>0</v>
      </c>
      <c r="AK21" s="103">
        <f t="shared" si="4"/>
        <v>0</v>
      </c>
    </row>
    <row r="22" spans="1:37">
      <c r="A22" s="294" t="s">
        <v>17</v>
      </c>
      <c r="B22" s="25">
        <f>'[40]PUB-Format '!$LO24</f>
        <v>421493.73651886481</v>
      </c>
      <c r="C22" s="24">
        <f t="shared" si="0"/>
        <v>64994.334171733492</v>
      </c>
      <c r="D22" s="25">
        <f>[4]EBSSL!$B$22</f>
        <v>367477.86150150828</v>
      </c>
      <c r="E22" s="75">
        <f>[4]EBSSL!$C22</f>
        <v>99255.770390840815</v>
      </c>
      <c r="F22" s="25">
        <f t="shared" si="1"/>
        <v>-34261.436219107323</v>
      </c>
      <c r="G22" s="1291">
        <f t="shared" si="2"/>
        <v>-0.3451833186543774</v>
      </c>
      <c r="AG22" s="25">
        <v>227050.26548014831</v>
      </c>
      <c r="AH22" s="103">
        <f t="shared" si="3"/>
        <v>194443.4710387165</v>
      </c>
      <c r="AJ22" s="25">
        <v>65219.233249088851</v>
      </c>
      <c r="AK22" s="103">
        <f t="shared" si="4"/>
        <v>-224.89907735535962</v>
      </c>
    </row>
    <row r="23" spans="1:37">
      <c r="A23" s="294" t="s">
        <v>18</v>
      </c>
      <c r="B23" s="25">
        <v>0</v>
      </c>
      <c r="C23" s="24">
        <f t="shared" si="0"/>
        <v>0</v>
      </c>
      <c r="D23" s="25">
        <f>[4]EBSSL!$B$23</f>
        <v>0</v>
      </c>
      <c r="E23" s="75">
        <f>[4]EBSSL!$C23</f>
        <v>0</v>
      </c>
      <c r="F23" s="25">
        <f t="shared" si="1"/>
        <v>0</v>
      </c>
      <c r="G23" s="1291">
        <f t="shared" si="2"/>
        <v>0</v>
      </c>
      <c r="AG23" s="25">
        <v>0</v>
      </c>
      <c r="AH23" s="103">
        <f t="shared" si="3"/>
        <v>0</v>
      </c>
      <c r="AJ23" s="25">
        <v>0</v>
      </c>
      <c r="AK23" s="103">
        <f t="shared" si="4"/>
        <v>0</v>
      </c>
    </row>
    <row r="24" spans="1:37">
      <c r="A24" s="294" t="s">
        <v>19</v>
      </c>
      <c r="B24" s="25">
        <v>0</v>
      </c>
      <c r="C24" s="24">
        <f t="shared" si="0"/>
        <v>0</v>
      </c>
      <c r="D24" s="25">
        <f>[4]EBSSL!$B$24</f>
        <v>0</v>
      </c>
      <c r="E24" s="75">
        <f>[4]EBSSL!$C24</f>
        <v>0</v>
      </c>
      <c r="F24" s="25">
        <f t="shared" si="1"/>
        <v>0</v>
      </c>
      <c r="G24" s="1291">
        <f t="shared" si="2"/>
        <v>0</v>
      </c>
      <c r="AG24" s="25">
        <v>0</v>
      </c>
      <c r="AH24" s="103">
        <f t="shared" si="3"/>
        <v>0</v>
      </c>
      <c r="AJ24" s="25">
        <v>0</v>
      </c>
      <c r="AK24" s="103">
        <f t="shared" si="4"/>
        <v>0</v>
      </c>
    </row>
    <row r="25" spans="1:37">
      <c r="A25" s="294" t="s">
        <v>20</v>
      </c>
      <c r="B25" s="25">
        <f>'[40]PUB-Format '!$LO27</f>
        <v>0</v>
      </c>
      <c r="C25" s="24">
        <f t="shared" si="0"/>
        <v>0</v>
      </c>
      <c r="D25" s="25">
        <f>[4]EBSSL!$B$25</f>
        <v>0</v>
      </c>
      <c r="E25" s="75">
        <f>[4]EBSSL!$C25</f>
        <v>0</v>
      </c>
      <c r="F25" s="25">
        <f t="shared" si="1"/>
        <v>0</v>
      </c>
      <c r="G25" s="1291">
        <f t="shared" si="2"/>
        <v>0</v>
      </c>
      <c r="AG25" s="25">
        <v>0</v>
      </c>
      <c r="AH25" s="103">
        <f t="shared" si="3"/>
        <v>0</v>
      </c>
      <c r="AJ25" s="25">
        <v>0</v>
      </c>
      <c r="AK25" s="103">
        <f t="shared" si="4"/>
        <v>0</v>
      </c>
    </row>
    <row r="26" spans="1:37">
      <c r="A26" s="294" t="s">
        <v>21</v>
      </c>
      <c r="B26" s="25">
        <v>0</v>
      </c>
      <c r="C26" s="24">
        <f t="shared" si="0"/>
        <v>0</v>
      </c>
      <c r="D26" s="25">
        <v>0</v>
      </c>
      <c r="E26" s="75">
        <f>[4]EBSSL!$C26</f>
        <v>0</v>
      </c>
      <c r="F26" s="25">
        <f t="shared" si="1"/>
        <v>0</v>
      </c>
      <c r="G26" s="1291">
        <f t="shared" si="2"/>
        <v>0</v>
      </c>
      <c r="AG26" s="25">
        <v>0</v>
      </c>
      <c r="AH26" s="103">
        <f t="shared" si="3"/>
        <v>0</v>
      </c>
      <c r="AJ26" s="25">
        <v>0</v>
      </c>
      <c r="AK26" s="103">
        <f t="shared" si="4"/>
        <v>0</v>
      </c>
    </row>
    <row r="27" spans="1:37">
      <c r="A27" s="294" t="s">
        <v>22</v>
      </c>
      <c r="B27" s="25">
        <f>'[40]PUB-Format '!$LO30+'[40]PUB-Format '!$LO28+'[40]PUB-Format '!$LO26</f>
        <v>4015198.6632397524</v>
      </c>
      <c r="C27" s="24">
        <f t="shared" si="0"/>
        <v>619143.63387656666</v>
      </c>
      <c r="D27" s="25">
        <f>[4]EBSSL!$B$27</f>
        <v>1815105.5381417072</v>
      </c>
      <c r="E27" s="75">
        <f>[4]EBSSL!$C27</f>
        <v>490260.00584853569</v>
      </c>
      <c r="F27" s="25">
        <f t="shared" si="1"/>
        <v>128883.62802803097</v>
      </c>
      <c r="G27" s="1292">
        <f t="shared" si="2"/>
        <v>0.26288831740406982</v>
      </c>
      <c r="AG27" s="25">
        <v>600124.61090269021</v>
      </c>
      <c r="AH27" s="103">
        <f t="shared" si="3"/>
        <v>3415074.0523370621</v>
      </c>
      <c r="AJ27" s="25">
        <v>172383.26893920032</v>
      </c>
      <c r="AK27" s="103">
        <f t="shared" si="4"/>
        <v>446760.36493736634</v>
      </c>
    </row>
    <row r="28" spans="1:37">
      <c r="A28" s="303" t="s">
        <v>23</v>
      </c>
      <c r="B28" s="39">
        <f>SUM(B7:B27)</f>
        <v>117359490.64462671</v>
      </c>
      <c r="C28" s="39">
        <f>SUM(C7:C27)</f>
        <v>18096833.457547493</v>
      </c>
      <c r="D28" s="39">
        <f>SUM(D7:D27)</f>
        <v>52276996.594153993</v>
      </c>
      <c r="E28" s="39">
        <f>SUM(E7:E27)</f>
        <v>14120016.779979056</v>
      </c>
      <c r="F28" s="638">
        <f t="shared" si="1"/>
        <v>3976816.6775684375</v>
      </c>
      <c r="G28" s="1293">
        <f t="shared" si="2"/>
        <v>0.28164390591994298</v>
      </c>
      <c r="AG28" s="39">
        <v>46731795.735366561</v>
      </c>
      <c r="AH28" s="103">
        <f t="shared" si="3"/>
        <v>70627694.909260154</v>
      </c>
      <c r="AJ28" s="39">
        <v>13423511.660593618</v>
      </c>
      <c r="AK28" s="103">
        <f t="shared" si="4"/>
        <v>4673321.7969538756</v>
      </c>
    </row>
    <row r="29" spans="1:37">
      <c r="A29" s="298"/>
      <c r="B29" s="76"/>
      <c r="C29" s="32"/>
      <c r="D29" s="76"/>
      <c r="E29" s="32"/>
      <c r="F29" s="32"/>
      <c r="G29" s="1294"/>
      <c r="AG29" s="76"/>
      <c r="AH29" s="103">
        <f t="shared" si="3"/>
        <v>0</v>
      </c>
      <c r="AJ29" s="76"/>
      <c r="AK29" s="103">
        <f t="shared" si="4"/>
        <v>0</v>
      </c>
    </row>
    <row r="30" spans="1:37">
      <c r="A30" s="298" t="s">
        <v>24</v>
      </c>
      <c r="B30" s="25"/>
      <c r="C30" s="24"/>
      <c r="D30" s="25"/>
      <c r="E30" s="24"/>
      <c r="F30" s="24"/>
      <c r="G30" s="1291"/>
      <c r="AG30" s="25"/>
      <c r="AH30" s="103">
        <f t="shared" si="3"/>
        <v>0</v>
      </c>
      <c r="AJ30" s="25"/>
      <c r="AK30" s="103">
        <f t="shared" si="4"/>
        <v>0</v>
      </c>
    </row>
    <row r="31" spans="1:37">
      <c r="A31" s="294" t="s">
        <v>25</v>
      </c>
      <c r="B31" s="25">
        <v>0</v>
      </c>
      <c r="C31" s="24">
        <f t="shared" ref="C31:C41" si="5">B31*$C$6</f>
        <v>0</v>
      </c>
      <c r="D31" s="25">
        <v>0</v>
      </c>
      <c r="E31" s="75">
        <f>[4]EBSSL!$C31</f>
        <v>0</v>
      </c>
      <c r="F31" s="25">
        <f t="shared" ref="F31:F42" si="6">(C31-E31)</f>
        <v>0</v>
      </c>
      <c r="G31" s="1291">
        <f t="shared" ref="G31:G42" si="7">IFERROR(F31/E31,0)</f>
        <v>0</v>
      </c>
      <c r="AG31" s="25">
        <v>0</v>
      </c>
      <c r="AH31" s="103">
        <f t="shared" si="3"/>
        <v>0</v>
      </c>
      <c r="AJ31" s="25">
        <v>0</v>
      </c>
      <c r="AK31" s="103">
        <f t="shared" si="4"/>
        <v>0</v>
      </c>
    </row>
    <row r="32" spans="1:37">
      <c r="A32" s="294" t="s">
        <v>26</v>
      </c>
      <c r="B32" s="25">
        <f>'[40]PUB-Format '!$LO35</f>
        <v>78174339.417654231</v>
      </c>
      <c r="C32" s="24">
        <f t="shared" si="5"/>
        <v>12054483.138299569</v>
      </c>
      <c r="D32" s="25">
        <f>[4]EBSSL!$B$32</f>
        <v>34449218.098727748</v>
      </c>
      <c r="E32" s="75">
        <f>[4]EBSSL!$C32</f>
        <v>9304733.8083991893</v>
      </c>
      <c r="F32" s="25">
        <f t="shared" si="6"/>
        <v>2749749.3299003802</v>
      </c>
      <c r="G32" s="1291">
        <f t="shared" si="7"/>
        <v>0.29552154704503625</v>
      </c>
      <c r="H32" s="348" t="s">
        <v>307</v>
      </c>
      <c r="AG32" s="25">
        <v>31143527.780320175</v>
      </c>
      <c r="AH32" s="103">
        <f t="shared" si="3"/>
        <v>47030811.637334056</v>
      </c>
      <c r="AJ32" s="25">
        <v>8945847.2916067559</v>
      </c>
      <c r="AK32" s="103">
        <f t="shared" si="4"/>
        <v>3108635.8466928136</v>
      </c>
    </row>
    <row r="33" spans="1:37">
      <c r="A33" s="294" t="s">
        <v>27</v>
      </c>
      <c r="B33" s="25">
        <v>0</v>
      </c>
      <c r="C33" s="24">
        <f>B33*$C$6</f>
        <v>0</v>
      </c>
      <c r="D33" s="25">
        <v>0</v>
      </c>
      <c r="E33" s="75">
        <f>[4]EBSSL!$C33</f>
        <v>0</v>
      </c>
      <c r="F33" s="25">
        <f t="shared" si="6"/>
        <v>0</v>
      </c>
      <c r="G33" s="1291">
        <f t="shared" si="7"/>
        <v>0</v>
      </c>
      <c r="AG33" s="25">
        <v>0</v>
      </c>
      <c r="AH33" s="103">
        <f t="shared" si="3"/>
        <v>0</v>
      </c>
      <c r="AJ33" s="25">
        <v>0</v>
      </c>
      <c r="AK33" s="103">
        <f t="shared" si="4"/>
        <v>0</v>
      </c>
    </row>
    <row r="34" spans="1:37">
      <c r="A34" s="294" t="s">
        <v>28</v>
      </c>
      <c r="B34" s="25">
        <v>0</v>
      </c>
      <c r="C34" s="24">
        <f t="shared" si="5"/>
        <v>0</v>
      </c>
      <c r="D34" s="25">
        <v>0</v>
      </c>
      <c r="E34" s="75">
        <f>[4]EBSSL!$C34</f>
        <v>0</v>
      </c>
      <c r="F34" s="25">
        <f t="shared" si="6"/>
        <v>0</v>
      </c>
      <c r="G34" s="1291">
        <f t="shared" si="7"/>
        <v>0</v>
      </c>
      <c r="AG34" s="25">
        <v>0</v>
      </c>
      <c r="AH34" s="103">
        <f t="shared" si="3"/>
        <v>0</v>
      </c>
      <c r="AJ34" s="25">
        <v>0</v>
      </c>
      <c r="AK34" s="103">
        <f t="shared" si="4"/>
        <v>0</v>
      </c>
    </row>
    <row r="35" spans="1:37">
      <c r="A35" s="294" t="s">
        <v>29</v>
      </c>
      <c r="B35" s="25">
        <v>0</v>
      </c>
      <c r="C35" s="24">
        <f>B35*$C$6</f>
        <v>0</v>
      </c>
      <c r="D35" s="25">
        <v>0</v>
      </c>
      <c r="E35" s="75">
        <f>[4]EBSSL!$C35</f>
        <v>0</v>
      </c>
      <c r="F35" s="25">
        <f t="shared" si="6"/>
        <v>0</v>
      </c>
      <c r="G35" s="1291">
        <f t="shared" si="7"/>
        <v>0</v>
      </c>
      <c r="AG35" s="25">
        <v>0</v>
      </c>
      <c r="AH35" s="103">
        <f t="shared" si="3"/>
        <v>0</v>
      </c>
      <c r="AJ35" s="25">
        <v>0</v>
      </c>
      <c r="AK35" s="103">
        <f t="shared" si="4"/>
        <v>0</v>
      </c>
    </row>
    <row r="36" spans="1:37">
      <c r="A36" s="294" t="s">
        <v>30</v>
      </c>
      <c r="B36" s="25">
        <f>'[40]PUB-Format '!$LO39</f>
        <v>0</v>
      </c>
      <c r="C36" s="24">
        <f t="shared" si="5"/>
        <v>0</v>
      </c>
      <c r="D36" s="25">
        <f>[4]EBSSL!$B$36</f>
        <v>0</v>
      </c>
      <c r="E36" s="75">
        <f>[4]EBSSL!$C36</f>
        <v>0</v>
      </c>
      <c r="F36" s="25">
        <f t="shared" si="6"/>
        <v>0</v>
      </c>
      <c r="G36" s="1291">
        <f t="shared" si="7"/>
        <v>0</v>
      </c>
      <c r="AG36" s="25">
        <v>0</v>
      </c>
      <c r="AH36" s="103">
        <f t="shared" si="3"/>
        <v>0</v>
      </c>
      <c r="AJ36" s="25">
        <v>0</v>
      </c>
      <c r="AK36" s="103">
        <f t="shared" si="4"/>
        <v>0</v>
      </c>
    </row>
    <row r="37" spans="1:37">
      <c r="A37" s="294" t="s">
        <v>31</v>
      </c>
      <c r="B37" s="25">
        <f>'[40]PUB-Format '!$LO40</f>
        <v>3315446.8311139713</v>
      </c>
      <c r="C37" s="24">
        <f t="shared" si="5"/>
        <v>511241.90136190038</v>
      </c>
      <c r="D37" s="25">
        <f>[4]EBSSL!$B$37</f>
        <v>740050.65058778331</v>
      </c>
      <c r="E37" s="75">
        <f>[4]EBSSL!$C37</f>
        <v>199887.68072231719</v>
      </c>
      <c r="F37" s="25">
        <f t="shared" si="6"/>
        <v>311354.22063958319</v>
      </c>
      <c r="G37" s="1291">
        <f t="shared" si="7"/>
        <v>1.5576458714937749</v>
      </c>
      <c r="AG37" s="25">
        <v>0</v>
      </c>
      <c r="AH37" s="103">
        <f t="shared" si="3"/>
        <v>3315446.8311139713</v>
      </c>
      <c r="AJ37" s="25">
        <v>0</v>
      </c>
      <c r="AK37" s="103">
        <f t="shared" si="4"/>
        <v>511241.90136190038</v>
      </c>
    </row>
    <row r="38" spans="1:37">
      <c r="A38" s="294" t="s">
        <v>32</v>
      </c>
      <c r="B38" s="25">
        <f>'[40]PUB-Format '!$LO41</f>
        <v>172539.8618119997</v>
      </c>
      <c r="C38" s="24">
        <f t="shared" si="5"/>
        <v>26605.646691625076</v>
      </c>
      <c r="D38" s="25">
        <f>[4]EBSSL!$B$38</f>
        <v>0</v>
      </c>
      <c r="E38" s="75">
        <f>[4]EBSSL!$C38</f>
        <v>0</v>
      </c>
      <c r="F38" s="25">
        <f t="shared" si="6"/>
        <v>26605.646691625076</v>
      </c>
      <c r="G38" s="1291">
        <f t="shared" si="7"/>
        <v>0</v>
      </c>
      <c r="K38" s="102" t="s">
        <v>447</v>
      </c>
      <c r="L38" s="102">
        <v>35992</v>
      </c>
      <c r="M38" s="102">
        <v>30.63</v>
      </c>
      <c r="N38" s="143">
        <f>L38*M38</f>
        <v>1102434.96</v>
      </c>
      <c r="AG38" s="25">
        <v>4377.3478354418357</v>
      </c>
      <c r="AH38" s="103">
        <f t="shared" si="3"/>
        <v>168162.51397655785</v>
      </c>
      <c r="AJ38" s="25">
        <v>1257.3747442591573</v>
      </c>
      <c r="AK38" s="103">
        <f t="shared" si="4"/>
        <v>25348.27194736592</v>
      </c>
    </row>
    <row r="39" spans="1:37">
      <c r="A39" s="294" t="s">
        <v>33</v>
      </c>
      <c r="B39" s="25">
        <v>0</v>
      </c>
      <c r="C39" s="24">
        <f t="shared" si="5"/>
        <v>0</v>
      </c>
      <c r="D39" s="25">
        <v>0</v>
      </c>
      <c r="E39" s="75">
        <f>[4]EBSSL!$C39</f>
        <v>0</v>
      </c>
      <c r="F39" s="25">
        <f t="shared" si="6"/>
        <v>0</v>
      </c>
      <c r="G39" s="1291">
        <f t="shared" si="7"/>
        <v>0</v>
      </c>
      <c r="K39" s="102" t="s">
        <v>448</v>
      </c>
      <c r="L39" s="102">
        <v>84235</v>
      </c>
      <c r="N39" s="143">
        <f>L39*M38</f>
        <v>2580118.0499999998</v>
      </c>
      <c r="Q39" s="879">
        <v>3146.0114432200699</v>
      </c>
      <c r="AG39" s="25">
        <v>0</v>
      </c>
      <c r="AH39" s="103">
        <f t="shared" si="3"/>
        <v>0</v>
      </c>
      <c r="AJ39" s="25">
        <v>0</v>
      </c>
      <c r="AK39" s="103">
        <f t="shared" si="4"/>
        <v>0</v>
      </c>
    </row>
    <row r="40" spans="1:37">
      <c r="A40" s="294" t="s">
        <v>34</v>
      </c>
      <c r="B40" s="699">
        <f>'[40]PUB-Format '!$LO43</f>
        <v>5359050.0404411275</v>
      </c>
      <c r="C40" s="389">
        <f t="shared" si="5"/>
        <v>826365.51624269108</v>
      </c>
      <c r="D40" s="699">
        <f>ROUND([4]EBSSL!$B$40,0)</f>
        <v>152973</v>
      </c>
      <c r="E40" s="75">
        <f>ROUND([4]EBSSL!$C40,0)</f>
        <v>41318</v>
      </c>
      <c r="F40" s="699">
        <f t="shared" si="6"/>
        <v>785047.51624269108</v>
      </c>
      <c r="G40" s="1291">
        <f t="shared" si="7"/>
        <v>19.000133507011256</v>
      </c>
      <c r="AG40" s="699">
        <v>1375100.7214687897</v>
      </c>
      <c r="AH40" s="103">
        <f t="shared" si="3"/>
        <v>3983949.318972338</v>
      </c>
      <c r="AJ40" s="699">
        <v>394991.89531801984</v>
      </c>
      <c r="AK40" s="103">
        <f t="shared" si="4"/>
        <v>431373.62092467124</v>
      </c>
    </row>
    <row r="41" spans="1:37">
      <c r="A41" s="294" t="s">
        <v>35</v>
      </c>
      <c r="B41" s="25">
        <v>0</v>
      </c>
      <c r="C41" s="24">
        <f t="shared" si="5"/>
        <v>0</v>
      </c>
      <c r="D41" s="25">
        <v>0</v>
      </c>
      <c r="E41" s="75">
        <f>[4]EBSSL!$C41</f>
        <v>0</v>
      </c>
      <c r="F41" s="25">
        <f t="shared" si="6"/>
        <v>0</v>
      </c>
      <c r="G41" s="1291">
        <f t="shared" si="7"/>
        <v>0</v>
      </c>
      <c r="J41" s="103"/>
      <c r="O41" s="388">
        <f>N38-N43</f>
        <v>935930.6138196754</v>
      </c>
      <c r="AG41" s="25">
        <v>0</v>
      </c>
      <c r="AH41" s="103">
        <f t="shared" si="3"/>
        <v>0</v>
      </c>
      <c r="AJ41" s="25">
        <v>0</v>
      </c>
      <c r="AK41" s="103">
        <f t="shared" si="4"/>
        <v>0</v>
      </c>
    </row>
    <row r="42" spans="1:37">
      <c r="A42" s="294" t="s">
        <v>36</v>
      </c>
      <c r="B42" s="699">
        <f>((('[40]PUB-Format '!$LO45))--0.0000100135803222656)</f>
        <v>3106123.8182735825</v>
      </c>
      <c r="C42" s="24">
        <f>B42*$C$6</f>
        <v>478964.29278165195</v>
      </c>
      <c r="D42" s="25">
        <f>[4]EBSSL!$B$42</f>
        <v>1338786.387281057</v>
      </c>
      <c r="E42" s="75">
        <f>[4]EBSSL!$C42</f>
        <v>361606.20320200286</v>
      </c>
      <c r="F42" s="25">
        <f t="shared" si="6"/>
        <v>117358.08957964909</v>
      </c>
      <c r="G42" s="1292">
        <f t="shared" si="7"/>
        <v>0.32454667132491016</v>
      </c>
      <c r="O42" s="388">
        <f>N39-N48</f>
        <v>2052378.317464821</v>
      </c>
      <c r="P42" s="388">
        <f>O42+O41</f>
        <v>2988308.9312844966</v>
      </c>
      <c r="AG42" s="880">
        <v>546944.54838805774</v>
      </c>
      <c r="AH42" s="103">
        <f>B42-AG42</f>
        <v>2559179.2698855246</v>
      </c>
      <c r="AJ42" s="880">
        <v>157107.51978291411</v>
      </c>
      <c r="AK42" s="103">
        <f t="shared" si="4"/>
        <v>321856.77299873787</v>
      </c>
    </row>
    <row r="43" spans="1:37">
      <c r="A43" s="303" t="s">
        <v>37</v>
      </c>
      <c r="B43" s="39">
        <f>SUM(B31:B42)</f>
        <v>90127499.969294906</v>
      </c>
      <c r="C43" s="39">
        <f>SUM(C31:C42)</f>
        <v>13897660.49537744</v>
      </c>
      <c r="D43" s="39">
        <f>SUM(D31:D42)</f>
        <v>36681028.13659659</v>
      </c>
      <c r="E43" s="39">
        <f>SUM(E31:E42)</f>
        <v>9907545.6923235096</v>
      </c>
      <c r="F43" s="638">
        <f>(C43-E43)</f>
        <v>3990114.8030539304</v>
      </c>
      <c r="G43" s="1294">
        <f>IFERROR(F43/E43,0)</f>
        <v>0.40273493829511392</v>
      </c>
      <c r="K43" s="102" t="s">
        <v>449</v>
      </c>
      <c r="L43" s="143">
        <v>26576.377489999999</v>
      </c>
      <c r="M43" s="102">
        <v>6.2651257208765863</v>
      </c>
      <c r="N43" s="143">
        <f>L43*M43</f>
        <v>166504.34618032453</v>
      </c>
      <c r="AG43" s="39">
        <v>33069950.398012463</v>
      </c>
      <c r="AH43" s="103">
        <f t="shared" si="3"/>
        <v>57057549.571282446</v>
      </c>
      <c r="AJ43" s="39">
        <v>9499204.0814519487</v>
      </c>
      <c r="AK43" s="103">
        <f t="shared" si="4"/>
        <v>4398456.4139254913</v>
      </c>
    </row>
    <row r="44" spans="1:37">
      <c r="A44" s="298"/>
      <c r="B44" s="60"/>
      <c r="C44" s="32"/>
      <c r="D44" s="60"/>
      <c r="E44" s="32"/>
      <c r="F44" s="32"/>
      <c r="G44" s="1292"/>
      <c r="N44" s="143"/>
      <c r="AG44" s="60"/>
      <c r="AH44" s="103">
        <f t="shared" si="3"/>
        <v>0</v>
      </c>
      <c r="AJ44" s="60"/>
      <c r="AK44" s="103">
        <f t="shared" si="4"/>
        <v>0</v>
      </c>
    </row>
    <row r="45" spans="1:37">
      <c r="A45" s="303" t="s">
        <v>38</v>
      </c>
      <c r="B45" s="39"/>
      <c r="C45" s="30"/>
      <c r="D45" s="39"/>
      <c r="E45" s="30"/>
      <c r="F45" s="30"/>
      <c r="G45" s="1291"/>
      <c r="I45" s="102">
        <v>-105162.19943682291</v>
      </c>
      <c r="M45" s="102">
        <v>0.72110037472775401</v>
      </c>
      <c r="N45" s="143">
        <f>M45*L43</f>
        <v>19164.235766945247</v>
      </c>
      <c r="AG45" s="39"/>
      <c r="AH45" s="103">
        <f t="shared" si="3"/>
        <v>0</v>
      </c>
      <c r="AJ45" s="39"/>
      <c r="AK45" s="103">
        <f t="shared" si="4"/>
        <v>0</v>
      </c>
    </row>
    <row r="46" spans="1:37">
      <c r="A46" s="294" t="s">
        <v>39</v>
      </c>
      <c r="B46" s="25">
        <f>'[40]PUB-Format '!$LO49</f>
        <v>24530496.889608078</v>
      </c>
      <c r="C46" s="24">
        <f>E46</f>
        <v>5606277.3229037998</v>
      </c>
      <c r="D46" s="25">
        <f>[4]EBSSL!$B$46</f>
        <v>24224822.819274604</v>
      </c>
      <c r="E46" s="75">
        <f>[29]EBSSL!$E$46</f>
        <v>5606277.3229037998</v>
      </c>
      <c r="F46" s="25">
        <f t="shared" ref="F46:F52" si="8">(C46-E46)</f>
        <v>0</v>
      </c>
      <c r="G46" s="1291">
        <f t="shared" ref="G46:G52" si="9">IFERROR(F46/E46,0)</f>
        <v>0</v>
      </c>
      <c r="I46" s="103"/>
      <c r="J46" s="103"/>
      <c r="K46" s="143"/>
      <c r="N46" s="388">
        <f>N43-N45</f>
        <v>147340.11041337927</v>
      </c>
      <c r="P46" s="388">
        <f>N46</f>
        <v>147340.11041337927</v>
      </c>
      <c r="AG46" s="25">
        <v>6741886.3866455667</v>
      </c>
      <c r="AH46" s="103">
        <f t="shared" si="3"/>
        <v>17788610.502962511</v>
      </c>
      <c r="AJ46" s="25">
        <v>5606277.3229037998</v>
      </c>
      <c r="AK46" s="103">
        <f t="shared" si="4"/>
        <v>0</v>
      </c>
    </row>
    <row r="47" spans="1:37">
      <c r="A47" s="294" t="s">
        <v>40</v>
      </c>
      <c r="B47" s="25">
        <f>'[40]PUB-Format '!$LO50</f>
        <v>440472.25878622785</v>
      </c>
      <c r="C47" s="24">
        <f>E47</f>
        <v>105162.3640342</v>
      </c>
      <c r="D47" s="25">
        <f>[4]EBSSL!$B$47</f>
        <v>434983.54207503161</v>
      </c>
      <c r="E47" s="75">
        <f>[4]EBSSL!$C$47</f>
        <v>105162.3640342</v>
      </c>
      <c r="F47" s="25">
        <f t="shared" si="8"/>
        <v>0</v>
      </c>
      <c r="G47" s="1291">
        <f t="shared" si="9"/>
        <v>0</v>
      </c>
      <c r="J47" s="103"/>
      <c r="K47" s="143"/>
      <c r="AG47" s="25">
        <v>121057.33310041267</v>
      </c>
      <c r="AH47" s="103">
        <f t="shared" si="3"/>
        <v>319414.92568581516</v>
      </c>
      <c r="AJ47" s="25">
        <v>105162.3640342</v>
      </c>
      <c r="AK47" s="103">
        <f t="shared" si="4"/>
        <v>0</v>
      </c>
    </row>
    <row r="48" spans="1:37" ht="13.5" customHeight="1">
      <c r="A48" s="414" t="s">
        <v>41</v>
      </c>
      <c r="B48" s="25">
        <f>'[40]PUB-Format '!$LO54</f>
        <v>0</v>
      </c>
      <c r="C48" s="389">
        <v>-1860916.2442245199</v>
      </c>
      <c r="D48" s="25">
        <v>0</v>
      </c>
      <c r="E48" s="75">
        <f>[4]EBSSL!$C$48</f>
        <v>949174.01121445699</v>
      </c>
      <c r="F48" s="25">
        <f>(C48-E48)</f>
        <v>-2810090.2554389769</v>
      </c>
      <c r="G48" s="1291">
        <f>-IFERROR(F48/E48,0)</f>
        <v>2.9605638399680787</v>
      </c>
      <c r="H48" s="314" t="s">
        <v>308</v>
      </c>
      <c r="K48" s="102" t="s">
        <v>450</v>
      </c>
      <c r="L48" s="102">
        <v>84234.5</v>
      </c>
      <c r="M48" s="102">
        <v>6.2651257208765863</v>
      </c>
      <c r="N48" s="607">
        <f>L48*M48</f>
        <v>527739.73253517877</v>
      </c>
      <c r="T48" s="370"/>
      <c r="AG48" s="25">
        <v>0</v>
      </c>
      <c r="AH48" s="103">
        <f t="shared" si="3"/>
        <v>0</v>
      </c>
      <c r="AJ48" s="25">
        <v>-3740087.9852038398</v>
      </c>
      <c r="AK48" s="103">
        <f t="shared" si="4"/>
        <v>1879171.7409793199</v>
      </c>
    </row>
    <row r="49" spans="1:37">
      <c r="A49" s="294" t="s">
        <v>42</v>
      </c>
      <c r="B49" s="25">
        <f>'[40]PUB-Format '!$LO51+'[40]PUB-Format '!$LO52</f>
        <v>2261021.5269374922</v>
      </c>
      <c r="C49" s="24">
        <f>B49*$C$6</f>
        <v>348649.5194565751</v>
      </c>
      <c r="D49" s="25">
        <f>[4]EBSSL!$B$49+[4]EBSSL!$B$48</f>
        <v>-9063838.1120670605</v>
      </c>
      <c r="E49" s="75">
        <f>[4]EBSSL!$C49</f>
        <v>-2448142.6740516387</v>
      </c>
      <c r="F49" s="25">
        <f t="shared" si="8"/>
        <v>2796792.1935082139</v>
      </c>
      <c r="G49" s="1291">
        <f t="shared" si="9"/>
        <v>-1.1424138891707507</v>
      </c>
      <c r="I49" s="103" t="s">
        <v>520</v>
      </c>
      <c r="Q49" s="103">
        <v>-1174027.8533404879</v>
      </c>
      <c r="R49" s="103">
        <f>B49-Q49</f>
        <v>3435049.3802779801</v>
      </c>
      <c r="T49" s="370"/>
      <c r="AG49" s="25">
        <v>6798901.617608116</v>
      </c>
      <c r="AH49" s="103">
        <f t="shared" si="3"/>
        <v>-4537880.0906706238</v>
      </c>
      <c r="AJ49" s="25">
        <v>1952955.8774075103</v>
      </c>
      <c r="AK49" s="103">
        <f t="shared" si="4"/>
        <v>-1604306.3579509351</v>
      </c>
    </row>
    <row r="50" spans="1:37">
      <c r="A50" s="294" t="s">
        <v>43</v>
      </c>
      <c r="B50" s="25">
        <v>0</v>
      </c>
      <c r="C50" s="24">
        <v>0</v>
      </c>
      <c r="D50" s="25">
        <v>0</v>
      </c>
      <c r="E50" s="75">
        <f>[4]EBSSL!$C50</f>
        <v>0</v>
      </c>
      <c r="F50" s="25">
        <f t="shared" si="8"/>
        <v>0</v>
      </c>
      <c r="G50" s="1291">
        <f t="shared" si="9"/>
        <v>0</v>
      </c>
      <c r="I50" s="478" t="s">
        <v>521</v>
      </c>
      <c r="J50" s="478"/>
      <c r="K50" s="388"/>
      <c r="M50" s="102">
        <v>0.72110037472775401</v>
      </c>
      <c r="N50" s="143">
        <f>L48*M50</f>
        <v>60741.529515004993</v>
      </c>
      <c r="R50" s="103">
        <f>B99</f>
        <v>4285517.3814574871</v>
      </c>
      <c r="T50" s="103"/>
      <c r="AG50" s="25">
        <v>0</v>
      </c>
      <c r="AH50" s="103">
        <f t="shared" si="3"/>
        <v>0</v>
      </c>
      <c r="AJ50" s="25">
        <v>0</v>
      </c>
      <c r="AK50" s="103">
        <f t="shared" si="4"/>
        <v>0</v>
      </c>
    </row>
    <row r="51" spans="1:37">
      <c r="A51" s="294" t="s">
        <v>44</v>
      </c>
      <c r="B51" s="25">
        <v>0</v>
      </c>
      <c r="C51" s="24">
        <f>B51*$C$6</f>
        <v>0</v>
      </c>
      <c r="D51" s="25">
        <v>0</v>
      </c>
      <c r="E51" s="75">
        <f>[4]EBSSL!$C51</f>
        <v>0</v>
      </c>
      <c r="F51" s="25">
        <f t="shared" si="8"/>
        <v>0</v>
      </c>
      <c r="G51" s="1291">
        <f t="shared" si="9"/>
        <v>0</v>
      </c>
      <c r="I51" s="478" t="s">
        <v>783</v>
      </c>
      <c r="J51" s="478"/>
      <c r="K51" s="143"/>
      <c r="N51" s="388">
        <f>N48-N50</f>
        <v>466998.20302017377</v>
      </c>
      <c r="P51" s="388">
        <f>N51</f>
        <v>466998.20302017377</v>
      </c>
      <c r="AG51" s="25">
        <v>0</v>
      </c>
      <c r="AH51" s="103">
        <f t="shared" si="3"/>
        <v>0</v>
      </c>
      <c r="AJ51" s="25">
        <v>0</v>
      </c>
      <c r="AK51" s="103">
        <f t="shared" si="4"/>
        <v>0</v>
      </c>
    </row>
    <row r="52" spans="1:37">
      <c r="A52" s="294" t="s">
        <v>45</v>
      </c>
      <c r="B52" s="25">
        <v>0</v>
      </c>
      <c r="C52" s="24">
        <f>B52*$C$6</f>
        <v>0</v>
      </c>
      <c r="D52" s="25">
        <v>0</v>
      </c>
      <c r="E52" s="75">
        <f>[4]EBSSL!$C52</f>
        <v>0</v>
      </c>
      <c r="F52" s="25">
        <f t="shared" si="8"/>
        <v>0</v>
      </c>
      <c r="G52" s="1291">
        <f t="shared" si="9"/>
        <v>0</v>
      </c>
      <c r="K52" s="388"/>
      <c r="P52" s="388">
        <f>SUM(P42:P51)</f>
        <v>3602647.2447180492</v>
      </c>
      <c r="R52" s="103">
        <f>R49-R50+R51</f>
        <v>-850468.001179507</v>
      </c>
      <c r="S52" s="711" t="s">
        <v>519</v>
      </c>
      <c r="T52" s="953"/>
      <c r="AG52" s="25">
        <v>0</v>
      </c>
      <c r="AH52" s="103">
        <f t="shared" si="3"/>
        <v>0</v>
      </c>
      <c r="AJ52" s="25">
        <v>0</v>
      </c>
      <c r="AK52" s="103">
        <f t="shared" si="4"/>
        <v>0</v>
      </c>
    </row>
    <row r="53" spans="1:37">
      <c r="A53" s="303" t="s">
        <v>46</v>
      </c>
      <c r="B53" s="39">
        <f>SUM(B46:B52)</f>
        <v>27231990.675331797</v>
      </c>
      <c r="C53" s="30">
        <f>SUM(C46:C52)</f>
        <v>4199172.9621700551</v>
      </c>
      <c r="D53" s="39">
        <f>SUM(D46:D52)</f>
        <v>15595968.249282574</v>
      </c>
      <c r="E53" s="30">
        <f>SUM(E46:E52)</f>
        <v>4212471.0241008177</v>
      </c>
      <c r="F53" s="638">
        <f>(C53-E53)</f>
        <v>-13298.061930762604</v>
      </c>
      <c r="G53" s="1292">
        <f>IFERROR(F53/E53,0)</f>
        <v>-3.1568316683201806E-3</v>
      </c>
      <c r="J53" s="381"/>
      <c r="AG53" s="39">
        <v>13661845.337354096</v>
      </c>
      <c r="AH53" s="103">
        <f t="shared" si="3"/>
        <v>13570145.337977702</v>
      </c>
      <c r="AJ53" s="39">
        <v>3924307.5791416704</v>
      </c>
      <c r="AK53" s="103">
        <f t="shared" si="4"/>
        <v>274865.38302838476</v>
      </c>
    </row>
    <row r="54" spans="1:37">
      <c r="A54" s="415"/>
      <c r="B54" s="61"/>
      <c r="C54" s="35"/>
      <c r="D54" s="61"/>
      <c r="E54" s="35"/>
      <c r="F54" s="35"/>
      <c r="G54" s="1294"/>
      <c r="H54" s="350"/>
      <c r="AG54" s="61"/>
      <c r="AH54" s="103">
        <f t="shared" si="3"/>
        <v>0</v>
      </c>
      <c r="AJ54" s="61"/>
      <c r="AK54" s="103">
        <f t="shared" si="4"/>
        <v>0</v>
      </c>
    </row>
    <row r="55" spans="1:37" ht="13.5" thickBot="1">
      <c r="A55" s="416" t="s">
        <v>47</v>
      </c>
      <c r="B55" s="94">
        <f>B43+B53</f>
        <v>117359490.64462671</v>
      </c>
      <c r="C55" s="94">
        <f>C43+C53</f>
        <v>18096833.457547493</v>
      </c>
      <c r="D55" s="94">
        <f>D43+D53</f>
        <v>52276996.385879166</v>
      </c>
      <c r="E55" s="94">
        <f>E43+E53</f>
        <v>14120016.716424327</v>
      </c>
      <c r="F55" s="94">
        <f>(C55-E55)</f>
        <v>3976816.7411231659</v>
      </c>
      <c r="G55" s="1295">
        <f>F55/E55</f>
        <v>0.28164391168867059</v>
      </c>
      <c r="H55" s="351"/>
      <c r="AG55" s="94">
        <v>46731795.735366561</v>
      </c>
      <c r="AH55" s="103">
        <f t="shared" si="3"/>
        <v>70627694.909260154</v>
      </c>
      <c r="AJ55" s="94">
        <v>13423511.66059362</v>
      </c>
      <c r="AK55" s="103">
        <f t="shared" si="4"/>
        <v>4673321.7969538737</v>
      </c>
    </row>
    <row r="56" spans="1:37" ht="13.5" hidden="1" thickBot="1">
      <c r="A56" s="417"/>
      <c r="B56" s="78">
        <f>B28-B55</f>
        <v>0</v>
      </c>
      <c r="C56" s="78">
        <f>C28-C55</f>
        <v>0</v>
      </c>
      <c r="D56" s="78">
        <f>D28-D55</f>
        <v>0.20827482640743256</v>
      </c>
      <c r="E56" s="78">
        <f>E28-E55</f>
        <v>6.3554728403687477E-2</v>
      </c>
      <c r="F56" s="78"/>
      <c r="G56" s="79"/>
      <c r="H56" s="351"/>
      <c r="K56" s="102">
        <v>-186074.18464586418</v>
      </c>
      <c r="AG56" s="78">
        <v>0</v>
      </c>
      <c r="AH56" s="103">
        <f t="shared" si="3"/>
        <v>0</v>
      </c>
      <c r="AJ56" s="78">
        <v>0</v>
      </c>
      <c r="AK56" s="103">
        <f t="shared" si="4"/>
        <v>0</v>
      </c>
    </row>
    <row r="57" spans="1:37" ht="13.5" thickBot="1">
      <c r="A57" s="396" t="s">
        <v>541</v>
      </c>
      <c r="B57" s="396">
        <f>B55-B28</f>
        <v>0</v>
      </c>
      <c r="C57" s="396">
        <f>C55-C28</f>
        <v>0</v>
      </c>
      <c r="D57" s="396">
        <f>B55-B28</f>
        <v>0</v>
      </c>
      <c r="E57" s="396">
        <f>E55-E28</f>
        <v>-6.3554728403687477E-2</v>
      </c>
      <c r="F57" s="395"/>
      <c r="G57" s="397"/>
      <c r="AG57" s="396">
        <v>0</v>
      </c>
      <c r="AH57" s="103">
        <f>B57-AG57</f>
        <v>0</v>
      </c>
      <c r="AJ57" s="396">
        <v>0</v>
      </c>
      <c r="AK57" s="103">
        <f t="shared" si="4"/>
        <v>0</v>
      </c>
    </row>
    <row r="58" spans="1:37" ht="18.75" customHeight="1" thickBot="1">
      <c r="A58" s="483" t="str">
        <f>A1</f>
        <v xml:space="preserve">Equity Bank South Sudan Ltd </v>
      </c>
      <c r="B58" s="1203">
        <f>B2</f>
        <v>45046</v>
      </c>
      <c r="C58" s="1203">
        <f>C2</f>
        <v>45046</v>
      </c>
      <c r="D58" s="1203">
        <f>D2</f>
        <v>44681</v>
      </c>
      <c r="E58" s="1203">
        <f>E2</f>
        <v>44681</v>
      </c>
      <c r="F58" s="1602" t="s">
        <v>85</v>
      </c>
      <c r="G58" s="1602" t="s">
        <v>86</v>
      </c>
      <c r="H58" s="352"/>
      <c r="I58" s="147"/>
      <c r="AG58" s="484">
        <v>44530</v>
      </c>
      <c r="AH58" s="103">
        <f t="shared" si="3"/>
        <v>516</v>
      </c>
      <c r="AJ58" s="484">
        <v>44530</v>
      </c>
      <c r="AK58" s="103">
        <f t="shared" si="4"/>
        <v>516</v>
      </c>
    </row>
    <row r="59" spans="1:37">
      <c r="A59" s="483" t="s">
        <v>48</v>
      </c>
      <c r="B59" s="19" t="s">
        <v>512</v>
      </c>
      <c r="C59" s="84" t="s">
        <v>97</v>
      </c>
      <c r="D59" s="84" t="str">
        <f>D4</f>
        <v>SSP '000</v>
      </c>
      <c r="E59" s="84" t="s">
        <v>97</v>
      </c>
      <c r="F59" s="1603"/>
      <c r="G59" s="1603"/>
      <c r="H59" s="352"/>
      <c r="I59" s="147"/>
      <c r="AG59" s="19" t="s">
        <v>512</v>
      </c>
      <c r="AH59" s="103"/>
      <c r="AJ59" s="19" t="s">
        <v>97</v>
      </c>
      <c r="AK59" s="103"/>
    </row>
    <row r="60" spans="1:37" ht="13.5" thickBot="1">
      <c r="A60" s="485"/>
      <c r="B60" s="21" t="s">
        <v>879</v>
      </c>
      <c r="C60" s="21" t="s">
        <v>879</v>
      </c>
      <c r="D60" s="84" t="str">
        <f>D5</f>
        <v>(Un-Audited)</v>
      </c>
      <c r="E60" s="84" t="str">
        <f>E5</f>
        <v>(Un-Audited)</v>
      </c>
      <c r="F60" s="157"/>
      <c r="G60" s="158"/>
      <c r="H60" s="352"/>
      <c r="I60" s="147"/>
      <c r="AG60" s="84" t="s">
        <v>84</v>
      </c>
      <c r="AH60" s="103"/>
      <c r="AJ60" s="84" t="s">
        <v>84</v>
      </c>
      <c r="AK60" s="103"/>
    </row>
    <row r="61" spans="1:37">
      <c r="A61" s="302" t="s">
        <v>49</v>
      </c>
      <c r="B61" s="62"/>
      <c r="C61" s="817">
        <f>'[40]PUB-Format '!$OQ$63</f>
        <v>0.16898666666860901</v>
      </c>
      <c r="D61" s="100">
        <f>D6</f>
        <v>0.27009999999805001</v>
      </c>
      <c r="E61" s="38"/>
      <c r="F61" s="38"/>
      <c r="G61" s="63"/>
      <c r="H61" s="352"/>
      <c r="I61" s="149"/>
      <c r="AG61" s="62"/>
      <c r="AH61" s="103">
        <f t="shared" si="3"/>
        <v>0</v>
      </c>
      <c r="AJ61" s="62">
        <v>0.28724579163635094</v>
      </c>
      <c r="AK61" s="103">
        <f t="shared" si="4"/>
        <v>-0.11825912496774194</v>
      </c>
    </row>
    <row r="62" spans="1:37" ht="15">
      <c r="A62" s="294" t="s">
        <v>50</v>
      </c>
      <c r="B62" s="24">
        <f>'[40]PUB-Format '!$LO64</f>
        <v>124208.70476208064</v>
      </c>
      <c r="C62" s="24">
        <f>B62*$C$61</f>
        <v>20989.614988969388</v>
      </c>
      <c r="D62" s="24">
        <f>[4]EBSSL!$B$62</f>
        <v>53796.85750654513</v>
      </c>
      <c r="E62" s="608">
        <f>[4]EBSSL!$C62</f>
        <v>14530.531212412936</v>
      </c>
      <c r="F62" s="25">
        <f>(C62-E62)</f>
        <v>6459.083776556452</v>
      </c>
      <c r="G62" s="1291">
        <f>IFERROR(F62/E62,0)</f>
        <v>0.44451807591443576</v>
      </c>
      <c r="H62" s="392"/>
      <c r="AG62" s="24">
        <v>77395.956431590719</v>
      </c>
      <c r="AH62" s="103">
        <f t="shared" si="3"/>
        <v>46812.748330489921</v>
      </c>
      <c r="AJ62" s="24">
        <v>22231.662774644803</v>
      </c>
      <c r="AK62" s="103">
        <f t="shared" si="4"/>
        <v>-1242.0477856754151</v>
      </c>
    </row>
    <row r="63" spans="1:37">
      <c r="A63" s="294" t="s">
        <v>51</v>
      </c>
      <c r="B63" s="24">
        <f>'[40]PUB-Format '!$LO65</f>
        <v>0</v>
      </c>
      <c r="C63" s="24">
        <f>B63*$C$61</f>
        <v>0</v>
      </c>
      <c r="D63" s="24">
        <f>[4]EBSSL!$B$63</f>
        <v>0</v>
      </c>
      <c r="E63" s="608">
        <f>[4]EBSSL!$C63</f>
        <v>0</v>
      </c>
      <c r="F63" s="25">
        <f>(C63-E63)</f>
        <v>0</v>
      </c>
      <c r="G63" s="1291">
        <f>IFERROR(F63/E63,0)</f>
        <v>0</v>
      </c>
      <c r="AG63" s="24">
        <v>0</v>
      </c>
      <c r="AH63" s="103">
        <f t="shared" si="3"/>
        <v>0</v>
      </c>
      <c r="AJ63" s="24">
        <v>0</v>
      </c>
      <c r="AK63" s="103">
        <f t="shared" si="4"/>
        <v>0</v>
      </c>
    </row>
    <row r="64" spans="1:37">
      <c r="A64" s="294" t="s">
        <v>52</v>
      </c>
      <c r="B64" s="24">
        <f>'[40]PUB-Format '!$LO66</f>
        <v>189026.6116395756</v>
      </c>
      <c r="C64" s="24">
        <f>B64*$C$61</f>
        <v>31942.977012633568</v>
      </c>
      <c r="D64" s="24">
        <f>[4]EBSSL!$B$64</f>
        <v>22481.007569188885</v>
      </c>
      <c r="E64" s="608">
        <f>[4]EBSSL!$C64</f>
        <v>6072.1201443940799</v>
      </c>
      <c r="F64" s="25">
        <f>(C64-E64)</f>
        <v>25870.856868239487</v>
      </c>
      <c r="G64" s="1291">
        <f>IFERROR(F64/E64,0)</f>
        <v>4.2605969995709083</v>
      </c>
      <c r="AG64" s="24">
        <v>52849.955342932873</v>
      </c>
      <c r="AH64" s="103">
        <f t="shared" si="3"/>
        <v>136176.65629664273</v>
      </c>
      <c r="AJ64" s="24">
        <v>15180.927260426548</v>
      </c>
      <c r="AK64" s="103">
        <f t="shared" si="4"/>
        <v>16762.049752207022</v>
      </c>
    </row>
    <row r="65" spans="1:37">
      <c r="A65" s="294" t="s">
        <v>53</v>
      </c>
      <c r="B65" s="24">
        <f>'[40]PUB-Format '!$LO67</f>
        <v>0</v>
      </c>
      <c r="C65" s="24">
        <f>B65*$C$61</f>
        <v>0</v>
      </c>
      <c r="D65" s="24">
        <f>[4]EBSSL!$B$65</f>
        <v>0</v>
      </c>
      <c r="E65" s="24">
        <f>[4]EBSSL!$C65</f>
        <v>0</v>
      </c>
      <c r="F65" s="25">
        <f>(C65-E65)</f>
        <v>0</v>
      </c>
      <c r="G65" s="1291">
        <f>IFERROR(F65/E65,0)</f>
        <v>0</v>
      </c>
      <c r="AG65" s="24">
        <v>0</v>
      </c>
      <c r="AH65" s="103">
        <f t="shared" si="3"/>
        <v>0</v>
      </c>
      <c r="AJ65" s="24">
        <v>0</v>
      </c>
      <c r="AK65" s="103">
        <f t="shared" si="4"/>
        <v>0</v>
      </c>
    </row>
    <row r="66" spans="1:37">
      <c r="A66" s="303" t="s">
        <v>54</v>
      </c>
      <c r="B66" s="39">
        <f>SUM(B62:B65)</f>
        <v>313235.31640165625</v>
      </c>
      <c r="C66" s="39">
        <f>SUM(C62:C65)</f>
        <v>52932.592001602956</v>
      </c>
      <c r="D66" s="39">
        <f>SUM(D62:D65)</f>
        <v>76277.865075734007</v>
      </c>
      <c r="E66" s="609">
        <f>SUM(E62:E65)</f>
        <v>20602.651356807015</v>
      </c>
      <c r="F66" s="39">
        <f>(C66-E66)</f>
        <v>32329.940644795941</v>
      </c>
      <c r="G66" s="1292">
        <f>F66/E66</f>
        <v>1.5692126263212374</v>
      </c>
      <c r="I66" s="381"/>
      <c r="M66" s="381"/>
      <c r="N66" s="381"/>
      <c r="AG66" s="39">
        <v>130245.91177452359</v>
      </c>
      <c r="AH66" s="103">
        <f t="shared" si="3"/>
        <v>182989.40462713267</v>
      </c>
      <c r="AJ66" s="39">
        <v>37412.590035071349</v>
      </c>
      <c r="AK66" s="103">
        <f t="shared" si="4"/>
        <v>15520.001966531607</v>
      </c>
    </row>
    <row r="67" spans="1:37">
      <c r="A67" s="298"/>
      <c r="B67" s="32"/>
      <c r="C67" s="32"/>
      <c r="D67" s="32"/>
      <c r="E67" s="608"/>
      <c r="F67" s="32"/>
      <c r="G67" s="1293"/>
      <c r="AG67" s="32"/>
      <c r="AH67" s="103">
        <f t="shared" si="3"/>
        <v>0</v>
      </c>
      <c r="AJ67" s="32"/>
      <c r="AK67" s="103">
        <f t="shared" si="4"/>
        <v>0</v>
      </c>
    </row>
    <row r="68" spans="1:37">
      <c r="A68" s="298" t="s">
        <v>55</v>
      </c>
      <c r="B68" s="24"/>
      <c r="C68" s="24"/>
      <c r="D68" s="24"/>
      <c r="E68" s="608"/>
      <c r="F68" s="24"/>
      <c r="G68" s="1294"/>
      <c r="AG68" s="24"/>
      <c r="AH68" s="103">
        <f t="shared" si="3"/>
        <v>0</v>
      </c>
      <c r="AJ68" s="24"/>
      <c r="AK68" s="103">
        <f t="shared" si="4"/>
        <v>0</v>
      </c>
    </row>
    <row r="69" spans="1:37" ht="14.25">
      <c r="A69" s="294" t="s">
        <v>56</v>
      </c>
      <c r="B69" s="24">
        <f>'[40]PUB-Format '!$LO71</f>
        <v>954.2478095018879</v>
      </c>
      <c r="C69" s="24">
        <f>B69*$C$61</f>
        <v>161.25515650354583</v>
      </c>
      <c r="D69" s="24">
        <f>[4]EBSSL!$B$69</f>
        <v>439.00161017949461</v>
      </c>
      <c r="E69" s="608">
        <f>[4]EBSSL!$C69</f>
        <v>118.57433490862545</v>
      </c>
      <c r="F69" s="25">
        <f>(C69-E69)</f>
        <v>42.680821594920388</v>
      </c>
      <c r="G69" s="1291">
        <f>IFERROR(F69/E69,0)</f>
        <v>0.3599499135104629</v>
      </c>
      <c r="H69" s="393"/>
      <c r="AG69" s="24">
        <v>1330.7996847029078</v>
      </c>
      <c r="AH69" s="103">
        <f t="shared" si="3"/>
        <v>-376.55187520101993</v>
      </c>
      <c r="AJ69" s="24">
        <v>382.26660894189297</v>
      </c>
      <c r="AK69" s="103">
        <f t="shared" si="4"/>
        <v>-221.01145243834713</v>
      </c>
    </row>
    <row r="70" spans="1:37">
      <c r="A70" s="294" t="s">
        <v>57</v>
      </c>
      <c r="B70" s="24">
        <f>'[40]PUB-Format '!$LO72</f>
        <v>0</v>
      </c>
      <c r="C70" s="24">
        <f>B70*$C$61</f>
        <v>0</v>
      </c>
      <c r="D70" s="24">
        <f>[4]EBSSL!$B$70</f>
        <v>0</v>
      </c>
      <c r="E70" s="24">
        <f>[4]EBSSL!$C70</f>
        <v>0</v>
      </c>
      <c r="F70" s="25">
        <f>(C70-E70)</f>
        <v>0</v>
      </c>
      <c r="G70" s="1291">
        <f>IFERROR(F70/E70,0)</f>
        <v>0</v>
      </c>
      <c r="AG70" s="24">
        <v>0</v>
      </c>
      <c r="AH70" s="103">
        <f t="shared" si="3"/>
        <v>0</v>
      </c>
      <c r="AJ70" s="24">
        <v>0</v>
      </c>
      <c r="AK70" s="103">
        <f t="shared" si="4"/>
        <v>0</v>
      </c>
    </row>
    <row r="71" spans="1:37" ht="14.25">
      <c r="A71" s="294" t="s">
        <v>58</v>
      </c>
      <c r="B71" s="24">
        <f>'[40]PUB-Format '!$LO73</f>
        <v>43718.150247802754</v>
      </c>
      <c r="C71" s="24">
        <f>B71*$C$61</f>
        <v>7387.7844832936107</v>
      </c>
      <c r="D71" s="24">
        <f>[4]EBSSL!$B$71</f>
        <v>31937.47839</v>
      </c>
      <c r="E71" s="24">
        <f>[4]EBSSL!$C71</f>
        <v>8626.3129130767229</v>
      </c>
      <c r="F71" s="25">
        <f>(C71-E71)</f>
        <v>-1238.5284297831122</v>
      </c>
      <c r="G71" s="1291">
        <f>IFERROR(F71/E71,0)</f>
        <v>-0.14357564376149784</v>
      </c>
      <c r="H71" s="393"/>
      <c r="AG71" s="24">
        <v>4065.2288673450389</v>
      </c>
      <c r="AH71" s="103">
        <f t="shared" si="3"/>
        <v>39652.921380457716</v>
      </c>
      <c r="AJ71" s="24">
        <v>1167.719884183472</v>
      </c>
      <c r="AK71" s="103">
        <f t="shared" si="4"/>
        <v>6220.0645991101392</v>
      </c>
    </row>
    <row r="72" spans="1:37">
      <c r="A72" s="303" t="s">
        <v>59</v>
      </c>
      <c r="B72" s="39">
        <f>SUM(B69:B71)</f>
        <v>44672.398057304643</v>
      </c>
      <c r="C72" s="39">
        <f>SUM(C69:C71)</f>
        <v>7549.0396397971563</v>
      </c>
      <c r="D72" s="39">
        <f>SUM(D69:D71)</f>
        <v>32376.480000179494</v>
      </c>
      <c r="E72" s="609">
        <f>SUM(E69:E71)</f>
        <v>8744.8872479853489</v>
      </c>
      <c r="F72" s="39">
        <f>(C72-E72)</f>
        <v>-1195.8476081881927</v>
      </c>
      <c r="G72" s="1292">
        <f>F72/E72</f>
        <v>-0.13674820203813293</v>
      </c>
      <c r="I72" s="381"/>
      <c r="AG72" s="39">
        <v>5396.0285520479465</v>
      </c>
      <c r="AH72" s="103">
        <f t="shared" ref="AH72:AH135" si="10">B72-AG72</f>
        <v>39276.369505256698</v>
      </c>
      <c r="AJ72" s="39">
        <v>1549.9864931253651</v>
      </c>
      <c r="AK72" s="103">
        <f t="shared" ref="AK72:AK135" si="11">C72-AJ72</f>
        <v>5999.0531466717912</v>
      </c>
    </row>
    <row r="73" spans="1:37">
      <c r="A73" s="303" t="s">
        <v>60</v>
      </c>
      <c r="B73" s="39">
        <f>B66-B72</f>
        <v>268562.91834435158</v>
      </c>
      <c r="C73" s="39">
        <f>C66-C72</f>
        <v>45383.5523618058</v>
      </c>
      <c r="D73" s="39">
        <f>D66-D72</f>
        <v>43901.385075554514</v>
      </c>
      <c r="E73" s="609">
        <f>E66-E72</f>
        <v>11857.764108821666</v>
      </c>
      <c r="F73" s="39">
        <f>(C73-E73)</f>
        <v>33525.78825298413</v>
      </c>
      <c r="G73" s="1292">
        <f>F73/E73</f>
        <v>2.827327980663942</v>
      </c>
      <c r="I73" s="381"/>
      <c r="AG73" s="39">
        <v>124849.88322247563</v>
      </c>
      <c r="AH73" s="103">
        <f t="shared" si="10"/>
        <v>143713.03512187593</v>
      </c>
      <c r="AJ73" s="39">
        <v>35862.60354194598</v>
      </c>
      <c r="AK73" s="103">
        <f t="shared" si="11"/>
        <v>9520.9488198598192</v>
      </c>
    </row>
    <row r="74" spans="1:37">
      <c r="A74" s="298"/>
      <c r="B74" s="40"/>
      <c r="C74" s="40"/>
      <c r="D74" s="40"/>
      <c r="E74" s="608"/>
      <c r="F74" s="40"/>
      <c r="G74" s="1302"/>
      <c r="AG74" s="40"/>
      <c r="AH74" s="103">
        <f t="shared" si="10"/>
        <v>0</v>
      </c>
      <c r="AJ74" s="40"/>
      <c r="AK74" s="103">
        <f t="shared" si="11"/>
        <v>0</v>
      </c>
    </row>
    <row r="75" spans="1:37">
      <c r="A75" s="298" t="s">
        <v>61</v>
      </c>
      <c r="B75" s="41"/>
      <c r="C75" s="41"/>
      <c r="D75" s="41"/>
      <c r="E75" s="608"/>
      <c r="F75" s="41"/>
      <c r="G75" s="1303"/>
      <c r="AG75" s="41"/>
      <c r="AH75" s="103">
        <f t="shared" si="10"/>
        <v>0</v>
      </c>
      <c r="AJ75" s="41"/>
      <c r="AK75" s="103">
        <f t="shared" si="11"/>
        <v>0</v>
      </c>
    </row>
    <row r="76" spans="1:37" ht="14.25">
      <c r="A76" s="294" t="s">
        <v>62</v>
      </c>
      <c r="B76" s="24">
        <f>'[40]PUB-Format '!$LO78</f>
        <v>48994.842492614996</v>
      </c>
      <c r="C76" s="24">
        <f>B76*$C$61</f>
        <v>8279.4751167805316</v>
      </c>
      <c r="D76" s="24">
        <f>[4]EBSSL!$B$76</f>
        <v>19058.261921954341</v>
      </c>
      <c r="E76" s="608">
        <f>[4]EBSSL!$C76</f>
        <v>5147.6365450827043</v>
      </c>
      <c r="F76" s="25">
        <f t="shared" ref="F76:F82" si="12">(C76-E76)</f>
        <v>3131.8385716978273</v>
      </c>
      <c r="G76" s="1291">
        <f t="shared" ref="G76:G82" si="13">IFERROR(F76/E76,0)</f>
        <v>0.60840320490177691</v>
      </c>
      <c r="H76" s="393"/>
      <c r="AG76" s="24">
        <v>43101.215215015261</v>
      </c>
      <c r="AH76" s="103">
        <f t="shared" si="10"/>
        <v>5893.627277599735</v>
      </c>
      <c r="AJ76" s="24">
        <v>12380.642684925793</v>
      </c>
      <c r="AK76" s="103">
        <f t="shared" si="11"/>
        <v>-4101.1675681452616</v>
      </c>
    </row>
    <row r="77" spans="1:37" ht="14.25">
      <c r="A77" s="414" t="s">
        <v>63</v>
      </c>
      <c r="B77" s="24">
        <f>'[40]PUB-Format '!$LO79</f>
        <v>2027694.4558841262</v>
      </c>
      <c r="C77" s="24">
        <f>B77*$C$61</f>
        <v>342653.32712227735</v>
      </c>
      <c r="D77" s="24">
        <f>[4]EBSSL!$B$77</f>
        <v>1154165.4950186992</v>
      </c>
      <c r="E77" s="608">
        <f>[4]EBSSL!$C77</f>
        <v>311740.10020230006</v>
      </c>
      <c r="F77" s="25">
        <f t="shared" si="12"/>
        <v>30913.226919977285</v>
      </c>
      <c r="G77" s="1291">
        <f t="shared" si="13"/>
        <v>9.916345988185836E-2</v>
      </c>
      <c r="H77" s="393"/>
      <c r="AG77" s="24">
        <v>2379749.6756063313</v>
      </c>
      <c r="AH77" s="103">
        <f t="shared" si="10"/>
        <v>-352055.21972220507</v>
      </c>
      <c r="AJ77" s="24">
        <v>683573.07946588995</v>
      </c>
      <c r="AK77" s="103">
        <f t="shared" si="11"/>
        <v>-340919.75234361261</v>
      </c>
    </row>
    <row r="78" spans="1:37">
      <c r="A78" s="294" t="s">
        <v>64</v>
      </c>
      <c r="B78" s="24">
        <f>'[40]PUB-Format '!$LO80</f>
        <v>88930.54952615581</v>
      </c>
      <c r="C78" s="24">
        <f>B78*$C$61</f>
        <v>15028.077129432717</v>
      </c>
      <c r="D78" s="24">
        <f>[4]EBSSL!$B$78</f>
        <v>15749.865057695753</v>
      </c>
      <c r="E78" s="608">
        <f>[4]EBSSL!$C78</f>
        <v>4254.0385520529107</v>
      </c>
      <c r="F78" s="25">
        <f t="shared" si="12"/>
        <v>10774.038577379806</v>
      </c>
      <c r="G78" s="1291">
        <f t="shared" si="13"/>
        <v>2.5326612454371102</v>
      </c>
      <c r="AG78" s="24">
        <v>297856.20007533295</v>
      </c>
      <c r="AH78" s="103">
        <f t="shared" si="10"/>
        <v>-208925.65054917714</v>
      </c>
      <c r="AJ78" s="24">
        <v>85557.939984434342</v>
      </c>
      <c r="AK78" s="103">
        <f t="shared" si="11"/>
        <v>-70529.862855001629</v>
      </c>
    </row>
    <row r="79" spans="1:37">
      <c r="A79" s="294" t="s">
        <v>65</v>
      </c>
      <c r="B79" s="24">
        <f>'[40]PUB-Format '!$LO81</f>
        <v>0</v>
      </c>
      <c r="C79" s="24">
        <f>B79*$C$61</f>
        <v>0</v>
      </c>
      <c r="D79" s="24">
        <f>[4]EBSSL!$B$79</f>
        <v>0</v>
      </c>
      <c r="E79" s="43">
        <f>[4]EBSSL!$C79</f>
        <v>0</v>
      </c>
      <c r="F79" s="25">
        <f t="shared" si="12"/>
        <v>0</v>
      </c>
      <c r="G79" s="1291">
        <f t="shared" si="13"/>
        <v>0</v>
      </c>
      <c r="AG79" s="24">
        <v>0</v>
      </c>
      <c r="AH79" s="103">
        <f t="shared" si="10"/>
        <v>0</v>
      </c>
      <c r="AJ79" s="24">
        <v>0</v>
      </c>
      <c r="AK79" s="103">
        <f t="shared" si="11"/>
        <v>0</v>
      </c>
    </row>
    <row r="80" spans="1:37">
      <c r="A80" s="294" t="s">
        <v>66</v>
      </c>
      <c r="B80" s="24">
        <f>'[40]PUB-Format '!$LO82</f>
        <v>5262581.6204873547</v>
      </c>
      <c r="C80" s="24">
        <f>B80*$C$61</f>
        <v>889306.12611764483</v>
      </c>
      <c r="D80" s="24">
        <f>[4]EBSSL!$B$80</f>
        <v>23369.682817185836</v>
      </c>
      <c r="E80" s="608">
        <f>[4]EBSSL!$C80</f>
        <v>6312.1513288763235</v>
      </c>
      <c r="F80" s="25">
        <f t="shared" si="12"/>
        <v>882993.97478876845</v>
      </c>
      <c r="G80" s="1291">
        <f t="shared" si="13"/>
        <v>139.88796034551936</v>
      </c>
      <c r="AG80" s="24">
        <v>-997684.20468466089</v>
      </c>
      <c r="AH80" s="103">
        <f t="shared" si="10"/>
        <v>6260265.8251720155</v>
      </c>
      <c r="AJ80" s="24">
        <v>-286580.58917772863</v>
      </c>
      <c r="AK80" s="103">
        <f t="shared" si="11"/>
        <v>1175886.7152953735</v>
      </c>
    </row>
    <row r="81" spans="1:37">
      <c r="A81" s="303" t="s">
        <v>67</v>
      </c>
      <c r="B81" s="39">
        <f>SUM(B76:B80)</f>
        <v>7428201.4683902524</v>
      </c>
      <c r="C81" s="39">
        <f>SUM(C76:C80)</f>
        <v>1255267.0054861354</v>
      </c>
      <c r="D81" s="39">
        <f>SUM(D76:D80)</f>
        <v>1212343.304815535</v>
      </c>
      <c r="E81" s="609">
        <f>SUM(E76:E80)</f>
        <v>327453.92662831204</v>
      </c>
      <c r="F81" s="638">
        <f t="shared" si="12"/>
        <v>927813.07885782328</v>
      </c>
      <c r="G81" s="1299">
        <f t="shared" si="13"/>
        <v>2.8334156454045818</v>
      </c>
      <c r="I81" s="381"/>
      <c r="M81" s="381"/>
      <c r="O81" s="388"/>
      <c r="AG81" s="39">
        <v>1723022.8862120188</v>
      </c>
      <c r="AH81" s="103">
        <f t="shared" si="10"/>
        <v>5705178.5821782332</v>
      </c>
      <c r="AJ81" s="39">
        <v>494931.07295752154</v>
      </c>
      <c r="AK81" s="103">
        <f t="shared" si="11"/>
        <v>760335.93252861383</v>
      </c>
    </row>
    <row r="82" spans="1:37">
      <c r="A82" s="303" t="s">
        <v>68</v>
      </c>
      <c r="B82" s="39">
        <f>B73+B81</f>
        <v>7696764.3867346039</v>
      </c>
      <c r="C82" s="39">
        <f>C73+C81</f>
        <v>1300650.5578479411</v>
      </c>
      <c r="D82" s="39">
        <f>D73+D81</f>
        <v>1256244.6898910895</v>
      </c>
      <c r="E82" s="609">
        <f>E73+E81</f>
        <v>339311.69073713373</v>
      </c>
      <c r="F82" s="638">
        <f t="shared" si="12"/>
        <v>961338.86711080733</v>
      </c>
      <c r="G82" s="1299">
        <f t="shared" si="13"/>
        <v>2.8332029026832464</v>
      </c>
      <c r="AG82" s="39">
        <v>1847872.7694344944</v>
      </c>
      <c r="AH82" s="103">
        <f t="shared" si="10"/>
        <v>5848891.6173001099</v>
      </c>
      <c r="AJ82" s="39">
        <v>530793.67649946758</v>
      </c>
      <c r="AK82" s="103">
        <f t="shared" si="11"/>
        <v>769856.88134847349</v>
      </c>
    </row>
    <row r="83" spans="1:37">
      <c r="A83" s="298"/>
      <c r="B83" s="42"/>
      <c r="C83" s="42"/>
      <c r="D83" s="42"/>
      <c r="E83" s="608"/>
      <c r="F83" s="42"/>
      <c r="G83" s="1303"/>
      <c r="AG83" s="42"/>
      <c r="AH83" s="103">
        <f t="shared" si="10"/>
        <v>0</v>
      </c>
      <c r="AJ83" s="42"/>
      <c r="AK83" s="103">
        <f t="shared" si="11"/>
        <v>0</v>
      </c>
    </row>
    <row r="84" spans="1:37">
      <c r="A84" s="298" t="s">
        <v>69</v>
      </c>
      <c r="B84" s="43"/>
      <c r="C84" s="43"/>
      <c r="D84" s="43"/>
      <c r="E84" s="608"/>
      <c r="F84" s="43"/>
      <c r="G84" s="1303"/>
      <c r="AG84" s="43"/>
      <c r="AH84" s="103">
        <f t="shared" si="10"/>
        <v>0</v>
      </c>
      <c r="AJ84" s="43"/>
      <c r="AK84" s="103">
        <f t="shared" si="11"/>
        <v>0</v>
      </c>
    </row>
    <row r="85" spans="1:37">
      <c r="A85" s="294" t="s">
        <v>70</v>
      </c>
      <c r="B85" s="612">
        <f>'[40]PUB-Format '!$LO87</f>
        <v>-0.18240000000000001</v>
      </c>
      <c r="C85" s="612">
        <f t="shared" ref="C85:C91" si="14">B85*$C$61</f>
        <v>-3.0823168000354284E-2</v>
      </c>
      <c r="D85" s="612">
        <f>[4]EBSSL!$B$85</f>
        <v>0</v>
      </c>
      <c r="E85" s="613">
        <f>[4]EBSSL!$C85</f>
        <v>0</v>
      </c>
      <c r="F85" s="25">
        <f t="shared" ref="F85:F91" si="15">(C85-E85)</f>
        <v>-3.0823168000354284E-2</v>
      </c>
      <c r="G85" s="1291">
        <f t="shared" ref="G85:G91" si="16">IFERROR(F85/E85,0)</f>
        <v>0</v>
      </c>
      <c r="AG85" s="612">
        <v>0</v>
      </c>
      <c r="AH85" s="103">
        <f t="shared" si="10"/>
        <v>-0.18240000000000001</v>
      </c>
      <c r="AJ85" s="612">
        <v>0</v>
      </c>
      <c r="AK85" s="103">
        <f t="shared" si="11"/>
        <v>-3.0823168000354284E-2</v>
      </c>
    </row>
    <row r="86" spans="1:37" ht="14.25">
      <c r="A86" s="294" t="s">
        <v>71</v>
      </c>
      <c r="B86" s="612">
        <f>'[40]PUB-Format '!$LO88</f>
        <v>425142.87267699814</v>
      </c>
      <c r="C86" s="24">
        <f t="shared" si="14"/>
        <v>71843.47691160276</v>
      </c>
      <c r="D86" s="612">
        <f>[4]EBSSL!$B$86</f>
        <v>263619.72050772805</v>
      </c>
      <c r="E86" s="608">
        <f>[4]EBSSL!$C86</f>
        <v>71203.686508623286</v>
      </c>
      <c r="F86" s="25">
        <f t="shared" si="15"/>
        <v>639.79040297947358</v>
      </c>
      <c r="G86" s="1291">
        <f t="shared" si="16"/>
        <v>8.9853550335766714E-3</v>
      </c>
      <c r="H86" s="394"/>
      <c r="AG86" s="612">
        <v>416750.98287467408</v>
      </c>
      <c r="AH86" s="103">
        <f t="shared" si="10"/>
        <v>8391.8898023240617</v>
      </c>
      <c r="AJ86" s="612">
        <v>119709.96599106309</v>
      </c>
      <c r="AK86" s="103">
        <f t="shared" si="11"/>
        <v>-47866.489079460327</v>
      </c>
    </row>
    <row r="87" spans="1:37">
      <c r="A87" s="294" t="s">
        <v>72</v>
      </c>
      <c r="B87" s="612">
        <f>'[40]PUB-Format '!$LO89</f>
        <v>37450.757387746416</v>
      </c>
      <c r="C87" s="24">
        <f t="shared" si="14"/>
        <v>6328.6786551700498</v>
      </c>
      <c r="D87" s="612">
        <f>[4]EBSSL!$B$87</f>
        <v>8173.5341055756062</v>
      </c>
      <c r="E87" s="608">
        <f>[4]EBSSL!$C87</f>
        <v>2207.6715619000329</v>
      </c>
      <c r="F87" s="25">
        <f t="shared" si="15"/>
        <v>4121.0070932700164</v>
      </c>
      <c r="G87" s="1291">
        <f t="shared" si="16"/>
        <v>1.8666758064878415</v>
      </c>
      <c r="I87" s="103"/>
      <c r="J87" s="309"/>
      <c r="K87" s="309"/>
      <c r="L87" s="311"/>
      <c r="M87" s="455"/>
      <c r="AG87" s="612">
        <v>34098.810450908677</v>
      </c>
      <c r="AH87" s="103">
        <f t="shared" si="10"/>
        <v>3351.9469368377395</v>
      </c>
      <c r="AJ87" s="612">
        <v>9794.7398018291406</v>
      </c>
      <c r="AK87" s="103">
        <f t="shared" si="11"/>
        <v>-3466.0611466590908</v>
      </c>
    </row>
    <row r="88" spans="1:37">
      <c r="A88" s="908" t="s">
        <v>73</v>
      </c>
      <c r="B88" s="909">
        <f>'[40]PUB-Format '!$LO90</f>
        <v>20242.907290498399</v>
      </c>
      <c r="C88" s="910">
        <f t="shared" si="14"/>
        <v>3420.781426703008</v>
      </c>
      <c r="D88" s="909">
        <f>[4]EBSSL!$B$88</f>
        <v>18398.064874478554</v>
      </c>
      <c r="E88" s="911">
        <f>[4]EBSSL!$C88</f>
        <v>4969.3173225607816</v>
      </c>
      <c r="F88" s="912">
        <f t="shared" si="15"/>
        <v>-1548.5358958577735</v>
      </c>
      <c r="G88" s="1322">
        <f t="shared" si="16"/>
        <v>-0.31161944294186955</v>
      </c>
      <c r="H88" s="913"/>
      <c r="I88" s="914"/>
      <c r="J88" s="914"/>
      <c r="K88" s="914"/>
      <c r="L88" s="914"/>
      <c r="M88" s="914"/>
      <c r="N88" s="914"/>
      <c r="O88" s="914"/>
      <c r="P88" s="914"/>
      <c r="Q88" s="914"/>
      <c r="AG88" s="612">
        <v>34503.159327388013</v>
      </c>
      <c r="AH88" s="103">
        <f t="shared" si="10"/>
        <v>-14260.252036889615</v>
      </c>
      <c r="AJ88" s="612">
        <v>9910.8873149507162</v>
      </c>
      <c r="AK88" s="103">
        <f t="shared" si="11"/>
        <v>-6490.1058882477082</v>
      </c>
    </row>
    <row r="89" spans="1:37">
      <c r="A89" s="294" t="s">
        <v>74</v>
      </c>
      <c r="B89" s="612">
        <f>'[40]PUB-Format '!$LO91</f>
        <v>338411.51520925143</v>
      </c>
      <c r="C89" s="24">
        <f t="shared" si="14"/>
        <v>57187.033917484681</v>
      </c>
      <c r="D89" s="612">
        <f>[4]EBSSL!$B$89</f>
        <v>254477.18044381664</v>
      </c>
      <c r="E89" s="608">
        <f>[4]EBSSL!$C89</f>
        <v>68734.286437378643</v>
      </c>
      <c r="F89" s="25">
        <f t="shared" si="15"/>
        <v>-11547.252519893962</v>
      </c>
      <c r="G89" s="1291">
        <f t="shared" si="16"/>
        <v>-0.16799843452822125</v>
      </c>
      <c r="I89" s="105"/>
      <c r="N89" s="103"/>
      <c r="AG89" s="612">
        <v>561691.97495997639</v>
      </c>
      <c r="AH89" s="103">
        <f t="shared" si="10"/>
        <v>-223280.45975072496</v>
      </c>
      <c r="AJ89" s="612">
        <v>161343.65600316384</v>
      </c>
      <c r="AK89" s="103">
        <f t="shared" si="11"/>
        <v>-104156.62208567915</v>
      </c>
    </row>
    <row r="90" spans="1:37">
      <c r="A90" s="294" t="s">
        <v>75</v>
      </c>
      <c r="B90" s="612">
        <f>'[40]PUB-Format '!$LO92</f>
        <v>0</v>
      </c>
      <c r="C90" s="24">
        <f t="shared" si="14"/>
        <v>0</v>
      </c>
      <c r="D90" s="612">
        <f>[4]EBSSL!$B$90</f>
        <v>0</v>
      </c>
      <c r="E90" s="608">
        <f>[4]EBSSL!$C90</f>
        <v>0</v>
      </c>
      <c r="F90" s="25">
        <f t="shared" si="15"/>
        <v>0</v>
      </c>
      <c r="G90" s="1291">
        <f t="shared" si="16"/>
        <v>0</v>
      </c>
      <c r="I90" s="686"/>
      <c r="J90" s="686"/>
      <c r="K90" s="686"/>
      <c r="L90" s="686"/>
      <c r="M90" s="686"/>
      <c r="N90" s="686"/>
      <c r="O90" s="686"/>
      <c r="P90" s="686"/>
      <c r="Q90" s="686"/>
      <c r="AG90" s="612">
        <v>0</v>
      </c>
      <c r="AH90" s="103">
        <f t="shared" si="10"/>
        <v>0</v>
      </c>
      <c r="AJ90" s="612">
        <v>0</v>
      </c>
      <c r="AK90" s="103">
        <f t="shared" si="11"/>
        <v>0</v>
      </c>
    </row>
    <row r="91" spans="1:37">
      <c r="A91" s="294" t="s">
        <v>76</v>
      </c>
      <c r="B91" s="612">
        <f>'[40]PUB-Format '!$LO93</f>
        <v>751247.87649433664</v>
      </c>
      <c r="C91" s="24">
        <f t="shared" si="14"/>
        <v>126950.87449064881</v>
      </c>
      <c r="D91" s="612">
        <f>[4]EBSSL!$B$91</f>
        <v>819659.75731553417</v>
      </c>
      <c r="E91" s="608">
        <f>[4]EBSSL!$C91</f>
        <v>221390.10044932744</v>
      </c>
      <c r="F91" s="25">
        <f t="shared" si="15"/>
        <v>-94439.225958678624</v>
      </c>
      <c r="G91" s="1291">
        <f t="shared" si="16"/>
        <v>-0.4265738430354713</v>
      </c>
      <c r="I91" s="687"/>
      <c r="J91" s="686"/>
      <c r="K91" s="686"/>
      <c r="L91" s="686"/>
      <c r="M91" s="686"/>
      <c r="N91" s="686"/>
      <c r="O91" s="686"/>
      <c r="P91" s="686"/>
      <c r="Q91" s="688"/>
      <c r="AG91" s="612">
        <v>783243.10694433807</v>
      </c>
      <c r="AH91" s="103">
        <f t="shared" si="10"/>
        <v>-31995.230450001429</v>
      </c>
      <c r="AJ91" s="612">
        <v>224983.28629794146</v>
      </c>
      <c r="AK91" s="103">
        <f t="shared" si="11"/>
        <v>-98032.41180729265</v>
      </c>
    </row>
    <row r="92" spans="1:37">
      <c r="A92" s="303" t="s">
        <v>77</v>
      </c>
      <c r="B92" s="39">
        <f>SUM(B85:B91)</f>
        <v>1572495.7466588309</v>
      </c>
      <c r="C92" s="39">
        <f>SUM(C85:C91)</f>
        <v>265730.81457844132</v>
      </c>
      <c r="D92" s="39">
        <f>SUM(D85:D91)</f>
        <v>1364328.2572471329</v>
      </c>
      <c r="E92" s="609">
        <f>SUM(E85:E91)</f>
        <v>368505.06227979017</v>
      </c>
      <c r="F92" s="638">
        <f t="shared" ref="F92:F99" si="17">(C92-E92)</f>
        <v>-102774.24770134885</v>
      </c>
      <c r="G92" s="1299">
        <f t="shared" ref="G92:G99" si="18">IFERROR(F92/E92,0)</f>
        <v>-0.27889507695098298</v>
      </c>
      <c r="J92" s="381"/>
      <c r="N92" s="388"/>
      <c r="AG92" s="39">
        <v>1830288.0345572853</v>
      </c>
      <c r="AH92" s="103">
        <f t="shared" si="10"/>
        <v>-257792.28789845435</v>
      </c>
      <c r="AJ92" s="39">
        <v>525742.53540894832</v>
      </c>
      <c r="AK92" s="103">
        <f t="shared" si="11"/>
        <v>-260011.72083050699</v>
      </c>
    </row>
    <row r="93" spans="1:37">
      <c r="A93" s="303" t="s">
        <v>78</v>
      </c>
      <c r="B93" s="39">
        <f>B82-B92</f>
        <v>6124268.640075773</v>
      </c>
      <c r="C93" s="39">
        <f>C82-C92</f>
        <v>1034919.7432694997</v>
      </c>
      <c r="D93" s="39">
        <f>D82-D92</f>
        <v>-108083.5673560435</v>
      </c>
      <c r="E93" s="609">
        <f>E82-E92</f>
        <v>-29193.371542656445</v>
      </c>
      <c r="F93" s="638">
        <f t="shared" si="17"/>
        <v>1064113.1148121562</v>
      </c>
      <c r="G93" s="1299">
        <f t="shared" si="18"/>
        <v>-36.450504295377712</v>
      </c>
      <c r="H93" s="349">
        <f>C82-C92</f>
        <v>1034919.7432694997</v>
      </c>
      <c r="AG93" s="39">
        <v>17584.734877209179</v>
      </c>
      <c r="AH93" s="103">
        <f t="shared" si="10"/>
        <v>6106683.9051985638</v>
      </c>
      <c r="AJ93" s="39">
        <v>5051.1410905192606</v>
      </c>
      <c r="AK93" s="103">
        <f t="shared" si="11"/>
        <v>1029868.6021789805</v>
      </c>
    </row>
    <row r="94" spans="1:37">
      <c r="A94" s="294" t="s">
        <v>79</v>
      </c>
      <c r="B94" s="81"/>
      <c r="C94" s="43">
        <f>B94*C61</f>
        <v>0</v>
      </c>
      <c r="D94" s="81">
        <v>0</v>
      </c>
      <c r="E94" s="43">
        <f>[4]EBSSL!$C94</f>
        <v>0</v>
      </c>
      <c r="F94" s="25">
        <f t="shared" si="17"/>
        <v>0</v>
      </c>
      <c r="G94" s="1291">
        <f t="shared" si="18"/>
        <v>0</v>
      </c>
      <c r="AG94" s="81">
        <v>0</v>
      </c>
      <c r="AH94" s="103">
        <f t="shared" si="10"/>
        <v>0</v>
      </c>
      <c r="AJ94" s="81">
        <v>0</v>
      </c>
      <c r="AK94" s="103">
        <f t="shared" si="11"/>
        <v>0</v>
      </c>
    </row>
    <row r="95" spans="1:37">
      <c r="A95" s="294" t="s">
        <v>80</v>
      </c>
      <c r="B95" s="81">
        <f>'[40]PUB-Format '!$LO$96</f>
        <v>0</v>
      </c>
      <c r="C95" s="43">
        <f>B95*C61</f>
        <v>0</v>
      </c>
      <c r="D95" s="81">
        <v>0</v>
      </c>
      <c r="E95" s="43">
        <f>[4]EBSSL!$C95</f>
        <v>0</v>
      </c>
      <c r="F95" s="25">
        <f t="shared" si="17"/>
        <v>0</v>
      </c>
      <c r="G95" s="1291">
        <f t="shared" si="18"/>
        <v>0</v>
      </c>
      <c r="H95" s="350"/>
      <c r="AG95" s="81">
        <v>0</v>
      </c>
      <c r="AH95" s="103">
        <f t="shared" si="10"/>
        <v>0</v>
      </c>
      <c r="AJ95" s="81">
        <v>0</v>
      </c>
      <c r="AK95" s="103">
        <f t="shared" si="11"/>
        <v>0</v>
      </c>
    </row>
    <row r="96" spans="1:37">
      <c r="A96" s="303" t="s">
        <v>81</v>
      </c>
      <c r="B96" s="39">
        <f>SUM(B93:B95)</f>
        <v>6124268.640075773</v>
      </c>
      <c r="C96" s="39">
        <f>SUM(C93:C95)</f>
        <v>1034919.7432694997</v>
      </c>
      <c r="D96" s="39">
        <f>SUM(D93:D95)</f>
        <v>-108083.5673560435</v>
      </c>
      <c r="E96" s="609">
        <f>SUM(E93:E95)</f>
        <v>-29193.371542656445</v>
      </c>
      <c r="F96" s="638">
        <f t="shared" si="17"/>
        <v>1064113.1148121562</v>
      </c>
      <c r="G96" s="1299">
        <f t="shared" si="18"/>
        <v>-36.450504295377712</v>
      </c>
      <c r="H96" s="353"/>
      <c r="I96" s="381"/>
      <c r="J96" s="388"/>
      <c r="AG96" s="39">
        <v>17584.734877209179</v>
      </c>
      <c r="AH96" s="103">
        <f t="shared" si="10"/>
        <v>6106683.9051985638</v>
      </c>
      <c r="AJ96" s="39">
        <v>5051.1410905192606</v>
      </c>
      <c r="AK96" s="103">
        <f t="shared" si="11"/>
        <v>1029868.6021789805</v>
      </c>
    </row>
    <row r="97" spans="1:37">
      <c r="A97" s="294" t="s">
        <v>91</v>
      </c>
      <c r="B97" s="612">
        <f>'[40]PUB-Format '!$LO98</f>
        <v>-243065.20039199971</v>
      </c>
      <c r="C97" s="24">
        <f>B97*$C$61</f>
        <v>-41074.777997381505</v>
      </c>
      <c r="D97" s="24">
        <f>[4]EBSSL!$B$97</f>
        <v>21616.713471208699</v>
      </c>
      <c r="E97" s="24">
        <f>[4]EBSSL!$C97</f>
        <v>5838.6743085313174</v>
      </c>
      <c r="F97" s="25">
        <f t="shared" si="17"/>
        <v>-46913.452305912826</v>
      </c>
      <c r="G97" s="1291">
        <f t="shared" si="18"/>
        <v>-8.0349493441283624</v>
      </c>
      <c r="H97" s="350"/>
      <c r="I97" s="105" t="s">
        <v>644</v>
      </c>
      <c r="Q97" s="813">
        <f>-(C97+C98)/C96</f>
        <v>0.30024013750571471</v>
      </c>
      <c r="AG97" s="612">
        <v>-3516.946975441836</v>
      </c>
      <c r="AH97" s="103">
        <f t="shared" si="10"/>
        <v>-239548.25341655788</v>
      </c>
      <c r="AJ97" s="612">
        <v>-1010.2282181038603</v>
      </c>
      <c r="AK97" s="103">
        <f t="shared" si="11"/>
        <v>-40064.549779277644</v>
      </c>
    </row>
    <row r="98" spans="1:37">
      <c r="A98" s="294" t="s">
        <v>92</v>
      </c>
      <c r="B98" s="41">
        <f>'[40]PUB-Format '!$LO$99</f>
        <v>-1595686.0582262864</v>
      </c>
      <c r="C98" s="24">
        <f>B98*$C$61</f>
        <v>-269649.66802923207</v>
      </c>
      <c r="D98" s="41">
        <f>[4]EBSSL!$B$98</f>
        <v>0</v>
      </c>
      <c r="E98" s="43">
        <f>[4]EBSSL!$C98</f>
        <v>0</v>
      </c>
      <c r="F98" s="25">
        <f t="shared" si="17"/>
        <v>-269649.66802923207</v>
      </c>
      <c r="G98" s="1291">
        <f t="shared" si="18"/>
        <v>0</v>
      </c>
      <c r="H98" s="350"/>
      <c r="I98" s="388"/>
      <c r="AG98" s="41">
        <v>0</v>
      </c>
      <c r="AH98" s="103">
        <f t="shared" si="10"/>
        <v>-1595686.0582262864</v>
      </c>
      <c r="AJ98" s="41">
        <v>0</v>
      </c>
      <c r="AK98" s="103">
        <f t="shared" si="11"/>
        <v>-269649.66802923207</v>
      </c>
    </row>
    <row r="99" spans="1:37" ht="13.5" thickBot="1">
      <c r="A99" s="416" t="s">
        <v>93</v>
      </c>
      <c r="B99" s="94">
        <f>SUM(B96:B98)</f>
        <v>4285517.3814574871</v>
      </c>
      <c r="C99" s="94">
        <f>SUM(C96:C98)</f>
        <v>724195.29724288615</v>
      </c>
      <c r="D99" s="94">
        <f>SUM(D96:D98)</f>
        <v>-86466.853884834796</v>
      </c>
      <c r="E99" s="94">
        <f>SUM(E96:E98)</f>
        <v>-23354.697234125128</v>
      </c>
      <c r="F99" s="94">
        <f t="shared" si="17"/>
        <v>747549.99447701126</v>
      </c>
      <c r="G99" s="1299">
        <f t="shared" si="18"/>
        <v>-32.008550013858255</v>
      </c>
      <c r="H99" s="354"/>
      <c r="I99" s="388"/>
      <c r="J99" s="381"/>
      <c r="K99" s="381"/>
      <c r="AG99" s="94">
        <v>14067.787901767344</v>
      </c>
      <c r="AH99" s="103">
        <f t="shared" si="10"/>
        <v>4271449.5935557196</v>
      </c>
      <c r="AJ99" s="94">
        <v>4040.9128724154002</v>
      </c>
      <c r="AK99" s="103">
        <f t="shared" si="11"/>
        <v>720154.38437047077</v>
      </c>
    </row>
    <row r="100" spans="1:37" ht="13.5" thickBot="1">
      <c r="A100" s="418"/>
      <c r="B100" s="398"/>
      <c r="C100" s="398"/>
      <c r="D100" s="398"/>
      <c r="E100" s="398"/>
      <c r="F100" s="398"/>
      <c r="G100" s="1323"/>
      <c r="H100" s="350"/>
      <c r="AG100" s="398"/>
      <c r="AH100" s="103">
        <f t="shared" si="10"/>
        <v>0</v>
      </c>
      <c r="AJ100" s="398"/>
      <c r="AK100" s="103">
        <f t="shared" si="11"/>
        <v>0</v>
      </c>
    </row>
    <row r="101" spans="1:37">
      <c r="A101" s="419" t="s">
        <v>150</v>
      </c>
      <c r="B101" s="269"/>
      <c r="C101" s="269"/>
      <c r="D101" s="269"/>
      <c r="E101" s="269"/>
      <c r="F101" s="269"/>
      <c r="G101" s="1324"/>
      <c r="AG101" s="269"/>
      <c r="AH101" s="103"/>
      <c r="AJ101" s="269"/>
      <c r="AK101" s="103">
        <f t="shared" si="11"/>
        <v>0</v>
      </c>
    </row>
    <row r="102" spans="1:37">
      <c r="A102" s="420"/>
      <c r="B102" s="84">
        <f>B2</f>
        <v>45046</v>
      </c>
      <c r="C102" s="84">
        <f>C2</f>
        <v>45046</v>
      </c>
      <c r="D102" s="84">
        <f>D2</f>
        <v>44681</v>
      </c>
      <c r="E102" s="84">
        <f>E2</f>
        <v>44681</v>
      </c>
      <c r="F102" s="1596" t="s">
        <v>151</v>
      </c>
      <c r="G102" s="1598" t="s">
        <v>152</v>
      </c>
      <c r="AG102" s="84">
        <v>44530</v>
      </c>
      <c r="AH102" s="103"/>
      <c r="AJ102" s="84">
        <v>44530</v>
      </c>
      <c r="AK102" s="103">
        <f t="shared" si="11"/>
        <v>516</v>
      </c>
    </row>
    <row r="103" spans="1:37">
      <c r="A103" s="420"/>
      <c r="B103" s="19" t="s">
        <v>512</v>
      </c>
      <c r="C103" s="19" t="s">
        <v>97</v>
      </c>
      <c r="D103" s="19" t="str">
        <f>D4</f>
        <v>SSP '000</v>
      </c>
      <c r="E103" s="19" t="s">
        <v>97</v>
      </c>
      <c r="F103" s="1597"/>
      <c r="G103" s="1599"/>
      <c r="AG103" s="19" t="s">
        <v>512</v>
      </c>
      <c r="AH103" s="103"/>
      <c r="AJ103" s="19" t="s">
        <v>97</v>
      </c>
      <c r="AK103" s="103" t="e">
        <f t="shared" si="11"/>
        <v>#VALUE!</v>
      </c>
    </row>
    <row r="104" spans="1:37">
      <c r="A104" s="420"/>
      <c r="B104" s="21" t="s">
        <v>614</v>
      </c>
      <c r="C104" s="21" t="s">
        <v>614</v>
      </c>
      <c r="D104" s="83" t="s">
        <v>84</v>
      </c>
      <c r="E104" s="19" t="str">
        <f>E5</f>
        <v>(Un-Audited)</v>
      </c>
      <c r="F104" s="85"/>
      <c r="G104" s="1325"/>
      <c r="AG104" s="83" t="s">
        <v>84</v>
      </c>
      <c r="AH104" s="103"/>
      <c r="AJ104" s="83" t="s">
        <v>84</v>
      </c>
      <c r="AK104" s="103" t="e">
        <f t="shared" si="11"/>
        <v>#VALUE!</v>
      </c>
    </row>
    <row r="105" spans="1:37">
      <c r="A105" s="294"/>
      <c r="B105" s="43"/>
      <c r="C105" s="43"/>
      <c r="D105" s="43"/>
      <c r="E105" s="43"/>
      <c r="F105" s="43"/>
      <c r="G105" s="1303"/>
      <c r="AG105" s="43"/>
      <c r="AH105" s="103">
        <f t="shared" si="10"/>
        <v>0</v>
      </c>
      <c r="AJ105" s="43"/>
      <c r="AK105" s="103">
        <f t="shared" si="11"/>
        <v>0</v>
      </c>
    </row>
    <row r="106" spans="1:37">
      <c r="A106" s="1600" t="s">
        <v>114</v>
      </c>
      <c r="B106" s="1601"/>
      <c r="C106" s="43"/>
      <c r="D106" s="43"/>
      <c r="E106" s="43"/>
      <c r="F106" s="43"/>
      <c r="G106" s="1303"/>
      <c r="AG106" s="102"/>
      <c r="AH106" s="103">
        <f t="shared" si="10"/>
        <v>0</v>
      </c>
      <c r="AJ106" s="102"/>
      <c r="AK106" s="103">
        <f t="shared" si="11"/>
        <v>0</v>
      </c>
    </row>
    <row r="107" spans="1:37" s="105" customFormat="1">
      <c r="A107" s="298" t="s">
        <v>115</v>
      </c>
      <c r="B107" s="42">
        <f>'[40]Additional Disclosures'!$B$7</f>
        <v>6589.0932699999994</v>
      </c>
      <c r="C107" s="42">
        <f>'[6]30_March_2023'!$K$6</f>
        <v>368.86024687589713</v>
      </c>
      <c r="D107" s="42">
        <f>[4]EBSSL!$B107</f>
        <v>6589.0932699999994</v>
      </c>
      <c r="E107" s="42">
        <f>[4]EBSSL!$C107</f>
        <v>1779.7140922141512</v>
      </c>
      <c r="F107" s="42">
        <f t="shared" ref="F107:F113" si="19">C107-E107</f>
        <v>-1410.8538453382539</v>
      </c>
      <c r="G107" s="1302">
        <f>F107/E107</f>
        <v>-0.79274185191341806</v>
      </c>
      <c r="H107" s="348"/>
      <c r="AG107" s="42">
        <v>5584</v>
      </c>
      <c r="AH107" s="103">
        <f t="shared" si="10"/>
        <v>1005.0932699999994</v>
      </c>
      <c r="AJ107" s="42">
        <v>1603.9805004973837</v>
      </c>
      <c r="AK107" s="103">
        <f t="shared" si="11"/>
        <v>-1235.1202536214864</v>
      </c>
    </row>
    <row r="108" spans="1:37">
      <c r="A108" s="294" t="s">
        <v>116</v>
      </c>
      <c r="B108" s="43">
        <f>'[40]Additional Disclosures'!$B$8</f>
        <v>1222.647962553423</v>
      </c>
      <c r="C108" s="43">
        <f>'[6]30_March_2023'!$K$7</f>
        <v>57.485471964591333</v>
      </c>
      <c r="D108" s="43">
        <f>[4]EBSSL!$B108</f>
        <v>6551.6149287148482</v>
      </c>
      <c r="E108" s="43">
        <f>[4]EBSSL!$C108</f>
        <v>1769.5911922331049</v>
      </c>
      <c r="F108" s="43">
        <f t="shared" si="19"/>
        <v>-1712.1057202685136</v>
      </c>
      <c r="G108" s="1303">
        <f>F108/E108</f>
        <v>-0.96751482929113775</v>
      </c>
      <c r="AG108" s="43">
        <v>35252.607988657597</v>
      </c>
      <c r="AH108" s="103">
        <f t="shared" si="10"/>
        <v>-34029.960026104178</v>
      </c>
      <c r="AJ108" s="43">
        <v>10126.163288947901</v>
      </c>
      <c r="AK108" s="103">
        <f t="shared" si="11"/>
        <v>-10068.677816983309</v>
      </c>
    </row>
    <row r="109" spans="1:37" s="105" customFormat="1">
      <c r="A109" s="298" t="s">
        <v>117</v>
      </c>
      <c r="B109" s="42">
        <f>B107-B108</f>
        <v>5366.4453074465764</v>
      </c>
      <c r="C109" s="42">
        <f>C107-C108</f>
        <v>311.37477491130579</v>
      </c>
      <c r="D109" s="42">
        <f>[4]EBSSL!$B109</f>
        <v>37.478341285151146</v>
      </c>
      <c r="E109" s="42">
        <f>[4]EBSSL!$C109</f>
        <v>10.122899981046203</v>
      </c>
      <c r="F109" s="42">
        <f t="shared" si="19"/>
        <v>301.25187493025959</v>
      </c>
      <c r="G109" s="1302">
        <f>F109/E109</f>
        <v>29.759443982881788</v>
      </c>
      <c r="H109" s="348"/>
      <c r="AG109" s="42">
        <v>-29668.607988657597</v>
      </c>
      <c r="AH109" s="103">
        <f t="shared" si="10"/>
        <v>35035.053296104175</v>
      </c>
      <c r="AJ109" s="42">
        <v>-8522.1827884505165</v>
      </c>
      <c r="AK109" s="103">
        <f t="shared" si="11"/>
        <v>8833.5575633618228</v>
      </c>
    </row>
    <row r="110" spans="1:37">
      <c r="A110" s="294" t="s">
        <v>118</v>
      </c>
      <c r="B110" s="43">
        <f>'[40]Additional Disclosures'!$B$10</f>
        <v>79.363476129054661</v>
      </c>
      <c r="C110" s="43">
        <f>'[6]30_March_2023'!$K$9</f>
        <v>311.37477491130579</v>
      </c>
      <c r="D110" s="43">
        <f>[4]EBSSL!$B110</f>
        <v>31099.791273964274</v>
      </c>
      <c r="E110" s="43">
        <f>[4]EBSSL!$C110</f>
        <v>8400.0536230371054</v>
      </c>
      <c r="F110" s="43">
        <f t="shared" si="19"/>
        <v>-8088.6788481258</v>
      </c>
      <c r="G110" s="1303">
        <f>F110/E110</f>
        <v>-0.96293181104732928</v>
      </c>
      <c r="AG110" s="43">
        <v>99535.820659444071</v>
      </c>
      <c r="AH110" s="103">
        <f t="shared" si="10"/>
        <v>-99456.457183315011</v>
      </c>
      <c r="AJ110" s="43">
        <v>28591.245601495866</v>
      </c>
      <c r="AK110" s="103">
        <f t="shared" si="11"/>
        <v>-28279.87082658456</v>
      </c>
    </row>
    <row r="111" spans="1:37" s="105" customFormat="1">
      <c r="A111" s="298" t="s">
        <v>119</v>
      </c>
      <c r="B111" s="42">
        <f>B109-B110</f>
        <v>5287.0818313175214</v>
      </c>
      <c r="C111" s="42">
        <f>C109-C110</f>
        <v>0</v>
      </c>
      <c r="D111" s="42">
        <f>[4]EBSSL!$B111</f>
        <v>-31062.312932679124</v>
      </c>
      <c r="E111" s="42">
        <f>[4]EBSSL!$C111</f>
        <v>-8389.9307230560589</v>
      </c>
      <c r="F111" s="42">
        <f t="shared" si="19"/>
        <v>8389.9307230560589</v>
      </c>
      <c r="G111" s="1302">
        <f>F111/E111</f>
        <v>-1</v>
      </c>
      <c r="H111" s="348"/>
      <c r="AG111" s="42">
        <v>-129204.42864810166</v>
      </c>
      <c r="AH111" s="103">
        <f t="shared" si="10"/>
        <v>134491.51047941917</v>
      </c>
      <c r="AJ111" s="42">
        <v>-37113.428389946384</v>
      </c>
      <c r="AK111" s="103">
        <f t="shared" si="11"/>
        <v>37113.428389946384</v>
      </c>
    </row>
    <row r="112" spans="1:37">
      <c r="A112" s="294" t="s">
        <v>120</v>
      </c>
      <c r="B112" s="43">
        <f>'[40]Additional Disclosures'!$B$12</f>
        <v>0</v>
      </c>
      <c r="C112" s="43">
        <f>B112*$C$6</f>
        <v>0</v>
      </c>
      <c r="D112" s="43">
        <v>0</v>
      </c>
      <c r="E112" s="43">
        <v>0</v>
      </c>
      <c r="F112" s="43">
        <f t="shared" si="19"/>
        <v>0</v>
      </c>
      <c r="G112" s="1303">
        <v>0</v>
      </c>
      <c r="AG112" s="43">
        <v>0</v>
      </c>
      <c r="AH112" s="103">
        <f t="shared" si="10"/>
        <v>0</v>
      </c>
      <c r="AJ112" s="43">
        <v>0</v>
      </c>
      <c r="AK112" s="103">
        <f t="shared" si="11"/>
        <v>0</v>
      </c>
    </row>
    <row r="113" spans="1:37" ht="13.5" thickBot="1">
      <c r="A113" s="421" t="s">
        <v>121</v>
      </c>
      <c r="B113" s="65">
        <f>B111</f>
        <v>5287.0818313175214</v>
      </c>
      <c r="C113" s="65">
        <f>C111-C112</f>
        <v>0</v>
      </c>
      <c r="D113" s="65">
        <f>D111-D112</f>
        <v>-31062.312932679124</v>
      </c>
      <c r="E113" s="65">
        <f>E111-E112</f>
        <v>-8389.9307230560589</v>
      </c>
      <c r="F113" s="65">
        <f t="shared" si="19"/>
        <v>8389.9307230560589</v>
      </c>
      <c r="G113" s="1326">
        <f>F113/E113</f>
        <v>-1</v>
      </c>
      <c r="AG113" s="65">
        <v>-129204.42864810166</v>
      </c>
      <c r="AH113" s="103">
        <f t="shared" si="10"/>
        <v>134491.51047941917</v>
      </c>
      <c r="AJ113" s="65">
        <v>-37113.428389946384</v>
      </c>
      <c r="AK113" s="103">
        <f t="shared" si="11"/>
        <v>37113.428389946384</v>
      </c>
    </row>
    <row r="114" spans="1:37">
      <c r="A114" s="294"/>
      <c r="B114" s="43"/>
      <c r="C114" s="43"/>
      <c r="D114" s="43"/>
      <c r="E114" s="43"/>
      <c r="F114" s="43"/>
      <c r="G114" s="1303"/>
      <c r="AG114" s="43"/>
      <c r="AH114" s="103">
        <f t="shared" si="10"/>
        <v>0</v>
      </c>
      <c r="AJ114" s="43"/>
      <c r="AK114" s="103">
        <f t="shared" si="11"/>
        <v>0</v>
      </c>
    </row>
    <row r="115" spans="1:37">
      <c r="A115" s="298" t="s">
        <v>122</v>
      </c>
      <c r="B115" s="43"/>
      <c r="C115" s="43"/>
      <c r="D115" s="43"/>
      <c r="E115" s="43"/>
      <c r="F115" s="43"/>
      <c r="G115" s="1303"/>
      <c r="AG115" s="43"/>
      <c r="AH115" s="103">
        <f t="shared" si="10"/>
        <v>0</v>
      </c>
      <c r="AJ115" s="43"/>
      <c r="AK115" s="103">
        <f t="shared" si="11"/>
        <v>0</v>
      </c>
    </row>
    <row r="116" spans="1:37">
      <c r="A116" s="294" t="s">
        <v>123</v>
      </c>
      <c r="B116" s="43">
        <f>'[40]Additional Disclosures'!$B$16</f>
        <v>0</v>
      </c>
      <c r="C116" s="43">
        <f>B116*$C$6</f>
        <v>0</v>
      </c>
      <c r="D116" s="43">
        <v>0</v>
      </c>
      <c r="E116" s="43">
        <v>0</v>
      </c>
      <c r="F116" s="43"/>
      <c r="G116" s="1303"/>
      <c r="AG116" s="43">
        <v>0</v>
      </c>
      <c r="AH116" s="103">
        <f t="shared" si="10"/>
        <v>0</v>
      </c>
      <c r="AJ116" s="43">
        <v>0</v>
      </c>
      <c r="AK116" s="103">
        <f t="shared" si="11"/>
        <v>0</v>
      </c>
    </row>
    <row r="117" spans="1:37">
      <c r="A117" s="294" t="s">
        <v>124</v>
      </c>
      <c r="B117" s="43">
        <f>'[40]Additional Disclosures'!$B$18</f>
        <v>1867.08312</v>
      </c>
      <c r="C117" s="43">
        <f>B117*$C$6</f>
        <v>287.90421710632353</v>
      </c>
      <c r="D117" s="43">
        <v>327.80752999999999</v>
      </c>
      <c r="E117" s="43">
        <f>D117*D6</f>
        <v>88.54081385236077</v>
      </c>
      <c r="F117" s="43">
        <f>C117-E117</f>
        <v>199.36340325396276</v>
      </c>
      <c r="G117" s="1303">
        <f>F117/E117</f>
        <v>2.2516554183293982</v>
      </c>
      <c r="AG117" s="43">
        <v>1.3255037714684156E-3</v>
      </c>
      <c r="AH117" s="103">
        <f t="shared" si="10"/>
        <v>1867.0817944962284</v>
      </c>
      <c r="AJ117" s="43">
        <v>3.8074538015241388E-4</v>
      </c>
      <c r="AK117" s="103">
        <f t="shared" si="11"/>
        <v>287.90383636094339</v>
      </c>
    </row>
    <row r="118" spans="1:37" ht="13.5" thickBot="1">
      <c r="A118" s="421" t="s">
        <v>125</v>
      </c>
      <c r="B118" s="65">
        <f>SUM(B116:B117)</f>
        <v>1867.08312</v>
      </c>
      <c r="C118" s="65">
        <f>SUM(C116:C117)</f>
        <v>287.90421710632353</v>
      </c>
      <c r="D118" s="65">
        <f>SUM(D116:D117)</f>
        <v>327.80752999999999</v>
      </c>
      <c r="E118" s="65">
        <f>SUM(E116:E117)</f>
        <v>88.54081385236077</v>
      </c>
      <c r="F118" s="65">
        <f>C118-E118</f>
        <v>199.36340325396276</v>
      </c>
      <c r="G118" s="1326">
        <f>F118/E118</f>
        <v>2.2516554183293982</v>
      </c>
      <c r="AG118" s="65">
        <v>1.3255037714684156E-3</v>
      </c>
      <c r="AH118" s="103">
        <f t="shared" si="10"/>
        <v>1867.0817944962284</v>
      </c>
      <c r="AJ118" s="65">
        <v>3.8074538015241388E-4</v>
      </c>
      <c r="AK118" s="103">
        <f t="shared" si="11"/>
        <v>287.90383636094339</v>
      </c>
    </row>
    <row r="119" spans="1:37">
      <c r="A119" s="294"/>
      <c r="B119" s="43"/>
      <c r="C119" s="43"/>
      <c r="D119" s="43"/>
      <c r="E119" s="43"/>
      <c r="F119" s="43"/>
      <c r="G119" s="1303"/>
      <c r="AG119" s="43"/>
      <c r="AH119" s="103">
        <f t="shared" si="10"/>
        <v>0</v>
      </c>
      <c r="AJ119" s="43"/>
      <c r="AK119" s="103">
        <f t="shared" si="11"/>
        <v>0</v>
      </c>
    </row>
    <row r="120" spans="1:37">
      <c r="A120" s="298" t="s">
        <v>126</v>
      </c>
      <c r="B120" s="43"/>
      <c r="C120" s="43"/>
      <c r="D120" s="43"/>
      <c r="E120" s="43"/>
      <c r="F120" s="43"/>
      <c r="G120" s="1303"/>
      <c r="AG120" s="43"/>
      <c r="AH120" s="103">
        <f t="shared" si="10"/>
        <v>0</v>
      </c>
      <c r="AJ120" s="43"/>
      <c r="AK120" s="103">
        <f t="shared" si="11"/>
        <v>0</v>
      </c>
    </row>
    <row r="121" spans="1:37">
      <c r="A121" s="294" t="s">
        <v>127</v>
      </c>
      <c r="B121" s="43">
        <f>'[40]Additional Disclosures'!$B$23</f>
        <v>208192.80721</v>
      </c>
      <c r="C121" s="43">
        <f>B121*$C$6</f>
        <v>32103.330872041093</v>
      </c>
      <c r="D121" s="43">
        <v>15708.295470000001</v>
      </c>
      <c r="E121" s="43">
        <f>D121*D6</f>
        <v>4242.8106064163694</v>
      </c>
      <c r="F121" s="43">
        <f>C121-E121</f>
        <v>27860.520265624724</v>
      </c>
      <c r="G121" s="1303">
        <f>F121/E121</f>
        <v>6.5665246107124071</v>
      </c>
      <c r="AG121" s="43">
        <v>100564.65905</v>
      </c>
      <c r="AH121" s="103">
        <f t="shared" si="10"/>
        <v>107628.14816</v>
      </c>
      <c r="AJ121" s="43">
        <v>28886.775099456976</v>
      </c>
      <c r="AK121" s="103">
        <f t="shared" si="11"/>
        <v>3216.5557725841172</v>
      </c>
    </row>
    <row r="122" spans="1:37">
      <c r="A122" s="294" t="s">
        <v>128</v>
      </c>
      <c r="B122" s="43">
        <f>'[40]Additional Disclosures'!$B$24</f>
        <v>0</v>
      </c>
      <c r="C122" s="43">
        <v>0</v>
      </c>
      <c r="D122" s="43">
        <f>[4]EBSSL!$B122</f>
        <v>0</v>
      </c>
      <c r="E122" s="43">
        <f>[4]EBSSL!$C122</f>
        <v>0</v>
      </c>
      <c r="F122" s="43"/>
      <c r="G122" s="1303"/>
      <c r="AG122" s="374">
        <v>0</v>
      </c>
      <c r="AH122" s="103">
        <f t="shared" si="10"/>
        <v>0</v>
      </c>
      <c r="AJ122" s="374">
        <v>0</v>
      </c>
      <c r="AK122" s="103">
        <f t="shared" si="11"/>
        <v>0</v>
      </c>
    </row>
    <row r="123" spans="1:37" ht="13.5" thickBot="1">
      <c r="A123" s="422" t="s">
        <v>129</v>
      </c>
      <c r="B123" s="87">
        <f>SUM(B121:B122)</f>
        <v>208192.80721</v>
      </c>
      <c r="C123" s="87">
        <f>SUM(C121:C122)</f>
        <v>32103.330872041093</v>
      </c>
      <c r="D123" s="87">
        <f>SUM(D121:D122)</f>
        <v>15708.295470000001</v>
      </c>
      <c r="E123" s="87">
        <f>SUM(E121:E122)</f>
        <v>4242.8106064163694</v>
      </c>
      <c r="F123" s="65">
        <f>C123-E123</f>
        <v>27860.520265624724</v>
      </c>
      <c r="G123" s="1326">
        <f>F123/E123</f>
        <v>6.5665246107124071</v>
      </c>
      <c r="AG123" s="87">
        <v>100564.65905</v>
      </c>
      <c r="AH123" s="103">
        <f t="shared" si="10"/>
        <v>107628.14816</v>
      </c>
      <c r="AJ123" s="87">
        <v>28886.775099456976</v>
      </c>
      <c r="AK123" s="103">
        <f t="shared" si="11"/>
        <v>3216.5557725841172</v>
      </c>
    </row>
    <row r="124" spans="1:37" ht="13.5" thickBot="1">
      <c r="A124" s="299"/>
      <c r="B124" s="102"/>
      <c r="C124" s="102"/>
      <c r="D124" s="102"/>
      <c r="E124" s="204"/>
      <c r="F124" s="204"/>
      <c r="G124" s="1327"/>
      <c r="K124" s="479">
        <f>3000000/35</f>
        <v>85714.28571428571</v>
      </c>
      <c r="AG124" s="102"/>
      <c r="AH124" s="103">
        <f t="shared" si="10"/>
        <v>0</v>
      </c>
      <c r="AJ124" s="102"/>
      <c r="AK124" s="103">
        <f t="shared" si="11"/>
        <v>0</v>
      </c>
    </row>
    <row r="125" spans="1:37">
      <c r="A125" s="423" t="s">
        <v>130</v>
      </c>
      <c r="B125" s="205"/>
      <c r="C125" s="205"/>
      <c r="D125" s="205"/>
      <c r="E125" s="205"/>
      <c r="F125" s="205"/>
      <c r="G125" s="1328"/>
      <c r="AG125" s="205"/>
      <c r="AH125" s="103">
        <f t="shared" si="10"/>
        <v>0</v>
      </c>
      <c r="AJ125" s="205"/>
      <c r="AK125" s="103">
        <f t="shared" si="11"/>
        <v>0</v>
      </c>
    </row>
    <row r="126" spans="1:37" s="105" customFormat="1">
      <c r="A126" s="426" t="s">
        <v>131</v>
      </c>
      <c r="B126" s="42">
        <f>'[40]Additional Disclosures'!$B$28</f>
        <v>27231990.675331801</v>
      </c>
      <c r="C126" s="42">
        <f>B126*$C$6</f>
        <v>4199172.9621700533</v>
      </c>
      <c r="D126" s="42">
        <f>[4]EBSSL!$B126</f>
        <v>15595968.249282574</v>
      </c>
      <c r="E126" s="42">
        <f>[4]EBSSL!$C126</f>
        <v>4212471.0241008112</v>
      </c>
      <c r="F126" s="788">
        <f>C126-E126</f>
        <v>-13298.061930757947</v>
      </c>
      <c r="G126" s="1329">
        <f>F126/E126</f>
        <v>-3.1568316683190799E-3</v>
      </c>
      <c r="H126" s="348"/>
      <c r="AG126" s="42">
        <v>13661845.337354096</v>
      </c>
      <c r="AH126" s="103">
        <f t="shared" si="10"/>
        <v>13570145.337977706</v>
      </c>
      <c r="AJ126" s="42">
        <v>3924307.5791416671</v>
      </c>
      <c r="AK126" s="103">
        <f t="shared" si="11"/>
        <v>274865.38302838616</v>
      </c>
    </row>
    <row r="127" spans="1:37">
      <c r="A127" s="424" t="s">
        <v>132</v>
      </c>
      <c r="B127" s="43">
        <f>'[40]Additional Disclosures'!$B$29</f>
        <v>5000000</v>
      </c>
      <c r="C127" s="82">
        <f>E127</f>
        <v>75297.219320016113</v>
      </c>
      <c r="D127" s="43">
        <f>[4]EBSSL!$B127</f>
        <v>5000000</v>
      </c>
      <c r="E127" s="43">
        <f>[4]EBSSL!$C127</f>
        <v>75297.219320016113</v>
      </c>
      <c r="F127" s="206"/>
      <c r="G127" s="1330"/>
      <c r="J127" s="103"/>
      <c r="AG127" s="43">
        <v>5000000</v>
      </c>
      <c r="AH127" s="103">
        <f t="shared" si="10"/>
        <v>0</v>
      </c>
      <c r="AJ127" s="43">
        <v>103086.18134244037</v>
      </c>
      <c r="AK127" s="103">
        <f t="shared" si="11"/>
        <v>-27788.962022424254</v>
      </c>
    </row>
    <row r="128" spans="1:37">
      <c r="A128" s="425" t="s">
        <v>133</v>
      </c>
      <c r="B128" s="207">
        <f>B126-B127</f>
        <v>22231990.675331801</v>
      </c>
      <c r="C128" s="207">
        <f>C126-C127</f>
        <v>4123875.7428500373</v>
      </c>
      <c r="D128" s="207">
        <f>D126-D127</f>
        <v>10595968.249282574</v>
      </c>
      <c r="E128" s="207">
        <f>E126-E127</f>
        <v>4137173.8047807952</v>
      </c>
      <c r="F128" s="209">
        <f>C128-E128</f>
        <v>-13298.061930757947</v>
      </c>
      <c r="G128" s="1331">
        <f>F128/E128</f>
        <v>-3.2142865052928408E-3</v>
      </c>
      <c r="AG128" s="207">
        <v>8661845.3373540957</v>
      </c>
      <c r="AH128" s="103">
        <f t="shared" si="10"/>
        <v>13570145.337977706</v>
      </c>
      <c r="AJ128" s="207">
        <v>3821221.3977992269</v>
      </c>
      <c r="AK128" s="103">
        <f t="shared" si="11"/>
        <v>302654.34505081037</v>
      </c>
    </row>
    <row r="129" spans="1:37">
      <c r="A129" s="424" t="s">
        <v>134</v>
      </c>
      <c r="B129" s="374">
        <v>0</v>
      </c>
      <c r="C129" s="43">
        <f>B129*$C$6</f>
        <v>0</v>
      </c>
      <c r="D129" s="43">
        <f>[4]EBSSL!$B129</f>
        <v>0</v>
      </c>
      <c r="E129" s="43">
        <f>[4]EBSSL!$C129</f>
        <v>0</v>
      </c>
      <c r="F129" s="206"/>
      <c r="G129" s="1330"/>
      <c r="AG129" s="374">
        <v>0</v>
      </c>
      <c r="AH129" s="103">
        <f t="shared" si="10"/>
        <v>0</v>
      </c>
      <c r="AJ129" s="374">
        <v>0</v>
      </c>
      <c r="AK129" s="103">
        <f t="shared" si="11"/>
        <v>0</v>
      </c>
    </row>
    <row r="130" spans="1:37" s="105" customFormat="1">
      <c r="A130" s="426" t="s">
        <v>135</v>
      </c>
      <c r="B130" s="42">
        <f>B126+B129</f>
        <v>27231990.675331801</v>
      </c>
      <c r="C130" s="788">
        <f>C126+C129</f>
        <v>4199172.9621700533</v>
      </c>
      <c r="D130" s="42">
        <f>[4]EBSSL!$B130</f>
        <v>15595968.249282574</v>
      </c>
      <c r="E130" s="42">
        <f>[4]EBSSL!$C130</f>
        <v>4212471.0241008112</v>
      </c>
      <c r="F130" s="788">
        <f>C130-E130</f>
        <v>-13298.061930757947</v>
      </c>
      <c r="G130" s="1329">
        <f>F130/E130</f>
        <v>-3.1568316683190799E-3</v>
      </c>
      <c r="H130" s="348"/>
      <c r="AG130" s="42">
        <v>13661845.337354096</v>
      </c>
      <c r="AH130" s="103">
        <f t="shared" si="10"/>
        <v>13570145.337977706</v>
      </c>
      <c r="AJ130" s="42">
        <v>3924307.5791416671</v>
      </c>
      <c r="AK130" s="103">
        <f t="shared" si="11"/>
        <v>274865.38302838616</v>
      </c>
    </row>
    <row r="131" spans="1:37" s="105" customFormat="1">
      <c r="A131" s="425" t="s">
        <v>718</v>
      </c>
      <c r="B131" s="48">
        <f>'[40]Additional Disclosures'!$B$33</f>
        <v>22037030.251421452</v>
      </c>
      <c r="C131" s="48">
        <f>B131*$C$6</f>
        <v>3398110.0647966126</v>
      </c>
      <c r="D131" s="48">
        <f>[4]EBSSL!$B131</f>
        <v>8598679.1121437531</v>
      </c>
      <c r="E131" s="48">
        <f>[4]EBSSL!$C131</f>
        <v>2322503.2281732606</v>
      </c>
      <c r="F131" s="207">
        <f>C131-E131</f>
        <v>1075606.836623352</v>
      </c>
      <c r="G131" s="1332">
        <f>F131/E131</f>
        <v>0.4631239360943144</v>
      </c>
      <c r="H131" s="348"/>
      <c r="AG131" s="48">
        <v>5283682.9947993876</v>
      </c>
      <c r="AH131" s="103">
        <f t="shared" si="10"/>
        <v>16753347.256622065</v>
      </c>
      <c r="AJ131" s="48">
        <v>1517715.7045966757</v>
      </c>
      <c r="AK131" s="103">
        <f t="shared" si="11"/>
        <v>1880394.3601999369</v>
      </c>
    </row>
    <row r="132" spans="1:37">
      <c r="A132" s="426" t="s">
        <v>137</v>
      </c>
      <c r="B132" s="208"/>
      <c r="C132" s="208"/>
      <c r="D132" s="208"/>
      <c r="E132" s="206"/>
      <c r="F132" s="206"/>
      <c r="G132" s="1330"/>
      <c r="AG132" s="208"/>
      <c r="AH132" s="103">
        <f t="shared" si="10"/>
        <v>0</v>
      </c>
      <c r="AJ132" s="208"/>
      <c r="AK132" s="103">
        <f t="shared" si="11"/>
        <v>0</v>
      </c>
    </row>
    <row r="133" spans="1:37" s="105" customFormat="1">
      <c r="A133" s="426" t="s">
        <v>138</v>
      </c>
      <c r="B133" s="482">
        <f>B126/B32</f>
        <v>0.34834948242852642</v>
      </c>
      <c r="C133" s="482">
        <f>C126/C32</f>
        <v>0.34834948242852637</v>
      </c>
      <c r="D133" s="482">
        <f>[4]EBSSL!$B133</f>
        <v>0.45272343205544491</v>
      </c>
      <c r="E133" s="482">
        <f>[4]EBSSL!$C133</f>
        <v>0.45272343205544485</v>
      </c>
      <c r="F133" s="482">
        <f>C133-E133</f>
        <v>-0.10437394962691848</v>
      </c>
      <c r="G133" s="1329">
        <v>0</v>
      </c>
      <c r="H133" s="348"/>
      <c r="AG133" s="482">
        <v>0.43867366066303887</v>
      </c>
      <c r="AH133" s="103">
        <f t="shared" si="10"/>
        <v>-9.0324178234512442E-2</v>
      </c>
      <c r="AJ133" s="482">
        <v>0.43867366066303887</v>
      </c>
      <c r="AK133" s="103">
        <f t="shared" si="11"/>
        <v>-9.0324178234512498E-2</v>
      </c>
    </row>
    <row r="134" spans="1:37">
      <c r="A134" s="424" t="s">
        <v>139</v>
      </c>
      <c r="B134" s="450">
        <v>0.08</v>
      </c>
      <c r="C134" s="450">
        <v>0.08</v>
      </c>
      <c r="D134" s="444">
        <f>[4]EBSSL!$B134</f>
        <v>0.08</v>
      </c>
      <c r="E134" s="444">
        <f>[4]EBSSL!$C134</f>
        <v>0.08</v>
      </c>
      <c r="F134" s="444"/>
      <c r="G134" s="1330"/>
      <c r="AG134" s="450">
        <v>0.08</v>
      </c>
      <c r="AH134" s="103">
        <f t="shared" si="10"/>
        <v>0</v>
      </c>
      <c r="AJ134" s="450">
        <v>0.08</v>
      </c>
      <c r="AK134" s="103">
        <f t="shared" si="11"/>
        <v>0</v>
      </c>
    </row>
    <row r="135" spans="1:37">
      <c r="A135" s="425" t="s">
        <v>140</v>
      </c>
      <c r="B135" s="446">
        <f>B133-B134</f>
        <v>0.26834948242852641</v>
      </c>
      <c r="C135" s="446">
        <f>C133-C134</f>
        <v>0.26834948242852635</v>
      </c>
      <c r="D135" s="446">
        <f>D133-D134</f>
        <v>0.37272343205544489</v>
      </c>
      <c r="E135" s="446">
        <f>E133-E134</f>
        <v>0.37272343205544484</v>
      </c>
      <c r="F135" s="447">
        <f>B135-E135</f>
        <v>-0.10437394962691843</v>
      </c>
      <c r="G135" s="1333">
        <f>IFERROR(F135/E135,0)</f>
        <v>-0.28003055523322229</v>
      </c>
      <c r="AG135" s="446">
        <v>0.35867366066303885</v>
      </c>
      <c r="AH135" s="103">
        <f t="shared" si="10"/>
        <v>-9.0324178234512442E-2</v>
      </c>
      <c r="AJ135" s="446">
        <v>0.35867366066303885</v>
      </c>
      <c r="AK135" s="103">
        <f t="shared" si="11"/>
        <v>-9.0324178234512498E-2</v>
      </c>
    </row>
    <row r="136" spans="1:37" s="105" customFormat="1">
      <c r="A136" s="426" t="s">
        <v>719</v>
      </c>
      <c r="B136" s="482">
        <f>B126/B131</f>
        <v>1.235737772496603</v>
      </c>
      <c r="C136" s="482">
        <f>B136</f>
        <v>1.235737772496603</v>
      </c>
      <c r="D136" s="482">
        <f>[4]EBSSL!$B136</f>
        <v>1.8137632589704018</v>
      </c>
      <c r="E136" s="482">
        <f>[4]EBSSL!$C136</f>
        <v>1.8137632589704018</v>
      </c>
      <c r="F136" s="482">
        <f>C136-E136</f>
        <v>-0.57802548647379881</v>
      </c>
      <c r="G136" s="1329">
        <f t="shared" ref="G136:G146" si="20">F136/E136</f>
        <v>-0.31868849675669353</v>
      </c>
      <c r="H136" s="348"/>
      <c r="AG136" s="482">
        <v>2.5856671096281039</v>
      </c>
      <c r="AH136" s="103">
        <f t="shared" ref="AH136:AH146" si="21">B136-AG136</f>
        <v>-1.3499293371315009</v>
      </c>
      <c r="AJ136" s="482">
        <v>2.5856671096281039</v>
      </c>
      <c r="AK136" s="103">
        <f t="shared" ref="AK136:AK146" si="22">C136-AJ136</f>
        <v>-1.3499293371315009</v>
      </c>
    </row>
    <row r="137" spans="1:37">
      <c r="A137" s="424" t="s">
        <v>142</v>
      </c>
      <c r="B137" s="444">
        <v>0.105</v>
      </c>
      <c r="C137" s="450">
        <v>0.08</v>
      </c>
      <c r="D137" s="444">
        <f>[4]EBSSL!$B137</f>
        <v>0.105</v>
      </c>
      <c r="E137" s="444">
        <f>[4]EBSSL!$C137</f>
        <v>0.08</v>
      </c>
      <c r="F137" s="444"/>
      <c r="G137" s="1330"/>
      <c r="AG137" s="444">
        <v>0.105</v>
      </c>
      <c r="AH137" s="103">
        <f t="shared" si="21"/>
        <v>0</v>
      </c>
      <c r="AJ137" s="444">
        <v>0.08</v>
      </c>
      <c r="AK137" s="103">
        <f t="shared" si="22"/>
        <v>0</v>
      </c>
    </row>
    <row r="138" spans="1:37">
      <c r="A138" s="425" t="s">
        <v>143</v>
      </c>
      <c r="B138" s="446">
        <f>B136-B137</f>
        <v>1.130737772496603</v>
      </c>
      <c r="C138" s="446">
        <f>C136-C137</f>
        <v>1.1557377724966029</v>
      </c>
      <c r="D138" s="446">
        <f>D136-D137</f>
        <v>1.7087632589704018</v>
      </c>
      <c r="E138" s="446">
        <f>E136-E137</f>
        <v>1.7337632589704017</v>
      </c>
      <c r="F138" s="447">
        <f>C138-E138</f>
        <v>-0.57802548647379881</v>
      </c>
      <c r="G138" s="1333">
        <f t="shared" si="20"/>
        <v>-0.33339354925369696</v>
      </c>
      <c r="AG138" s="446">
        <v>2.4806671096281039</v>
      </c>
      <c r="AH138" s="103">
        <f t="shared" si="21"/>
        <v>-1.3499293371315009</v>
      </c>
      <c r="AJ138" s="446">
        <v>2.5056671096281038</v>
      </c>
      <c r="AK138" s="103">
        <f t="shared" si="22"/>
        <v>-1.3499293371315009</v>
      </c>
    </row>
    <row r="139" spans="1:37" s="105" customFormat="1">
      <c r="A139" s="426" t="s">
        <v>720</v>
      </c>
      <c r="B139" s="482">
        <f>B130/B131</f>
        <v>1.235737772496603</v>
      </c>
      <c r="C139" s="482">
        <f>B139</f>
        <v>1.235737772496603</v>
      </c>
      <c r="D139" s="482">
        <f>[4]EBSSL!$B139</f>
        <v>1.8137632589704018</v>
      </c>
      <c r="E139" s="482">
        <f>[4]EBSSL!$C139</f>
        <v>1.8137632589704018</v>
      </c>
      <c r="F139" s="482">
        <f>C139-E139</f>
        <v>-0.57802548647379881</v>
      </c>
      <c r="G139" s="1329">
        <f t="shared" si="20"/>
        <v>-0.31868849675669353</v>
      </c>
      <c r="H139" s="348"/>
      <c r="AG139" s="482">
        <v>2.5856671096281039</v>
      </c>
      <c r="AH139" s="103">
        <f t="shared" si="21"/>
        <v>-1.3499293371315009</v>
      </c>
      <c r="AJ139" s="482">
        <v>2.5856671096281039</v>
      </c>
      <c r="AK139" s="103">
        <f t="shared" si="22"/>
        <v>-1.3499293371315009</v>
      </c>
    </row>
    <row r="140" spans="1:37">
      <c r="A140" s="424" t="s">
        <v>145</v>
      </c>
      <c r="B140" s="444">
        <v>0.12</v>
      </c>
      <c r="C140" s="444">
        <v>0.12</v>
      </c>
      <c r="D140" s="444">
        <f>[4]EBSSL!$B140</f>
        <v>0.12</v>
      </c>
      <c r="E140" s="444">
        <f>[4]EBSSL!$C140</f>
        <v>0.12</v>
      </c>
      <c r="F140" s="444"/>
      <c r="G140" s="1330"/>
      <c r="AG140" s="444">
        <v>0.12</v>
      </c>
      <c r="AH140" s="103">
        <f t="shared" si="21"/>
        <v>0</v>
      </c>
      <c r="AJ140" s="444">
        <v>0.12</v>
      </c>
      <c r="AK140" s="103">
        <f t="shared" si="22"/>
        <v>0</v>
      </c>
    </row>
    <row r="141" spans="1:37">
      <c r="A141" s="425" t="s">
        <v>146</v>
      </c>
      <c r="B141" s="446">
        <f>B139-B140</f>
        <v>1.1157377724966029</v>
      </c>
      <c r="C141" s="446">
        <f>C139-C140</f>
        <v>1.1157377724966029</v>
      </c>
      <c r="D141" s="446">
        <f>D139-D140</f>
        <v>1.6937632589704017</v>
      </c>
      <c r="E141" s="446">
        <f>E139-E140</f>
        <v>1.6937632589704017</v>
      </c>
      <c r="F141" s="446">
        <f>C141-E141</f>
        <v>-0.57802548647379881</v>
      </c>
      <c r="G141" s="1332">
        <f t="shared" si="20"/>
        <v>-0.34126698841322528</v>
      </c>
      <c r="AG141" s="446">
        <v>2.4656671096281038</v>
      </c>
      <c r="AH141" s="103">
        <f t="shared" si="21"/>
        <v>-1.3499293371315009</v>
      </c>
      <c r="AJ141" s="446">
        <v>2.4656671096281038</v>
      </c>
      <c r="AK141" s="103">
        <f t="shared" si="22"/>
        <v>-1.3499293371315009</v>
      </c>
    </row>
    <row r="142" spans="1:37">
      <c r="A142" s="424"/>
      <c r="B142" s="448"/>
      <c r="C142" s="448"/>
      <c r="D142" s="448"/>
      <c r="E142" s="444"/>
      <c r="F142" s="444"/>
      <c r="G142" s="1330"/>
      <c r="AG142" s="448"/>
      <c r="AH142" s="103">
        <f t="shared" si="21"/>
        <v>0</v>
      </c>
      <c r="AJ142" s="448"/>
      <c r="AK142" s="103">
        <f t="shared" si="22"/>
        <v>0</v>
      </c>
    </row>
    <row r="143" spans="1:37">
      <c r="A143" s="426" t="s">
        <v>147</v>
      </c>
      <c r="B143" s="448"/>
      <c r="C143" s="449"/>
      <c r="D143" s="449"/>
      <c r="E143" s="444"/>
      <c r="F143" s="444"/>
      <c r="G143" s="1330"/>
      <c r="AG143" s="448"/>
      <c r="AH143" s="103">
        <f t="shared" si="21"/>
        <v>0</v>
      </c>
      <c r="AJ143" s="448"/>
      <c r="AK143" s="103">
        <f t="shared" si="22"/>
        <v>0</v>
      </c>
    </row>
    <row r="144" spans="1:37" s="105" customFormat="1">
      <c r="A144" s="426" t="s">
        <v>148</v>
      </c>
      <c r="B144" s="442">
        <f>'[40]Additional Disclosures'!$B$45</f>
        <v>1.3491628490723171</v>
      </c>
      <c r="C144" s="442">
        <f>B144</f>
        <v>1.3491628490723171</v>
      </c>
      <c r="D144" s="442">
        <f>[4]EBSSL!$B144</f>
        <v>1.3610689492068906</v>
      </c>
      <c r="E144" s="482">
        <f>D144</f>
        <v>1.3610689492068906</v>
      </c>
      <c r="F144" s="482">
        <f>C144-E144</f>
        <v>-1.1906100134573494E-2</v>
      </c>
      <c r="G144" s="1329">
        <f t="shared" si="20"/>
        <v>-8.7476098411555896E-3</v>
      </c>
      <c r="H144" s="348"/>
      <c r="AG144" s="442">
        <v>1.8449174243264299</v>
      </c>
      <c r="AH144" s="103">
        <f t="shared" si="21"/>
        <v>-0.49575457525411282</v>
      </c>
      <c r="AJ144" s="442">
        <v>1.8449174243264299</v>
      </c>
      <c r="AK144" s="103">
        <f t="shared" si="22"/>
        <v>-0.49575457525411282</v>
      </c>
    </row>
    <row r="145" spans="1:37">
      <c r="A145" s="424" t="s">
        <v>149</v>
      </c>
      <c r="B145" s="450">
        <f>'[40]Additional Disclosures'!$B$46</f>
        <v>0.2</v>
      </c>
      <c r="C145" s="450">
        <v>0.2</v>
      </c>
      <c r="D145" s="450">
        <f>[4]EBSSL!$B145</f>
        <v>0.2</v>
      </c>
      <c r="E145" s="444">
        <f>[4]EBSSL!$C145</f>
        <v>0.2</v>
      </c>
      <c r="F145" s="444"/>
      <c r="G145" s="1330"/>
      <c r="H145" s="312"/>
      <c r="AG145" s="450">
        <v>0.2</v>
      </c>
      <c r="AH145" s="103">
        <f t="shared" si="21"/>
        <v>0</v>
      </c>
      <c r="AJ145" s="450">
        <v>0.2</v>
      </c>
      <c r="AK145" s="103">
        <f t="shared" si="22"/>
        <v>0</v>
      </c>
    </row>
    <row r="146" spans="1:37" ht="13.5" thickBot="1">
      <c r="A146" s="427" t="s">
        <v>154</v>
      </c>
      <c r="B146" s="785">
        <f>B144-B145</f>
        <v>1.1491628490723171</v>
      </c>
      <c r="C146" s="786">
        <f>B146</f>
        <v>1.1491628490723171</v>
      </c>
      <c r="D146" s="786">
        <f>[4]EBSSL!$B146</f>
        <v>1.1610689492068906</v>
      </c>
      <c r="E146" s="786">
        <f>E144-E145</f>
        <v>1.1610689492068906</v>
      </c>
      <c r="F146" s="451">
        <f>C146-E146</f>
        <v>-1.1906100134573494E-2</v>
      </c>
      <c r="G146" s="1334">
        <f t="shared" si="20"/>
        <v>-1.0254429887825678E-2</v>
      </c>
      <c r="AG146" s="785">
        <v>1.64491742432643</v>
      </c>
      <c r="AH146" s="103">
        <f t="shared" si="21"/>
        <v>-0.49575457525411282</v>
      </c>
      <c r="AJ146" s="785">
        <v>1.64491742432643</v>
      </c>
      <c r="AK146" s="103">
        <f t="shared" si="22"/>
        <v>-0.49575457525411282</v>
      </c>
    </row>
    <row r="147" spans="1:37">
      <c r="A147" s="428"/>
      <c r="B147" s="102"/>
      <c r="C147" s="102"/>
      <c r="D147" s="102"/>
      <c r="E147" s="102"/>
      <c r="F147" s="102"/>
      <c r="G147" s="56"/>
      <c r="AG147" s="102"/>
      <c r="AJ147" s="102"/>
    </row>
    <row r="148" spans="1:37">
      <c r="A148" s="428"/>
      <c r="B148" s="102"/>
      <c r="C148" s="102"/>
      <c r="D148" s="102"/>
      <c r="E148" s="102"/>
      <c r="F148" s="102"/>
      <c r="G148" s="56"/>
      <c r="AG148" s="102"/>
      <c r="AJ148" s="102"/>
    </row>
    <row r="149" spans="1:37">
      <c r="A149" s="428"/>
      <c r="B149" s="102"/>
      <c r="C149" s="102"/>
      <c r="D149" s="102"/>
      <c r="E149" s="102"/>
      <c r="F149" s="102"/>
      <c r="G149" s="56"/>
      <c r="AG149" s="102"/>
      <c r="AJ149" s="102"/>
    </row>
    <row r="150" spans="1:37">
      <c r="A150" s="428"/>
      <c r="B150" s="102"/>
      <c r="C150" s="102"/>
      <c r="D150" s="102"/>
      <c r="E150" s="102"/>
      <c r="F150" s="102"/>
      <c r="G150" s="56"/>
      <c r="AG150" s="102"/>
      <c r="AJ150" s="102"/>
    </row>
    <row r="151" spans="1:37">
      <c r="A151" s="428"/>
      <c r="B151" s="102"/>
      <c r="C151" s="102"/>
      <c r="D151" s="102"/>
      <c r="E151" s="102"/>
      <c r="F151" s="102"/>
      <c r="G151" s="56"/>
      <c r="AG151" s="102"/>
      <c r="AJ151" s="102"/>
    </row>
    <row r="152" spans="1:37">
      <c r="A152" s="428"/>
      <c r="B152" s="102"/>
      <c r="C152" s="102"/>
      <c r="D152" s="102"/>
      <c r="E152" s="102"/>
      <c r="F152" s="102"/>
      <c r="G152" s="56"/>
      <c r="AG152" s="102"/>
      <c r="AJ152" s="102"/>
    </row>
    <row r="153" spans="1:37">
      <c r="A153" s="428"/>
      <c r="B153" s="102"/>
      <c r="C153" s="102"/>
      <c r="D153" s="102"/>
      <c r="E153" s="102"/>
      <c r="F153" s="102"/>
      <c r="G153" s="56"/>
      <c r="AG153" s="102"/>
      <c r="AJ153" s="102"/>
    </row>
    <row r="154" spans="1:37">
      <c r="A154" s="428"/>
      <c r="B154" s="102"/>
      <c r="C154" s="102"/>
      <c r="D154" s="102"/>
      <c r="E154" s="102"/>
      <c r="F154" s="102"/>
      <c r="G154" s="56"/>
      <c r="AG154" s="102"/>
      <c r="AJ154" s="102"/>
    </row>
    <row r="155" spans="1:37">
      <c r="A155" s="428"/>
      <c r="B155" s="102"/>
      <c r="C155" s="102"/>
      <c r="D155" s="102"/>
      <c r="E155" s="102"/>
      <c r="F155" s="102"/>
      <c r="G155" s="56"/>
      <c r="AG155" s="102"/>
      <c r="AJ155" s="102"/>
    </row>
    <row r="156" spans="1:37">
      <c r="A156" s="428"/>
      <c r="B156" s="102"/>
      <c r="C156" s="102"/>
      <c r="D156" s="102"/>
      <c r="E156" s="102"/>
      <c r="F156" s="102"/>
      <c r="G156" s="56"/>
      <c r="AG156" s="102"/>
      <c r="AJ156" s="102"/>
    </row>
    <row r="157" spans="1:37">
      <c r="A157" s="428"/>
      <c r="B157" s="102"/>
      <c r="C157" s="102"/>
      <c r="D157" s="102"/>
      <c r="E157" s="102"/>
      <c r="F157" s="102"/>
      <c r="G157" s="56"/>
      <c r="AG157" s="102"/>
      <c r="AJ157" s="102"/>
    </row>
    <row r="158" spans="1:37">
      <c r="A158" s="428"/>
      <c r="B158" s="102"/>
      <c r="C158" s="102"/>
      <c r="D158" s="102"/>
      <c r="E158" s="102"/>
      <c r="F158" s="102"/>
      <c r="G158" s="56"/>
      <c r="AG158" s="102"/>
      <c r="AJ158" s="102"/>
    </row>
    <row r="159" spans="1:37">
      <c r="A159" s="428"/>
      <c r="B159" s="102"/>
      <c r="C159" s="102"/>
      <c r="D159" s="102"/>
      <c r="E159" s="102"/>
      <c r="F159" s="102"/>
      <c r="G159" s="56"/>
      <c r="AG159" s="102"/>
      <c r="AJ159" s="102"/>
    </row>
    <row r="160" spans="1:37">
      <c r="A160" s="428"/>
      <c r="B160" s="102"/>
      <c r="C160" s="102"/>
      <c r="D160" s="102"/>
      <c r="E160" s="102"/>
      <c r="F160" s="102"/>
      <c r="G160" s="56"/>
      <c r="AG160" s="102"/>
      <c r="AJ160" s="102"/>
    </row>
    <row r="161" spans="1:36">
      <c r="A161" s="428"/>
      <c r="B161" s="102"/>
      <c r="C161" s="102"/>
      <c r="D161" s="102"/>
      <c r="E161" s="102"/>
      <c r="F161" s="102"/>
      <c r="G161" s="56"/>
      <c r="AG161" s="102"/>
      <c r="AJ161" s="102"/>
    </row>
    <row r="162" spans="1:36">
      <c r="A162" s="428"/>
      <c r="B162" s="102"/>
      <c r="C162" s="102"/>
      <c r="D162" s="102"/>
      <c r="E162" s="102"/>
      <c r="F162" s="102"/>
      <c r="G162" s="56"/>
      <c r="AG162" s="102"/>
      <c r="AJ162" s="102"/>
    </row>
    <row r="163" spans="1:36">
      <c r="A163" s="428"/>
      <c r="B163" s="102"/>
      <c r="C163" s="102"/>
      <c r="D163" s="102"/>
      <c r="E163" s="102"/>
      <c r="F163" s="102"/>
      <c r="G163" s="56"/>
      <c r="AG163" s="102"/>
      <c r="AJ163" s="102"/>
    </row>
    <row r="164" spans="1:36">
      <c r="A164" s="428"/>
      <c r="B164" s="102"/>
      <c r="C164" s="102"/>
      <c r="D164" s="102"/>
      <c r="E164" s="102"/>
      <c r="F164" s="102"/>
      <c r="G164" s="56"/>
      <c r="AG164" s="102"/>
      <c r="AJ164" s="102"/>
    </row>
    <row r="165" spans="1:36">
      <c r="A165" s="428"/>
      <c r="B165" s="102"/>
      <c r="C165" s="102"/>
      <c r="D165" s="102"/>
      <c r="E165" s="102"/>
      <c r="F165" s="102"/>
      <c r="G165" s="56"/>
      <c r="AG165" s="102"/>
      <c r="AJ165" s="102"/>
    </row>
    <row r="166" spans="1:36">
      <c r="A166" s="428"/>
      <c r="B166" s="102"/>
      <c r="C166" s="102"/>
      <c r="D166" s="102"/>
      <c r="E166" s="102"/>
      <c r="F166" s="102"/>
      <c r="G166" s="56"/>
      <c r="AG166" s="102"/>
      <c r="AJ166" s="102"/>
    </row>
    <row r="167" spans="1:36">
      <c r="A167" s="428"/>
      <c r="B167" s="102"/>
      <c r="C167" s="102"/>
      <c r="D167" s="102"/>
      <c r="E167" s="102"/>
      <c r="F167" s="102"/>
      <c r="G167" s="56"/>
      <c r="AG167" s="102"/>
      <c r="AJ167" s="102"/>
    </row>
    <row r="168" spans="1:36">
      <c r="A168" s="428"/>
      <c r="B168" s="102"/>
      <c r="C168" s="102"/>
      <c r="D168" s="102"/>
      <c r="E168" s="102"/>
      <c r="F168" s="102"/>
      <c r="G168" s="56"/>
      <c r="AG168" s="102"/>
      <c r="AJ168" s="102"/>
    </row>
    <row r="169" spans="1:36">
      <c r="A169" s="428"/>
      <c r="B169" s="102"/>
      <c r="C169" s="102"/>
      <c r="D169" s="102"/>
      <c r="E169" s="102"/>
      <c r="F169" s="102"/>
      <c r="G169" s="56"/>
      <c r="AG169" s="102"/>
      <c r="AJ169" s="102"/>
    </row>
    <row r="170" spans="1:36">
      <c r="A170" s="428"/>
      <c r="B170" s="102"/>
      <c r="C170" s="102"/>
      <c r="D170" s="102"/>
      <c r="E170" s="102"/>
      <c r="F170" s="102"/>
      <c r="G170" s="56"/>
      <c r="AG170" s="102"/>
      <c r="AJ170" s="102"/>
    </row>
    <row r="171" spans="1:36">
      <c r="A171" s="428"/>
      <c r="B171" s="102"/>
      <c r="C171" s="102"/>
      <c r="D171" s="102"/>
      <c r="E171" s="102"/>
      <c r="F171" s="102"/>
      <c r="G171" s="56"/>
      <c r="AG171" s="102"/>
      <c r="AJ171" s="102"/>
    </row>
    <row r="172" spans="1:36">
      <c r="A172" s="428"/>
      <c r="B172" s="102"/>
      <c r="C172" s="102"/>
      <c r="D172" s="102"/>
      <c r="E172" s="102"/>
      <c r="F172" s="102"/>
      <c r="G172" s="56"/>
      <c r="AG172" s="102"/>
      <c r="AJ172" s="102"/>
    </row>
    <row r="173" spans="1:36">
      <c r="A173" s="428"/>
      <c r="B173" s="102"/>
      <c r="C173" s="102"/>
      <c r="D173" s="102"/>
      <c r="E173" s="102"/>
      <c r="F173" s="102"/>
      <c r="G173" s="56"/>
      <c r="AG173" s="102"/>
      <c r="AJ173" s="102"/>
    </row>
    <row r="174" spans="1:36">
      <c r="A174" s="428"/>
      <c r="B174" s="102"/>
      <c r="C174" s="102"/>
      <c r="D174" s="102"/>
      <c r="E174" s="102"/>
      <c r="F174" s="102"/>
      <c r="G174" s="56"/>
      <c r="AG174" s="102"/>
      <c r="AJ174" s="102"/>
    </row>
    <row r="175" spans="1:36">
      <c r="A175" s="428"/>
      <c r="B175" s="102"/>
      <c r="C175" s="102"/>
      <c r="D175" s="102"/>
      <c r="E175" s="102"/>
      <c r="F175" s="102"/>
      <c r="G175" s="56"/>
      <c r="AG175" s="102"/>
      <c r="AJ175" s="102"/>
    </row>
    <row r="176" spans="1:36">
      <c r="A176" s="428"/>
      <c r="B176" s="102"/>
      <c r="C176" s="102"/>
      <c r="D176" s="102"/>
      <c r="E176" s="102"/>
      <c r="F176" s="102"/>
      <c r="G176" s="56"/>
      <c r="AG176" s="102"/>
      <c r="AJ176" s="102"/>
    </row>
    <row r="177" spans="1:36">
      <c r="A177" s="428"/>
      <c r="B177" s="102"/>
      <c r="C177" s="102"/>
      <c r="D177" s="102"/>
      <c r="E177" s="102"/>
      <c r="F177" s="102"/>
      <c r="G177" s="56"/>
      <c r="AG177" s="102"/>
      <c r="AJ177" s="102"/>
    </row>
    <row r="178" spans="1:36">
      <c r="A178" s="428"/>
      <c r="B178" s="102"/>
      <c r="C178" s="102"/>
      <c r="D178" s="102"/>
      <c r="E178" s="102"/>
      <c r="F178" s="102"/>
      <c r="G178" s="56"/>
      <c r="AG178" s="102"/>
      <c r="AJ178" s="102"/>
    </row>
    <row r="179" spans="1:36">
      <c r="A179" s="428"/>
      <c r="B179" s="102"/>
      <c r="C179" s="102"/>
      <c r="D179" s="102"/>
      <c r="E179" s="102"/>
      <c r="F179" s="102"/>
      <c r="G179" s="56"/>
      <c r="AG179" s="102"/>
      <c r="AJ179" s="102"/>
    </row>
    <row r="180" spans="1:36">
      <c r="A180" s="428"/>
      <c r="B180" s="102"/>
      <c r="C180" s="102"/>
      <c r="D180" s="102"/>
      <c r="E180" s="102"/>
      <c r="F180" s="102"/>
      <c r="G180" s="56"/>
      <c r="AG180" s="102"/>
      <c r="AJ180" s="102"/>
    </row>
    <row r="181" spans="1:36">
      <c r="A181" s="428"/>
      <c r="B181" s="102"/>
      <c r="C181" s="102"/>
      <c r="D181" s="102"/>
      <c r="E181" s="102"/>
      <c r="F181" s="102"/>
      <c r="G181" s="56"/>
      <c r="AG181" s="102"/>
      <c r="AJ181" s="102"/>
    </row>
    <row r="182" spans="1:36">
      <c r="A182" s="428"/>
      <c r="B182" s="102"/>
      <c r="C182" s="102"/>
      <c r="D182" s="102"/>
      <c r="E182" s="102"/>
      <c r="F182" s="102"/>
      <c r="G182" s="56"/>
      <c r="AG182" s="102"/>
      <c r="AJ182" s="102"/>
    </row>
    <row r="183" spans="1:36">
      <c r="A183" s="428"/>
      <c r="B183" s="102"/>
      <c r="C183" s="102"/>
      <c r="D183" s="102"/>
      <c r="E183" s="102"/>
      <c r="F183" s="102"/>
      <c r="G183" s="56"/>
      <c r="AG183" s="102"/>
      <c r="AJ183" s="102"/>
    </row>
    <row r="184" spans="1:36">
      <c r="A184" s="428"/>
      <c r="B184" s="102"/>
      <c r="C184" s="102"/>
      <c r="D184" s="102"/>
      <c r="E184" s="102"/>
      <c r="F184" s="102"/>
      <c r="G184" s="56"/>
      <c r="AG184" s="102"/>
      <c r="AJ184" s="102"/>
    </row>
    <row r="185" spans="1:36">
      <c r="A185" s="428"/>
      <c r="B185" s="102"/>
      <c r="C185" s="102"/>
      <c r="D185" s="102"/>
      <c r="E185" s="102"/>
      <c r="F185" s="102"/>
      <c r="G185" s="56"/>
      <c r="AG185" s="102"/>
      <c r="AJ185" s="102"/>
    </row>
    <row r="186" spans="1:36">
      <c r="A186" s="428"/>
      <c r="B186" s="102"/>
      <c r="C186" s="102"/>
      <c r="D186" s="102"/>
      <c r="E186" s="102"/>
      <c r="F186" s="102"/>
      <c r="G186" s="56"/>
      <c r="AG186" s="102"/>
      <c r="AJ186" s="102"/>
    </row>
    <row r="187" spans="1:36">
      <c r="A187" s="428"/>
      <c r="B187" s="102"/>
      <c r="C187" s="102"/>
      <c r="D187" s="102"/>
      <c r="E187" s="102"/>
      <c r="F187" s="102"/>
      <c r="G187" s="56"/>
      <c r="AG187" s="102"/>
      <c r="AJ187" s="102"/>
    </row>
    <row r="188" spans="1:36">
      <c r="A188" s="428"/>
      <c r="B188" s="102"/>
      <c r="C188" s="102"/>
      <c r="D188" s="102"/>
      <c r="E188" s="102"/>
      <c r="F188" s="102"/>
      <c r="G188" s="56"/>
      <c r="AG188" s="102"/>
      <c r="AJ188" s="102"/>
    </row>
    <row r="189" spans="1:36">
      <c r="A189" s="428"/>
      <c r="B189" s="102"/>
      <c r="C189" s="102"/>
      <c r="D189" s="102"/>
      <c r="E189" s="102"/>
      <c r="F189" s="102"/>
      <c r="G189" s="56"/>
      <c r="AG189" s="102"/>
      <c r="AJ189" s="102"/>
    </row>
    <row r="190" spans="1:36">
      <c r="A190" s="428"/>
      <c r="B190" s="102"/>
      <c r="C190" s="102"/>
      <c r="D190" s="102"/>
      <c r="E190" s="102"/>
      <c r="F190" s="102"/>
      <c r="G190" s="56"/>
      <c r="AG190" s="102"/>
      <c r="AJ190" s="102"/>
    </row>
    <row r="191" spans="1:36">
      <c r="A191" s="428"/>
      <c r="B191" s="102"/>
      <c r="C191" s="102"/>
      <c r="D191" s="102"/>
      <c r="E191" s="102"/>
      <c r="F191" s="102"/>
      <c r="G191" s="56"/>
      <c r="AG191" s="102"/>
      <c r="AJ191" s="102"/>
    </row>
    <row r="192" spans="1:36">
      <c r="A192" s="428"/>
      <c r="B192" s="102"/>
      <c r="C192" s="102"/>
      <c r="D192" s="102"/>
      <c r="E192" s="102"/>
      <c r="F192" s="102"/>
      <c r="G192" s="56"/>
      <c r="AG192" s="102"/>
      <c r="AJ192" s="102"/>
    </row>
    <row r="193" spans="1:36">
      <c r="A193" s="428"/>
      <c r="B193" s="102"/>
      <c r="C193" s="102"/>
      <c r="D193" s="102"/>
      <c r="E193" s="102"/>
      <c r="F193" s="102"/>
      <c r="G193" s="56"/>
      <c r="AG193" s="102"/>
      <c r="AJ193" s="102"/>
    </row>
    <row r="194" spans="1:36">
      <c r="A194" s="428"/>
      <c r="B194" s="102"/>
      <c r="C194" s="102"/>
      <c r="D194" s="102"/>
      <c r="E194" s="102"/>
      <c r="F194" s="102"/>
      <c r="G194" s="56"/>
      <c r="AG194" s="102"/>
      <c r="AJ194" s="102"/>
    </row>
    <row r="195" spans="1:36">
      <c r="A195" s="428"/>
      <c r="B195" s="102"/>
      <c r="C195" s="102"/>
      <c r="D195" s="102"/>
      <c r="E195" s="102"/>
      <c r="F195" s="102"/>
      <c r="G195" s="56"/>
      <c r="AG195" s="102"/>
      <c r="AJ195" s="102"/>
    </row>
    <row r="196" spans="1:36">
      <c r="A196" s="428"/>
      <c r="B196" s="102"/>
      <c r="C196" s="102"/>
      <c r="D196" s="102"/>
      <c r="E196" s="102"/>
      <c r="F196" s="102"/>
      <c r="G196" s="56"/>
      <c r="AG196" s="102"/>
      <c r="AJ196" s="102"/>
    </row>
    <row r="197" spans="1:36">
      <c r="A197" s="428"/>
      <c r="B197" s="102"/>
      <c r="C197" s="102"/>
      <c r="D197" s="102"/>
      <c r="E197" s="102"/>
      <c r="F197" s="102"/>
      <c r="G197" s="56"/>
      <c r="AG197" s="102"/>
      <c r="AJ197" s="102"/>
    </row>
  </sheetData>
  <mergeCells count="8">
    <mergeCell ref="F102:F103"/>
    <mergeCell ref="G102:G103"/>
    <mergeCell ref="A106:B106"/>
    <mergeCell ref="A1:B1"/>
    <mergeCell ref="F58:F59"/>
    <mergeCell ref="G58:G59"/>
    <mergeCell ref="F2:F3"/>
    <mergeCell ref="G2:G3"/>
  </mergeCells>
  <pageMargins left="0.7" right="0.7" top="0.75" bottom="0.75" header="0.3" footer="0.3"/>
  <pageSetup paperSize="8" scale="35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  <pageSetUpPr fitToPage="1"/>
  </sheetPr>
  <dimension ref="A1:M204"/>
  <sheetViews>
    <sheetView workbookViewId="0">
      <selection activeCell="D53" sqref="D53"/>
    </sheetView>
  </sheetViews>
  <sheetFormatPr defaultColWidth="9.140625" defaultRowHeight="12"/>
  <cols>
    <col min="1" max="1" width="59" style="92" customWidth="1"/>
    <col min="2" max="2" width="18.7109375" style="92" customWidth="1"/>
    <col min="3" max="3" width="15.7109375" style="92" customWidth="1"/>
    <col min="4" max="4" width="15.5703125" style="92" customWidth="1"/>
    <col min="5" max="5" width="15" style="92" customWidth="1"/>
    <col min="6" max="6" width="13.7109375" style="98" customWidth="1"/>
    <col min="7" max="7" width="66.5703125" style="166" hidden="1" customWidth="1"/>
    <col min="8" max="8" width="11" style="88" customWidth="1"/>
    <col min="9" max="9" width="20" style="88" customWidth="1"/>
    <col min="10" max="10" width="16.5703125" style="88" bestFit="1" customWidth="1"/>
    <col min="11" max="11" width="14" style="88" bestFit="1" customWidth="1"/>
    <col min="12" max="12" width="11.140625" style="88" bestFit="1" customWidth="1"/>
    <col min="13" max="13" width="14.140625" style="88" bestFit="1" customWidth="1"/>
    <col min="14" max="14" width="9.85546875" style="88" bestFit="1" customWidth="1"/>
    <col min="15" max="16384" width="9.140625" style="88"/>
  </cols>
  <sheetData>
    <row r="1" spans="1:12" ht="18">
      <c r="A1" s="1573" t="s">
        <v>184</v>
      </c>
      <c r="B1" s="1604"/>
      <c r="C1" s="93"/>
      <c r="D1" s="93"/>
      <c r="E1" s="93"/>
      <c r="F1" s="99"/>
    </row>
    <row r="2" spans="1:12" ht="12.75">
      <c r="A2" s="18" t="s">
        <v>862</v>
      </c>
      <c r="B2" s="1191">
        <f>GROUP!G3</f>
        <v>45046</v>
      </c>
      <c r="C2" s="1191">
        <f>B2</f>
        <v>45046</v>
      </c>
      <c r="D2" s="1191">
        <f>GROUP!H3</f>
        <v>44681</v>
      </c>
      <c r="E2" s="1537" t="s">
        <v>85</v>
      </c>
      <c r="F2" s="1605" t="s">
        <v>86</v>
      </c>
    </row>
    <row r="3" spans="1:12" ht="12.75">
      <c r="A3" s="20" t="s">
        <v>0</v>
      </c>
      <c r="B3" s="19" t="s">
        <v>82</v>
      </c>
      <c r="C3" s="19" t="s">
        <v>82</v>
      </c>
      <c r="D3" s="19" t="s">
        <v>96</v>
      </c>
      <c r="E3" s="1538"/>
      <c r="F3" s="1606"/>
    </row>
    <row r="4" spans="1:12" ht="12.75">
      <c r="A4" s="20"/>
      <c r="B4" s="19" t="s">
        <v>98</v>
      </c>
      <c r="C4" s="19" t="s">
        <v>97</v>
      </c>
      <c r="D4" s="19" t="s">
        <v>97</v>
      </c>
      <c r="E4" s="21"/>
      <c r="F4" s="58"/>
    </row>
    <row r="5" spans="1:12" ht="12.75">
      <c r="A5" s="18" t="s">
        <v>1</v>
      </c>
      <c r="B5" s="19" t="s">
        <v>879</v>
      </c>
      <c r="C5" s="19" t="s">
        <v>879</v>
      </c>
      <c r="D5" s="19" t="s">
        <v>879</v>
      </c>
      <c r="E5" s="21"/>
      <c r="F5" s="58"/>
      <c r="G5" s="183"/>
    </row>
    <row r="6" spans="1:12" ht="12.75">
      <c r="A6" s="23"/>
      <c r="B6" s="25"/>
      <c r="C6" s="817">
        <f>'Reval rates'!C17</f>
        <v>17.283111095972693</v>
      </c>
      <c r="D6" s="100">
        <f>[4]EBTL!$C6</f>
        <v>20.059999999999999</v>
      </c>
      <c r="E6" s="25"/>
      <c r="F6" s="26"/>
    </row>
    <row r="7" spans="1:12" ht="12.75">
      <c r="A7" s="23" t="s">
        <v>2</v>
      </c>
      <c r="B7" s="25">
        <f>'[30]CBK-Format PUBLISHED'!C7</f>
        <v>35876618.274380006</v>
      </c>
      <c r="C7" s="24">
        <f>B7/$C$6</f>
        <v>2075819.4560665626</v>
      </c>
      <c r="D7" s="25">
        <f>[4]EBTL!$C7</f>
        <v>1458928.2230832505</v>
      </c>
      <c r="E7" s="25">
        <f>C7-D7</f>
        <v>616891.2329833121</v>
      </c>
      <c r="F7" s="1294">
        <f>IFERROR(E7/D7,0)</f>
        <v>0.42283864498802737</v>
      </c>
      <c r="G7" s="184"/>
      <c r="I7" s="89"/>
      <c r="J7" s="89"/>
    </row>
    <row r="8" spans="1:12" ht="12.75">
      <c r="A8" s="27" t="s">
        <v>3</v>
      </c>
      <c r="B8" s="25">
        <v>0</v>
      </c>
      <c r="C8" s="24">
        <f t="shared" ref="C8:C27" si="0">B8/$C$6</f>
        <v>0</v>
      </c>
      <c r="D8" s="25">
        <f>[4]EBTL!$C8</f>
        <v>0</v>
      </c>
      <c r="E8" s="25">
        <f t="shared" ref="E8:E27" si="1">C8-D8</f>
        <v>0</v>
      </c>
      <c r="F8" s="1294">
        <f t="shared" ref="F8:F27" si="2">IFERROR(E8/D8,0)</f>
        <v>0</v>
      </c>
      <c r="G8" s="184"/>
      <c r="I8" s="89"/>
      <c r="J8" s="89"/>
      <c r="K8" s="718"/>
      <c r="L8" s="718"/>
    </row>
    <row r="9" spans="1:12" ht="12.75">
      <c r="A9" s="27" t="s">
        <v>4</v>
      </c>
      <c r="B9" s="25">
        <v>0</v>
      </c>
      <c r="C9" s="102"/>
      <c r="D9" s="25">
        <f>[4]EBTL!$C9</f>
        <v>0</v>
      </c>
      <c r="E9" s="25">
        <f t="shared" si="1"/>
        <v>0</v>
      </c>
      <c r="F9" s="1294">
        <f t="shared" si="2"/>
        <v>0</v>
      </c>
      <c r="G9" s="184"/>
      <c r="I9" s="89"/>
      <c r="J9" s="89"/>
      <c r="K9" s="718"/>
      <c r="L9" s="718"/>
    </row>
    <row r="10" spans="1:12" ht="12.75">
      <c r="A10" s="27" t="s">
        <v>5</v>
      </c>
      <c r="B10" s="25">
        <f>'[30]CBK-Format PUBLISHED'!C9+'[30]CBK-Format PUBLISHED'!$C$10</f>
        <v>157857392.83626002</v>
      </c>
      <c r="C10" s="24">
        <f>B10/$C$6</f>
        <v>9133621.3694213834</v>
      </c>
      <c r="D10" s="25">
        <f>[4]EBTL!$C10</f>
        <v>6940688.895506979</v>
      </c>
      <c r="E10" s="25">
        <f t="shared" si="1"/>
        <v>2192932.4739144044</v>
      </c>
      <c r="F10" s="1294">
        <f t="shared" si="2"/>
        <v>0.3159531434025214</v>
      </c>
      <c r="G10" s="184"/>
      <c r="J10" s="89"/>
      <c r="K10" s="718"/>
      <c r="L10" s="718"/>
    </row>
    <row r="11" spans="1:12" ht="12.75">
      <c r="A11" s="27" t="s">
        <v>6</v>
      </c>
      <c r="B11" s="25"/>
      <c r="C11" s="24">
        <f t="shared" si="0"/>
        <v>0</v>
      </c>
      <c r="D11" s="25">
        <f>[4]EBTL!$C11</f>
        <v>0</v>
      </c>
      <c r="E11" s="25">
        <f t="shared" si="1"/>
        <v>0</v>
      </c>
      <c r="F11" s="1294">
        <f t="shared" si="2"/>
        <v>0</v>
      </c>
      <c r="G11" s="184"/>
      <c r="J11" s="89"/>
      <c r="K11" s="718"/>
      <c r="L11" s="718"/>
    </row>
    <row r="12" spans="1:12" ht="12.75">
      <c r="A12" s="27" t="s">
        <v>7</v>
      </c>
      <c r="B12" s="25">
        <f>'[30]CBK-Format PUBLISHED'!C12+'[30]CBK-Format PUBLISHED'!$C$8+'[30]CBK-Format PUBLISHED'!C11</f>
        <v>109566245.54737999</v>
      </c>
      <c r="C12" s="24">
        <f t="shared" si="0"/>
        <v>6339497.8449748605</v>
      </c>
      <c r="D12" s="25">
        <f>[4]EBTL!$C12</f>
        <v>5057353.8105892325</v>
      </c>
      <c r="E12" s="25">
        <f t="shared" si="1"/>
        <v>1282144.0343856281</v>
      </c>
      <c r="F12" s="1294">
        <f t="shared" si="2"/>
        <v>0.25352073088124427</v>
      </c>
      <c r="G12" s="184"/>
      <c r="J12" s="89"/>
    </row>
    <row r="13" spans="1:12" ht="12.75">
      <c r="A13" s="27" t="s">
        <v>8</v>
      </c>
      <c r="B13" s="25">
        <f>'[30]CBK-Format PUBLISHED'!C13</f>
        <v>0</v>
      </c>
      <c r="C13" s="24">
        <f t="shared" si="0"/>
        <v>0</v>
      </c>
      <c r="D13" s="25">
        <f>[4]EBTL!$C13</f>
        <v>0</v>
      </c>
      <c r="E13" s="25">
        <f t="shared" si="1"/>
        <v>0</v>
      </c>
      <c r="F13" s="1294">
        <f t="shared" si="2"/>
        <v>0</v>
      </c>
      <c r="G13" s="184"/>
      <c r="J13" s="89"/>
    </row>
    <row r="14" spans="1:12" ht="12.75">
      <c r="A14" s="27" t="s">
        <v>9</v>
      </c>
      <c r="B14" s="25">
        <f>'[30]CBK-Format PUBLISHED'!C14</f>
        <v>7901088.8631699998</v>
      </c>
      <c r="C14" s="24">
        <f t="shared" si="0"/>
        <v>457156.63223452342</v>
      </c>
      <c r="D14" s="25">
        <f>[4]EBTL!$C14</f>
        <v>151042.85560717847</v>
      </c>
      <c r="E14" s="25">
        <f t="shared" si="1"/>
        <v>306113.77662734495</v>
      </c>
      <c r="F14" s="1294">
        <f t="shared" si="2"/>
        <v>2.0266683610872924</v>
      </c>
      <c r="G14" s="184"/>
      <c r="J14" s="89"/>
    </row>
    <row r="15" spans="1:12" ht="12.75">
      <c r="A15" s="27" t="s">
        <v>10</v>
      </c>
      <c r="B15" s="25">
        <f>'[30]CBK-Format PUBLISHED'!C15</f>
        <v>438611640.69359004</v>
      </c>
      <c r="C15" s="24">
        <f t="shared" si="0"/>
        <v>25378049.024738099</v>
      </c>
      <c r="D15" s="25">
        <f>[4]EBTL!$C15</f>
        <v>20126969.9242009</v>
      </c>
      <c r="E15" s="25">
        <f t="shared" si="1"/>
        <v>5251079.1005371995</v>
      </c>
      <c r="F15" s="1294">
        <f t="shared" si="2"/>
        <v>0.26089764730175513</v>
      </c>
      <c r="G15" s="184"/>
      <c r="J15" s="89"/>
    </row>
    <row r="16" spans="1:12" ht="12.75">
      <c r="A16" s="27" t="s">
        <v>11</v>
      </c>
      <c r="B16" s="28">
        <f>'[30]CBK-Format PUBLISHED'!C16</f>
        <v>0</v>
      </c>
      <c r="C16" s="24">
        <f t="shared" si="0"/>
        <v>0</v>
      </c>
      <c r="D16" s="25">
        <f>[4]EBTL!$C16</f>
        <v>0</v>
      </c>
      <c r="E16" s="25">
        <f t="shared" si="1"/>
        <v>0</v>
      </c>
      <c r="F16" s="1294">
        <f t="shared" si="2"/>
        <v>0</v>
      </c>
      <c r="G16" s="184"/>
      <c r="J16" s="89"/>
    </row>
    <row r="17" spans="1:10" ht="12.75">
      <c r="A17" s="27" t="s">
        <v>12</v>
      </c>
      <c r="B17" s="24">
        <f>'[30]CBK-Format PUBLISHED'!C17</f>
        <v>3414141.2448800001</v>
      </c>
      <c r="C17" s="24">
        <f t="shared" si="0"/>
        <v>197542.05281221404</v>
      </c>
      <c r="D17" s="25">
        <f>[4]EBTL!$C17</f>
        <v>92958.435765204398</v>
      </c>
      <c r="E17" s="25">
        <f t="shared" si="1"/>
        <v>104583.61704700964</v>
      </c>
      <c r="F17" s="1294">
        <f t="shared" si="2"/>
        <v>1.1250578410244367</v>
      </c>
      <c r="G17" s="184"/>
      <c r="I17" s="718"/>
      <c r="J17" s="89"/>
    </row>
    <row r="18" spans="1:10" ht="12.75">
      <c r="A18" s="27" t="s">
        <v>13</v>
      </c>
      <c r="B18" s="24">
        <f>'[30]CBK-Format PUBLISHED'!C18</f>
        <v>0</v>
      </c>
      <c r="C18" s="24">
        <f t="shared" si="0"/>
        <v>0</v>
      </c>
      <c r="D18" s="25">
        <f>[4]EBTL!$C18</f>
        <v>0</v>
      </c>
      <c r="E18" s="25">
        <f t="shared" si="1"/>
        <v>0</v>
      </c>
      <c r="F18" s="1294">
        <f t="shared" si="2"/>
        <v>0</v>
      </c>
      <c r="G18" s="184"/>
      <c r="J18" s="89"/>
    </row>
    <row r="19" spans="1:10" ht="12.75">
      <c r="A19" s="27" t="s">
        <v>14</v>
      </c>
      <c r="B19" s="24">
        <f>'[30]CBK-Format PUBLISHED'!C19</f>
        <v>0</v>
      </c>
      <c r="C19" s="24">
        <f t="shared" si="0"/>
        <v>0</v>
      </c>
      <c r="D19" s="25">
        <f>[4]EBTL!$C19</f>
        <v>0</v>
      </c>
      <c r="E19" s="25">
        <f t="shared" si="1"/>
        <v>0</v>
      </c>
      <c r="F19" s="1294">
        <f t="shared" si="2"/>
        <v>0</v>
      </c>
      <c r="G19" s="184"/>
      <c r="J19" s="89"/>
    </row>
    <row r="20" spans="1:10" ht="12.75">
      <c r="A20" s="27" t="s">
        <v>15</v>
      </c>
      <c r="B20" s="24">
        <f>'[30]CBK-Format PUBLISHED'!C20</f>
        <v>0</v>
      </c>
      <c r="C20" s="24">
        <f t="shared" si="0"/>
        <v>0</v>
      </c>
      <c r="D20" s="25">
        <f>[4]EBTL!$C20</f>
        <v>0</v>
      </c>
      <c r="E20" s="25">
        <f t="shared" si="1"/>
        <v>0</v>
      </c>
      <c r="F20" s="1294">
        <f t="shared" si="2"/>
        <v>0</v>
      </c>
      <c r="G20" s="184"/>
      <c r="J20" s="89"/>
    </row>
    <row r="21" spans="1:10" ht="12.75">
      <c r="A21" s="27" t="s">
        <v>16</v>
      </c>
      <c r="B21" s="24">
        <f>'[30]CBK-Format PUBLISHED'!C21</f>
        <v>0</v>
      </c>
      <c r="C21" s="24">
        <f t="shared" si="0"/>
        <v>0</v>
      </c>
      <c r="D21" s="25">
        <f>[4]EBTL!$C21</f>
        <v>0</v>
      </c>
      <c r="E21" s="25">
        <f t="shared" si="1"/>
        <v>0</v>
      </c>
      <c r="F21" s="1294">
        <f t="shared" si="2"/>
        <v>0</v>
      </c>
      <c r="G21" s="184"/>
      <c r="J21" s="89"/>
    </row>
    <row r="22" spans="1:10" ht="12.75">
      <c r="A22" s="27" t="s">
        <v>17</v>
      </c>
      <c r="B22" s="25">
        <f>'[30]CBK-Format PUBLISHED'!C22</f>
        <v>7619162.0123300068</v>
      </c>
      <c r="C22" s="24">
        <f t="shared" si="0"/>
        <v>440844.35782545089</v>
      </c>
      <c r="D22" s="25">
        <f>[4]EBTL!$C22</f>
        <v>423189.87240428728</v>
      </c>
      <c r="E22" s="25">
        <f t="shared" si="1"/>
        <v>17654.485421163612</v>
      </c>
      <c r="F22" s="1294">
        <f t="shared" si="2"/>
        <v>4.171764631526366E-2</v>
      </c>
      <c r="G22" s="184"/>
      <c r="J22" s="89"/>
    </row>
    <row r="23" spans="1:10" ht="12.75">
      <c r="A23" s="27" t="s">
        <v>18</v>
      </c>
      <c r="B23" s="25">
        <f>'[30]CBK-Format PUBLISHED'!C23</f>
        <v>0</v>
      </c>
      <c r="C23" s="24">
        <f t="shared" si="0"/>
        <v>0</v>
      </c>
      <c r="D23" s="25">
        <f>[4]EBTL!$C23</f>
        <v>0</v>
      </c>
      <c r="E23" s="25">
        <f t="shared" si="1"/>
        <v>0</v>
      </c>
      <c r="F23" s="1294">
        <f t="shared" si="2"/>
        <v>0</v>
      </c>
      <c r="G23" s="184"/>
      <c r="J23" s="89"/>
    </row>
    <row r="24" spans="1:10" ht="12.75">
      <c r="A24" s="27" t="s">
        <v>19</v>
      </c>
      <c r="B24" s="25">
        <f>'[30]CBK-Format PUBLISHED'!C24</f>
        <v>2851070.2975699995</v>
      </c>
      <c r="C24" s="24">
        <f t="shared" si="0"/>
        <v>164962.79412532129</v>
      </c>
      <c r="D24" s="25">
        <f>[4]EBTL!$C24</f>
        <v>139171.59449800599</v>
      </c>
      <c r="E24" s="25">
        <f t="shared" si="1"/>
        <v>25791.199627315305</v>
      </c>
      <c r="F24" s="1294">
        <f t="shared" si="2"/>
        <v>0.18531942326553452</v>
      </c>
      <c r="G24" s="184"/>
      <c r="I24" s="718"/>
      <c r="J24" s="89"/>
    </row>
    <row r="25" spans="1:10" ht="12.75">
      <c r="A25" s="27" t="s">
        <v>20</v>
      </c>
      <c r="B25" s="25">
        <f>'[30]CBK-Format PUBLISHED'!C25</f>
        <v>33429321.52781</v>
      </c>
      <c r="C25" s="24">
        <f t="shared" si="0"/>
        <v>1934218.9807250439</v>
      </c>
      <c r="D25" s="25">
        <f>[4]EBTL!$C25</f>
        <v>1667962.3772617148</v>
      </c>
      <c r="E25" s="25">
        <f t="shared" si="1"/>
        <v>266256.60346332914</v>
      </c>
      <c r="F25" s="1294">
        <f t="shared" si="2"/>
        <v>0.15962986161620818</v>
      </c>
      <c r="G25" s="184"/>
      <c r="I25" s="718"/>
      <c r="J25" s="89"/>
    </row>
    <row r="26" spans="1:10" ht="12.75">
      <c r="A26" s="27" t="s">
        <v>21</v>
      </c>
      <c r="B26" s="25">
        <f>'[30]CBK-Format PUBLISHED'!C26</f>
        <v>0</v>
      </c>
      <c r="C26" s="24">
        <f t="shared" si="0"/>
        <v>0</v>
      </c>
      <c r="D26" s="25">
        <f>[4]EBTL!$C26</f>
        <v>0</v>
      </c>
      <c r="E26" s="25">
        <f t="shared" si="1"/>
        <v>0</v>
      </c>
      <c r="F26" s="1294">
        <f t="shared" si="2"/>
        <v>0</v>
      </c>
      <c r="G26" s="184"/>
      <c r="J26" s="89"/>
    </row>
    <row r="27" spans="1:10" ht="12.75">
      <c r="A27" s="27" t="s">
        <v>22</v>
      </c>
      <c r="B27" s="25">
        <f>'[30]CBK-Format PUBLISHED'!C27</f>
        <v>19626160.791980002</v>
      </c>
      <c r="C27" s="24">
        <f t="shared" si="0"/>
        <v>1135568.7458696766</v>
      </c>
      <c r="D27" s="25">
        <f>[4]EBTL!$C27</f>
        <v>640563.6745992027</v>
      </c>
      <c r="E27" s="25">
        <f t="shared" si="1"/>
        <v>495005.07127047388</v>
      </c>
      <c r="F27" s="1294">
        <f t="shared" si="2"/>
        <v>0.77276481776803208</v>
      </c>
      <c r="G27" s="184"/>
      <c r="I27" s="718"/>
      <c r="J27" s="89"/>
    </row>
    <row r="28" spans="1:10" ht="12.75">
      <c r="A28" s="29" t="s">
        <v>23</v>
      </c>
      <c r="B28" s="39">
        <f>SUM(B7:B27)</f>
        <v>816752842.0893501</v>
      </c>
      <c r="C28" s="39">
        <f>SUM(C7:C27)</f>
        <v>47257281.258793131</v>
      </c>
      <c r="D28" s="39">
        <f>SUM(D7:D27)</f>
        <v>36698829.663515955</v>
      </c>
      <c r="E28" s="30">
        <f>(C28-D28)</f>
        <v>10558451.595277175</v>
      </c>
      <c r="F28" s="1335">
        <f>E28/D28</f>
        <v>0.2877054034715944</v>
      </c>
      <c r="G28" s="185"/>
      <c r="J28" s="89"/>
    </row>
    <row r="29" spans="1:10" ht="15">
      <c r="A29" s="31"/>
      <c r="B29" s="76"/>
      <c r="C29" s="32"/>
      <c r="D29" s="32"/>
      <c r="E29" s="32"/>
      <c r="F29" s="1293"/>
      <c r="G29" s="186"/>
      <c r="I29" s="693"/>
    </row>
    <row r="30" spans="1:10" ht="12.75">
      <c r="A30" s="31" t="s">
        <v>24</v>
      </c>
      <c r="B30" s="25"/>
      <c r="C30" s="24"/>
      <c r="D30" s="24"/>
      <c r="E30" s="24"/>
      <c r="F30" s="1294"/>
      <c r="G30" s="184"/>
      <c r="I30" s="89"/>
    </row>
    <row r="31" spans="1:10" ht="12.75">
      <c r="A31" s="27" t="s">
        <v>25</v>
      </c>
      <c r="B31" s="25">
        <f>'[30]CBK-Format PUBLISHED'!C31</f>
        <v>0</v>
      </c>
      <c r="C31" s="24">
        <f t="shared" ref="C31:C42" si="3">B31/$C$6</f>
        <v>0</v>
      </c>
      <c r="D31" s="25">
        <f>[4]EBTL!$C31</f>
        <v>0</v>
      </c>
      <c r="E31" s="25">
        <f t="shared" ref="E31:E42" si="4">C31-D31</f>
        <v>0</v>
      </c>
      <c r="F31" s="1294">
        <f t="shared" ref="F31:F42" si="5">IFERROR(E31/D31,0)</f>
        <v>0</v>
      </c>
      <c r="G31" s="184"/>
      <c r="I31" s="89"/>
    </row>
    <row r="32" spans="1:10" ht="25.5">
      <c r="A32" s="27" t="s">
        <v>26</v>
      </c>
      <c r="B32" s="25">
        <f>'[30]CBK-Format PUBLISHED'!C32</f>
        <v>604517411.63006997</v>
      </c>
      <c r="C32" s="24">
        <f t="shared" si="3"/>
        <v>34977349.174763709</v>
      </c>
      <c r="D32" s="25">
        <f>[4]EBTL!$C32</f>
        <v>26990398.543072782</v>
      </c>
      <c r="E32" s="25">
        <f t="shared" si="4"/>
        <v>7986950.6316909268</v>
      </c>
      <c r="F32" s="1294">
        <f t="shared" si="5"/>
        <v>0.29591821769304022</v>
      </c>
      <c r="G32" s="184" t="s">
        <v>399</v>
      </c>
      <c r="I32" s="718"/>
      <c r="J32" s="718"/>
    </row>
    <row r="33" spans="1:10" ht="12.75">
      <c r="A33" s="27" t="s">
        <v>27</v>
      </c>
      <c r="B33" s="25">
        <f>'[30]CBK-Format PUBLISHED'!C33</f>
        <v>0</v>
      </c>
      <c r="C33" s="24">
        <f t="shared" si="3"/>
        <v>0</v>
      </c>
      <c r="D33" s="25">
        <f>[4]EBTL!$C33</f>
        <v>0</v>
      </c>
      <c r="E33" s="25">
        <f t="shared" si="4"/>
        <v>0</v>
      </c>
      <c r="F33" s="1294">
        <f t="shared" si="5"/>
        <v>0</v>
      </c>
      <c r="G33" s="184"/>
      <c r="I33" s="89"/>
      <c r="J33" s="89"/>
    </row>
    <row r="34" spans="1:10" ht="12.75">
      <c r="A34" s="27" t="s">
        <v>28</v>
      </c>
      <c r="B34" s="25">
        <f>'[30]CBK-Format PUBLISHED'!C34</f>
        <v>0</v>
      </c>
      <c r="C34" s="24">
        <f t="shared" si="3"/>
        <v>0</v>
      </c>
      <c r="D34" s="25">
        <f>[4]EBTL!$C34</f>
        <v>0</v>
      </c>
      <c r="E34" s="25">
        <f t="shared" si="4"/>
        <v>0</v>
      </c>
      <c r="F34" s="1294">
        <f t="shared" si="5"/>
        <v>0</v>
      </c>
      <c r="G34" s="184"/>
      <c r="I34" s="718"/>
      <c r="J34" s="718"/>
    </row>
    <row r="35" spans="1:10" ht="12.75">
      <c r="A35" s="27" t="s">
        <v>29</v>
      </c>
      <c r="B35" s="25">
        <f>'[30]CBK-Format PUBLISHED'!C35</f>
        <v>6009794.5203799997</v>
      </c>
      <c r="C35" s="24">
        <f t="shared" si="3"/>
        <v>347726.42998171784</v>
      </c>
      <c r="D35" s="25">
        <f>[4]EBTL!$C35</f>
        <v>5290.4400259222339</v>
      </c>
      <c r="E35" s="25">
        <f t="shared" si="4"/>
        <v>342435.98995579558</v>
      </c>
      <c r="F35" s="1294">
        <f t="shared" si="5"/>
        <v>64.72731725110178</v>
      </c>
      <c r="G35" s="184"/>
      <c r="I35" s="718"/>
      <c r="J35" s="718"/>
    </row>
    <row r="36" spans="1:10" ht="12.75">
      <c r="A36" s="27" t="s">
        <v>30</v>
      </c>
      <c r="B36" s="25">
        <f>'[30]CBK-Format PUBLISHED'!C36</f>
        <v>58973381.805480003</v>
      </c>
      <c r="C36" s="24">
        <f t="shared" si="3"/>
        <v>3412197.1141655142</v>
      </c>
      <c r="D36" s="25">
        <f>[4]EBTL!$C36</f>
        <v>3544328.8085742779</v>
      </c>
      <c r="E36" s="25">
        <f t="shared" si="4"/>
        <v>-132131.69440876367</v>
      </c>
      <c r="F36" s="1294">
        <f t="shared" si="5"/>
        <v>-3.7279750707416515E-2</v>
      </c>
      <c r="G36" s="184" t="s">
        <v>400</v>
      </c>
    </row>
    <row r="37" spans="1:10" ht="12.75">
      <c r="A37" s="27" t="s">
        <v>31</v>
      </c>
      <c r="B37" s="25">
        <f>'[30]CBK-Format PUBLISHED'!C37</f>
        <v>737317.80757999991</v>
      </c>
      <c r="C37" s="24">
        <f t="shared" si="3"/>
        <v>42661.173875796558</v>
      </c>
      <c r="D37" s="25">
        <f>[4]EBTL!$C37</f>
        <v>38010.405437686939</v>
      </c>
      <c r="E37" s="25">
        <f t="shared" si="4"/>
        <v>4650.7684381096187</v>
      </c>
      <c r="F37" s="1294">
        <f t="shared" si="5"/>
        <v>0.12235513892988965</v>
      </c>
      <c r="G37" s="184" t="s">
        <v>401</v>
      </c>
    </row>
    <row r="38" spans="1:10" ht="12.75">
      <c r="A38" s="27" t="s">
        <v>32</v>
      </c>
      <c r="B38" s="25">
        <f>'[30]CBK-Format PUBLISHED'!C38</f>
        <v>0</v>
      </c>
      <c r="C38" s="24">
        <f t="shared" si="3"/>
        <v>0</v>
      </c>
      <c r="D38" s="25">
        <f>[4]EBTL!$C38</f>
        <v>0</v>
      </c>
      <c r="E38" s="25">
        <f t="shared" si="4"/>
        <v>0</v>
      </c>
      <c r="F38" s="1294">
        <f t="shared" si="5"/>
        <v>0</v>
      </c>
      <c r="G38" s="184"/>
    </row>
    <row r="39" spans="1:10" ht="12.75">
      <c r="A39" s="27" t="s">
        <v>442</v>
      </c>
      <c r="B39" s="25">
        <f>'[30]CBK-Format PUBLISHED'!C39</f>
        <v>0</v>
      </c>
      <c r="C39" s="24">
        <f t="shared" si="3"/>
        <v>0</v>
      </c>
      <c r="D39" s="25">
        <f>[4]EBTL!$C39</f>
        <v>0</v>
      </c>
      <c r="E39" s="25">
        <f t="shared" si="4"/>
        <v>0</v>
      </c>
      <c r="F39" s="1294">
        <f t="shared" si="5"/>
        <v>0</v>
      </c>
      <c r="G39" s="184"/>
    </row>
    <row r="40" spans="1:10" ht="12.75">
      <c r="A40" s="27" t="s">
        <v>34</v>
      </c>
      <c r="B40" s="25">
        <f>'[30]CBK-Format PUBLISHED'!C40</f>
        <v>0</v>
      </c>
      <c r="C40" s="24">
        <f t="shared" si="3"/>
        <v>0</v>
      </c>
      <c r="D40" s="25">
        <f>[4]EBTL!$C40</f>
        <v>0</v>
      </c>
      <c r="E40" s="25">
        <f t="shared" si="4"/>
        <v>0</v>
      </c>
      <c r="F40" s="1294">
        <f t="shared" si="5"/>
        <v>0</v>
      </c>
      <c r="G40" s="184"/>
    </row>
    <row r="41" spans="1:10" ht="12.75">
      <c r="A41" s="27" t="s">
        <v>35</v>
      </c>
      <c r="B41" s="59">
        <f>'[30]CBK-Format PUBLISHED'!C41</f>
        <v>0</v>
      </c>
      <c r="C41" s="24">
        <f t="shared" si="3"/>
        <v>0</v>
      </c>
      <c r="D41" s="25">
        <f>[4]EBTL!$C41</f>
        <v>0</v>
      </c>
      <c r="E41" s="25">
        <f t="shared" si="4"/>
        <v>0</v>
      </c>
      <c r="F41" s="1294">
        <f t="shared" si="5"/>
        <v>0</v>
      </c>
      <c r="G41" s="184"/>
    </row>
    <row r="42" spans="1:10" ht="12.75">
      <c r="A42" s="27" t="s">
        <v>36</v>
      </c>
      <c r="B42" s="59">
        <f>'[30]CBK-Format PUBLISHED'!C42</f>
        <v>23116387.919690046</v>
      </c>
      <c r="C42" s="24">
        <f t="shared" si="3"/>
        <v>1337513.1243053006</v>
      </c>
      <c r="D42" s="25">
        <f>[4]EBTL!$C42</f>
        <v>966535.82638036006</v>
      </c>
      <c r="E42" s="25">
        <f t="shared" si="4"/>
        <v>370977.29792494059</v>
      </c>
      <c r="F42" s="1294">
        <f t="shared" si="5"/>
        <v>0.38382156956792435</v>
      </c>
      <c r="G42" s="184"/>
    </row>
    <row r="43" spans="1:10" ht="12.75">
      <c r="A43" s="29" t="s">
        <v>37</v>
      </c>
      <c r="B43" s="39">
        <f>SUM(B31:B42)</f>
        <v>693354293.6832</v>
      </c>
      <c r="C43" s="39">
        <f>SUM(C31:C42)</f>
        <v>40117447.017092034</v>
      </c>
      <c r="D43" s="39">
        <f>SUM(D31:D42)</f>
        <v>31544564.023491029</v>
      </c>
      <c r="E43" s="30">
        <f>(C43-D43)</f>
        <v>8572882.9936010055</v>
      </c>
      <c r="F43" s="1335">
        <f>E43/D43</f>
        <v>0.27177053349720848</v>
      </c>
      <c r="G43" s="185"/>
    </row>
    <row r="44" spans="1:10" ht="12.75">
      <c r="A44" s="31"/>
      <c r="B44" s="60"/>
      <c r="C44" s="32"/>
      <c r="D44" s="32"/>
      <c r="E44" s="32"/>
      <c r="F44" s="1293"/>
      <c r="G44" s="186"/>
      <c r="J44" s="466"/>
    </row>
    <row r="45" spans="1:10" ht="12.75">
      <c r="A45" s="29" t="s">
        <v>38</v>
      </c>
      <c r="B45" s="39"/>
      <c r="C45" s="30"/>
      <c r="D45" s="30"/>
      <c r="E45" s="30"/>
      <c r="F45" s="1335"/>
      <c r="G45" s="184"/>
      <c r="J45" s="466"/>
    </row>
    <row r="46" spans="1:10" ht="12.75">
      <c r="A46" s="27" t="s">
        <v>545</v>
      </c>
      <c r="B46" s="25">
        <f>'[30]CBK-Format PUBLISHED'!C46</f>
        <v>148537500</v>
      </c>
      <c r="C46" s="25">
        <f>[4]EBTL!$C$46+K57</f>
        <v>7389628.3271718994</v>
      </c>
      <c r="D46" s="25">
        <f>[4]EBTL!$C$46</f>
        <v>6211628.3271718994</v>
      </c>
      <c r="E46" s="25">
        <f t="shared" ref="E46:E52" si="6">C46-D46</f>
        <v>1178000</v>
      </c>
      <c r="F46" s="1294">
        <f t="shared" ref="F46:F52" si="7">IFERROR(E46/D46,0)</f>
        <v>0.18964431513827118</v>
      </c>
      <c r="G46" s="184"/>
      <c r="H46" s="89"/>
      <c r="I46" s="89"/>
      <c r="J46" s="466"/>
    </row>
    <row r="47" spans="1:10" ht="12.75">
      <c r="A47" s="27" t="s">
        <v>546</v>
      </c>
      <c r="B47" s="25">
        <f>'[30]CBK-Format PUBLISHED'!$C$47</f>
        <v>400000</v>
      </c>
      <c r="C47" s="25">
        <f>[4]EBTL!$C$47</f>
        <v>0</v>
      </c>
      <c r="D47" s="25">
        <f>[4]EBTL!$C$47</f>
        <v>0</v>
      </c>
      <c r="E47" s="25">
        <f t="shared" si="6"/>
        <v>0</v>
      </c>
      <c r="F47" s="1294">
        <f t="shared" si="7"/>
        <v>0</v>
      </c>
      <c r="G47" s="184"/>
      <c r="I47" s="89"/>
    </row>
    <row r="48" spans="1:10" ht="12.75">
      <c r="A48" s="27" t="s">
        <v>41</v>
      </c>
      <c r="B48" s="25">
        <f>'[30]CBK-Format PUBLISHED'!C48</f>
        <v>-6207564.8405599995</v>
      </c>
      <c r="C48" s="25">
        <v>868719.04830142856</v>
      </c>
      <c r="D48" s="25">
        <f>([4]EBTL!$C$48)+-0.254527896642685</f>
        <v>497577.75177927315</v>
      </c>
      <c r="E48" s="25">
        <f t="shared" si="6"/>
        <v>371141.2965221554</v>
      </c>
      <c r="F48" s="1294">
        <f t="shared" si="7"/>
        <v>0.74589608396879181</v>
      </c>
      <c r="G48" s="184"/>
      <c r="I48" s="89"/>
    </row>
    <row r="49" spans="1:13" ht="12.75">
      <c r="A49" s="27" t="s">
        <v>547</v>
      </c>
      <c r="B49" s="25">
        <f>'[30]CBK-Format PUBLISHED'!C49</f>
        <v>-19331386.753449999</v>
      </c>
      <c r="C49" s="24">
        <f>B49/$C$6</f>
        <v>-1118513.1337814864</v>
      </c>
      <c r="D49" s="25">
        <f>[4]EBTL!$C49</f>
        <v>-1554940.6934621136</v>
      </c>
      <c r="E49" s="25">
        <f t="shared" si="6"/>
        <v>436427.55968062719</v>
      </c>
      <c r="F49" s="1294">
        <f t="shared" si="7"/>
        <v>-0.28067151468581769</v>
      </c>
      <c r="G49" s="184"/>
      <c r="I49" s="899" t="s">
        <v>707</v>
      </c>
      <c r="J49" s="694">
        <v>-25814108.170359999</v>
      </c>
      <c r="K49" s="900">
        <f>B49-J49</f>
        <v>6482721.4169100001</v>
      </c>
      <c r="M49" s="923">
        <f>J49+K51</f>
        <v>-25814108.170359999</v>
      </c>
    </row>
    <row r="50" spans="1:13" ht="12.75">
      <c r="A50" s="27" t="s">
        <v>548</v>
      </c>
      <c r="B50" s="25">
        <f>+'[30]CBK-Format PUBLISHED'!C50</f>
        <v>1.6000000000000001E-4</v>
      </c>
      <c r="C50" s="24">
        <f>B50/$C$6</f>
        <v>9.2575925197450804E-6</v>
      </c>
      <c r="D50" s="25">
        <f>[4]EBTL!$C50</f>
        <v>7.9760717846460624E-6</v>
      </c>
      <c r="E50" s="25">
        <f t="shared" si="6"/>
        <v>1.281520735099018E-6</v>
      </c>
      <c r="F50" s="1294">
        <f t="shared" si="7"/>
        <v>0.16067066216303938</v>
      </c>
      <c r="G50" s="184"/>
      <c r="I50" s="899" t="s">
        <v>521</v>
      </c>
      <c r="J50" s="899"/>
      <c r="K50" s="900">
        <f>B99</f>
        <v>6482721.416910002</v>
      </c>
    </row>
    <row r="51" spans="1:13" ht="12.75">
      <c r="A51" s="27" t="s">
        <v>44</v>
      </c>
      <c r="B51" s="25">
        <v>0</v>
      </c>
      <c r="C51" s="24">
        <f>B51/$C$6</f>
        <v>0</v>
      </c>
      <c r="D51" s="25">
        <f>[4]EBTL!$C51</f>
        <v>0</v>
      </c>
      <c r="E51" s="25">
        <f t="shared" si="6"/>
        <v>0</v>
      </c>
      <c r="F51" s="1294">
        <f t="shared" si="7"/>
        <v>0</v>
      </c>
      <c r="G51" s="184"/>
      <c r="I51" s="899" t="s">
        <v>701</v>
      </c>
      <c r="J51" s="899"/>
      <c r="K51" s="900"/>
    </row>
    <row r="52" spans="1:13" ht="12.75">
      <c r="A52" s="27" t="s">
        <v>45</v>
      </c>
      <c r="B52" s="25">
        <v>0</v>
      </c>
      <c r="C52" s="24">
        <f>B52/$C$6</f>
        <v>0</v>
      </c>
      <c r="D52" s="24">
        <v>0</v>
      </c>
      <c r="E52" s="25">
        <f t="shared" si="6"/>
        <v>0</v>
      </c>
      <c r="F52" s="1294">
        <f t="shared" si="7"/>
        <v>0</v>
      </c>
      <c r="G52" s="184"/>
      <c r="I52" s="922" t="s">
        <v>709</v>
      </c>
      <c r="J52" s="922"/>
      <c r="K52" s="924"/>
      <c r="L52" s="922"/>
      <c r="M52" s="923"/>
    </row>
    <row r="53" spans="1:13" ht="12.75">
      <c r="A53" s="29" t="s">
        <v>46</v>
      </c>
      <c r="B53" s="39">
        <f>SUM(B45:B52)</f>
        <v>123398548.40615</v>
      </c>
      <c r="C53" s="39">
        <f>SUM(C45:C52)</f>
        <v>7139834.2417010991</v>
      </c>
      <c r="D53" s="39">
        <f>SUM(D45:D52)</f>
        <v>5154265.3854970345</v>
      </c>
      <c r="E53" s="30">
        <f>(C53-D53)</f>
        <v>1985568.8562040646</v>
      </c>
      <c r="F53" s="1335">
        <f>E53/D53</f>
        <v>0.3852282930155318</v>
      </c>
      <c r="G53" s="185"/>
      <c r="I53" s="900" t="s">
        <v>478</v>
      </c>
      <c r="J53" s="899"/>
      <c r="K53" s="921">
        <f>K49-K50-K51-K52</f>
        <v>-1.862645149230957E-9</v>
      </c>
      <c r="M53" s="88" t="s">
        <v>717</v>
      </c>
    </row>
    <row r="54" spans="1:13" ht="12.75">
      <c r="A54" s="34"/>
      <c r="B54" s="61"/>
      <c r="C54" s="35"/>
      <c r="D54" s="35"/>
      <c r="E54" s="35"/>
      <c r="F54" s="1300"/>
      <c r="G54" s="186"/>
    </row>
    <row r="55" spans="1:13" ht="13.5" thickBot="1">
      <c r="A55" s="95" t="s">
        <v>47</v>
      </c>
      <c r="B55" s="94">
        <f>+B53+B43</f>
        <v>816752842.08934999</v>
      </c>
      <c r="C55" s="94">
        <f>+C53+C43</f>
        <v>47257281.258793131</v>
      </c>
      <c r="D55" s="94">
        <f>+D53+D43</f>
        <v>36698829.408988066</v>
      </c>
      <c r="E55" s="94">
        <f>(C55-D55)</f>
        <v>10558451.849805064</v>
      </c>
      <c r="F55" s="1295">
        <f>E55/D55</f>
        <v>0.28770541240258607</v>
      </c>
      <c r="G55" s="185"/>
    </row>
    <row r="56" spans="1:13" ht="12.75" thickBot="1">
      <c r="A56" s="90"/>
      <c r="B56" s="91">
        <f>B28-B55</f>
        <v>0</v>
      </c>
      <c r="C56" s="91">
        <f>C28-C55</f>
        <v>0</v>
      </c>
      <c r="D56" s="91">
        <f>D28-D55</f>
        <v>0.25452788919210434</v>
      </c>
      <c r="E56" s="91"/>
      <c r="F56" s="1336"/>
      <c r="J56" s="928" t="s">
        <v>716</v>
      </c>
      <c r="K56" s="718">
        <v>10000000</v>
      </c>
      <c r="L56" s="88">
        <v>117.8</v>
      </c>
    </row>
    <row r="57" spans="1:13" ht="18">
      <c r="A57" s="978" t="s">
        <v>184</v>
      </c>
      <c r="B57" s="977"/>
      <c r="C57" s="93"/>
      <c r="D57" s="93"/>
      <c r="E57" s="93"/>
      <c r="F57" s="1337"/>
      <c r="K57" s="710">
        <f>(K56*L56)/1000</f>
        <v>1178000</v>
      </c>
    </row>
    <row r="58" spans="1:13" ht="12.75">
      <c r="A58" s="36" t="s">
        <v>48</v>
      </c>
      <c r="B58" s="1192">
        <f>B2</f>
        <v>45046</v>
      </c>
      <c r="C58" s="1193">
        <f>C2</f>
        <v>45046</v>
      </c>
      <c r="D58" s="1193">
        <f>D2</f>
        <v>44681</v>
      </c>
      <c r="E58" s="1580" t="s">
        <v>85</v>
      </c>
      <c r="F58" s="1607" t="s">
        <v>86</v>
      </c>
    </row>
    <row r="59" spans="1:13" ht="12.75">
      <c r="A59" s="36"/>
      <c r="B59" s="1194" t="s">
        <v>98</v>
      </c>
      <c r="C59" s="21" t="s">
        <v>97</v>
      </c>
      <c r="D59" s="21" t="s">
        <v>97</v>
      </c>
      <c r="E59" s="1538"/>
      <c r="F59" s="1608"/>
    </row>
    <row r="60" spans="1:13" ht="13.5" thickBot="1">
      <c r="A60" s="439"/>
      <c r="B60" s="21" t="s">
        <v>879</v>
      </c>
      <c r="C60" s="21" t="s">
        <v>879</v>
      </c>
      <c r="D60" s="21" t="s">
        <v>879</v>
      </c>
      <c r="E60" s="36"/>
      <c r="F60" s="1338"/>
    </row>
    <row r="61" spans="1:13" ht="12.75">
      <c r="A61" s="603" t="s">
        <v>49</v>
      </c>
      <c r="B61" s="62"/>
      <c r="C61" s="816">
        <f>[27]TZS!$I$3</f>
        <v>18.234482758620693</v>
      </c>
      <c r="D61" s="148">
        <v>21.993275862058223</v>
      </c>
      <c r="E61" s="38"/>
      <c r="F61" s="1339"/>
      <c r="K61" s="466">
        <v>-30901573.00437</v>
      </c>
    </row>
    <row r="62" spans="1:13" ht="12.75">
      <c r="A62" s="27" t="s">
        <v>50</v>
      </c>
      <c r="B62" s="24">
        <f>'[30]CBK-Format PUBLISHED'!C61</f>
        <v>18560014.270810001</v>
      </c>
      <c r="C62" s="24">
        <f>B62/$C$61</f>
        <v>1017852.5224158281</v>
      </c>
      <c r="D62" s="24">
        <f>[4]EBTL!$C62</f>
        <v>955533.01450011716</v>
      </c>
      <c r="E62" s="24">
        <f>(C62-D62)</f>
        <v>62319.507915710914</v>
      </c>
      <c r="F62" s="1340">
        <f>E62/D62</f>
        <v>6.5219628176126476E-2</v>
      </c>
      <c r="K62" s="923">
        <f>K61-B49</f>
        <v>-11570186.250920001</v>
      </c>
    </row>
    <row r="63" spans="1:13" ht="12.75">
      <c r="A63" s="27" t="s">
        <v>51</v>
      </c>
      <c r="B63" s="24">
        <f>'[30]CBK-Format PUBLISHED'!C62</f>
        <v>4927853.2181599997</v>
      </c>
      <c r="C63" s="24">
        <f>B63/$C$61</f>
        <v>270249.13639682293</v>
      </c>
      <c r="D63" s="24">
        <f>[4]EBTL!$C63</f>
        <v>215964.19123173557</v>
      </c>
      <c r="E63" s="24">
        <f>(C63-D63)</f>
        <v>54284.945165087353</v>
      </c>
      <c r="F63" s="1340">
        <f>E63/D63</f>
        <v>0.25136086151818615</v>
      </c>
    </row>
    <row r="64" spans="1:13" ht="12.75">
      <c r="A64" s="27" t="s">
        <v>52</v>
      </c>
      <c r="B64" s="24">
        <f>'[30]CBK-Format PUBLISHED'!C63</f>
        <v>338305.86757999996</v>
      </c>
      <c r="C64" s="24">
        <f>B64/$C$61</f>
        <v>18553.082753063536</v>
      </c>
      <c r="D64" s="24">
        <f>[4]EBTL!$C64</f>
        <v>8192.3675203649818</v>
      </c>
      <c r="E64" s="24">
        <f>(C64-D64)</f>
        <v>10360.715232698554</v>
      </c>
      <c r="F64" s="1340">
        <f>E64/D64</f>
        <v>1.2646790084726289</v>
      </c>
      <c r="H64" s="89"/>
    </row>
    <row r="65" spans="1:9" ht="12.75">
      <c r="A65" s="27" t="s">
        <v>53</v>
      </c>
      <c r="B65" s="24">
        <f>'[30]CBK-Format PUBLISHED'!C64</f>
        <v>834546.08419000008</v>
      </c>
      <c r="C65" s="24">
        <f>B65/$C$61</f>
        <v>45767.466795593791</v>
      </c>
      <c r="D65" s="24">
        <f>[4]EBTL!$C65</f>
        <v>53040.082510518187</v>
      </c>
      <c r="E65" s="24">
        <f>(C65-D65)</f>
        <v>-7272.6157149243954</v>
      </c>
      <c r="F65" s="1340"/>
    </row>
    <row r="66" spans="1:9" ht="12.75">
      <c r="A66" s="29" t="s">
        <v>54</v>
      </c>
      <c r="B66" s="39">
        <f>SUM(B62:B65)</f>
        <v>24660719.44074</v>
      </c>
      <c r="C66" s="39">
        <f>SUM(C62:C65)</f>
        <v>1352422.2083613083</v>
      </c>
      <c r="D66" s="39">
        <f>SUM(D62:D65)</f>
        <v>1232729.6557627358</v>
      </c>
      <c r="E66" s="39">
        <f>(C66-D66)</f>
        <v>119692.55259857257</v>
      </c>
      <c r="F66" s="1341">
        <f>E66/D66</f>
        <v>9.7095540809809047E-2</v>
      </c>
      <c r="H66" s="382"/>
    </row>
    <row r="67" spans="1:9" ht="12.75">
      <c r="A67" s="31"/>
      <c r="B67" s="413"/>
      <c r="C67" s="32"/>
      <c r="D67" s="24"/>
      <c r="E67" s="32"/>
      <c r="F67" s="1342"/>
    </row>
    <row r="68" spans="1:9" ht="12.75">
      <c r="A68" s="31" t="s">
        <v>55</v>
      </c>
      <c r="B68" s="24"/>
      <c r="C68" s="24"/>
      <c r="D68" s="24"/>
      <c r="E68" s="24"/>
      <c r="F68" s="1340"/>
      <c r="I68" s="89"/>
    </row>
    <row r="69" spans="1:9" ht="12.75">
      <c r="A69" s="27" t="s">
        <v>56</v>
      </c>
      <c r="B69" s="24">
        <f>'[30]CBK-Format PUBLISHED'!C68</f>
        <v>8787207.1345799994</v>
      </c>
      <c r="C69" s="24">
        <f>B69/$C$61</f>
        <v>481900.54255450063</v>
      </c>
      <c r="D69" s="24">
        <f>[4]EBTL!$C69</f>
        <v>412233.25832897786</v>
      </c>
      <c r="E69" s="24">
        <f>(C69-D69)</f>
        <v>69667.284225522773</v>
      </c>
      <c r="F69" s="1340">
        <f>E69/D69</f>
        <v>0.16899966904156391</v>
      </c>
    </row>
    <row r="70" spans="1:9" ht="12.75">
      <c r="A70" s="27" t="s">
        <v>57</v>
      </c>
      <c r="B70" s="24">
        <f>'[30]CBK-Format PUBLISHED'!C69</f>
        <v>0</v>
      </c>
      <c r="C70" s="24">
        <f>B70/$C$61</f>
        <v>0</v>
      </c>
      <c r="D70" s="24">
        <f>[4]EBTL!$C70</f>
        <v>97.700955887738289</v>
      </c>
      <c r="E70" s="24">
        <f>(C70-D70)</f>
        <v>-97.700955887738289</v>
      </c>
      <c r="F70" s="1340">
        <f>E70/D70</f>
        <v>-1</v>
      </c>
    </row>
    <row r="71" spans="1:9" ht="12.75">
      <c r="A71" s="27" t="s">
        <v>58</v>
      </c>
      <c r="B71" s="24">
        <f>'[30]CBK-Format PUBLISHED'!C70</f>
        <v>1813972.99884</v>
      </c>
      <c r="C71" s="24">
        <f>B71/$C$61</f>
        <v>99480.364913691359</v>
      </c>
      <c r="D71" s="24">
        <f>[4]EBTL!$C71</f>
        <v>86766.051439876508</v>
      </c>
      <c r="E71" s="24">
        <f>(C71-D71)</f>
        <v>12714.313473814851</v>
      </c>
      <c r="F71" s="1340" t="s">
        <v>101</v>
      </c>
    </row>
    <row r="72" spans="1:9" ht="12.75">
      <c r="A72" s="29" t="s">
        <v>59</v>
      </c>
      <c r="B72" s="39">
        <f>SUM(B69:B71)</f>
        <v>10601180.13342</v>
      </c>
      <c r="C72" s="39">
        <f>SUM(C69:C71)</f>
        <v>581380.90746819205</v>
      </c>
      <c r="D72" s="39">
        <f>SUM(D69:D71)</f>
        <v>499097.01072474208</v>
      </c>
      <c r="E72" s="39">
        <f>(C72-D72)</f>
        <v>82283.896743449965</v>
      </c>
      <c r="F72" s="1341">
        <f>E72/D72</f>
        <v>0.16486553711064103</v>
      </c>
      <c r="H72" s="382"/>
    </row>
    <row r="73" spans="1:9" ht="12.75">
      <c r="A73" s="29" t="s">
        <v>60</v>
      </c>
      <c r="B73" s="39">
        <f>B66-B72</f>
        <v>14059539.307320001</v>
      </c>
      <c r="C73" s="39">
        <f>C66-C72</f>
        <v>771041.30089311628</v>
      </c>
      <c r="D73" s="39">
        <f>D66-D72</f>
        <v>733632.64503799367</v>
      </c>
      <c r="E73" s="39">
        <f>(C73-D73)</f>
        <v>37408.655855122604</v>
      </c>
      <c r="F73" s="1341">
        <f>E73/D73</f>
        <v>5.099099134715477E-2</v>
      </c>
      <c r="G73" s="168"/>
      <c r="H73" s="382"/>
    </row>
    <row r="74" spans="1:9" ht="12.75">
      <c r="A74" s="31"/>
      <c r="B74" s="40"/>
      <c r="C74" s="40"/>
      <c r="D74" s="24"/>
      <c r="E74" s="40"/>
      <c r="F74" s="1343"/>
    </row>
    <row r="75" spans="1:9" ht="12.75">
      <c r="A75" s="31" t="s">
        <v>61</v>
      </c>
      <c r="B75" s="41"/>
      <c r="C75" s="41"/>
      <c r="D75" s="24"/>
      <c r="E75" s="41"/>
      <c r="F75" s="1344"/>
    </row>
    <row r="76" spans="1:9" ht="12.75">
      <c r="A76" s="27" t="s">
        <v>62</v>
      </c>
      <c r="B76" s="41">
        <f>'[30]CBK-Format PUBLISHED'!C75</f>
        <v>500891.24312</v>
      </c>
      <c r="C76" s="24">
        <f>B76/$C$61</f>
        <v>27469.451683963685</v>
      </c>
      <c r="D76" s="24">
        <f>[4]EBTL!$C76</f>
        <v>16312.852794366572</v>
      </c>
      <c r="E76" s="41">
        <f t="shared" ref="E76:E82" si="8">(C76-D76)</f>
        <v>11156.598889597113</v>
      </c>
      <c r="F76" s="1344">
        <f>E76/D76</f>
        <v>0.68391464265832747</v>
      </c>
    </row>
    <row r="77" spans="1:9" ht="12.75">
      <c r="A77" s="27" t="s">
        <v>63</v>
      </c>
      <c r="B77" s="41">
        <f>'[30]CBK-Format PUBLISHED'!C76</f>
        <v>6606254.9822399998</v>
      </c>
      <c r="C77" s="24">
        <f>B77/$C$61</f>
        <v>362294.61892012093</v>
      </c>
      <c r="D77" s="24">
        <f>[4]EBTL!$C77</f>
        <v>222481.61596810466</v>
      </c>
      <c r="E77" s="41">
        <f t="shared" si="8"/>
        <v>139813.00295201628</v>
      </c>
      <c r="F77" s="1344">
        <f>E77/D77</f>
        <v>0.62842497050210255</v>
      </c>
    </row>
    <row r="78" spans="1:9" ht="12.75">
      <c r="A78" s="27" t="s">
        <v>64</v>
      </c>
      <c r="B78" s="41">
        <f>'[30]CBK-Format PUBLISHED'!C77</f>
        <v>4362188.6025200002</v>
      </c>
      <c r="C78" s="24">
        <f>B78/$C$61</f>
        <v>239227.43848918303</v>
      </c>
      <c r="D78" s="24">
        <f>[4]EBTL!$C78</f>
        <v>193366.7818918835</v>
      </c>
      <c r="E78" s="41">
        <f t="shared" si="8"/>
        <v>45860.65659729953</v>
      </c>
      <c r="F78" s="1344">
        <f>IFERROR(E78/D78,0)</f>
        <v>0.23716926014180367</v>
      </c>
    </row>
    <row r="79" spans="1:9" ht="12.75">
      <c r="A79" s="27" t="s">
        <v>65</v>
      </c>
      <c r="B79" s="41">
        <f>'[30]CBK-Format PUBLISHED'!C78</f>
        <v>0</v>
      </c>
      <c r="C79" s="24">
        <f>B79/$C$61</f>
        <v>0</v>
      </c>
      <c r="D79" s="24">
        <f>[4]EBTL!$C79</f>
        <v>0</v>
      </c>
      <c r="E79" s="41">
        <f t="shared" si="8"/>
        <v>0</v>
      </c>
      <c r="F79" s="1344">
        <f>IFERROR(E79/D79,0)</f>
        <v>0</v>
      </c>
    </row>
    <row r="80" spans="1:9" ht="12.75">
      <c r="A80" s="27" t="s">
        <v>66</v>
      </c>
      <c r="B80" s="41">
        <f>'[30]CBK-Format PUBLISHED'!C79</f>
        <v>2102782.4051800002</v>
      </c>
      <c r="C80" s="24">
        <f>B80/$C$61</f>
        <v>115319.00482265506</v>
      </c>
      <c r="D80" s="24">
        <f>[4]EBTL!$C80</f>
        <v>90057.564391461361</v>
      </c>
      <c r="E80" s="41">
        <f t="shared" si="8"/>
        <v>25261.440431193696</v>
      </c>
      <c r="F80" s="1344">
        <f>E80/D80</f>
        <v>0.28050326035231765</v>
      </c>
    </row>
    <row r="81" spans="1:12" ht="12.75">
      <c r="A81" s="29" t="s">
        <v>67</v>
      </c>
      <c r="B81" s="39">
        <f>'[30]CBK-Format PUBLISHED'!C80</f>
        <v>13572117.233059999</v>
      </c>
      <c r="C81" s="39">
        <f>SUM(C76:C80)</f>
        <v>744310.51391592273</v>
      </c>
      <c r="D81" s="39">
        <f>SUM(D76:D80)</f>
        <v>522218.81504581607</v>
      </c>
      <c r="E81" s="39">
        <f t="shared" si="8"/>
        <v>222091.69887010666</v>
      </c>
      <c r="F81" s="1341">
        <f>E81/D81</f>
        <v>0.42528475127925403</v>
      </c>
      <c r="H81" s="382">
        <f>C81/C82</f>
        <v>0.49118000628106218</v>
      </c>
    </row>
    <row r="82" spans="1:12" ht="12.75">
      <c r="A82" s="29" t="s">
        <v>68</v>
      </c>
      <c r="B82" s="39">
        <f>B73+B81</f>
        <v>27631656.540380001</v>
      </c>
      <c r="C82" s="39">
        <f>C73+C81</f>
        <v>1515351.814809039</v>
      </c>
      <c r="D82" s="39">
        <f>D73+D81</f>
        <v>1255851.4600838097</v>
      </c>
      <c r="E82" s="39">
        <f t="shared" si="8"/>
        <v>259500.35472522932</v>
      </c>
      <c r="F82" s="1341">
        <f>E82/D82</f>
        <v>0.2066329999790831</v>
      </c>
    </row>
    <row r="83" spans="1:12" ht="12.75">
      <c r="A83" s="31"/>
      <c r="B83" s="42"/>
      <c r="C83" s="42"/>
      <c r="D83" s="24"/>
      <c r="E83" s="40"/>
      <c r="F83" s="1344"/>
      <c r="K83" s="382"/>
    </row>
    <row r="84" spans="1:12" ht="12.75">
      <c r="A84" s="31" t="s">
        <v>69</v>
      </c>
      <c r="B84" s="43"/>
      <c r="C84" s="43"/>
      <c r="D84" s="24"/>
      <c r="E84" s="41"/>
      <c r="F84" s="1344"/>
      <c r="I84" s="88">
        <v>65638359.678479992</v>
      </c>
      <c r="J84" s="88">
        <v>3105082.9749839623</v>
      </c>
    </row>
    <row r="85" spans="1:12" ht="12.75">
      <c r="A85" s="27" t="s">
        <v>70</v>
      </c>
      <c r="B85" s="43">
        <f>'[30]CBK-Format PUBLISHED'!C84</f>
        <v>2490000</v>
      </c>
      <c r="C85" s="24">
        <f t="shared" ref="C85:C91" si="9">B85/$C$61</f>
        <v>136554.46293494702</v>
      </c>
      <c r="D85" s="24">
        <f>[4]EBTL!$C85</f>
        <v>241745.16306227495</v>
      </c>
      <c r="E85" s="41">
        <f>(C85-D85)</f>
        <v>-105190.70012732793</v>
      </c>
      <c r="F85" s="1344">
        <f>IFERROR(E85/D85,0)</f>
        <v>-0.4351305266870229</v>
      </c>
      <c r="G85" s="167"/>
      <c r="H85" s="382"/>
      <c r="I85" s="89">
        <f>B82-I84</f>
        <v>-38006703.138099991</v>
      </c>
      <c r="J85" s="89">
        <f>C82-J84</f>
        <v>-1589731.1601749233</v>
      </c>
    </row>
    <row r="86" spans="1:12" ht="12.75">
      <c r="A86" s="27" t="s">
        <v>71</v>
      </c>
      <c r="B86" s="43">
        <f>'[30]CBK-Format PUBLISHED'!C85</f>
        <v>6916361.0366199994</v>
      </c>
      <c r="C86" s="24">
        <f t="shared" si="9"/>
        <v>379301.19149391062</v>
      </c>
      <c r="D86" s="24">
        <f>[4]EBTL!$C86</f>
        <v>301789.69643901696</v>
      </c>
      <c r="E86" s="41">
        <f t="shared" ref="E86:E91" si="10">(C86-D86)</f>
        <v>77511.495054893661</v>
      </c>
      <c r="F86" s="1344">
        <f t="shared" ref="F86:F91" si="11">E86/D86</f>
        <v>0.25683943477691429</v>
      </c>
      <c r="G86" s="167"/>
      <c r="H86" s="382"/>
    </row>
    <row r="87" spans="1:12" ht="12.75">
      <c r="A87" s="27" t="s">
        <v>72</v>
      </c>
      <c r="B87" s="43">
        <f>'[30]CBK-Format PUBLISHED'!C86</f>
        <v>226204.42630000002</v>
      </c>
      <c r="C87" s="24">
        <f t="shared" si="9"/>
        <v>12405.310822049923</v>
      </c>
      <c r="D87" s="24">
        <f>[4]EBTL!$C87</f>
        <v>7421.4474358024945</v>
      </c>
      <c r="E87" s="41">
        <f t="shared" si="10"/>
        <v>4983.8633862474289</v>
      </c>
      <c r="F87" s="1344">
        <f t="shared" si="11"/>
        <v>0.67154870116095011</v>
      </c>
      <c r="G87" s="167"/>
      <c r="K87" s="382"/>
      <c r="L87" s="455"/>
    </row>
    <row r="88" spans="1:12" ht="12.75">
      <c r="A88" s="27" t="s">
        <v>73</v>
      </c>
      <c r="B88" s="43">
        <f>'[30]CBK-Format PUBLISHED'!C87</f>
        <v>194199.76965999999</v>
      </c>
      <c r="C88" s="24">
        <f t="shared" si="9"/>
        <v>10650.138653819968</v>
      </c>
      <c r="D88" s="24">
        <f>[4]EBTL!$C88</f>
        <v>8472.6304543364586</v>
      </c>
      <c r="E88" s="41">
        <f t="shared" si="10"/>
        <v>2177.5081994835091</v>
      </c>
      <c r="F88" s="1344">
        <f t="shared" si="11"/>
        <v>0.25700497752371787</v>
      </c>
      <c r="G88" s="167"/>
      <c r="L88" s="455"/>
    </row>
    <row r="89" spans="1:12" ht="12.75">
      <c r="A89" s="27" t="s">
        <v>74</v>
      </c>
      <c r="B89" s="43">
        <f>'[30]CBK-Format PUBLISHED'!C88</f>
        <v>2019793.2836899997</v>
      </c>
      <c r="C89" s="24">
        <f t="shared" si="9"/>
        <v>110767.78598148635</v>
      </c>
      <c r="D89" s="24">
        <f>[4]EBTL!$C89</f>
        <v>109242.80320535878</v>
      </c>
      <c r="E89" s="41">
        <f t="shared" si="10"/>
        <v>1524.9827761275665</v>
      </c>
      <c r="F89" s="1344">
        <f t="shared" si="11"/>
        <v>1.3959571993597104E-2</v>
      </c>
      <c r="G89" s="167"/>
      <c r="I89" s="309"/>
      <c r="J89" s="309"/>
      <c r="K89" s="311"/>
      <c r="L89" s="455"/>
    </row>
    <row r="90" spans="1:12" ht="12.75">
      <c r="A90" s="27" t="s">
        <v>75</v>
      </c>
      <c r="B90" s="43">
        <f>'[30]CBK-Format PUBLISHED'!C89</f>
        <v>216154.25438999999</v>
      </c>
      <c r="C90" s="24">
        <f t="shared" si="9"/>
        <v>11854.147839088499</v>
      </c>
      <c r="D90" s="24">
        <f>[4]EBTL!$C90</f>
        <v>9421.2602095497732</v>
      </c>
      <c r="E90" s="41">
        <f t="shared" si="10"/>
        <v>2432.8876295387254</v>
      </c>
      <c r="F90" s="1344">
        <f t="shared" si="11"/>
        <v>0.2582337792849253</v>
      </c>
      <c r="G90" s="167"/>
      <c r="I90" s="309"/>
      <c r="J90" s="309"/>
      <c r="K90" s="311"/>
    </row>
    <row r="91" spans="1:12" ht="12.75">
      <c r="A91" s="27" t="s">
        <v>76</v>
      </c>
      <c r="B91" s="43">
        <f>'[30]CBK-Format PUBLISHED'!C90</f>
        <v>8602104.2138100006</v>
      </c>
      <c r="C91" s="24">
        <f t="shared" si="9"/>
        <v>471749.28555312019</v>
      </c>
      <c r="D91" s="24">
        <f>[4]EBTL!$C91</f>
        <v>382775.01657342887</v>
      </c>
      <c r="E91" s="41">
        <f t="shared" si="10"/>
        <v>88974.268979691318</v>
      </c>
      <c r="F91" s="1344">
        <f t="shared" si="11"/>
        <v>0.2324453402841748</v>
      </c>
      <c r="G91" s="167"/>
      <c r="I91" s="309"/>
      <c r="J91" s="309"/>
      <c r="K91" s="311"/>
    </row>
    <row r="92" spans="1:12" ht="12.75">
      <c r="A92" s="29" t="s">
        <v>77</v>
      </c>
      <c r="B92" s="39">
        <f>SUM(B85:B91)</f>
        <v>20664816.984469999</v>
      </c>
      <c r="C92" s="39">
        <f>SUM(C85:C91)</f>
        <v>1133282.3232784225</v>
      </c>
      <c r="D92" s="39">
        <f>SUM(D85:D91)</f>
        <v>1060868.0173797682</v>
      </c>
      <c r="E92" s="39">
        <f>(C92-D92)</f>
        <v>72414.305898654275</v>
      </c>
      <c r="F92" s="1341">
        <f>E92/D92</f>
        <v>6.8259486300199679E-2</v>
      </c>
      <c r="H92" s="89"/>
      <c r="I92" s="713"/>
      <c r="J92" s="713"/>
      <c r="K92" s="712"/>
    </row>
    <row r="93" spans="1:12" ht="12.75">
      <c r="A93" s="29" t="s">
        <v>78</v>
      </c>
      <c r="B93" s="39">
        <f>B82-B92</f>
        <v>6966839.5559100024</v>
      </c>
      <c r="C93" s="39">
        <f>C82-C92</f>
        <v>382069.49153061653</v>
      </c>
      <c r="D93" s="39">
        <f>D82-D92</f>
        <v>194983.44270404149</v>
      </c>
      <c r="E93" s="39">
        <f>(C93-D93)</f>
        <v>187086.04882657505</v>
      </c>
      <c r="F93" s="1341">
        <f>E93/-D93</f>
        <v>-0.95949710514931452</v>
      </c>
      <c r="I93" s="687"/>
      <c r="J93" s="687"/>
      <c r="K93" s="712"/>
    </row>
    <row r="94" spans="1:12" ht="12.75">
      <c r="A94" s="27" t="s">
        <v>79</v>
      </c>
      <c r="B94" s="81">
        <v>0</v>
      </c>
      <c r="C94" s="24">
        <f>B94/$C$61</f>
        <v>0</v>
      </c>
      <c r="D94" s="24">
        <f>[4]EBTL!$C94</f>
        <v>0</v>
      </c>
      <c r="E94" s="24">
        <v>0</v>
      </c>
      <c r="F94" s="1344">
        <f>IFERROR(E94/D94,0)</f>
        <v>0</v>
      </c>
      <c r="I94" s="383"/>
    </row>
    <row r="95" spans="1:12" ht="12.75">
      <c r="A95" s="27" t="s">
        <v>80</v>
      </c>
      <c r="B95" s="81">
        <v>0</v>
      </c>
      <c r="C95" s="24">
        <f>B95/$C$61</f>
        <v>0</v>
      </c>
      <c r="D95" s="24">
        <f>[4]EBTL!$C95</f>
        <v>0</v>
      </c>
      <c r="E95" s="24">
        <v>0</v>
      </c>
      <c r="F95" s="1344">
        <f>IFERROR(E95/D95,0)</f>
        <v>0</v>
      </c>
      <c r="I95" s="382"/>
    </row>
    <row r="96" spans="1:12" ht="12.75">
      <c r="A96" s="29" t="s">
        <v>81</v>
      </c>
      <c r="B96" s="39">
        <f>SUM(B93:B95)</f>
        <v>6966839.5559100024</v>
      </c>
      <c r="C96" s="39">
        <f>SUM(C93:C95)</f>
        <v>382069.49153061653</v>
      </c>
      <c r="D96" s="39">
        <f>SUM(D93:D95)</f>
        <v>194983.44270404149</v>
      </c>
      <c r="E96" s="39">
        <f>(C96-D96)</f>
        <v>187086.04882657505</v>
      </c>
      <c r="F96" s="1341">
        <f>E96/-D96</f>
        <v>-0.95949710514931452</v>
      </c>
      <c r="H96" s="382"/>
      <c r="I96" s="718"/>
    </row>
    <row r="97" spans="1:11" ht="12.75">
      <c r="A97" s="27" t="s">
        <v>91</v>
      </c>
      <c r="B97" s="43">
        <f>'[30]CBK-Format PUBLISHED'!$C$95</f>
        <v>-484118.13900000002</v>
      </c>
      <c r="C97" s="24">
        <f>B97/$C$61</f>
        <v>-26549.595368759452</v>
      </c>
      <c r="D97" s="24">
        <f>[4]EBTL!$C97</f>
        <v>-55542.874257847943</v>
      </c>
      <c r="E97" s="41">
        <f>C97-D97</f>
        <v>28993.278889088491</v>
      </c>
      <c r="F97" s="1344">
        <f>IFERROR(E97/D97,0)</f>
        <v>-0.5219981730598301</v>
      </c>
    </row>
    <row r="98" spans="1:11" ht="12.75">
      <c r="A98" s="27" t="s">
        <v>92</v>
      </c>
      <c r="B98" s="41">
        <v>0</v>
      </c>
      <c r="C98" s="24">
        <f>B98/$C$61</f>
        <v>0</v>
      </c>
      <c r="D98" s="24">
        <f>[4]EBTL!$C98</f>
        <v>0</v>
      </c>
      <c r="E98" s="41">
        <f>C98-D98</f>
        <v>0</v>
      </c>
      <c r="F98" s="1344">
        <f>IFERROR(E98/D98,0)</f>
        <v>0</v>
      </c>
      <c r="H98" s="105" t="s">
        <v>644</v>
      </c>
      <c r="I98" s="694"/>
      <c r="J98" s="710"/>
    </row>
    <row r="99" spans="1:11" ht="13.5" thickBot="1">
      <c r="A99" s="95" t="s">
        <v>93</v>
      </c>
      <c r="B99" s="94">
        <f>SUM(B96:B98)</f>
        <v>6482721.416910002</v>
      </c>
      <c r="C99" s="94">
        <f>SUM(C96:C98)</f>
        <v>355519.89616185706</v>
      </c>
      <c r="D99" s="94">
        <f>SUM(D96:D98)</f>
        <v>139440.56844619353</v>
      </c>
      <c r="E99" s="94">
        <f>C99-D99</f>
        <v>216079.32771566353</v>
      </c>
      <c r="F99" s="1345">
        <f>E99/-D99</f>
        <v>-1.5496159412104153</v>
      </c>
    </row>
    <row r="100" spans="1:11" ht="12.75" thickBot="1">
      <c r="A100" s="88"/>
      <c r="B100" s="97"/>
      <c r="C100" s="97"/>
      <c r="D100" s="97"/>
      <c r="E100" s="97"/>
      <c r="F100" s="1346"/>
      <c r="H100" s="89"/>
      <c r="I100" s="848">
        <f>-(C97+C98)/C96</f>
        <v>6.9488917480426307E-2</v>
      </c>
    </row>
    <row r="101" spans="1:11" s="52" customFormat="1" ht="12.75">
      <c r="A101" s="610" t="s">
        <v>150</v>
      </c>
      <c r="B101" s="611"/>
      <c r="C101" s="611"/>
      <c r="D101" s="611"/>
      <c r="E101" s="611"/>
      <c r="F101" s="1347"/>
      <c r="G101" s="194"/>
      <c r="I101" s="88"/>
      <c r="J101" s="88"/>
      <c r="K101" s="88"/>
    </row>
    <row r="102" spans="1:11" s="52" customFormat="1" ht="12.75">
      <c r="A102" s="83"/>
      <c r="B102" s="1195">
        <f>B2</f>
        <v>45046</v>
      </c>
      <c r="C102" s="1195">
        <f>C2</f>
        <v>45046</v>
      </c>
      <c r="D102" s="1195">
        <f>D2</f>
        <v>44681</v>
      </c>
      <c r="E102" s="1596" t="s">
        <v>151</v>
      </c>
      <c r="F102" s="1598" t="s">
        <v>152</v>
      </c>
      <c r="G102" s="194"/>
      <c r="I102" s="694"/>
      <c r="J102" s="88"/>
      <c r="K102" s="88"/>
    </row>
    <row r="103" spans="1:11" s="52" customFormat="1" ht="12.75">
      <c r="A103" s="83"/>
      <c r="B103" s="1196" t="s">
        <v>98</v>
      </c>
      <c r="C103" s="1196" t="s">
        <v>97</v>
      </c>
      <c r="D103" s="1196" t="s">
        <v>153</v>
      </c>
      <c r="E103" s="1597"/>
      <c r="F103" s="1599"/>
      <c r="G103" s="194"/>
    </row>
    <row r="104" spans="1:11" s="52" customFormat="1" ht="12.75">
      <c r="A104" s="83"/>
      <c r="B104" s="21" t="s">
        <v>614</v>
      </c>
      <c r="C104" s="21" t="s">
        <v>614</v>
      </c>
      <c r="D104" s="21" t="s">
        <v>614</v>
      </c>
      <c r="E104" s="85"/>
      <c r="F104" s="1325"/>
      <c r="G104" s="194"/>
    </row>
    <row r="105" spans="1:11" s="52" customFormat="1" ht="12.75">
      <c r="A105" s="27"/>
      <c r="B105" s="43"/>
      <c r="C105" s="43"/>
      <c r="D105" s="43"/>
      <c r="E105" s="43"/>
      <c r="F105" s="1303"/>
      <c r="G105" s="194"/>
    </row>
    <row r="106" spans="1:11" s="52" customFormat="1" ht="12.75">
      <c r="A106" s="1600" t="s">
        <v>114</v>
      </c>
      <c r="B106" s="1601"/>
      <c r="C106" s="43"/>
      <c r="D106" s="43"/>
      <c r="E106" s="43"/>
      <c r="F106" s="1303"/>
      <c r="G106" s="194"/>
    </row>
    <row r="107" spans="1:11" s="178" customFormat="1" ht="12.75">
      <c r="A107" s="31" t="s">
        <v>115</v>
      </c>
      <c r="B107" s="42">
        <f>'[30]CBK-Format PUBLISHED'!$C$105</f>
        <v>85137906.14384979</v>
      </c>
      <c r="C107" s="42">
        <f>'[6]30_March_2023'!$I$6</f>
        <v>4846810.8363422109</v>
      </c>
      <c r="D107" s="42">
        <f>[4]EBTL!$C107</f>
        <v>6422616.2858665502</v>
      </c>
      <c r="E107" s="42">
        <f>C107-D107</f>
        <v>-1575805.4495243393</v>
      </c>
      <c r="F107" s="1302">
        <f t="shared" ref="F107:F112" si="12">IFERROR(E107/D107,0)</f>
        <v>-0.24535257586414086</v>
      </c>
      <c r="G107" s="701"/>
      <c r="I107" s="52"/>
      <c r="J107" s="52"/>
      <c r="K107" s="52"/>
    </row>
    <row r="108" spans="1:11" s="52" customFormat="1" ht="12.75">
      <c r="A108" s="27" t="s">
        <v>116</v>
      </c>
      <c r="B108" s="43">
        <f>'[30]CBK-Format PUBLISHED'!$C$106</f>
        <v>11258114.476200001</v>
      </c>
      <c r="C108" s="43">
        <f>'[6]30_March_2023'!$I$7</f>
        <v>667652.94564697635</v>
      </c>
      <c r="D108" s="43">
        <f>[4]EBTL!$C108</f>
        <v>769675.90439381858</v>
      </c>
      <c r="E108" s="43">
        <f>C108-D108</f>
        <v>-102022.95874684223</v>
      </c>
      <c r="F108" s="1303">
        <f t="shared" si="12"/>
        <v>-0.13255314108760294</v>
      </c>
      <c r="G108" s="194"/>
    </row>
    <row r="109" spans="1:11" s="178" customFormat="1" ht="12.75">
      <c r="A109" s="31" t="s">
        <v>117</v>
      </c>
      <c r="B109" s="42">
        <f>'[30]CBK-Format PUBLISHED'!$C$107</f>
        <v>73879791.667649791</v>
      </c>
      <c r="C109" s="42">
        <f>C107-C108</f>
        <v>4179157.8906952348</v>
      </c>
      <c r="D109" s="42">
        <f>[4]EBTL!$C109</f>
        <v>5652940.3814727319</v>
      </c>
      <c r="E109" s="42">
        <f>C109-D109</f>
        <v>-1473782.4907774972</v>
      </c>
      <c r="F109" s="1302">
        <f t="shared" si="12"/>
        <v>-0.26071077905009499</v>
      </c>
      <c r="G109" s="701"/>
      <c r="I109" s="178">
        <v>140.24</v>
      </c>
    </row>
    <row r="110" spans="1:11" s="52" customFormat="1" ht="12.75">
      <c r="A110" s="27" t="s">
        <v>118</v>
      </c>
      <c r="B110" s="43">
        <f>'[30]CBK-Format PUBLISHED'!$C$108</f>
        <v>27101401.92278</v>
      </c>
      <c r="C110" s="43">
        <f>'[6]30_March_2023'!$I$9</f>
        <v>1903875.5908417196</v>
      </c>
      <c r="D110" s="43">
        <f>[4]EBTL!$C110</f>
        <v>3430354.9684257233</v>
      </c>
      <c r="E110" s="43">
        <f>C110-D110</f>
        <v>-1526479.3775840036</v>
      </c>
      <c r="F110" s="1303">
        <f t="shared" si="12"/>
        <v>-0.44499166751962804</v>
      </c>
      <c r="G110" s="194"/>
    </row>
    <row r="111" spans="1:11" s="178" customFormat="1" ht="12.75">
      <c r="A111" s="31" t="s">
        <v>119</v>
      </c>
      <c r="B111" s="42">
        <f>'[30]CBK-Format PUBLISHED'!$C$109</f>
        <v>46778389.744869791</v>
      </c>
      <c r="C111" s="42">
        <f>C109-C110</f>
        <v>2275282.2998535149</v>
      </c>
      <c r="D111" s="42">
        <f>[4]EBTL!$C111</f>
        <v>2222585.4130470087</v>
      </c>
      <c r="E111" s="42">
        <f>C111-D111</f>
        <v>52696.886806506198</v>
      </c>
      <c r="F111" s="1302">
        <f t="shared" si="12"/>
        <v>2.3709724043523919E-2</v>
      </c>
      <c r="G111" s="701"/>
    </row>
    <row r="112" spans="1:11" s="52" customFormat="1" ht="12.75">
      <c r="A112" s="27" t="s">
        <v>120</v>
      </c>
      <c r="B112" s="43">
        <f>'[30]CBK-Format PUBLISHED'!$C$110</f>
        <v>0</v>
      </c>
      <c r="C112" s="43">
        <f>'[6]30_March_2023'!$I$11</f>
        <v>2275282.2998535149</v>
      </c>
      <c r="D112" s="43">
        <v>0</v>
      </c>
      <c r="E112" s="43"/>
      <c r="F112" s="1303">
        <f t="shared" si="12"/>
        <v>0</v>
      </c>
      <c r="G112" s="194"/>
    </row>
    <row r="113" spans="1:11" s="52" customFormat="1" ht="13.5" thickBot="1">
      <c r="A113" s="173" t="s">
        <v>121</v>
      </c>
      <c r="B113" s="65">
        <f>B111-B112</f>
        <v>46778389.744869791</v>
      </c>
      <c r="C113" s="65">
        <f>C111-C112</f>
        <v>0</v>
      </c>
      <c r="D113" s="65">
        <f>D111</f>
        <v>2222585.4130470087</v>
      </c>
      <c r="E113" s="65">
        <f>E111-E112</f>
        <v>52696.886806506198</v>
      </c>
      <c r="F113" s="1326">
        <f>E113/D113</f>
        <v>2.3709724043523919E-2</v>
      </c>
      <c r="G113" s="194"/>
      <c r="I113" s="178"/>
      <c r="J113" s="178"/>
      <c r="K113" s="178"/>
    </row>
    <row r="114" spans="1:11" s="52" customFormat="1" ht="12.75">
      <c r="A114" s="27"/>
      <c r="B114" s="43"/>
      <c r="C114" s="43"/>
      <c r="D114" s="43"/>
      <c r="E114" s="43"/>
      <c r="F114" s="1303"/>
      <c r="G114" s="194"/>
    </row>
    <row r="115" spans="1:11" s="52" customFormat="1" ht="12.75">
      <c r="A115" s="31" t="s">
        <v>122</v>
      </c>
      <c r="B115" s="43"/>
      <c r="C115" s="43"/>
      <c r="D115" s="43"/>
      <c r="E115" s="43"/>
      <c r="F115" s="1303"/>
      <c r="G115" s="194"/>
    </row>
    <row r="116" spans="1:11" s="52" customFormat="1" ht="12.75">
      <c r="A116" s="27" t="s">
        <v>123</v>
      </c>
      <c r="B116" s="43">
        <f>'[30]CBK-Format PUBLISHED'!$C$114</f>
        <v>0</v>
      </c>
      <c r="C116" s="43">
        <f>B116/$C$6</f>
        <v>0</v>
      </c>
      <c r="D116" s="43">
        <f>[4]EBTL!$C116</f>
        <v>0</v>
      </c>
      <c r="E116" s="43"/>
      <c r="F116" s="1303">
        <f>IFERROR(E116/D116,0)</f>
        <v>0</v>
      </c>
      <c r="G116" s="194"/>
    </row>
    <row r="117" spans="1:11" s="52" customFormat="1" ht="12.75">
      <c r="A117" s="27" t="s">
        <v>124</v>
      </c>
      <c r="B117" s="43">
        <f>'[30]CBK-Format PUBLISHED'!$C$115</f>
        <v>9143959.2841599993</v>
      </c>
      <c r="C117" s="43">
        <f>B117/$C$6</f>
        <v>529069.05668683245</v>
      </c>
      <c r="D117" s="43">
        <f>[4]EBTL!$C117</f>
        <v>484341.65532751754</v>
      </c>
      <c r="E117" s="43">
        <f>C117-D117</f>
        <v>44727.401359314914</v>
      </c>
      <c r="F117" s="1303">
        <f>IFERROR(E117/D117,0)</f>
        <v>9.234679872634477E-2</v>
      </c>
      <c r="G117" s="243" t="e">
        <f>C118+EBTL!C117+EBRL!C117+EBSSL!C117+#REF!+EBKL!B115</f>
        <v>#REF!</v>
      </c>
    </row>
    <row r="118" spans="1:11" s="52" customFormat="1" ht="13.5" thickBot="1">
      <c r="A118" s="173" t="s">
        <v>125</v>
      </c>
      <c r="B118" s="65">
        <f>SUM(B116:B117)</f>
        <v>9143959.2841599993</v>
      </c>
      <c r="C118" s="65">
        <f>SUM(C116:C117)</f>
        <v>529069.05668683245</v>
      </c>
      <c r="D118" s="65">
        <f>[4]EBTL!$C118</f>
        <v>484341.65532751754</v>
      </c>
      <c r="E118" s="65">
        <f>C118-D118</f>
        <v>44727.401359314914</v>
      </c>
      <c r="F118" s="1326">
        <f>E118/D118</f>
        <v>9.234679872634477E-2</v>
      </c>
      <c r="G118" s="194"/>
    </row>
    <row r="119" spans="1:11" s="52" customFormat="1" ht="12.75">
      <c r="A119" s="27"/>
      <c r="B119" s="43"/>
      <c r="C119" s="43"/>
      <c r="D119" s="43">
        <f>[4]EBTL!$C119</f>
        <v>0</v>
      </c>
      <c r="E119" s="43"/>
      <c r="F119" s="1303"/>
      <c r="G119" s="194"/>
    </row>
    <row r="120" spans="1:11" s="52" customFormat="1" ht="12.75">
      <c r="A120" s="31" t="s">
        <v>126</v>
      </c>
      <c r="B120" s="43"/>
      <c r="C120" s="43"/>
      <c r="D120" s="43">
        <f>[4]EBTL!$C120</f>
        <v>0</v>
      </c>
      <c r="E120" s="43"/>
      <c r="F120" s="1303"/>
      <c r="G120" s="194"/>
    </row>
    <row r="121" spans="1:11" s="52" customFormat="1" ht="12.75">
      <c r="A121" s="27" t="s">
        <v>127</v>
      </c>
      <c r="B121" s="43">
        <f>'[30]CBK-Format PUBLISHED'!$C$119</f>
        <v>321057187.48767006</v>
      </c>
      <c r="C121" s="43">
        <f>B121/$C$6</f>
        <v>18576353.85810155</v>
      </c>
      <c r="D121" s="43">
        <f>[4]EBTL!$C121+[4]EBTL!$C122</f>
        <v>11513306.20845115</v>
      </c>
      <c r="E121" s="43">
        <f>C121-D121</f>
        <v>7063047.6496504005</v>
      </c>
      <c r="F121" s="1303">
        <f>IFERROR(E121/D121,0)</f>
        <v>0.61346823594997313</v>
      </c>
      <c r="G121" s="194"/>
    </row>
    <row r="122" spans="1:11" s="52" customFormat="1" ht="12.75">
      <c r="A122" s="27" t="s">
        <v>128</v>
      </c>
      <c r="B122" s="43">
        <f>'[30]CBK-Format PUBLISHED'!$C$120</f>
        <v>102582434.79549992</v>
      </c>
      <c r="C122" s="43">
        <f>B122/$C$6</f>
        <v>5935414.8813753594</v>
      </c>
      <c r="D122" s="43">
        <v>0</v>
      </c>
      <c r="E122" s="43"/>
      <c r="F122" s="1303">
        <f>IFERROR(E122/D122,0)</f>
        <v>0</v>
      </c>
      <c r="G122" s="194"/>
    </row>
    <row r="123" spans="1:11" s="52" customFormat="1" ht="13.5" thickBot="1">
      <c r="A123" s="173" t="s">
        <v>129</v>
      </c>
      <c r="B123" s="632">
        <f>SUM(B121:B122)</f>
        <v>423639622.28316998</v>
      </c>
      <c r="C123" s="632">
        <f>SUM(C121:C122)</f>
        <v>24511768.739476912</v>
      </c>
      <c r="D123" s="632">
        <f>[4]EBTL!$C123</f>
        <v>11513306.20845115</v>
      </c>
      <c r="E123" s="44">
        <f>C123-D123</f>
        <v>12998462.531025762</v>
      </c>
      <c r="F123" s="1304">
        <f>E123/D123</f>
        <v>1.128994773150779</v>
      </c>
      <c r="G123" s="194"/>
    </row>
    <row r="124" spans="1:11" s="52" customFormat="1" ht="12.75">
      <c r="A124" s="27"/>
      <c r="B124" s="81"/>
      <c r="C124" s="81"/>
      <c r="D124" s="81"/>
      <c r="E124" s="81"/>
      <c r="F124" s="1294"/>
      <c r="G124" s="194"/>
    </row>
    <row r="125" spans="1:11" s="52" customFormat="1" ht="12.75">
      <c r="A125" s="31" t="s">
        <v>130</v>
      </c>
      <c r="B125" s="43"/>
      <c r="C125" s="43"/>
      <c r="D125" s="43"/>
      <c r="E125" s="43"/>
      <c r="F125" s="1303"/>
      <c r="G125" s="194"/>
    </row>
    <row r="126" spans="1:11" s="178" customFormat="1" ht="12.75">
      <c r="A126" s="31" t="s">
        <v>131</v>
      </c>
      <c r="B126" s="42">
        <f>'[30]CBK-Format PUBLISHED'!$C$124</f>
        <v>90525666.939734995</v>
      </c>
      <c r="C126" s="42">
        <f t="shared" ref="C126:C131" si="13">B126/$C$6</f>
        <v>5237810.8569139075</v>
      </c>
      <c r="D126" s="42">
        <f>[4]EBTL!$C126</f>
        <v>2863115.5766044366</v>
      </c>
      <c r="E126" s="42">
        <f>C126-D126</f>
        <v>2374695.2803094708</v>
      </c>
      <c r="F126" s="1302">
        <f t="shared" ref="F126:F131" si="14">IFERROR(E126/D126,0)</f>
        <v>0.82940950750084053</v>
      </c>
      <c r="G126" s="701"/>
      <c r="I126" s="52"/>
      <c r="J126" s="52"/>
      <c r="K126" s="52"/>
    </row>
    <row r="127" spans="1:11" s="52" customFormat="1" ht="12.75">
      <c r="A127" s="27" t="s">
        <v>132</v>
      </c>
      <c r="B127" s="43">
        <f>'[30]CBK-Format PUBLISHED'!$C$125</f>
        <v>15000000</v>
      </c>
      <c r="C127" s="43">
        <f t="shared" si="13"/>
        <v>867899.29872610129</v>
      </c>
      <c r="D127" s="43">
        <f>[4]EBTL!$C127</f>
        <v>747756.72981056839</v>
      </c>
      <c r="E127" s="43">
        <f>C127-D127</f>
        <v>120142.5689155329</v>
      </c>
      <c r="F127" s="1303">
        <f t="shared" si="14"/>
        <v>0.16067066216303932</v>
      </c>
      <c r="G127" s="194"/>
    </row>
    <row r="128" spans="1:11" s="52" customFormat="1" ht="12.75">
      <c r="A128" s="47" t="s">
        <v>133</v>
      </c>
      <c r="B128" s="48">
        <f>B126-B127</f>
        <v>75525666.939734995</v>
      </c>
      <c r="C128" s="48">
        <f>C126-C127</f>
        <v>4369911.558187806</v>
      </c>
      <c r="D128" s="48">
        <f>[4]EBTL!$C128</f>
        <v>2115358.8467938681</v>
      </c>
      <c r="E128" s="48">
        <f>C128-D127</f>
        <v>3622154.8283772375</v>
      </c>
      <c r="F128" s="1297">
        <f>E128/D128</f>
        <v>1.7123122319729045</v>
      </c>
      <c r="G128" s="194"/>
      <c r="I128" s="178"/>
      <c r="J128" s="178"/>
      <c r="K128" s="178"/>
    </row>
    <row r="129" spans="1:11" s="52" customFormat="1" ht="12.75">
      <c r="A129" s="27" t="s">
        <v>134</v>
      </c>
      <c r="B129" s="43">
        <v>0</v>
      </c>
      <c r="C129" s="43">
        <f t="shared" si="13"/>
        <v>0</v>
      </c>
      <c r="D129" s="43">
        <f>[4]EBTL!$C129</f>
        <v>447117.59968843474</v>
      </c>
      <c r="E129" s="43">
        <f>C129-D129</f>
        <v>-447117.59968843474</v>
      </c>
      <c r="F129" s="1303">
        <f t="shared" si="14"/>
        <v>-1</v>
      </c>
      <c r="G129" s="194"/>
      <c r="I129" s="55"/>
    </row>
    <row r="130" spans="1:11" s="178" customFormat="1" ht="12.75">
      <c r="A130" s="31" t="s">
        <v>135</v>
      </c>
      <c r="B130" s="42">
        <f>B126+B129</f>
        <v>90525666.939734995</v>
      </c>
      <c r="C130" s="42">
        <f t="shared" si="13"/>
        <v>5237810.8569139075</v>
      </c>
      <c r="D130" s="42">
        <f>[4]EBTL!$C130</f>
        <v>3310233.1762928716</v>
      </c>
      <c r="E130" s="42">
        <f>C130-D130</f>
        <v>1927577.6806210359</v>
      </c>
      <c r="F130" s="1302">
        <f t="shared" si="14"/>
        <v>0.58230873112682924</v>
      </c>
      <c r="G130" s="701"/>
      <c r="I130" s="52"/>
      <c r="J130" s="52"/>
      <c r="K130" s="52"/>
    </row>
    <row r="131" spans="1:11" s="52" customFormat="1" ht="12.75">
      <c r="A131" s="31" t="s">
        <v>136</v>
      </c>
      <c r="B131" s="43">
        <f>'[30]CBK-Format PUBLISHED'!$C$129</f>
        <v>511654018.14715338</v>
      </c>
      <c r="C131" s="43">
        <f t="shared" si="13"/>
        <v>29604277.569353756</v>
      </c>
      <c r="D131" s="43">
        <f>[4]EBTL!$C131</f>
        <v>23176385.773675486</v>
      </c>
      <c r="E131" s="43">
        <f>C131-D131</f>
        <v>6427891.7956782691</v>
      </c>
      <c r="F131" s="1303">
        <f t="shared" si="14"/>
        <v>0.27734660004577949</v>
      </c>
      <c r="G131" s="194"/>
      <c r="J131" s="71"/>
    </row>
    <row r="132" spans="1:11" s="52" customFormat="1" ht="12.75">
      <c r="A132" s="31" t="s">
        <v>137</v>
      </c>
      <c r="B132" s="43"/>
      <c r="C132" s="43"/>
      <c r="D132" s="43"/>
      <c r="E132" s="43"/>
      <c r="F132" s="1303"/>
      <c r="G132" s="194"/>
      <c r="I132" s="178"/>
      <c r="J132" s="178"/>
      <c r="K132" s="178"/>
    </row>
    <row r="133" spans="1:11" s="178" customFormat="1" ht="12.75">
      <c r="A133" s="31" t="s">
        <v>138</v>
      </c>
      <c r="B133" s="703">
        <f>B126/(B32)</f>
        <v>0.14974865106967591</v>
      </c>
      <c r="C133" s="703">
        <f>B133</f>
        <v>0.14974865106967591</v>
      </c>
      <c r="D133" s="703">
        <f>[4]EBTL!$C133</f>
        <v>0.10607904036820047</v>
      </c>
      <c r="E133" s="703">
        <f>B133-D133</f>
        <v>4.3669610701475445E-2</v>
      </c>
      <c r="F133" s="1302">
        <f>E133/D133</f>
        <v>0.41167049164376091</v>
      </c>
      <c r="G133" s="701"/>
      <c r="I133" s="52"/>
      <c r="J133" s="52"/>
      <c r="K133" s="52"/>
    </row>
    <row r="134" spans="1:11" s="52" customFormat="1" ht="12.75">
      <c r="A134" s="27" t="s">
        <v>139</v>
      </c>
      <c r="B134" s="633">
        <v>0.08</v>
      </c>
      <c r="C134" s="633">
        <v>0.08</v>
      </c>
      <c r="D134" s="633">
        <v>0.08</v>
      </c>
      <c r="E134" s="633"/>
      <c r="F134" s="1303"/>
      <c r="G134" s="194"/>
    </row>
    <row r="135" spans="1:11" s="52" customFormat="1" ht="12.75">
      <c r="A135" s="47" t="s">
        <v>140</v>
      </c>
      <c r="B135" s="634">
        <f>B133-B134</f>
        <v>6.9748651069675913E-2</v>
      </c>
      <c r="C135" s="634">
        <f>C133-C134</f>
        <v>6.9748651069675913E-2</v>
      </c>
      <c r="D135" s="634">
        <f>D133-D134</f>
        <v>2.6079040368200468E-2</v>
      </c>
      <c r="E135" s="634">
        <f>E133-E134</f>
        <v>4.3669610701475445E-2</v>
      </c>
      <c r="F135" s="1348">
        <f>E135/D135</f>
        <v>1.6745098778528704</v>
      </c>
      <c r="G135" s="194"/>
      <c r="I135" s="178"/>
      <c r="J135" s="178"/>
      <c r="K135" s="178"/>
    </row>
    <row r="136" spans="1:11" s="178" customFormat="1" ht="12.75">
      <c r="A136" s="31" t="s">
        <v>141</v>
      </c>
      <c r="B136" s="703">
        <f>B126/B131</f>
        <v>0.17692750125867188</v>
      </c>
      <c r="C136" s="703">
        <f>B136</f>
        <v>0.17692750125867188</v>
      </c>
      <c r="D136" s="703">
        <f>[4]EBTL!$C136</f>
        <v>0.12353589574162419</v>
      </c>
      <c r="E136" s="703">
        <f>B136-D136</f>
        <v>5.3391605517047691E-2</v>
      </c>
      <c r="F136" s="1302">
        <f>E136/D136</f>
        <v>0.43219507331469426</v>
      </c>
      <c r="G136" s="701"/>
      <c r="I136" s="52"/>
      <c r="J136" s="52"/>
      <c r="K136" s="52"/>
    </row>
    <row r="137" spans="1:11" s="52" customFormat="1" ht="12.75">
      <c r="A137" s="27" t="s">
        <v>142</v>
      </c>
      <c r="B137" s="633">
        <v>0.125</v>
      </c>
      <c r="C137" s="633">
        <f>B137</f>
        <v>0.125</v>
      </c>
      <c r="D137" s="633">
        <f>[4]EBTL!$C137</f>
        <v>0.125</v>
      </c>
      <c r="E137" s="633"/>
      <c r="F137" s="1303"/>
      <c r="G137" s="194"/>
    </row>
    <row r="138" spans="1:11" s="52" customFormat="1" ht="12.75">
      <c r="A138" s="47" t="s">
        <v>143</v>
      </c>
      <c r="B138" s="634">
        <f>B136-B137</f>
        <v>5.1927501258671876E-2</v>
      </c>
      <c r="C138" s="634">
        <f>C136-C137</f>
        <v>5.1927501258671876E-2</v>
      </c>
      <c r="D138" s="634">
        <f>D136-D137</f>
        <v>-1.4641042583758146E-3</v>
      </c>
      <c r="E138" s="634">
        <f>E136-E137</f>
        <v>5.3391605517047691E-2</v>
      </c>
      <c r="F138" s="1348">
        <f>E138/D138</f>
        <v>-36.46707890616819</v>
      </c>
      <c r="G138" s="194"/>
      <c r="I138" s="178"/>
      <c r="J138" s="178"/>
      <c r="K138" s="178"/>
    </row>
    <row r="139" spans="1:11" s="178" customFormat="1" ht="12.75">
      <c r="A139" s="31" t="s">
        <v>144</v>
      </c>
      <c r="B139" s="703">
        <f>B130/B131</f>
        <v>0.17692750125867188</v>
      </c>
      <c r="C139" s="703">
        <f>B139</f>
        <v>0.17692750125867188</v>
      </c>
      <c r="D139" s="703">
        <f>[4]EBTL!$C139</f>
        <v>0.14282784246941321</v>
      </c>
      <c r="E139" s="703">
        <f>B139-D139</f>
        <v>3.4099658789258663E-2</v>
      </c>
      <c r="F139" s="1302">
        <f>E139/D139</f>
        <v>0.23874657909616714</v>
      </c>
      <c r="G139" s="701"/>
      <c r="I139" s="52"/>
      <c r="J139" s="52"/>
      <c r="K139" s="52"/>
    </row>
    <row r="140" spans="1:11" s="52" customFormat="1" ht="12.75">
      <c r="A140" s="27" t="s">
        <v>145</v>
      </c>
      <c r="B140" s="633">
        <v>0.14499999999999999</v>
      </c>
      <c r="C140" s="633">
        <f>B140</f>
        <v>0.14499999999999999</v>
      </c>
      <c r="D140" s="633">
        <f>[4]EBTL!$C140</f>
        <v>0.14499999999999999</v>
      </c>
      <c r="E140" s="633"/>
      <c r="F140" s="1303"/>
      <c r="G140" s="194"/>
    </row>
    <row r="141" spans="1:11" s="52" customFormat="1" ht="12.75">
      <c r="A141" s="47" t="s">
        <v>146</v>
      </c>
      <c r="B141" s="634">
        <f>B139-B140</f>
        <v>3.1927501258671886E-2</v>
      </c>
      <c r="C141" s="634">
        <f>C139-C140</f>
        <v>3.1927501258671886E-2</v>
      </c>
      <c r="D141" s="634">
        <f>D139-D140</f>
        <v>-2.1721575305867769E-3</v>
      </c>
      <c r="E141" s="634">
        <f>E139-E140</f>
        <v>3.4099658789258663E-2</v>
      </c>
      <c r="F141" s="1348">
        <f>E141/D141</f>
        <v>-15.698520162139038</v>
      </c>
      <c r="G141" s="194"/>
      <c r="I141" s="178"/>
      <c r="J141" s="178"/>
      <c r="K141" s="178"/>
    </row>
    <row r="142" spans="1:11" s="52" customFormat="1" ht="12.75">
      <c r="A142" s="27"/>
      <c r="B142" s="635"/>
      <c r="C142" s="635"/>
      <c r="D142" s="635"/>
      <c r="E142" s="635"/>
      <c r="F142" s="1303"/>
      <c r="G142" s="194"/>
    </row>
    <row r="143" spans="1:11" s="52" customFormat="1" ht="12.75">
      <c r="A143" s="31" t="s">
        <v>147</v>
      </c>
      <c r="B143" s="635"/>
      <c r="C143" s="635"/>
      <c r="D143" s="635"/>
      <c r="E143" s="635"/>
      <c r="F143" s="1303"/>
      <c r="G143" s="194"/>
    </row>
    <row r="144" spans="1:11" s="178" customFormat="1" ht="12.75">
      <c r="A144" s="31" t="s">
        <v>148</v>
      </c>
      <c r="B144" s="703">
        <f>'[30]CBK-Format PUBLISHED'!$C$142</f>
        <v>0.30717771914215836</v>
      </c>
      <c r="C144" s="703">
        <f>B144</f>
        <v>0.30717771914215836</v>
      </c>
      <c r="D144" s="703">
        <f>[4]EBTL!$C144</f>
        <v>0.29520000000000002</v>
      </c>
      <c r="E144" s="703">
        <f>B144-D144</f>
        <v>1.1977719142158338E-2</v>
      </c>
      <c r="F144" s="1302">
        <f>E144/D144</f>
        <v>4.0574929343354806E-2</v>
      </c>
      <c r="G144" s="701"/>
      <c r="I144" s="52"/>
      <c r="J144" s="52"/>
      <c r="K144" s="52"/>
    </row>
    <row r="145" spans="1:11" s="52" customFormat="1" ht="12.75">
      <c r="A145" s="27" t="s">
        <v>149</v>
      </c>
      <c r="B145" s="633">
        <v>0.2</v>
      </c>
      <c r="C145" s="633">
        <v>0.2</v>
      </c>
      <c r="D145" s="633">
        <f>[4]EBTL!$C145</f>
        <v>0.2</v>
      </c>
      <c r="E145" s="633"/>
      <c r="F145" s="1303"/>
      <c r="G145" s="194"/>
    </row>
    <row r="146" spans="1:11" s="52" customFormat="1" ht="13.5" thickBot="1">
      <c r="A146" s="96" t="s">
        <v>154</v>
      </c>
      <c r="B146" s="636">
        <f>B144-B145</f>
        <v>0.10717771914215835</v>
      </c>
      <c r="C146" s="636">
        <f>C144-C145</f>
        <v>0.10717771914215835</v>
      </c>
      <c r="D146" s="636">
        <f>[4]EBTL!$C146</f>
        <v>9.5200000000000007E-2</v>
      </c>
      <c r="E146" s="636">
        <f>B146-D146</f>
        <v>1.1977719142158338E-2</v>
      </c>
      <c r="F146" s="1349">
        <f>E146/D146</f>
        <v>0.12581637754368002</v>
      </c>
      <c r="G146" s="194"/>
      <c r="I146" s="178"/>
      <c r="J146" s="178"/>
      <c r="K146" s="178"/>
    </row>
    <row r="147" spans="1:11" s="52" customFormat="1" ht="12.75">
      <c r="B147" s="102"/>
      <c r="C147" s="102"/>
      <c r="D147" s="102"/>
      <c r="E147" s="102"/>
      <c r="F147" s="102"/>
      <c r="G147" s="194"/>
    </row>
    <row r="148" spans="1:11" s="52" customFormat="1" ht="12.75">
      <c r="B148" s="102"/>
      <c r="C148" s="102"/>
      <c r="D148" s="102"/>
      <c r="E148" s="102"/>
      <c r="F148" s="102"/>
      <c r="G148" s="194"/>
    </row>
    <row r="149" spans="1:11" s="52" customFormat="1" ht="12.75">
      <c r="B149" s="102"/>
      <c r="C149" s="102"/>
      <c r="D149" s="102"/>
      <c r="E149" s="102"/>
      <c r="F149" s="102"/>
      <c r="G149" s="194"/>
    </row>
    <row r="150" spans="1:11" s="52" customFormat="1" ht="12.75">
      <c r="B150" s="102"/>
      <c r="C150" s="102"/>
      <c r="D150" s="102"/>
      <c r="E150" s="102"/>
      <c r="F150" s="102"/>
      <c r="G150" s="194"/>
    </row>
    <row r="151" spans="1:11" s="52" customFormat="1" ht="12.75">
      <c r="B151" s="102"/>
      <c r="C151" s="102"/>
      <c r="D151" s="102"/>
      <c r="E151" s="102"/>
      <c r="F151" s="102"/>
      <c r="G151" s="194"/>
    </row>
    <row r="152" spans="1:11" s="52" customFormat="1" ht="12.75">
      <c r="B152" s="102"/>
      <c r="C152" s="102"/>
      <c r="D152" s="102"/>
      <c r="E152" s="102"/>
      <c r="F152" s="102"/>
      <c r="G152" s="194"/>
    </row>
    <row r="153" spans="1:11" s="52" customFormat="1" ht="12.75">
      <c r="B153" s="102"/>
      <c r="C153" s="102"/>
      <c r="D153" s="102"/>
      <c r="E153" s="102"/>
      <c r="F153" s="102"/>
      <c r="G153" s="194"/>
    </row>
    <row r="154" spans="1:11" s="52" customFormat="1" ht="12.75">
      <c r="B154" s="102"/>
      <c r="C154" s="102"/>
      <c r="D154" s="102"/>
      <c r="E154" s="102"/>
      <c r="F154" s="102"/>
      <c r="G154" s="194"/>
    </row>
    <row r="155" spans="1:11" s="52" customFormat="1" ht="12.75">
      <c r="B155" s="102"/>
      <c r="C155" s="102"/>
      <c r="D155" s="102"/>
      <c r="E155" s="102"/>
      <c r="F155" s="102"/>
      <c r="G155" s="194"/>
    </row>
    <row r="156" spans="1:11" s="52" customFormat="1" ht="12.75">
      <c r="B156" s="102"/>
      <c r="C156" s="102"/>
      <c r="D156" s="102"/>
      <c r="E156" s="102"/>
      <c r="F156" s="102"/>
      <c r="G156" s="194"/>
    </row>
    <row r="157" spans="1:11" s="52" customFormat="1" ht="12.75">
      <c r="B157" s="102"/>
      <c r="C157" s="102"/>
      <c r="D157" s="102"/>
      <c r="E157" s="102"/>
      <c r="F157" s="102"/>
      <c r="G157" s="194"/>
    </row>
    <row r="158" spans="1:11" s="52" customFormat="1" ht="12.75">
      <c r="B158" s="102"/>
      <c r="C158" s="102"/>
      <c r="D158" s="102"/>
      <c r="E158" s="102"/>
      <c r="F158" s="102"/>
      <c r="G158" s="194"/>
    </row>
    <row r="159" spans="1:11" s="52" customFormat="1" ht="12.75">
      <c r="B159" s="102"/>
      <c r="C159" s="102"/>
      <c r="D159" s="102"/>
      <c r="E159" s="102"/>
      <c r="F159" s="102"/>
      <c r="G159" s="194"/>
    </row>
    <row r="160" spans="1:11" s="52" customFormat="1" ht="12.75">
      <c r="B160" s="102"/>
      <c r="C160" s="102"/>
      <c r="D160" s="102"/>
      <c r="E160" s="102"/>
      <c r="F160" s="102"/>
      <c r="G160" s="194"/>
    </row>
    <row r="161" spans="1:11" s="52" customFormat="1" ht="12.75">
      <c r="B161" s="102"/>
      <c r="C161" s="102"/>
      <c r="D161" s="102"/>
      <c r="E161" s="102"/>
      <c r="F161" s="102"/>
      <c r="G161" s="194"/>
    </row>
    <row r="162" spans="1:11" s="52" customFormat="1" ht="12.75">
      <c r="B162" s="102"/>
      <c r="C162" s="102"/>
      <c r="D162" s="102"/>
      <c r="E162" s="102"/>
      <c r="F162" s="102"/>
      <c r="G162" s="194"/>
    </row>
    <row r="163" spans="1:11" s="52" customFormat="1" ht="12.75">
      <c r="B163" s="102"/>
      <c r="C163" s="102"/>
      <c r="D163" s="102"/>
      <c r="E163" s="102"/>
      <c r="F163" s="102"/>
      <c r="G163" s="194"/>
    </row>
    <row r="164" spans="1:11" s="52" customFormat="1" ht="12.75">
      <c r="B164" s="102"/>
      <c r="C164" s="102"/>
      <c r="D164" s="102"/>
      <c r="E164" s="102"/>
      <c r="F164" s="102"/>
      <c r="G164" s="194"/>
    </row>
    <row r="165" spans="1:11" s="52" customFormat="1" ht="12.75">
      <c r="B165" s="102"/>
      <c r="C165" s="102"/>
      <c r="D165" s="102"/>
      <c r="E165" s="102"/>
      <c r="F165" s="102"/>
      <c r="G165" s="194"/>
    </row>
    <row r="166" spans="1:11" s="52" customFormat="1" ht="12.75">
      <c r="B166" s="102"/>
      <c r="C166" s="102"/>
      <c r="D166" s="102"/>
      <c r="E166" s="102"/>
      <c r="F166" s="102"/>
      <c r="G166" s="194"/>
    </row>
    <row r="167" spans="1:11" s="52" customFormat="1" ht="12.75">
      <c r="B167" s="102"/>
      <c r="C167" s="102"/>
      <c r="D167" s="102"/>
      <c r="E167" s="102"/>
      <c r="F167" s="102"/>
      <c r="G167" s="194"/>
    </row>
    <row r="168" spans="1:11" s="52" customFormat="1" ht="12.75">
      <c r="B168" s="102"/>
      <c r="C168" s="102"/>
      <c r="D168" s="102"/>
      <c r="E168" s="102"/>
      <c r="F168" s="102"/>
      <c r="G168" s="194"/>
    </row>
    <row r="169" spans="1:11" s="52" customFormat="1" ht="12.75">
      <c r="B169" s="102"/>
      <c r="C169" s="102"/>
      <c r="D169" s="102"/>
      <c r="E169" s="102"/>
      <c r="F169" s="102"/>
      <c r="G169" s="194"/>
    </row>
    <row r="170" spans="1:11" s="52" customFormat="1" ht="12.75">
      <c r="B170" s="102"/>
      <c r="C170" s="102"/>
      <c r="D170" s="102"/>
      <c r="E170" s="102"/>
      <c r="F170" s="102"/>
      <c r="G170" s="194"/>
    </row>
    <row r="171" spans="1:11" s="52" customFormat="1" ht="12.75">
      <c r="B171" s="102"/>
      <c r="C171" s="102"/>
      <c r="D171" s="102"/>
      <c r="E171" s="102"/>
      <c r="F171" s="102"/>
      <c r="G171" s="194"/>
    </row>
    <row r="172" spans="1:11" ht="12.75">
      <c r="A172" s="88"/>
      <c r="B172" s="97"/>
      <c r="C172" s="97"/>
      <c r="D172" s="97"/>
      <c r="E172" s="97"/>
      <c r="F172" s="97"/>
      <c r="I172" s="52"/>
      <c r="J172" s="52"/>
      <c r="K172" s="52"/>
    </row>
    <row r="173" spans="1:11" ht="12.75">
      <c r="A173" s="88"/>
      <c r="B173" s="97"/>
      <c r="C173" s="97"/>
      <c r="D173" s="97"/>
      <c r="E173" s="97"/>
      <c r="F173" s="97"/>
      <c r="I173" s="52"/>
      <c r="J173" s="52"/>
      <c r="K173" s="52"/>
    </row>
    <row r="174" spans="1:11">
      <c r="A174" s="88"/>
      <c r="B174" s="97"/>
      <c r="C174" s="97"/>
      <c r="D174" s="97"/>
      <c r="E174" s="97"/>
      <c r="F174" s="97"/>
    </row>
    <row r="175" spans="1:11">
      <c r="A175" s="88"/>
      <c r="B175" s="97"/>
      <c r="C175" s="97"/>
      <c r="D175" s="97"/>
      <c r="E175" s="97"/>
      <c r="F175" s="97"/>
    </row>
    <row r="176" spans="1:11">
      <c r="A176" s="88"/>
      <c r="B176" s="97"/>
      <c r="C176" s="97"/>
      <c r="D176" s="97"/>
      <c r="E176" s="97"/>
      <c r="F176" s="97"/>
    </row>
    <row r="177" spans="1:6">
      <c r="A177" s="88"/>
      <c r="B177" s="97"/>
      <c r="C177" s="97"/>
      <c r="D177" s="97"/>
      <c r="E177" s="97"/>
      <c r="F177" s="97"/>
    </row>
    <row r="178" spans="1:6">
      <c r="A178" s="88"/>
      <c r="B178" s="97"/>
      <c r="C178" s="97"/>
      <c r="D178" s="97"/>
      <c r="E178" s="97"/>
      <c r="F178" s="97"/>
    </row>
    <row r="179" spans="1:6">
      <c r="A179" s="88"/>
      <c r="B179" s="97"/>
      <c r="C179" s="97"/>
      <c r="D179" s="97"/>
      <c r="E179" s="97"/>
      <c r="F179" s="97"/>
    </row>
    <row r="180" spans="1:6">
      <c r="A180" s="88"/>
      <c r="B180" s="97"/>
      <c r="C180" s="97"/>
      <c r="D180" s="97"/>
      <c r="E180" s="97"/>
      <c r="F180" s="97"/>
    </row>
    <row r="181" spans="1:6">
      <c r="A181" s="88"/>
      <c r="B181" s="97"/>
      <c r="C181" s="97"/>
      <c r="D181" s="97"/>
      <c r="E181" s="97"/>
      <c r="F181" s="97"/>
    </row>
    <row r="182" spans="1:6">
      <c r="A182" s="88"/>
      <c r="B182" s="97"/>
      <c r="C182" s="97"/>
      <c r="D182" s="97"/>
      <c r="E182" s="97"/>
      <c r="F182" s="97"/>
    </row>
    <row r="183" spans="1:6">
      <c r="A183" s="88"/>
      <c r="B183" s="97"/>
      <c r="C183" s="97"/>
      <c r="D183" s="97"/>
      <c r="E183" s="97"/>
      <c r="F183" s="97"/>
    </row>
    <row r="184" spans="1:6">
      <c r="A184" s="88"/>
      <c r="B184" s="97"/>
      <c r="C184" s="97"/>
      <c r="D184" s="97"/>
      <c r="E184" s="97"/>
      <c r="F184" s="97"/>
    </row>
    <row r="185" spans="1:6">
      <c r="A185" s="88"/>
      <c r="B185" s="97"/>
      <c r="C185" s="97"/>
      <c r="D185" s="97"/>
      <c r="E185" s="97"/>
      <c r="F185" s="97"/>
    </row>
    <row r="186" spans="1:6">
      <c r="A186" s="88"/>
      <c r="B186" s="97"/>
      <c r="C186" s="97"/>
      <c r="D186" s="97"/>
      <c r="E186" s="97"/>
      <c r="F186" s="97"/>
    </row>
    <row r="187" spans="1:6">
      <c r="A187" s="88"/>
      <c r="B187" s="97"/>
      <c r="C187" s="97"/>
      <c r="D187" s="97"/>
      <c r="E187" s="97"/>
      <c r="F187" s="97"/>
    </row>
    <row r="188" spans="1:6">
      <c r="A188" s="88"/>
      <c r="B188" s="97"/>
      <c r="C188" s="97"/>
      <c r="D188" s="97"/>
      <c r="E188" s="97"/>
      <c r="F188" s="97"/>
    </row>
    <row r="189" spans="1:6">
      <c r="A189" s="88"/>
      <c r="B189" s="97"/>
      <c r="C189" s="97"/>
      <c r="D189" s="97"/>
      <c r="E189" s="97"/>
      <c r="F189" s="97"/>
    </row>
    <row r="190" spans="1:6">
      <c r="A190" s="88"/>
      <c r="B190" s="97"/>
      <c r="C190" s="97"/>
      <c r="D190" s="97"/>
      <c r="E190" s="97"/>
      <c r="F190" s="97"/>
    </row>
    <row r="191" spans="1:6">
      <c r="A191" s="88"/>
      <c r="B191" s="97"/>
      <c r="C191" s="97"/>
      <c r="D191" s="97"/>
      <c r="E191" s="97"/>
      <c r="F191" s="97"/>
    </row>
    <row r="192" spans="1:6">
      <c r="A192" s="88"/>
      <c r="B192" s="97"/>
      <c r="C192" s="97"/>
      <c r="D192" s="97"/>
      <c r="E192" s="97"/>
      <c r="F192" s="97"/>
    </row>
    <row r="193" spans="1:6">
      <c r="A193" s="88"/>
      <c r="B193" s="97"/>
      <c r="C193" s="97"/>
      <c r="D193" s="97"/>
      <c r="E193" s="97"/>
      <c r="F193" s="97"/>
    </row>
    <row r="194" spans="1:6">
      <c r="A194" s="88"/>
      <c r="B194" s="97"/>
      <c r="C194" s="97"/>
      <c r="D194" s="97"/>
      <c r="E194" s="97"/>
      <c r="F194" s="97"/>
    </row>
    <row r="195" spans="1:6">
      <c r="A195" s="88"/>
      <c r="B195" s="97"/>
      <c r="C195" s="97"/>
      <c r="D195" s="97"/>
      <c r="E195" s="97"/>
      <c r="F195" s="97"/>
    </row>
    <row r="196" spans="1:6">
      <c r="A196" s="88"/>
      <c r="B196" s="97"/>
      <c r="C196" s="97"/>
      <c r="D196" s="97"/>
      <c r="E196" s="97"/>
      <c r="F196" s="97"/>
    </row>
    <row r="197" spans="1:6">
      <c r="A197" s="88"/>
      <c r="B197" s="97"/>
      <c r="C197" s="97"/>
      <c r="D197" s="97"/>
      <c r="E197" s="97"/>
      <c r="F197" s="97"/>
    </row>
    <row r="198" spans="1:6">
      <c r="A198" s="88"/>
      <c r="B198" s="97"/>
      <c r="C198" s="97"/>
      <c r="D198" s="97"/>
      <c r="E198" s="97"/>
      <c r="F198" s="97"/>
    </row>
    <row r="199" spans="1:6">
      <c r="A199" s="88"/>
      <c r="B199" s="97"/>
      <c r="C199" s="97"/>
      <c r="D199" s="97"/>
      <c r="E199" s="97"/>
      <c r="F199" s="97"/>
    </row>
    <row r="200" spans="1:6">
      <c r="A200" s="88"/>
      <c r="B200" s="97"/>
      <c r="C200" s="97"/>
      <c r="D200" s="97"/>
      <c r="E200" s="97"/>
      <c r="F200" s="97"/>
    </row>
    <row r="201" spans="1:6">
      <c r="A201" s="88"/>
      <c r="B201" s="97"/>
      <c r="C201" s="97"/>
      <c r="D201" s="97"/>
      <c r="E201" s="97"/>
      <c r="F201" s="97"/>
    </row>
    <row r="202" spans="1:6">
      <c r="A202" s="88"/>
      <c r="B202" s="97"/>
      <c r="C202" s="97"/>
      <c r="D202" s="97"/>
      <c r="E202" s="97"/>
      <c r="F202" s="97"/>
    </row>
    <row r="203" spans="1:6">
      <c r="A203" s="88"/>
      <c r="B203" s="97"/>
      <c r="C203" s="97"/>
      <c r="D203" s="97"/>
      <c r="E203" s="97"/>
      <c r="F203" s="97"/>
    </row>
    <row r="204" spans="1:6">
      <c r="A204" s="88"/>
      <c r="B204" s="97"/>
      <c r="C204" s="97"/>
      <c r="D204" s="97"/>
      <c r="E204" s="97"/>
      <c r="F204" s="97"/>
    </row>
  </sheetData>
  <mergeCells count="8">
    <mergeCell ref="E102:E103"/>
    <mergeCell ref="F102:F103"/>
    <mergeCell ref="A106:B106"/>
    <mergeCell ref="A1:B1"/>
    <mergeCell ref="E2:E3"/>
    <mergeCell ref="F2:F3"/>
    <mergeCell ref="E58:E59"/>
    <mergeCell ref="F58:F59"/>
  </mergeCells>
  <pageMargins left="0.7" right="0.7" top="0.75" bottom="0.75" header="0.3" footer="0.3"/>
  <pageSetup paperSize="8" scale="55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  <pageSetUpPr fitToPage="1"/>
  </sheetPr>
  <dimension ref="A1:R205"/>
  <sheetViews>
    <sheetView workbookViewId="0">
      <selection activeCell="D105" sqref="D105"/>
    </sheetView>
  </sheetViews>
  <sheetFormatPr defaultColWidth="9.140625" defaultRowHeight="12.75"/>
  <cols>
    <col min="1" max="1" width="61.85546875" style="304" customWidth="1"/>
    <col min="2" max="2" width="13.85546875" style="51" customWidth="1"/>
    <col min="3" max="3" width="13.7109375" style="50" customWidth="1"/>
    <col min="4" max="4" width="13.7109375" style="51" customWidth="1"/>
    <col min="5" max="5" width="15.28515625" style="51" customWidth="1"/>
    <col min="6" max="6" width="13.140625" style="68" customWidth="1"/>
    <col min="7" max="7" width="9.140625" style="52" hidden="1" customWidth="1"/>
    <col min="8" max="8" width="13.28515625" style="52" hidden="1" customWidth="1"/>
    <col min="9" max="9" width="42.7109375" style="53" hidden="1" customWidth="1"/>
    <col min="10" max="10" width="6.42578125" style="52" customWidth="1"/>
    <col min="11" max="11" width="14.5703125" style="52" hidden="1" customWidth="1"/>
    <col min="12" max="12" width="13.28515625" style="52" hidden="1" customWidth="1"/>
    <col min="13" max="13" width="14.28515625" style="52" hidden="1" customWidth="1"/>
    <col min="14" max="14" width="10.5703125" style="52" hidden="1" customWidth="1"/>
    <col min="15" max="15" width="14.5703125" style="177" customWidth="1"/>
    <col min="16" max="16" width="13.85546875" style="52" customWidth="1"/>
    <col min="17" max="17" width="15" style="52" bestFit="1" customWidth="1"/>
    <col min="18" max="18" width="12.140625" style="52" bestFit="1" customWidth="1"/>
    <col min="19" max="16384" width="9.140625" style="52"/>
  </cols>
  <sheetData>
    <row r="1" spans="1:16" ht="13.5" thickBot="1">
      <c r="C1" s="862"/>
      <c r="D1" s="863"/>
      <c r="E1" s="863"/>
      <c r="F1" s="154"/>
    </row>
    <row r="2" spans="1:16" ht="20.25">
      <c r="A2" s="1609" t="s">
        <v>88</v>
      </c>
      <c r="B2" s="1610"/>
      <c r="C2" s="153"/>
      <c r="D2" s="864"/>
      <c r="E2" s="864"/>
      <c r="F2" s="865"/>
    </row>
    <row r="3" spans="1:16">
      <c r="A3" s="291" t="s">
        <v>862</v>
      </c>
      <c r="B3" s="1191">
        <f>GROUP!G3</f>
        <v>45046</v>
      </c>
      <c r="C3" s="1191">
        <f>B3</f>
        <v>45046</v>
      </c>
      <c r="D3" s="1191">
        <f>GROUP!H3</f>
        <v>44681</v>
      </c>
      <c r="E3" s="1537" t="s">
        <v>85</v>
      </c>
      <c r="F3" s="1537" t="s">
        <v>86</v>
      </c>
    </row>
    <row r="4" spans="1:16">
      <c r="A4" s="292" t="s">
        <v>0</v>
      </c>
      <c r="B4" s="21" t="s">
        <v>82</v>
      </c>
      <c r="C4" s="21" t="s">
        <v>82</v>
      </c>
      <c r="D4" s="21" t="s">
        <v>96</v>
      </c>
      <c r="E4" s="1538"/>
      <c r="F4" s="1538"/>
    </row>
    <row r="5" spans="1:16">
      <c r="A5" s="292"/>
      <c r="B5" s="21" t="s">
        <v>99</v>
      </c>
      <c r="C5" s="21" t="s">
        <v>97</v>
      </c>
      <c r="D5" s="21" t="s">
        <v>97</v>
      </c>
      <c r="E5" s="21"/>
      <c r="F5" s="58"/>
    </row>
    <row r="6" spans="1:16">
      <c r="A6" s="291" t="s">
        <v>1</v>
      </c>
      <c r="B6" s="21" t="s">
        <v>879</v>
      </c>
      <c r="C6" s="21" t="s">
        <v>879</v>
      </c>
      <c r="D6" s="21" t="s">
        <v>879</v>
      </c>
      <c r="E6" s="21"/>
      <c r="F6" s="58"/>
      <c r="I6" s="866" t="s">
        <v>157</v>
      </c>
    </row>
    <row r="7" spans="1:16">
      <c r="A7" s="293"/>
      <c r="B7" s="25"/>
      <c r="C7" s="100">
        <f>'Reval rates'!C16</f>
        <v>8.2023795838989972</v>
      </c>
      <c r="D7" s="410">
        <f>[4]EBRL!$C$7</f>
        <v>8.8058999999999994</v>
      </c>
      <c r="E7" s="25"/>
      <c r="F7" s="1204"/>
    </row>
    <row r="8" spans="1:16" ht="15">
      <c r="A8" s="293" t="s">
        <v>2</v>
      </c>
      <c r="B8" s="25">
        <f>'[31]CBK-Format PUBLISHED RWANDA'!$D$7</f>
        <v>24034523.722910002</v>
      </c>
      <c r="C8" s="24">
        <f>B8/$C$7</f>
        <v>2930189.1575572761</v>
      </c>
      <c r="D8" s="25">
        <f>[4]EBRL!$C8</f>
        <v>2412441.9133649031</v>
      </c>
      <c r="E8" s="25">
        <f>(C8-D8)</f>
        <v>517747.24419237301</v>
      </c>
      <c r="F8" s="1291">
        <f>IFERROR(E8/D8,0)</f>
        <v>0.21461542403324146</v>
      </c>
      <c r="I8" s="868"/>
      <c r="J8" s="188"/>
      <c r="K8" s="71"/>
      <c r="P8" s="179"/>
    </row>
    <row r="9" spans="1:16">
      <c r="A9" s="294" t="s">
        <v>3</v>
      </c>
      <c r="B9" s="25">
        <v>0</v>
      </c>
      <c r="C9" s="24">
        <f t="shared" ref="C9:C28" si="0">B9/$C$7</f>
        <v>0</v>
      </c>
      <c r="D9" s="25">
        <f>[4]EBRL!$C9</f>
        <v>0</v>
      </c>
      <c r="E9" s="24">
        <f t="shared" ref="E9:E72" si="1">(C9-D9)</f>
        <v>0</v>
      </c>
      <c r="F9" s="1291">
        <f t="shared" ref="F9:F28" si="2">IFERROR(E9/D9,0)</f>
        <v>0</v>
      </c>
      <c r="K9" s="55"/>
    </row>
    <row r="10" spans="1:16">
      <c r="A10" s="294" t="s">
        <v>4</v>
      </c>
      <c r="B10" s="25">
        <v>0</v>
      </c>
      <c r="C10" s="24">
        <v>0</v>
      </c>
      <c r="D10" s="25">
        <f>[4]EBRL!$C10</f>
        <v>0</v>
      </c>
      <c r="E10" s="24">
        <f t="shared" si="1"/>
        <v>0</v>
      </c>
      <c r="F10" s="1291">
        <f t="shared" si="2"/>
        <v>0</v>
      </c>
      <c r="K10" s="55"/>
    </row>
    <row r="11" spans="1:16">
      <c r="A11" s="294" t="s">
        <v>5</v>
      </c>
      <c r="B11" s="25">
        <f>'[31]CBK-Format PUBLISHED RWANDA'!$D$9+'[31]CBK-Format PUBLISHED RWANDA'!$D$10</f>
        <v>155767449.40535998</v>
      </c>
      <c r="C11" s="24">
        <f>B11/$C$7</f>
        <v>18990519.4964552</v>
      </c>
      <c r="D11" s="25">
        <f>[4]EBRL!$C11</f>
        <v>12534542.10997967</v>
      </c>
      <c r="E11" s="25">
        <f>(C11-D11)</f>
        <v>6455977.3864755295</v>
      </c>
      <c r="F11" s="1291">
        <f t="shared" si="2"/>
        <v>0.51505490426614398</v>
      </c>
      <c r="K11" s="55"/>
      <c r="P11" s="179"/>
    </row>
    <row r="12" spans="1:16">
      <c r="A12" s="294" t="s">
        <v>384</v>
      </c>
      <c r="B12" s="25">
        <f>'[31]CBK-Format PUBLISHED RWANDA'!$D$11</f>
        <v>39821308.453039996</v>
      </c>
      <c r="C12" s="24">
        <f t="shared" si="0"/>
        <v>4854848.2846621638</v>
      </c>
      <c r="D12" s="25">
        <f>[4]EBRL!$C12</f>
        <v>6618525.5682553742</v>
      </c>
      <c r="E12" s="25">
        <f t="shared" si="1"/>
        <v>-1763677.2835932104</v>
      </c>
      <c r="F12" s="1291">
        <f t="shared" si="2"/>
        <v>-0.26647585861908379</v>
      </c>
    </row>
    <row r="13" spans="1:16">
      <c r="A13" s="294" t="s">
        <v>7</v>
      </c>
      <c r="B13" s="25">
        <f>'[31]CBK-Format PUBLISHED RWANDA'!$D$8+'[31]CBK-Format PUBLISHED RWANDA'!$D$12</f>
        <v>128475133.47547999</v>
      </c>
      <c r="C13" s="24">
        <f t="shared" si="0"/>
        <v>15663153.864236236</v>
      </c>
      <c r="D13" s="25">
        <f>[4]EBRL!$C13</f>
        <v>8222509.1483369106</v>
      </c>
      <c r="E13" s="25">
        <f>(C13-D13)</f>
        <v>7440644.715899325</v>
      </c>
      <c r="F13" s="1291">
        <f t="shared" si="2"/>
        <v>0.90491169807993144</v>
      </c>
    </row>
    <row r="14" spans="1:16">
      <c r="A14" s="294" t="s">
        <v>8</v>
      </c>
      <c r="B14" s="25">
        <f>'[31]CBK-Format PUBLISHED RWANDA'!$D13</f>
        <v>0</v>
      </c>
      <c r="C14" s="24">
        <f t="shared" si="0"/>
        <v>0</v>
      </c>
      <c r="D14" s="25">
        <f>[4]EBRL!$C14</f>
        <v>0</v>
      </c>
      <c r="E14" s="25">
        <f t="shared" si="1"/>
        <v>0</v>
      </c>
      <c r="F14" s="1291">
        <f t="shared" si="2"/>
        <v>0</v>
      </c>
    </row>
    <row r="15" spans="1:16">
      <c r="A15" s="294" t="s">
        <v>9</v>
      </c>
      <c r="B15" s="25">
        <f>'[31]CBK-Format PUBLISHED RWANDA'!$D14</f>
        <v>0</v>
      </c>
      <c r="C15" s="24">
        <f t="shared" si="0"/>
        <v>0</v>
      </c>
      <c r="D15" s="25">
        <f>[4]EBRL!$C15</f>
        <v>0</v>
      </c>
      <c r="E15" s="25">
        <f>(C15-D15)</f>
        <v>0</v>
      </c>
      <c r="F15" s="1291">
        <f t="shared" si="2"/>
        <v>0</v>
      </c>
    </row>
    <row r="16" spans="1:16">
      <c r="A16" s="294" t="s">
        <v>10</v>
      </c>
      <c r="B16" s="25">
        <f>'[31]CBK-Format PUBLISHED RWANDA'!$D15</f>
        <v>241923077.4871999</v>
      </c>
      <c r="C16" s="24">
        <f t="shared" si="0"/>
        <v>29494255.296607707</v>
      </c>
      <c r="D16" s="25">
        <f>[4]EBRL!$C16</f>
        <v>27741309.522457685</v>
      </c>
      <c r="E16" s="25">
        <f>(C16-D16)</f>
        <v>1752945.7741500214</v>
      </c>
      <c r="F16" s="1291">
        <f t="shared" si="2"/>
        <v>6.3189006010366686E-2</v>
      </c>
      <c r="P16" s="179"/>
    </row>
    <row r="17" spans="1:16">
      <c r="A17" s="294" t="s">
        <v>11</v>
      </c>
      <c r="B17" s="25">
        <f>'[31]CBK-Format PUBLISHED RWANDA'!$D16</f>
        <v>0</v>
      </c>
      <c r="C17" s="24">
        <f>B17/$C$7</f>
        <v>0</v>
      </c>
      <c r="D17" s="25">
        <f>[4]EBRL!$C17</f>
        <v>0</v>
      </c>
      <c r="E17" s="25">
        <f t="shared" si="1"/>
        <v>0</v>
      </c>
      <c r="F17" s="1291">
        <f t="shared" si="2"/>
        <v>0</v>
      </c>
    </row>
    <row r="18" spans="1:16">
      <c r="A18" s="294" t="s">
        <v>12</v>
      </c>
      <c r="B18" s="25">
        <f>'[31]CBK-Format PUBLISHED RWANDA'!$D17</f>
        <v>822190.88774999999</v>
      </c>
      <c r="C18" s="24">
        <f t="shared" si="0"/>
        <v>100238.09302411873</v>
      </c>
      <c r="D18" s="25">
        <f>[4]EBRL!$C18</f>
        <v>61704.247953076927</v>
      </c>
      <c r="E18" s="25">
        <f t="shared" si="1"/>
        <v>38533.845071041804</v>
      </c>
      <c r="F18" s="1291">
        <f t="shared" si="2"/>
        <v>0.62449258113225714</v>
      </c>
    </row>
    <row r="19" spans="1:16">
      <c r="A19" s="294" t="s">
        <v>13</v>
      </c>
      <c r="B19" s="25">
        <f>'[31]CBK-Format PUBLISHED RWANDA'!$D18</f>
        <v>0</v>
      </c>
      <c r="C19" s="24">
        <f t="shared" si="0"/>
        <v>0</v>
      </c>
      <c r="D19" s="25">
        <f>[4]EBRL!$C19</f>
        <v>0</v>
      </c>
      <c r="E19" s="25">
        <f t="shared" si="1"/>
        <v>0</v>
      </c>
      <c r="F19" s="1291">
        <f t="shared" si="2"/>
        <v>0</v>
      </c>
    </row>
    <row r="20" spans="1:16">
      <c r="A20" s="294" t="s">
        <v>14</v>
      </c>
      <c r="B20" s="25">
        <f>'[31]CBK-Format PUBLISHED RWANDA'!$D19</f>
        <v>0</v>
      </c>
      <c r="C20" s="24">
        <f t="shared" si="0"/>
        <v>0</v>
      </c>
      <c r="D20" s="25">
        <f>[4]EBRL!$C20</f>
        <v>0</v>
      </c>
      <c r="E20" s="25">
        <f t="shared" si="1"/>
        <v>0</v>
      </c>
      <c r="F20" s="1291">
        <f t="shared" si="2"/>
        <v>0</v>
      </c>
    </row>
    <row r="21" spans="1:16">
      <c r="A21" s="294" t="s">
        <v>15</v>
      </c>
      <c r="B21" s="25">
        <f>'[31]CBK-Format PUBLISHED RWANDA'!$D20</f>
        <v>0</v>
      </c>
      <c r="C21" s="24">
        <f t="shared" si="0"/>
        <v>0</v>
      </c>
      <c r="D21" s="25">
        <f>[4]EBRL!$C21</f>
        <v>0</v>
      </c>
      <c r="E21" s="25">
        <f t="shared" si="1"/>
        <v>0</v>
      </c>
      <c r="F21" s="1291">
        <f t="shared" si="2"/>
        <v>0</v>
      </c>
    </row>
    <row r="22" spans="1:16">
      <c r="A22" s="294" t="s">
        <v>16</v>
      </c>
      <c r="B22" s="25">
        <f>'[31]CBK-Format PUBLISHED RWANDA'!$D21</f>
        <v>0</v>
      </c>
      <c r="C22" s="24">
        <f t="shared" si="0"/>
        <v>0</v>
      </c>
      <c r="D22" s="25">
        <f>[4]EBRL!$C22</f>
        <v>0</v>
      </c>
      <c r="E22" s="25">
        <f t="shared" si="1"/>
        <v>0</v>
      </c>
      <c r="F22" s="1291">
        <f t="shared" si="2"/>
        <v>0</v>
      </c>
    </row>
    <row r="23" spans="1:16">
      <c r="A23" s="294" t="s">
        <v>17</v>
      </c>
      <c r="B23" s="25">
        <f>'[31]CBK-Format PUBLISHED RWANDA'!$D22</f>
        <v>3077953.669990004</v>
      </c>
      <c r="C23" s="24">
        <f t="shared" si="0"/>
        <v>375251.30829496437</v>
      </c>
      <c r="D23" s="25">
        <f>[4]EBRL!$C23</f>
        <v>730440.68214719673</v>
      </c>
      <c r="E23" s="25">
        <f t="shared" si="1"/>
        <v>-355189.37385223235</v>
      </c>
      <c r="F23" s="1291">
        <f t="shared" si="2"/>
        <v>-0.48626723912490871</v>
      </c>
      <c r="P23" s="179"/>
    </row>
    <row r="24" spans="1:16">
      <c r="A24" s="294" t="s">
        <v>18</v>
      </c>
      <c r="B24" s="25">
        <f>'[31]CBK-Format PUBLISHED RWANDA'!$D23</f>
        <v>0</v>
      </c>
      <c r="C24" s="24">
        <f t="shared" si="0"/>
        <v>0</v>
      </c>
      <c r="D24" s="25">
        <f>[4]EBRL!$C24</f>
        <v>0</v>
      </c>
      <c r="E24" s="25">
        <f t="shared" si="1"/>
        <v>0</v>
      </c>
      <c r="F24" s="1291">
        <f t="shared" si="2"/>
        <v>0</v>
      </c>
    </row>
    <row r="25" spans="1:16">
      <c r="A25" s="294" t="s">
        <v>19</v>
      </c>
      <c r="B25" s="25">
        <f>'[31]CBK-Format PUBLISHED RWANDA'!$D24</f>
        <v>424857.39109000005</v>
      </c>
      <c r="C25" s="24">
        <f t="shared" si="0"/>
        <v>51796.845871895661</v>
      </c>
      <c r="D25" s="25">
        <f>[4]EBRL!$C25</f>
        <v>25677.638386763418</v>
      </c>
      <c r="E25" s="25">
        <f t="shared" si="1"/>
        <v>26119.207485132243</v>
      </c>
      <c r="F25" s="1291">
        <f t="shared" si="2"/>
        <v>1.0171966398045567</v>
      </c>
    </row>
    <row r="26" spans="1:16">
      <c r="A26" s="294" t="s">
        <v>20</v>
      </c>
      <c r="B26" s="25">
        <f>'[31]CBK-Format PUBLISHED RWANDA'!$D25</f>
        <v>4221324.8917500004</v>
      </c>
      <c r="C26" s="24">
        <f t="shared" si="0"/>
        <v>514646.37165004201</v>
      </c>
      <c r="D26" s="25">
        <f>[4]EBRL!$C26</f>
        <v>0</v>
      </c>
      <c r="E26" s="25">
        <f t="shared" si="1"/>
        <v>514646.37165004201</v>
      </c>
      <c r="F26" s="1291">
        <f t="shared" si="2"/>
        <v>0</v>
      </c>
      <c r="P26" s="179"/>
    </row>
    <row r="27" spans="1:16">
      <c r="A27" s="294" t="s">
        <v>21</v>
      </c>
      <c r="B27" s="25">
        <f>'[31]CBK-Format PUBLISHED RWANDA'!$D26</f>
        <v>0</v>
      </c>
      <c r="C27" s="24">
        <f t="shared" si="0"/>
        <v>0</v>
      </c>
      <c r="D27" s="25">
        <f>[4]EBRL!$C27</f>
        <v>0</v>
      </c>
      <c r="E27" s="25">
        <f t="shared" si="1"/>
        <v>0</v>
      </c>
      <c r="F27" s="1291">
        <f t="shared" si="2"/>
        <v>0</v>
      </c>
    </row>
    <row r="28" spans="1:16">
      <c r="A28" s="294" t="s">
        <v>22</v>
      </c>
      <c r="B28" s="25">
        <f>'[31]CBK-Format PUBLISHED RWANDA'!$D27</f>
        <v>11171728.351530001</v>
      </c>
      <c r="C28" s="24">
        <f t="shared" si="0"/>
        <v>1362010.6503556282</v>
      </c>
      <c r="D28" s="25">
        <f>[4]EBRL!$C28</f>
        <v>937120.35365493572</v>
      </c>
      <c r="E28" s="25">
        <f t="shared" si="1"/>
        <v>424890.2967006925</v>
      </c>
      <c r="F28" s="1291">
        <f t="shared" si="2"/>
        <v>0.45339992354615383</v>
      </c>
      <c r="I28" s="868"/>
      <c r="P28" s="179"/>
    </row>
    <row r="29" spans="1:16">
      <c r="A29" s="303" t="s">
        <v>23</v>
      </c>
      <c r="B29" s="39">
        <f>SUM(B8:B28)</f>
        <v>609739547.73609996</v>
      </c>
      <c r="C29" s="39">
        <f>SUM(C8:C28)</f>
        <v>74336909.368715227</v>
      </c>
      <c r="D29" s="39">
        <f>SUM(D8:D28)</f>
        <v>59284271.184536524</v>
      </c>
      <c r="E29" s="30">
        <f t="shared" si="1"/>
        <v>15052638.184178703</v>
      </c>
      <c r="F29" s="1335">
        <f>E29/D29</f>
        <v>0.25390610162556865</v>
      </c>
    </row>
    <row r="30" spans="1:16">
      <c r="A30" s="298"/>
      <c r="B30" s="46"/>
      <c r="C30" s="32"/>
      <c r="D30" s="32"/>
      <c r="E30" s="32"/>
      <c r="F30" s="1293"/>
    </row>
    <row r="31" spans="1:16">
      <c r="A31" s="298" t="s">
        <v>24</v>
      </c>
      <c r="B31" s="25"/>
      <c r="C31" s="24"/>
      <c r="D31" s="24"/>
      <c r="E31" s="24"/>
      <c r="F31" s="1294"/>
    </row>
    <row r="32" spans="1:16">
      <c r="A32" s="294" t="s">
        <v>25</v>
      </c>
      <c r="B32" s="25">
        <f>'[31]CBK-Format PUBLISHED RWANDA'!$D31</f>
        <v>0</v>
      </c>
      <c r="C32" s="24">
        <f t="shared" ref="C32:C43" si="3">B32/$C$7</f>
        <v>0</v>
      </c>
      <c r="D32" s="25">
        <f>[4]EBRL!$C32</f>
        <v>0</v>
      </c>
      <c r="E32" s="24">
        <f t="shared" si="1"/>
        <v>0</v>
      </c>
      <c r="F32" s="1291">
        <f t="shared" ref="F32:F43" si="4">IFERROR(E32/D32,0)</f>
        <v>0</v>
      </c>
    </row>
    <row r="33" spans="1:16">
      <c r="A33" s="294" t="s">
        <v>26</v>
      </c>
      <c r="B33" s="25">
        <f>'[31]CBK-Format PUBLISHED RWANDA'!$D32</f>
        <v>464997905.64238995</v>
      </c>
      <c r="C33" s="24">
        <f t="shared" si="3"/>
        <v>56690610.436411113</v>
      </c>
      <c r="D33" s="25">
        <f>[4]EBRL!$C33</f>
        <v>41922710.132672414</v>
      </c>
      <c r="E33" s="24">
        <f t="shared" si="1"/>
        <v>14767900.303738698</v>
      </c>
      <c r="F33" s="1291">
        <f t="shared" si="4"/>
        <v>0.35226492411876187</v>
      </c>
      <c r="J33" s="55"/>
      <c r="P33" s="179"/>
    </row>
    <row r="34" spans="1:16">
      <c r="A34" s="294" t="s">
        <v>27</v>
      </c>
      <c r="B34" s="25">
        <f>'[31]CBK-Format PUBLISHED RWANDA'!$D33</f>
        <v>0</v>
      </c>
      <c r="C34" s="24">
        <f t="shared" si="3"/>
        <v>0</v>
      </c>
      <c r="D34" s="25">
        <f>[4]EBRL!$C34</f>
        <v>0</v>
      </c>
      <c r="E34" s="24">
        <f t="shared" si="1"/>
        <v>0</v>
      </c>
      <c r="F34" s="1291">
        <f t="shared" si="4"/>
        <v>0</v>
      </c>
    </row>
    <row r="35" spans="1:16">
      <c r="A35" s="294" t="s">
        <v>28</v>
      </c>
      <c r="B35" s="25">
        <f>'[31]CBK-Format PUBLISHED RWANDA'!$D34</f>
        <v>0</v>
      </c>
      <c r="C35" s="24">
        <f t="shared" si="3"/>
        <v>0</v>
      </c>
      <c r="D35" s="25">
        <f>[4]EBRL!$C35</f>
        <v>0</v>
      </c>
      <c r="E35" s="24">
        <f t="shared" si="1"/>
        <v>0</v>
      </c>
      <c r="F35" s="1291">
        <f t="shared" si="4"/>
        <v>0</v>
      </c>
      <c r="J35" s="869"/>
    </row>
    <row r="36" spans="1:16">
      <c r="A36" s="294" t="s">
        <v>29</v>
      </c>
      <c r="B36" s="25">
        <f>'[31]CBK-Format PUBLISHED RWANDA'!$D35</f>
        <v>0</v>
      </c>
      <c r="C36" s="24">
        <f t="shared" si="3"/>
        <v>0</v>
      </c>
      <c r="D36" s="25">
        <f>[4]EBRL!$C36</f>
        <v>0</v>
      </c>
      <c r="E36" s="24">
        <f t="shared" si="1"/>
        <v>0</v>
      </c>
      <c r="F36" s="1291">
        <f t="shared" si="4"/>
        <v>0</v>
      </c>
    </row>
    <row r="37" spans="1:16">
      <c r="A37" s="294" t="s">
        <v>30</v>
      </c>
      <c r="B37" s="25">
        <f>'[31]CBK-Format PUBLISHED RWANDA'!$D36</f>
        <v>33486317.88538</v>
      </c>
      <c r="C37" s="24">
        <f t="shared" si="3"/>
        <v>4082512.585873561</v>
      </c>
      <c r="D37" s="25">
        <f>[4]EBRL!$C$37</f>
        <v>7628220.2832464604</v>
      </c>
      <c r="E37" s="24">
        <f>(C37-D37)</f>
        <v>-3545707.6973728994</v>
      </c>
      <c r="F37" s="1291">
        <v>1</v>
      </c>
      <c r="J37" s="55"/>
      <c r="P37" s="179"/>
    </row>
    <row r="38" spans="1:16">
      <c r="A38" s="294" t="s">
        <v>31</v>
      </c>
      <c r="B38" s="25">
        <f>'[31]CBK-Format PUBLISHED RWANDA'!$D37</f>
        <v>4380174.8824699996</v>
      </c>
      <c r="C38" s="24">
        <f t="shared" si="3"/>
        <v>534012.70176134491</v>
      </c>
      <c r="D38" s="25">
        <f>[4]EBRL!$C38</f>
        <v>200879.62711363976</v>
      </c>
      <c r="E38" s="24">
        <f t="shared" si="1"/>
        <v>333133.07464770519</v>
      </c>
      <c r="F38" s="1291">
        <f t="shared" si="4"/>
        <v>1.6583716299873865</v>
      </c>
    </row>
    <row r="39" spans="1:16">
      <c r="A39" s="294" t="s">
        <v>32</v>
      </c>
      <c r="B39" s="25">
        <f>'[31]CBK-Format PUBLISHED RWANDA'!$D38-279361.234900002</f>
        <v>3017356.872349998</v>
      </c>
      <c r="C39" s="24">
        <f t="shared" si="3"/>
        <v>367863.59878698748</v>
      </c>
      <c r="D39" s="25">
        <f>[4]EBRL!$C39</f>
        <v>166113.80280493764</v>
      </c>
      <c r="E39" s="24">
        <f t="shared" si="1"/>
        <v>201749.79598204984</v>
      </c>
      <c r="F39" s="1291">
        <f t="shared" si="4"/>
        <v>1.2145275863617333</v>
      </c>
      <c r="P39" s="179"/>
    </row>
    <row r="40" spans="1:16">
      <c r="A40" s="294" t="s">
        <v>33</v>
      </c>
      <c r="B40" s="25">
        <f>'[31]CBK-Format PUBLISHED RWANDA'!$D39</f>
        <v>13979580.311000001</v>
      </c>
      <c r="C40" s="24">
        <f t="shared" si="3"/>
        <v>1704332.2816273291</v>
      </c>
      <c r="D40" s="25">
        <f>[4]EBRL!$C40</f>
        <v>0</v>
      </c>
      <c r="E40" s="24">
        <f t="shared" si="1"/>
        <v>1704332.2816273291</v>
      </c>
      <c r="F40" s="1291">
        <f t="shared" si="4"/>
        <v>0</v>
      </c>
    </row>
    <row r="41" spans="1:16">
      <c r="A41" s="294" t="s">
        <v>34</v>
      </c>
      <c r="B41" s="25">
        <f>'[31]CBK-Format PUBLISHED RWANDA'!$D40</f>
        <v>0</v>
      </c>
      <c r="C41" s="24">
        <f t="shared" si="3"/>
        <v>0</v>
      </c>
      <c r="D41" s="25">
        <f>[4]EBRL!$C41</f>
        <v>6978.9767371875678</v>
      </c>
      <c r="E41" s="24">
        <f t="shared" si="1"/>
        <v>-6978.9767371875678</v>
      </c>
      <c r="F41" s="1291">
        <f t="shared" si="4"/>
        <v>-1</v>
      </c>
    </row>
    <row r="42" spans="1:16">
      <c r="A42" s="294" t="s">
        <v>35</v>
      </c>
      <c r="B42" s="25">
        <f>'[31]CBK-Format PUBLISHED RWANDA'!$D41</f>
        <v>0</v>
      </c>
      <c r="C42" s="24">
        <f t="shared" si="3"/>
        <v>0</v>
      </c>
      <c r="D42" s="25">
        <f>[4]EBRL!$C42</f>
        <v>0</v>
      </c>
      <c r="E42" s="24">
        <f t="shared" si="1"/>
        <v>0</v>
      </c>
      <c r="F42" s="1291">
        <f t="shared" si="4"/>
        <v>0</v>
      </c>
    </row>
    <row r="43" spans="1:16">
      <c r="A43" s="294" t="s">
        <v>36</v>
      </c>
      <c r="B43" s="25">
        <f>(('[31]CBK-Format PUBLISHED RWANDA'!$D42+279361.234900002))--0.00114095211029053</f>
        <v>18533184.506470952</v>
      </c>
      <c r="C43" s="24">
        <f t="shared" si="3"/>
        <v>2259488.7638278757</v>
      </c>
      <c r="D43" s="25">
        <f>([4]EBRL!$C43)--0.0000145882368087769</f>
        <v>1773735.1688809167</v>
      </c>
      <c r="E43" s="24">
        <f t="shared" si="1"/>
        <v>485753.59494695906</v>
      </c>
      <c r="F43" s="1291">
        <f t="shared" si="4"/>
        <v>0.27385914395181682</v>
      </c>
      <c r="P43" s="179"/>
    </row>
    <row r="44" spans="1:16">
      <c r="A44" s="303" t="s">
        <v>37</v>
      </c>
      <c r="B44" s="39">
        <f>SUM(B32:B43)</f>
        <v>538394520.10006082</v>
      </c>
      <c r="C44" s="39">
        <f>SUM(C32:C43)</f>
        <v>65638820.368288204</v>
      </c>
      <c r="D44" s="39">
        <f>SUM(D32:D43)</f>
        <v>51698637.991455555</v>
      </c>
      <c r="E44" s="30">
        <f t="shared" si="1"/>
        <v>13940182.376832649</v>
      </c>
      <c r="F44" s="1335">
        <f>E44/D44</f>
        <v>0.26964312636508142</v>
      </c>
      <c r="J44" s="52">
        <v>533621.484108679</v>
      </c>
    </row>
    <row r="45" spans="1:16">
      <c r="A45" s="298"/>
      <c r="B45" s="60"/>
      <c r="C45" s="32"/>
      <c r="D45" s="32"/>
      <c r="E45" s="32"/>
      <c r="F45" s="1293"/>
    </row>
    <row r="46" spans="1:16">
      <c r="A46" s="303" t="s">
        <v>38</v>
      </c>
      <c r="B46" s="39"/>
      <c r="C46" s="30"/>
      <c r="D46" s="30"/>
      <c r="E46" s="30"/>
      <c r="F46" s="1335"/>
      <c r="O46" s="1197"/>
    </row>
    <row r="47" spans="1:16">
      <c r="A47" s="294" t="s">
        <v>39</v>
      </c>
      <c r="B47" s="25">
        <f>'[31]CBK-Format PUBLISHED RWANDA'!$D46</f>
        <v>18174999.999779999</v>
      </c>
      <c r="C47" s="24">
        <v>2372715</v>
      </c>
      <c r="D47" s="25">
        <v>2372715</v>
      </c>
      <c r="E47" s="24">
        <f t="shared" si="1"/>
        <v>0</v>
      </c>
      <c r="F47" s="1291">
        <f t="shared" ref="F47:F53" si="5">IFERROR(E47/D47,0)</f>
        <v>0</v>
      </c>
      <c r="J47" s="55"/>
    </row>
    <row r="48" spans="1:16">
      <c r="A48" s="294" t="s">
        <v>40</v>
      </c>
      <c r="B48" s="25">
        <f>'[31]CBK-Format PUBLISHED RWANDA'!$D47</f>
        <v>2112689.855</v>
      </c>
      <c r="C48" s="24">
        <f>D48</f>
        <v>434037</v>
      </c>
      <c r="D48" s="25">
        <f>[4]EBRL!$C$48</f>
        <v>434037</v>
      </c>
      <c r="E48" s="24">
        <f t="shared" si="1"/>
        <v>0</v>
      </c>
      <c r="F48" s="1291">
        <f t="shared" si="5"/>
        <v>0</v>
      </c>
      <c r="J48" s="55"/>
      <c r="K48" s="870"/>
      <c r="P48" s="870"/>
    </row>
    <row r="49" spans="1:17">
      <c r="A49" s="294" t="s">
        <v>41</v>
      </c>
      <c r="B49" s="25">
        <f>'[31]CBK-Format PUBLISHED RWANDA'!$D48</f>
        <v>-12381522.718210001</v>
      </c>
      <c r="C49" s="24">
        <v>-1842864.9895270169</v>
      </c>
      <c r="D49" s="25">
        <f>[4]EBRL!$C$49</f>
        <v>-970150.39815576398</v>
      </c>
      <c r="E49" s="24">
        <f t="shared" si="1"/>
        <v>-872714.5913712529</v>
      </c>
      <c r="F49" s="1291">
        <f t="shared" si="5"/>
        <v>0.89956628686672235</v>
      </c>
      <c r="J49" s="870"/>
      <c r="K49" s="55"/>
      <c r="O49" s="177" t="s">
        <v>520</v>
      </c>
      <c r="P49" s="871">
        <v>53662422.706349999</v>
      </c>
      <c r="Q49" s="55">
        <f>B50-P49</f>
        <v>9776437.7937999964</v>
      </c>
    </row>
    <row r="50" spans="1:17">
      <c r="A50" s="294" t="s">
        <v>42</v>
      </c>
      <c r="B50" s="25">
        <f>'[31]CBK-Format PUBLISHED RWANDA'!$D49</f>
        <v>63438860.500149995</v>
      </c>
      <c r="C50" s="24">
        <f>B50/$C$7</f>
        <v>7734201.9899540376</v>
      </c>
      <c r="D50" s="25">
        <f>[4]EBRL!$C50</f>
        <v>5749031.5912819821</v>
      </c>
      <c r="E50" s="24">
        <f t="shared" si="1"/>
        <v>1985170.3986720555</v>
      </c>
      <c r="F50" s="1291">
        <f t="shared" si="5"/>
        <v>0.34530518177747227</v>
      </c>
      <c r="J50" s="55"/>
      <c r="K50" s="71"/>
      <c r="O50" s="177" t="s">
        <v>521</v>
      </c>
      <c r="Q50" s="55">
        <f>B99</f>
        <v>9776437.7938199975</v>
      </c>
    </row>
    <row r="51" spans="1:17">
      <c r="A51" s="294" t="s">
        <v>43</v>
      </c>
      <c r="B51" s="25">
        <f>'[31]CBK-Format PUBLISHED RWANDA'!$D50</f>
        <v>0</v>
      </c>
      <c r="C51" s="24">
        <f>B51/$C$7</f>
        <v>0</v>
      </c>
      <c r="D51" s="25">
        <f>[4]EBRL!$C51</f>
        <v>0</v>
      </c>
      <c r="E51" s="24">
        <f t="shared" si="1"/>
        <v>0</v>
      </c>
      <c r="F51" s="1291">
        <f t="shared" si="5"/>
        <v>0</v>
      </c>
      <c r="O51" s="177" t="s">
        <v>783</v>
      </c>
      <c r="Q51" s="70"/>
    </row>
    <row r="52" spans="1:17">
      <c r="A52" s="294" t="s">
        <v>44</v>
      </c>
      <c r="B52" s="25">
        <f>'[31]CBK-Format PUBLISHED RWANDA'!$D51</f>
        <v>0</v>
      </c>
      <c r="C52" s="24">
        <f>B52/$C$7</f>
        <v>0</v>
      </c>
      <c r="D52" s="25">
        <f>[4]EBRL!$C52</f>
        <v>0</v>
      </c>
      <c r="E52" s="24">
        <f>(C52-D52)</f>
        <v>0</v>
      </c>
      <c r="F52" s="1291">
        <f t="shared" si="5"/>
        <v>0</v>
      </c>
      <c r="O52" s="177" t="s">
        <v>478</v>
      </c>
      <c r="Q52" s="177">
        <f>Q49-Q50+Q51</f>
        <v>-2.0001083612442017E-5</v>
      </c>
    </row>
    <row r="53" spans="1:17">
      <c r="A53" s="294" t="s">
        <v>45</v>
      </c>
      <c r="B53" s="25">
        <f>'[31]CBK-Format PUBLISHED RWANDA'!$D52</f>
        <v>0</v>
      </c>
      <c r="C53" s="24">
        <f>B53/$C$7</f>
        <v>0</v>
      </c>
      <c r="D53" s="25">
        <f>[4]EBRL!$C53</f>
        <v>0</v>
      </c>
      <c r="E53" s="24">
        <f t="shared" si="1"/>
        <v>0</v>
      </c>
      <c r="F53" s="1291">
        <f t="shared" si="5"/>
        <v>0</v>
      </c>
    </row>
    <row r="54" spans="1:17">
      <c r="A54" s="303" t="s">
        <v>46</v>
      </c>
      <c r="B54" s="39">
        <f>SUM(B46:B53)</f>
        <v>71345027.636720002</v>
      </c>
      <c r="C54" s="30">
        <f>SUM(C47:C53)</f>
        <v>8698089.0004270207</v>
      </c>
      <c r="D54" s="39">
        <f>SUM(D46:D53)</f>
        <v>7585633.1931262184</v>
      </c>
      <c r="E54" s="30">
        <f t="shared" si="1"/>
        <v>1112455.8073008023</v>
      </c>
      <c r="F54" s="1335">
        <f>E54/D54</f>
        <v>0.14665299243692181</v>
      </c>
      <c r="Q54" s="71"/>
    </row>
    <row r="55" spans="1:17" ht="13.5" thickBot="1">
      <c r="A55" s="930"/>
      <c r="B55" s="401"/>
      <c r="C55" s="402"/>
      <c r="D55" s="402"/>
      <c r="E55" s="402"/>
      <c r="F55" s="1350"/>
      <c r="K55" s="55">
        <f>B56-B29</f>
        <v>6.809234619140625E-4</v>
      </c>
      <c r="L55" s="55">
        <f>C56-C29</f>
        <v>0</v>
      </c>
    </row>
    <row r="56" spans="1:17" ht="13.5" thickBot="1">
      <c r="A56" s="931" t="s">
        <v>47</v>
      </c>
      <c r="B56" s="399">
        <f>+B54+B44</f>
        <v>609739547.73678088</v>
      </c>
      <c r="C56" s="399">
        <f>C44+C54</f>
        <v>74336909.368715227</v>
      </c>
      <c r="D56" s="399">
        <f>+D54+D44</f>
        <v>59284271.184581771</v>
      </c>
      <c r="E56" s="399">
        <f t="shared" si="1"/>
        <v>15052638.184133455</v>
      </c>
      <c r="F56" s="1351">
        <f>E56/D56</f>
        <v>0.25390610162461164</v>
      </c>
      <c r="K56" s="55"/>
      <c r="Q56" s="71">
        <f>Q51/C7</f>
        <v>0</v>
      </c>
    </row>
    <row r="57" spans="1:17" ht="13.5" thickBot="1">
      <c r="A57" s="201"/>
      <c r="B57" s="177">
        <f>B29-B56</f>
        <v>-6.809234619140625E-4</v>
      </c>
      <c r="C57" s="1529">
        <f>C29-C56</f>
        <v>0</v>
      </c>
      <c r="D57" s="1529">
        <f>D29-D56</f>
        <v>-4.5247375965118408E-5</v>
      </c>
      <c r="E57" s="143"/>
      <c r="F57" s="1352"/>
      <c r="G57" s="55"/>
      <c r="J57" s="55"/>
      <c r="K57" s="55"/>
    </row>
    <row r="58" spans="1:17" ht="20.25">
      <c r="A58" s="979" t="s">
        <v>88</v>
      </c>
      <c r="B58" s="1200">
        <f>B3</f>
        <v>45046</v>
      </c>
      <c r="C58" s="1200">
        <f>C3</f>
        <v>45046</v>
      </c>
      <c r="D58" s="1200">
        <f>D3</f>
        <v>44681</v>
      </c>
      <c r="E58" s="1542" t="s">
        <v>85</v>
      </c>
      <c r="F58" s="1611" t="s">
        <v>654</v>
      </c>
    </row>
    <row r="59" spans="1:17">
      <c r="A59" s="301" t="s">
        <v>48</v>
      </c>
      <c r="B59" s="19" t="s">
        <v>99</v>
      </c>
      <c r="C59" s="19" t="s">
        <v>97</v>
      </c>
      <c r="D59" s="19" t="s">
        <v>97</v>
      </c>
      <c r="E59" s="1538"/>
      <c r="F59" s="1612"/>
    </row>
    <row r="60" spans="1:17" ht="13.5" thickBot="1">
      <c r="A60" s="301"/>
      <c r="B60" s="21" t="s">
        <v>879</v>
      </c>
      <c r="C60" s="21" t="s">
        <v>879</v>
      </c>
      <c r="D60" s="21" t="s">
        <v>879</v>
      </c>
      <c r="E60" s="36"/>
      <c r="F60" s="1353"/>
    </row>
    <row r="61" spans="1:17">
      <c r="A61" s="302" t="s">
        <v>49</v>
      </c>
      <c r="B61" s="38"/>
      <c r="C61" s="411">
        <f>[27]RWF!$J$3</f>
        <v>8.5077413793103407</v>
      </c>
      <c r="D61" s="411">
        <f>[4]EBRL!$C$61</f>
        <v>8.8893284313725491</v>
      </c>
      <c r="E61" s="38"/>
      <c r="F61" s="1301"/>
      <c r="J61" s="871"/>
      <c r="L61" s="872"/>
      <c r="O61" s="1198"/>
      <c r="P61" s="314"/>
    </row>
    <row r="62" spans="1:17">
      <c r="A62" s="294" t="s">
        <v>50</v>
      </c>
      <c r="B62" s="25">
        <f>'[31]CBK-Format PUBLISHED RWANDA'!$D61</f>
        <v>12693903.92268</v>
      </c>
      <c r="C62" s="24">
        <f>B62/$C$61</f>
        <v>1492041.583862649</v>
      </c>
      <c r="D62" s="24">
        <f>[4]EBRL!$C62</f>
        <v>1291931.844465191</v>
      </c>
      <c r="E62" s="24">
        <f t="shared" si="1"/>
        <v>200109.73939745803</v>
      </c>
      <c r="F62" s="1291">
        <f>IFERROR(E62/D62,0)</f>
        <v>0.1548918700740716</v>
      </c>
      <c r="L62" s="869"/>
      <c r="P62" s="306"/>
    </row>
    <row r="63" spans="1:17">
      <c r="A63" s="294" t="s">
        <v>51</v>
      </c>
      <c r="B63" s="25">
        <f>'[31]CBK-Format PUBLISHED RWANDA'!$D62</f>
        <v>5568206.641520001</v>
      </c>
      <c r="C63" s="24">
        <f>B63/$C$61</f>
        <v>654487.05987480003</v>
      </c>
      <c r="D63" s="24">
        <f>[4]EBRL!$C63</f>
        <v>365158.53109938494</v>
      </c>
      <c r="E63" s="24">
        <f t="shared" si="1"/>
        <v>289328.52877541509</v>
      </c>
      <c r="F63" s="1291">
        <f>IFERROR(E63/D63,0)</f>
        <v>0.79233676371830064</v>
      </c>
      <c r="P63" s="306"/>
    </row>
    <row r="64" spans="1:17">
      <c r="A64" s="294" t="s">
        <v>52</v>
      </c>
      <c r="B64" s="25">
        <f>'[31]CBK-Format PUBLISHED RWANDA'!$D63</f>
        <v>634672.70335999993</v>
      </c>
      <c r="C64" s="24">
        <f>B64/$C$61</f>
        <v>74599.435392269545</v>
      </c>
      <c r="D64" s="24">
        <f>[4]EBRL!$C64</f>
        <v>65218.744148761754</v>
      </c>
      <c r="E64" s="24">
        <f t="shared" si="1"/>
        <v>9380.6912435077902</v>
      </c>
      <c r="F64" s="1291">
        <f>IFERROR(E64/D64,0)</f>
        <v>0.14383428209090857</v>
      </c>
      <c r="P64" s="306"/>
    </row>
    <row r="65" spans="1:18">
      <c r="A65" s="294" t="s">
        <v>53</v>
      </c>
      <c r="B65" s="25">
        <f>'[31]CBK-Format PUBLISHED RWANDA'!$D64</f>
        <v>0</v>
      </c>
      <c r="C65" s="24">
        <f>B65/$C$61</f>
        <v>0</v>
      </c>
      <c r="D65" s="24">
        <f>[4]EBRL!$C65</f>
        <v>0</v>
      </c>
      <c r="E65" s="24">
        <f t="shared" si="1"/>
        <v>0</v>
      </c>
      <c r="F65" s="1291">
        <f>IFERROR(E65/D65,0)</f>
        <v>0</v>
      </c>
      <c r="P65" s="306"/>
    </row>
    <row r="66" spans="1:18">
      <c r="A66" s="303" t="s">
        <v>54</v>
      </c>
      <c r="B66" s="39">
        <f>SUM(B61:B65)</f>
        <v>18896783.267559998</v>
      </c>
      <c r="C66" s="39">
        <f>SUM(C62:C65)</f>
        <v>2221128.0791297187</v>
      </c>
      <c r="D66" s="39">
        <f>SUM(D62:D65)</f>
        <v>1722309.1197133376</v>
      </c>
      <c r="E66" s="39">
        <f t="shared" si="1"/>
        <v>498818.95941638108</v>
      </c>
      <c r="F66" s="1292">
        <f>E66/D66</f>
        <v>0.2896222017911656</v>
      </c>
      <c r="K66" s="380"/>
      <c r="P66" s="309"/>
    </row>
    <row r="67" spans="1:18">
      <c r="A67" s="298"/>
      <c r="B67" s="32"/>
      <c r="C67" s="32"/>
      <c r="D67" s="24"/>
      <c r="E67" s="32">
        <f t="shared" si="1"/>
        <v>0</v>
      </c>
      <c r="F67" s="1293"/>
      <c r="P67" s="306"/>
    </row>
    <row r="68" spans="1:18">
      <c r="A68" s="298" t="s">
        <v>55</v>
      </c>
      <c r="B68" s="24"/>
      <c r="C68" s="24"/>
      <c r="D68" s="24"/>
      <c r="E68" s="24">
        <f t="shared" si="1"/>
        <v>0</v>
      </c>
      <c r="F68" s="1294"/>
      <c r="P68" s="306"/>
    </row>
    <row r="69" spans="1:18">
      <c r="A69" s="294" t="s">
        <v>56</v>
      </c>
      <c r="B69" s="25">
        <f>'[31]CBK-Format PUBLISHED RWANDA'!$D68</f>
        <v>2922630.7762700003</v>
      </c>
      <c r="C69" s="24">
        <f>B69/$C$61</f>
        <v>343526.04833257355</v>
      </c>
      <c r="D69" s="24">
        <f>[4]EBRL!$C69</f>
        <v>283880.84754906053</v>
      </c>
      <c r="E69" s="24">
        <f t="shared" si="1"/>
        <v>59645.200783513021</v>
      </c>
      <c r="F69" s="1291">
        <f>IFERROR(E69/D69,0)</f>
        <v>0.21010646297019064</v>
      </c>
      <c r="P69" s="306"/>
    </row>
    <row r="70" spans="1:18">
      <c r="A70" s="294" t="s">
        <v>57</v>
      </c>
      <c r="B70" s="25">
        <f>'[31]CBK-Format PUBLISHED RWANDA'!$D69</f>
        <v>656695.21</v>
      </c>
      <c r="C70" s="24">
        <f>B70/$C$61</f>
        <v>77187.96102535422</v>
      </c>
      <c r="D70" s="24">
        <f>[4]EBRL!$C70</f>
        <v>343.64744463922648</v>
      </c>
      <c r="E70" s="24">
        <f t="shared" si="1"/>
        <v>76844.313580714996</v>
      </c>
      <c r="F70" s="1291">
        <f>IFERROR(E70/D70,0)</f>
        <v>223.61380763761807</v>
      </c>
      <c r="P70" s="306"/>
    </row>
    <row r="71" spans="1:18">
      <c r="A71" s="294" t="s">
        <v>58</v>
      </c>
      <c r="B71" s="25">
        <f>'[31]CBK-Format PUBLISHED RWANDA'!$D70</f>
        <v>71688.864269999991</v>
      </c>
      <c r="C71" s="24">
        <f>B71/$C$61</f>
        <v>8426.3097658724637</v>
      </c>
      <c r="D71" s="24">
        <f>[4]EBRL!$C71</f>
        <v>124401.17828442674</v>
      </c>
      <c r="E71" s="24">
        <f t="shared" si="1"/>
        <v>-115974.86851855429</v>
      </c>
      <c r="F71" s="1291">
        <f>IFERROR(E71/D71,0)</f>
        <v>-0.93226503251756332</v>
      </c>
      <c r="P71" s="306"/>
    </row>
    <row r="72" spans="1:18">
      <c r="A72" s="303" t="s">
        <v>59</v>
      </c>
      <c r="B72" s="39">
        <f>SUM(B69:B71)</f>
        <v>3651014.85054</v>
      </c>
      <c r="C72" s="39">
        <f>SUM(C69:C71)</f>
        <v>429140.31912380026</v>
      </c>
      <c r="D72" s="39">
        <f>SUM(D69:D71)</f>
        <v>408625.67327812652</v>
      </c>
      <c r="E72" s="39">
        <f t="shared" si="1"/>
        <v>20514.645845673745</v>
      </c>
      <c r="F72" s="1292">
        <f>E72/D72</f>
        <v>5.0204006226771465E-2</v>
      </c>
      <c r="L72" s="380"/>
      <c r="P72" s="309"/>
    </row>
    <row r="73" spans="1:18">
      <c r="A73" s="303" t="s">
        <v>60</v>
      </c>
      <c r="B73" s="39">
        <f>B66-B72</f>
        <v>15245768.417019997</v>
      </c>
      <c r="C73" s="39">
        <f>C66-C72</f>
        <v>1791987.7600059183</v>
      </c>
      <c r="D73" s="39">
        <f>D66-D72</f>
        <v>1313683.4464352112</v>
      </c>
      <c r="E73" s="39">
        <f t="shared" ref="E73:E98" si="6">(C73-D73)</f>
        <v>478304.31357070711</v>
      </c>
      <c r="F73" s="1292">
        <f>E73/D73</f>
        <v>0.36409404021084796</v>
      </c>
      <c r="L73" s="380"/>
      <c r="P73" s="306"/>
    </row>
    <row r="74" spans="1:18">
      <c r="A74" s="298"/>
      <c r="B74" s="40"/>
      <c r="C74" s="40"/>
      <c r="D74" s="24"/>
      <c r="E74" s="40"/>
      <c r="F74" s="1302"/>
      <c r="P74" s="306"/>
    </row>
    <row r="75" spans="1:18">
      <c r="A75" s="298" t="s">
        <v>61</v>
      </c>
      <c r="B75" s="165"/>
      <c r="C75" s="41"/>
      <c r="D75" s="24"/>
      <c r="E75" s="41"/>
      <c r="F75" s="1303"/>
      <c r="P75" s="306"/>
    </row>
    <row r="76" spans="1:18">
      <c r="A76" s="294" t="s">
        <v>62</v>
      </c>
      <c r="B76" s="25">
        <f>'[31]CBK-Format PUBLISHED RWANDA'!$D75</f>
        <v>747265.23637000006</v>
      </c>
      <c r="C76" s="24">
        <f>B76/$C$61</f>
        <v>87833.562758177693</v>
      </c>
      <c r="D76" s="24">
        <f>[4]EBRL!$C76</f>
        <v>52655.137110028918</v>
      </c>
      <c r="E76" s="41">
        <f t="shared" si="6"/>
        <v>35178.425648148776</v>
      </c>
      <c r="F76" s="1291">
        <f>IFERROR(E76/D76,0)</f>
        <v>0.66809104636152483</v>
      </c>
      <c r="J76" s="178"/>
      <c r="P76" s="306"/>
    </row>
    <row r="77" spans="1:18">
      <c r="A77" s="294" t="s">
        <v>63</v>
      </c>
      <c r="B77" s="25">
        <f>'[31]CBK-Format PUBLISHED RWANDA'!$D76</f>
        <v>5288772.6349300006</v>
      </c>
      <c r="C77" s="24">
        <f>B77/$C$61</f>
        <v>621642.38416926609</v>
      </c>
      <c r="D77" s="24">
        <f>[4]EBRL!$C77</f>
        <v>490541.84840560646</v>
      </c>
      <c r="E77" s="41">
        <f t="shared" si="6"/>
        <v>131100.53576365963</v>
      </c>
      <c r="F77" s="1291">
        <f>IFERROR(E77/D77,0)</f>
        <v>0.26725657798569435</v>
      </c>
      <c r="L77" s="869"/>
      <c r="P77" s="306"/>
    </row>
    <row r="78" spans="1:18">
      <c r="A78" s="294" t="s">
        <v>64</v>
      </c>
      <c r="B78" s="25">
        <f>'[31]CBK-Format PUBLISHED RWANDA'!$D77</f>
        <v>1605407.2034899998</v>
      </c>
      <c r="C78" s="24">
        <f>B78/$C$61</f>
        <v>188699.57746883677</v>
      </c>
      <c r="D78" s="24">
        <f>[4]EBRL!$C78</f>
        <v>104251.4066146288</v>
      </c>
      <c r="E78" s="41">
        <f t="shared" si="6"/>
        <v>84448.170854207972</v>
      </c>
      <c r="F78" s="1291">
        <f>IFERROR(E78/D78,0)</f>
        <v>0.81004346700448271</v>
      </c>
      <c r="P78" s="309"/>
    </row>
    <row r="79" spans="1:18">
      <c r="A79" s="294" t="s">
        <v>65</v>
      </c>
      <c r="B79" s="25">
        <f>'[31]CBK-Format PUBLISHED RWANDA'!$D78</f>
        <v>0</v>
      </c>
      <c r="C79" s="24">
        <f>B79/$C$61</f>
        <v>0</v>
      </c>
      <c r="D79" s="24">
        <f>[4]EBRL!$C79</f>
        <v>0</v>
      </c>
      <c r="E79" s="41">
        <f t="shared" si="6"/>
        <v>0</v>
      </c>
      <c r="F79" s="1291">
        <f>IFERROR(E79/D79,0)</f>
        <v>0</v>
      </c>
      <c r="P79" s="306"/>
    </row>
    <row r="80" spans="1:18">
      <c r="A80" s="294" t="s">
        <v>66</v>
      </c>
      <c r="B80" s="25">
        <f>'[31]CBK-Format PUBLISHED RWANDA'!$D79</f>
        <v>239773.17778000003</v>
      </c>
      <c r="C80" s="24">
        <f>B80/$C$61</f>
        <v>28182.94152230526</v>
      </c>
      <c r="D80" s="24">
        <f>[4]EBRL!$C80</f>
        <v>14538.050590402789</v>
      </c>
      <c r="E80" s="41">
        <f t="shared" si="6"/>
        <v>13644.890931902471</v>
      </c>
      <c r="F80" s="1291">
        <f>IFERROR(E80/D80,0)</f>
        <v>0.93856400120866745</v>
      </c>
      <c r="P80" s="309"/>
      <c r="Q80" s="70"/>
      <c r="R80" s="55"/>
    </row>
    <row r="81" spans="1:17">
      <c r="A81" s="303" t="s">
        <v>67</v>
      </c>
      <c r="B81" s="39">
        <f>SUM(B76:B80)</f>
        <v>7881218.2525700014</v>
      </c>
      <c r="C81" s="39">
        <f>SUM(C76:C80)</f>
        <v>926358.46591858589</v>
      </c>
      <c r="D81" s="39">
        <f>SUM(D76:D80)</f>
        <v>661986.44272066688</v>
      </c>
      <c r="E81" s="39">
        <f t="shared" si="6"/>
        <v>264372.02319791901</v>
      </c>
      <c r="F81" s="1292">
        <f>E81/D81</f>
        <v>0.39936168799981597</v>
      </c>
      <c r="K81" s="380"/>
      <c r="P81" s="309"/>
    </row>
    <row r="82" spans="1:17">
      <c r="A82" s="303" t="s">
        <v>68</v>
      </c>
      <c r="B82" s="39">
        <f>B81+B73</f>
        <v>23126986.669589996</v>
      </c>
      <c r="C82" s="39">
        <f>C81+C73</f>
        <v>2718346.225924504</v>
      </c>
      <c r="D82" s="39">
        <f>D81+D73</f>
        <v>1975669.8891558782</v>
      </c>
      <c r="E82" s="39">
        <f t="shared" si="6"/>
        <v>742676.33676862577</v>
      </c>
      <c r="F82" s="1292">
        <f>E82/D82</f>
        <v>0.37591114833761047</v>
      </c>
      <c r="P82" s="306"/>
    </row>
    <row r="83" spans="1:17">
      <c r="A83" s="298"/>
      <c r="B83" s="40"/>
      <c r="C83" s="42"/>
      <c r="D83" s="24"/>
      <c r="E83" s="42"/>
      <c r="F83" s="1303"/>
      <c r="P83" s="306"/>
    </row>
    <row r="84" spans="1:17">
      <c r="A84" s="298" t="s">
        <v>69</v>
      </c>
      <c r="B84" s="165"/>
      <c r="C84" s="43"/>
      <c r="D84" s="24"/>
      <c r="E84" s="43"/>
      <c r="F84" s="1303"/>
      <c r="J84" s="55"/>
      <c r="P84" s="306"/>
    </row>
    <row r="85" spans="1:17">
      <c r="A85" s="294" t="s">
        <v>70</v>
      </c>
      <c r="B85" s="25">
        <f>'[31]CBK-Format PUBLISHED RWANDA'!$D84</f>
        <v>1186828.8357200001</v>
      </c>
      <c r="C85" s="24">
        <f t="shared" ref="C85:C90" si="7">B85/$C$61</f>
        <v>139499.87227000165</v>
      </c>
      <c r="D85" s="24">
        <f>[4]EBRL!$C85</f>
        <v>156244.90096666911</v>
      </c>
      <c r="E85" s="43">
        <f t="shared" si="6"/>
        <v>-16745.028696667461</v>
      </c>
      <c r="F85" s="1291">
        <f t="shared" ref="F85:F91" si="8">IFERROR(E85/D85,0)</f>
        <v>-0.10717168107930504</v>
      </c>
      <c r="M85" s="55"/>
      <c r="N85" s="55"/>
      <c r="O85" s="871"/>
      <c r="P85" s="704"/>
    </row>
    <row r="86" spans="1:17">
      <c r="A86" s="294" t="s">
        <v>71</v>
      </c>
      <c r="B86" s="25">
        <f>'[31]CBK-Format PUBLISHED RWANDA'!$D85</f>
        <v>3301209.4417500002</v>
      </c>
      <c r="C86" s="24">
        <f t="shared" si="7"/>
        <v>388024.18815622304</v>
      </c>
      <c r="D86" s="24">
        <f>[4]EBRL!$C86</f>
        <v>287056.56871156924</v>
      </c>
      <c r="E86" s="43">
        <f t="shared" si="6"/>
        <v>100967.6194446538</v>
      </c>
      <c r="F86" s="1291">
        <f t="shared" si="8"/>
        <v>0.35173422401667725</v>
      </c>
      <c r="M86" s="55"/>
      <c r="N86" s="55"/>
      <c r="O86" s="871"/>
      <c r="P86" s="704"/>
    </row>
    <row r="87" spans="1:17">
      <c r="A87" s="294" t="s">
        <v>72</v>
      </c>
      <c r="B87" s="25">
        <f>'[31]CBK-Format PUBLISHED RWANDA'!$D86</f>
        <v>38742.519999999997</v>
      </c>
      <c r="C87" s="24">
        <f t="shared" si="7"/>
        <v>4553.7961572523218</v>
      </c>
      <c r="D87" s="24">
        <f>[4]EBRL!$C87</f>
        <v>7094.3971174954768</v>
      </c>
      <c r="E87" s="43">
        <f t="shared" si="6"/>
        <v>-2540.600960243155</v>
      </c>
      <c r="F87" s="1291">
        <f t="shared" si="8"/>
        <v>-0.3581137224441221</v>
      </c>
      <c r="K87" s="309">
        <f>SUM(C87:C91)</f>
        <v>549218.46799823293</v>
      </c>
      <c r="L87" s="309">
        <f>SUM(D87:D91)</f>
        <v>450400.5697404301</v>
      </c>
      <c r="M87" s="311">
        <f>K87-L87</f>
        <v>98817.898257802823</v>
      </c>
      <c r="N87" s="873">
        <f>M87/L87</f>
        <v>0.21940002943324977</v>
      </c>
      <c r="O87" s="871"/>
      <c r="P87" s="704"/>
    </row>
    <row r="88" spans="1:17">
      <c r="A88" s="294" t="s">
        <v>73</v>
      </c>
      <c r="B88" s="25">
        <f>'[31]CBK-Format PUBLISHED RWANDA'!$D87</f>
        <v>17460.413960000002</v>
      </c>
      <c r="C88" s="24">
        <f t="shared" si="7"/>
        <v>2052.2972175037353</v>
      </c>
      <c r="D88" s="24">
        <f>[4]EBRL!$C88</f>
        <v>4800.5931246046848</v>
      </c>
      <c r="E88" s="43">
        <f t="shared" si="6"/>
        <v>-2748.2959071009495</v>
      </c>
      <c r="F88" s="1291">
        <f t="shared" si="8"/>
        <v>-0.57249090597055419</v>
      </c>
      <c r="K88" s="309"/>
      <c r="L88" s="309"/>
      <c r="M88" s="311"/>
      <c r="N88" s="873"/>
      <c r="O88" s="871"/>
      <c r="P88" s="704"/>
    </row>
    <row r="89" spans="1:17">
      <c r="A89" s="294" t="s">
        <v>74</v>
      </c>
      <c r="B89" s="25">
        <f>'[31]CBK-Format PUBLISHED RWANDA'!$D88</f>
        <v>589211.13607000001</v>
      </c>
      <c r="C89" s="24">
        <f t="shared" si="7"/>
        <v>69255.88235473173</v>
      </c>
      <c r="D89" s="24">
        <f>[4]EBRL!$C89</f>
        <v>71557.14879372326</v>
      </c>
      <c r="E89" s="43">
        <f t="shared" si="6"/>
        <v>-2301.2664389915299</v>
      </c>
      <c r="F89" s="1291">
        <f t="shared" si="8"/>
        <v>-3.2159839761438186E-2</v>
      </c>
      <c r="K89" s="309"/>
      <c r="L89" s="309"/>
      <c r="M89" s="311"/>
      <c r="N89" s="873"/>
      <c r="O89" s="871"/>
      <c r="P89" s="704"/>
    </row>
    <row r="90" spans="1:17">
      <c r="A90" s="294" t="s">
        <v>75</v>
      </c>
      <c r="B90" s="25">
        <f>'[31]CBK-Format PUBLISHED RWANDA'!$D89</f>
        <v>42050.795960000003</v>
      </c>
      <c r="C90" s="24">
        <f t="shared" si="7"/>
        <v>4942.6509440286663</v>
      </c>
      <c r="D90" s="24">
        <f>[4]EBRL!$C90</f>
        <v>3916.340397226681</v>
      </c>
      <c r="E90" s="43">
        <f t="shared" si="6"/>
        <v>1026.3105468019853</v>
      </c>
      <c r="F90" s="1291">
        <f t="shared" si="8"/>
        <v>0.26205856557534102</v>
      </c>
      <c r="K90" s="55"/>
      <c r="L90" s="874"/>
      <c r="M90" s="55"/>
      <c r="N90" s="55"/>
      <c r="O90" s="953"/>
      <c r="P90" s="309"/>
      <c r="Q90" s="712"/>
    </row>
    <row r="91" spans="1:17">
      <c r="A91" s="294" t="s">
        <v>76</v>
      </c>
      <c r="B91" s="25">
        <f>'[31]CBK-Format PUBLISHED RWANDA'!$D90</f>
        <v>3985143.8204799984</v>
      </c>
      <c r="C91" s="24">
        <f>B91/$C$61</f>
        <v>468413.84132471646</v>
      </c>
      <c r="D91" s="24">
        <f>[4]EBRL!$C91</f>
        <v>363032.09030738001</v>
      </c>
      <c r="E91" s="43">
        <f t="shared" si="6"/>
        <v>105381.75101733644</v>
      </c>
      <c r="F91" s="1291">
        <f t="shared" si="8"/>
        <v>0.29028219221091306</v>
      </c>
      <c r="M91" s="55"/>
      <c r="N91" s="55"/>
      <c r="O91" s="1199"/>
      <c r="P91" s="1201"/>
      <c r="Q91" s="712"/>
    </row>
    <row r="92" spans="1:17">
      <c r="A92" s="303" t="s">
        <v>77</v>
      </c>
      <c r="B92" s="39">
        <f>SUM(B85:B91)</f>
        <v>9160646.9639399983</v>
      </c>
      <c r="C92" s="39">
        <f>SUM(C85:C91)</f>
        <v>1076742.5284244576</v>
      </c>
      <c r="D92" s="39">
        <f>SUM(D85:D91)</f>
        <v>893702.03941866849</v>
      </c>
      <c r="E92" s="39">
        <f t="shared" si="6"/>
        <v>183040.48900578916</v>
      </c>
      <c r="F92" s="1292">
        <f>E92/D92</f>
        <v>0.20481153777477398</v>
      </c>
      <c r="L92" s="380"/>
      <c r="P92" s="306"/>
    </row>
    <row r="93" spans="1:17">
      <c r="A93" s="303" t="s">
        <v>78</v>
      </c>
      <c r="B93" s="39">
        <f>B82-B92</f>
        <v>13966339.705649998</v>
      </c>
      <c r="C93" s="39">
        <f>C82-C92</f>
        <v>1641603.6975000463</v>
      </c>
      <c r="D93" s="39">
        <f>D82-D92</f>
        <v>1081967.8497372097</v>
      </c>
      <c r="E93" s="39">
        <f t="shared" si="6"/>
        <v>559635.84776283661</v>
      </c>
      <c r="F93" s="1292">
        <f>E93/D93</f>
        <v>0.51723888828929798</v>
      </c>
      <c r="P93" s="309"/>
    </row>
    <row r="94" spans="1:17">
      <c r="A94" s="294" t="s">
        <v>79</v>
      </c>
      <c r="B94" s="41">
        <v>0</v>
      </c>
      <c r="C94" s="24">
        <f>B94/$C$61</f>
        <v>0</v>
      </c>
      <c r="D94" s="24">
        <f>[4]EBRL!$C94</f>
        <v>0</v>
      </c>
      <c r="E94" s="43">
        <f t="shared" si="6"/>
        <v>0</v>
      </c>
      <c r="F94" s="1291">
        <f>IFERROR(E94/D94,0)</f>
        <v>0</v>
      </c>
      <c r="K94" s="52" t="s">
        <v>477</v>
      </c>
      <c r="L94" s="52" t="s">
        <v>478</v>
      </c>
      <c r="P94" s="306"/>
    </row>
    <row r="95" spans="1:17">
      <c r="A95" s="294" t="s">
        <v>80</v>
      </c>
      <c r="B95" s="41">
        <v>0</v>
      </c>
      <c r="C95" s="24">
        <f>B95/$C$61</f>
        <v>0</v>
      </c>
      <c r="D95" s="24">
        <f>[4]EBRL!$C95</f>
        <v>0</v>
      </c>
      <c r="E95" s="43">
        <f>(C95-D95)</f>
        <v>0</v>
      </c>
      <c r="F95" s="1291">
        <f>IFERROR(E95/D95,0)</f>
        <v>0</v>
      </c>
      <c r="O95" s="1291"/>
      <c r="P95" s="306"/>
    </row>
    <row r="96" spans="1:17">
      <c r="A96" s="932" t="s">
        <v>81</v>
      </c>
      <c r="B96" s="174">
        <f>SUM(B93:B95)</f>
        <v>13966339.705649998</v>
      </c>
      <c r="C96" s="174">
        <f>SUM(C93:C95)</f>
        <v>1641603.6975000463</v>
      </c>
      <c r="D96" s="174">
        <f>SUM(D93:D95)</f>
        <v>1081967.8497372097</v>
      </c>
      <c r="E96" s="174">
        <f t="shared" si="6"/>
        <v>559635.84776283661</v>
      </c>
      <c r="F96" s="1354">
        <f>E96/D96</f>
        <v>0.51723888828929798</v>
      </c>
      <c r="I96" s="867"/>
      <c r="K96" s="669">
        <v>856727.10200574237</v>
      </c>
      <c r="L96" s="670">
        <f>K96-C96</f>
        <v>-784876.59549430397</v>
      </c>
      <c r="P96" s="1202"/>
    </row>
    <row r="97" spans="1:18">
      <c r="A97" s="294" t="s">
        <v>91</v>
      </c>
      <c r="B97" s="41">
        <f>'[31]CBK-Format PUBLISHED RWANDA'!$D$95</f>
        <v>-4189901.9118300001</v>
      </c>
      <c r="C97" s="24">
        <f>B97/$C$61</f>
        <v>-492481.10926588182</v>
      </c>
      <c r="D97" s="24">
        <f>[4]EBRL!$C97</f>
        <v>-271750.45209990168</v>
      </c>
      <c r="E97" s="82">
        <f t="shared" si="6"/>
        <v>-220730.65716598014</v>
      </c>
      <c r="F97" s="1291">
        <f>IFERROR(E97/D97,0)</f>
        <v>0.81225497680068071</v>
      </c>
      <c r="J97" s="105" t="s">
        <v>644</v>
      </c>
      <c r="K97" s="380"/>
      <c r="O97" s="1453">
        <f>-B97/B96</f>
        <v>0.30000000000966615</v>
      </c>
      <c r="P97" s="1202"/>
      <c r="Q97" s="697"/>
      <c r="R97" s="697"/>
    </row>
    <row r="98" spans="1:18">
      <c r="A98" s="299" t="s">
        <v>92</v>
      </c>
      <c r="B98" s="25">
        <f>'[31]CBK-Format PUBLISHED RWANDA'!$D$96</f>
        <v>0</v>
      </c>
      <c r="C98" s="24">
        <f>B98/$C$61</f>
        <v>0</v>
      </c>
      <c r="D98" s="24">
        <f>[4]EBRL!$C98</f>
        <v>0</v>
      </c>
      <c r="E98" s="82">
        <f t="shared" si="6"/>
        <v>0</v>
      </c>
      <c r="F98" s="1291">
        <f>IFERROR(E98/D98,0)</f>
        <v>0</v>
      </c>
      <c r="P98" s="1202"/>
    </row>
    <row r="99" spans="1:18" ht="13.5" thickBot="1">
      <c r="A99" s="933" t="s">
        <v>93</v>
      </c>
      <c r="B99" s="175">
        <f>SUM(B96:B98)</f>
        <v>9776437.7938199975</v>
      </c>
      <c r="C99" s="175">
        <f>SUM(C96:C98)</f>
        <v>1149122.5882341645</v>
      </c>
      <c r="D99" s="175">
        <f>SUM(D96:D98)</f>
        <v>810217.39763730811</v>
      </c>
      <c r="E99" s="175">
        <f>SUM(E96:E98)</f>
        <v>338905.19059685647</v>
      </c>
      <c r="F99" s="1355">
        <f>E99/D99</f>
        <v>0.41828920433595351</v>
      </c>
      <c r="P99" s="1202"/>
    </row>
    <row r="100" spans="1:18" ht="13.5" thickBot="1">
      <c r="A100" s="201"/>
      <c r="B100" s="52"/>
      <c r="C100" s="875"/>
      <c r="D100" s="875"/>
      <c r="E100" s="102"/>
      <c r="F100" s="1352"/>
    </row>
    <row r="101" spans="1:18" ht="13.5" thickBot="1">
      <c r="A101" s="934" t="s">
        <v>150</v>
      </c>
      <c r="B101" s="611"/>
      <c r="C101" s="611"/>
      <c r="D101" s="611"/>
      <c r="E101" s="611"/>
      <c r="F101" s="1347"/>
    </row>
    <row r="102" spans="1:18">
      <c r="A102" s="420"/>
      <c r="B102" s="1200">
        <f>B3</f>
        <v>45046</v>
      </c>
      <c r="C102" s="1200">
        <f>B102</f>
        <v>45046</v>
      </c>
      <c r="D102" s="1200">
        <f>D3</f>
        <v>44681</v>
      </c>
      <c r="E102" s="1596" t="s">
        <v>151</v>
      </c>
      <c r="F102" s="1598" t="s">
        <v>152</v>
      </c>
    </row>
    <row r="103" spans="1:18">
      <c r="A103" s="420"/>
      <c r="B103" s="86" t="s">
        <v>99</v>
      </c>
      <c r="C103" s="83" t="s">
        <v>97</v>
      </c>
      <c r="D103" s="83" t="s">
        <v>153</v>
      </c>
      <c r="E103" s="1597"/>
      <c r="F103" s="1599"/>
    </row>
    <row r="104" spans="1:18">
      <c r="A104" s="420"/>
      <c r="B104" s="21" t="s">
        <v>614</v>
      </c>
      <c r="C104" s="21" t="s">
        <v>614</v>
      </c>
      <c r="D104" s="21" t="s">
        <v>614</v>
      </c>
      <c r="E104" s="85"/>
      <c r="F104" s="1325"/>
    </row>
    <row r="105" spans="1:18">
      <c r="A105" s="294"/>
      <c r="B105" s="43"/>
      <c r="C105" s="43"/>
      <c r="D105" s="43"/>
      <c r="E105" s="43"/>
      <c r="F105" s="1303"/>
    </row>
    <row r="106" spans="1:18">
      <c r="A106" s="1600" t="s">
        <v>114</v>
      </c>
      <c r="B106" s="1601"/>
      <c r="C106" s="43"/>
      <c r="D106" s="43"/>
      <c r="E106" s="43"/>
      <c r="F106" s="1303"/>
    </row>
    <row r="107" spans="1:18" s="178" customFormat="1">
      <c r="A107" s="298" t="s">
        <v>115</v>
      </c>
      <c r="B107" s="42">
        <f>'[31]ADDITIONAL DISCLOSURES'!$B$8</f>
        <v>17894111.19889966</v>
      </c>
      <c r="C107" s="42">
        <f>'[6]30_March_2023'!$H$6</f>
        <v>2136841.9534316259</v>
      </c>
      <c r="D107" s="42">
        <f>'[32]31_Dec_2021'!$H$6</f>
        <v>2311967.056992793</v>
      </c>
      <c r="E107" s="42">
        <f t="shared" ref="E107:E113" si="9">C107-D107</f>
        <v>-175125.10356116714</v>
      </c>
      <c r="F107" s="1302">
        <f>E107/D107</f>
        <v>-7.5747231359323403E-2</v>
      </c>
      <c r="I107" s="287"/>
      <c r="O107" s="1198"/>
    </row>
    <row r="108" spans="1:18">
      <c r="A108" s="294" t="s">
        <v>116</v>
      </c>
      <c r="B108" s="43">
        <f>'[31]ADDITIONAL DISCLOSURES'!$B$9</f>
        <v>3224732.5247499999</v>
      </c>
      <c r="C108" s="43">
        <f>'[6]30_March_2023'!$H$7</f>
        <v>511961.29161274381</v>
      </c>
      <c r="D108" s="43">
        <f>'[32]31_Dec_2021'!$H$7</f>
        <v>362635.93164951552</v>
      </c>
      <c r="E108" s="43">
        <f t="shared" si="9"/>
        <v>149325.35996322829</v>
      </c>
      <c r="F108" s="1303">
        <f>E108/D108</f>
        <v>0.41177761752398534</v>
      </c>
    </row>
    <row r="109" spans="1:18" s="178" customFormat="1">
      <c r="A109" s="298" t="s">
        <v>117</v>
      </c>
      <c r="B109" s="48">
        <f>B107-B108</f>
        <v>14669378.67414966</v>
      </c>
      <c r="C109" s="48">
        <f>C107-C108</f>
        <v>1624880.661818882</v>
      </c>
      <c r="D109" s="48">
        <f>D107-D108</f>
        <v>1949331.1253432776</v>
      </c>
      <c r="E109" s="48">
        <f t="shared" si="9"/>
        <v>-324450.4635243956</v>
      </c>
      <c r="F109" s="1297">
        <f>E109/D109</f>
        <v>-0.16644194478106422</v>
      </c>
      <c r="I109" s="287"/>
      <c r="O109" s="1198"/>
    </row>
    <row r="110" spans="1:18">
      <c r="A110" s="294" t="s">
        <v>118</v>
      </c>
      <c r="B110" s="43">
        <f>'[31]ADDITIONAL DISCLOSURES'!$B$11</f>
        <v>13006942.405409999</v>
      </c>
      <c r="C110" s="43">
        <f>'[6]30_March_2023'!$H$9</f>
        <v>1129654.7145031975</v>
      </c>
      <c r="D110" s="43">
        <f>'[32]31_Dec_2021'!$H$9</f>
        <v>659619.93463825237</v>
      </c>
      <c r="E110" s="43">
        <f t="shared" si="9"/>
        <v>470034.7798649451</v>
      </c>
      <c r="F110" s="1303">
        <f>E110/D110</f>
        <v>0.71258425523892144</v>
      </c>
    </row>
    <row r="111" spans="1:18" s="178" customFormat="1">
      <c r="A111" s="298" t="s">
        <v>119</v>
      </c>
      <c r="B111" s="48">
        <f>B109-B110</f>
        <v>1662436.2687396612</v>
      </c>
      <c r="C111" s="48">
        <f>C109-C110</f>
        <v>495225.94731568452</v>
      </c>
      <c r="D111" s="48">
        <f>D109-D110</f>
        <v>1289711.1907050251</v>
      </c>
      <c r="E111" s="48">
        <f t="shared" si="9"/>
        <v>-794485.24338934058</v>
      </c>
      <c r="F111" s="1297">
        <f>E111/D111</f>
        <v>-0.61601794968921098</v>
      </c>
      <c r="I111" s="287"/>
      <c r="O111" s="1198"/>
    </row>
    <row r="112" spans="1:18">
      <c r="A112" s="294" t="s">
        <v>120</v>
      </c>
      <c r="B112" s="43">
        <f>B111</f>
        <v>1662436.2687396612</v>
      </c>
      <c r="C112" s="43">
        <f>'[6]30_March_2023'!$H$11</f>
        <v>495225.94731568452</v>
      </c>
      <c r="D112" s="43">
        <f>'[32]31_Dec_2021'!$H$11</f>
        <v>1289711.19070503</v>
      </c>
      <c r="E112" s="43">
        <f t="shared" si="9"/>
        <v>-794485.24338934547</v>
      </c>
      <c r="F112" s="1303"/>
    </row>
    <row r="113" spans="1:15" ht="13.5" thickBot="1">
      <c r="A113" s="932" t="s">
        <v>121</v>
      </c>
      <c r="B113" s="65">
        <f>B111-B112</f>
        <v>0</v>
      </c>
      <c r="C113" s="65">
        <f t="shared" ref="C113" si="10">B113/$C$7</f>
        <v>0</v>
      </c>
      <c r="D113" s="65">
        <f>D111</f>
        <v>1289711.1907050251</v>
      </c>
      <c r="E113" s="65">
        <f t="shared" si="9"/>
        <v>-1289711.1907050251</v>
      </c>
      <c r="F113" s="1326">
        <f>E113/D113</f>
        <v>-1</v>
      </c>
    </row>
    <row r="114" spans="1:15">
      <c r="A114" s="294"/>
      <c r="B114" s="81"/>
      <c r="C114" s="81"/>
      <c r="D114" s="81"/>
      <c r="E114" s="43"/>
      <c r="F114" s="1303"/>
    </row>
    <row r="115" spans="1:15">
      <c r="A115" s="298" t="s">
        <v>122</v>
      </c>
      <c r="B115" s="81"/>
      <c r="C115" s="81"/>
      <c r="D115" s="81"/>
      <c r="E115" s="43"/>
      <c r="F115" s="1303"/>
    </row>
    <row r="116" spans="1:15">
      <c r="A116" s="294" t="s">
        <v>123</v>
      </c>
      <c r="B116" s="43">
        <f>'[31]ADDITIONAL DISCLOSURES'!$B$17</f>
        <v>124664.9868</v>
      </c>
      <c r="C116" s="43">
        <f>B116/$C$7</f>
        <v>15198.63663036435</v>
      </c>
      <c r="D116" s="43">
        <v>0</v>
      </c>
      <c r="E116" s="43">
        <f>C116-D116</f>
        <v>15198.63663036435</v>
      </c>
      <c r="F116" s="1303">
        <v>0</v>
      </c>
    </row>
    <row r="117" spans="1:15">
      <c r="A117" s="294" t="s">
        <v>124</v>
      </c>
      <c r="B117" s="43">
        <f>'[31]ADDITIONAL DISCLOSURES'!$B$19</f>
        <v>6715940.0236299997</v>
      </c>
      <c r="C117" s="43">
        <f>B117/$C$7</f>
        <v>818779.47185145761</v>
      </c>
      <c r="D117" s="43">
        <f>[4]EBRL!$C$118</f>
        <v>690345.74602823111</v>
      </c>
      <c r="E117" s="43">
        <f>C117-D117</f>
        <v>128433.7258232265</v>
      </c>
      <c r="F117" s="1303">
        <f>E117/D117</f>
        <v>0.18604261207104522</v>
      </c>
    </row>
    <row r="118" spans="1:15" ht="13.5" thickBot="1">
      <c r="A118" s="932" t="s">
        <v>125</v>
      </c>
      <c r="B118" s="65">
        <f>B116+B117</f>
        <v>6840605.0104299998</v>
      </c>
      <c r="C118" s="65">
        <f>C116+C117</f>
        <v>833978.10848182195</v>
      </c>
      <c r="D118" s="65">
        <f>D116+D117</f>
        <v>690345.74602823111</v>
      </c>
      <c r="E118" s="65">
        <f>C118-D118</f>
        <v>143632.36245359085</v>
      </c>
      <c r="F118" s="1326">
        <f>E118/D118</f>
        <v>0.208058589887678</v>
      </c>
    </row>
    <row r="119" spans="1:15">
      <c r="A119" s="294"/>
      <c r="B119" s="43"/>
      <c r="C119" s="43"/>
      <c r="D119" s="43"/>
      <c r="E119" s="43"/>
      <c r="F119" s="1303"/>
    </row>
    <row r="120" spans="1:15">
      <c r="A120" s="298" t="s">
        <v>126</v>
      </c>
      <c r="B120" s="43"/>
      <c r="C120" s="43"/>
      <c r="D120" s="43"/>
      <c r="E120" s="43"/>
      <c r="F120" s="1303"/>
    </row>
    <row r="121" spans="1:15">
      <c r="A121" s="294" t="s">
        <v>127</v>
      </c>
      <c r="B121" s="43">
        <f>'[31]ADDITIONAL DISCLOSURES'!$B$24</f>
        <v>15898913.449070519</v>
      </c>
      <c r="C121" s="43">
        <f>B121/$C$7</f>
        <v>1938329.3941040677</v>
      </c>
      <c r="D121" s="43">
        <f>[4]EBRL!$C$121</f>
        <v>1684691.6683405447</v>
      </c>
      <c r="E121" s="43">
        <f>C121-D121</f>
        <v>253637.72576352302</v>
      </c>
      <c r="F121" s="1303">
        <f>E121/D121</f>
        <v>0.15055438958356179</v>
      </c>
    </row>
    <row r="122" spans="1:15">
      <c r="A122" s="294" t="s">
        <v>128</v>
      </c>
      <c r="B122" s="43">
        <f>'[31]ADDITIONAL DISCLOSURES'!$B$25</f>
        <v>69424539.735678926</v>
      </c>
      <c r="C122" s="43">
        <f>B122/$C$7</f>
        <v>8463951.1041353196</v>
      </c>
      <c r="D122" s="43">
        <v>0</v>
      </c>
      <c r="E122" s="43">
        <v>0</v>
      </c>
      <c r="F122" s="1303">
        <v>0</v>
      </c>
    </row>
    <row r="123" spans="1:15" ht="13.5" thickBot="1">
      <c r="A123" s="932" t="s">
        <v>129</v>
      </c>
      <c r="B123" s="65">
        <f>B121+B122</f>
        <v>85323453.184749439</v>
      </c>
      <c r="C123" s="65">
        <f>C121+C122</f>
        <v>10402280.498239387</v>
      </c>
      <c r="D123" s="65">
        <f>D121+D122</f>
        <v>1684691.6683405447</v>
      </c>
      <c r="E123" s="65"/>
      <c r="F123" s="1326"/>
    </row>
    <row r="124" spans="1:15">
      <c r="A124" s="294"/>
      <c r="B124" s="81"/>
      <c r="C124" s="81"/>
      <c r="D124" s="81"/>
      <c r="E124" s="43"/>
      <c r="F124" s="1303"/>
    </row>
    <row r="125" spans="1:15">
      <c r="A125" s="298" t="s">
        <v>130</v>
      </c>
      <c r="B125" s="81"/>
      <c r="C125" s="81"/>
      <c r="D125" s="81"/>
      <c r="E125" s="43"/>
      <c r="F125" s="1303"/>
    </row>
    <row r="126" spans="1:15" s="178" customFormat="1">
      <c r="A126" s="298" t="s">
        <v>131</v>
      </c>
      <c r="B126" s="42">
        <f>'[31]ADDITIONAL DISCLOSURES'!$B$29</f>
        <v>70413302.169342995</v>
      </c>
      <c r="C126" s="42">
        <f>B126/$C$7</f>
        <v>8584496.9071611855</v>
      </c>
      <c r="D126" s="42">
        <f>[4]EBRL!$C$126</f>
        <v>7700137.4716975009</v>
      </c>
      <c r="E126" s="42">
        <f>C126-D126</f>
        <v>884359.43546368461</v>
      </c>
      <c r="F126" s="1302">
        <f>E126/D126</f>
        <v>0.11484982426797205</v>
      </c>
      <c r="I126" s="287"/>
      <c r="O126" s="1198"/>
    </row>
    <row r="127" spans="1:15">
      <c r="A127" s="294" t="s">
        <v>132</v>
      </c>
      <c r="B127" s="43">
        <f>'[31]ADDITIONAL DISCLOSURES'!$B$30</f>
        <v>5000000</v>
      </c>
      <c r="C127" s="43">
        <f>D127</f>
        <v>623177.20667048881</v>
      </c>
      <c r="D127" s="43">
        <f>[4]EBRL!$C$127</f>
        <v>623177.20667048881</v>
      </c>
      <c r="E127" s="43"/>
      <c r="F127" s="1303"/>
      <c r="K127" s="55">
        <v>-8847.2105486383662</v>
      </c>
    </row>
    <row r="128" spans="1:15">
      <c r="A128" s="935" t="s">
        <v>509</v>
      </c>
      <c r="B128" s="876">
        <f>B126-B127</f>
        <v>65413302.169342995</v>
      </c>
      <c r="C128" s="876">
        <f>C126-C127</f>
        <v>7961319.7004906964</v>
      </c>
      <c r="D128" s="876">
        <f>D126-D127</f>
        <v>7076960.2650270117</v>
      </c>
      <c r="E128" s="48">
        <f>C128-D128</f>
        <v>884359.43546368461</v>
      </c>
      <c r="F128" s="1297">
        <f>E128/D128</f>
        <v>0.12496317661044676</v>
      </c>
    </row>
    <row r="129" spans="1:15">
      <c r="A129" s="294" t="s">
        <v>134</v>
      </c>
      <c r="B129" s="43">
        <f>'[31]ADDITIONAL DISCLOSURES'!$B$33-'[31]ADDITIONAL DISCLOSURES'!$B$29</f>
        <v>1186828.8357200027</v>
      </c>
      <c r="C129" s="43">
        <f>B129/$C$7</f>
        <v>144693.23488146157</v>
      </c>
      <c r="D129" s="43">
        <f>[4]EBRL!$C$130</f>
        <v>7725815.1100842645</v>
      </c>
      <c r="E129" s="43"/>
      <c r="F129" s="1303"/>
    </row>
    <row r="130" spans="1:15" s="178" customFormat="1">
      <c r="A130" s="298" t="s">
        <v>135</v>
      </c>
      <c r="B130" s="845">
        <f>B129+B126</f>
        <v>71600131.005062997</v>
      </c>
      <c r="C130" s="42">
        <f>C129+C126</f>
        <v>8729190.1420426462</v>
      </c>
      <c r="D130" s="845">
        <f>D126</f>
        <v>7700137.4716975009</v>
      </c>
      <c r="E130" s="42">
        <f>C130-D130</f>
        <v>1029052.6703451453</v>
      </c>
      <c r="F130" s="1302">
        <f>E130/D130</f>
        <v>0.13364081798896635</v>
      </c>
      <c r="I130" s="287"/>
      <c r="O130" s="1198"/>
    </row>
    <row r="131" spans="1:15" s="178" customFormat="1">
      <c r="A131" s="298" t="s">
        <v>136</v>
      </c>
      <c r="B131" s="845">
        <f>'[31]ADDITIONAL DISCLOSURES'!$B$34</f>
        <v>83147687.939378381</v>
      </c>
      <c r="C131" s="42">
        <f>B131/$C$7</f>
        <v>10137020.249903403</v>
      </c>
      <c r="D131" s="845">
        <f>[4]EBRL!$C$131</f>
        <v>36696020.015324913</v>
      </c>
      <c r="E131" s="42">
        <f>C131-D131</f>
        <v>-26558999.76542151</v>
      </c>
      <c r="F131" s="1302">
        <f>E131/D131</f>
        <v>-0.72375695659447525</v>
      </c>
      <c r="I131" s="287"/>
      <c r="O131" s="1198"/>
    </row>
    <row r="132" spans="1:15">
      <c r="A132" s="298" t="s">
        <v>137</v>
      </c>
      <c r="B132" s="43"/>
      <c r="C132" s="43"/>
      <c r="D132" s="43"/>
      <c r="E132" s="43"/>
      <c r="F132" s="1303"/>
    </row>
    <row r="133" spans="1:15" s="178" customFormat="1">
      <c r="A133" s="298" t="s">
        <v>138</v>
      </c>
      <c r="B133" s="703">
        <f>'[31]EBR RATIOS'!$D$10</f>
        <v>0.15142713830520962</v>
      </c>
      <c r="C133" s="703">
        <f>B133</f>
        <v>0.15142713830520962</v>
      </c>
      <c r="D133" s="703">
        <f>[4]EBRL!$C$133</f>
        <v>0.18367461090489967</v>
      </c>
      <c r="E133" s="703">
        <f>B133-D133</f>
        <v>-3.2247472599690047E-2</v>
      </c>
      <c r="F133" s="1302">
        <f>E133/D133</f>
        <v>-0.17556848189751531</v>
      </c>
      <c r="I133" s="287"/>
      <c r="J133" s="889"/>
      <c r="K133" s="889"/>
      <c r="O133" s="1198"/>
    </row>
    <row r="134" spans="1:15">
      <c r="A134" s="294" t="s">
        <v>139</v>
      </c>
      <c r="B134" s="633">
        <v>0.105</v>
      </c>
      <c r="C134" s="633">
        <f t="shared" ref="C134:C140" si="11">B134</f>
        <v>0.105</v>
      </c>
      <c r="D134" s="633">
        <v>0.105</v>
      </c>
      <c r="E134" s="633"/>
      <c r="F134" s="1303"/>
      <c r="J134" s="890"/>
      <c r="K134" s="890"/>
      <c r="O134" s="1198"/>
    </row>
    <row r="135" spans="1:15">
      <c r="A135" s="935" t="s">
        <v>507</v>
      </c>
      <c r="B135" s="634">
        <f>B133-B134</f>
        <v>4.6427138305209628E-2</v>
      </c>
      <c r="C135" s="634">
        <f>B135</f>
        <v>4.6427138305209628E-2</v>
      </c>
      <c r="D135" s="634">
        <f>D133-D134</f>
        <v>7.8674610904899675E-2</v>
      </c>
      <c r="E135" s="634">
        <f>B135-D135</f>
        <v>-3.2247472599690047E-2</v>
      </c>
      <c r="F135" s="1297">
        <f>E135/D135</f>
        <v>-0.40988410655974084</v>
      </c>
      <c r="J135" s="890"/>
      <c r="K135" s="890"/>
      <c r="O135" s="1198"/>
    </row>
    <row r="136" spans="1:15" s="178" customFormat="1">
      <c r="A136" s="298" t="s">
        <v>141</v>
      </c>
      <c r="B136" s="877">
        <f>'[31]ADDITIONAL DISCLOSURES'!$B$38</f>
        <v>0.8468461831516011</v>
      </c>
      <c r="C136" s="877">
        <f>B136</f>
        <v>0.8468461831516011</v>
      </c>
      <c r="D136" s="703">
        <f>[4]EBRL!$C$136</f>
        <v>0.20983576607168258</v>
      </c>
      <c r="E136" s="877">
        <f>B136-D136</f>
        <v>0.63701041707991846</v>
      </c>
      <c r="F136" s="1302">
        <f>E136/D136</f>
        <v>3.0357571018770342</v>
      </c>
      <c r="I136" s="287"/>
      <c r="J136" s="889"/>
      <c r="K136" s="889"/>
      <c r="O136" s="1198"/>
    </row>
    <row r="137" spans="1:15">
      <c r="A137" s="294" t="s">
        <v>142</v>
      </c>
      <c r="B137" s="878">
        <v>0.1</v>
      </c>
      <c r="C137" s="878">
        <f t="shared" si="11"/>
        <v>0.1</v>
      </c>
      <c r="D137" s="633">
        <f>C137</f>
        <v>0.1</v>
      </c>
      <c r="E137" s="878"/>
      <c r="F137" s="1303"/>
      <c r="J137" s="890"/>
      <c r="K137" s="890"/>
      <c r="O137" s="1198"/>
    </row>
    <row r="138" spans="1:15">
      <c r="A138" s="935" t="s">
        <v>143</v>
      </c>
      <c r="B138" s="634">
        <f>B136-B137</f>
        <v>0.74684618315160112</v>
      </c>
      <c r="C138" s="634">
        <f>B138</f>
        <v>0.74684618315160112</v>
      </c>
      <c r="D138" s="634">
        <f>D136-D137</f>
        <v>0.10983576607168258</v>
      </c>
      <c r="E138" s="634">
        <f>B138-D138</f>
        <v>0.63701041707991857</v>
      </c>
      <c r="F138" s="1348">
        <f>E138/D138</f>
        <v>5.7996628954559641</v>
      </c>
      <c r="J138" s="890"/>
      <c r="K138" s="890"/>
      <c r="O138" s="1198"/>
    </row>
    <row r="139" spans="1:15" s="178" customFormat="1">
      <c r="A139" s="298" t="s">
        <v>144</v>
      </c>
      <c r="B139" s="703">
        <f>'[31]ADDITIONAL DISCLOSURES'!$B$41</f>
        <v>0.86111992743881804</v>
      </c>
      <c r="C139" s="703">
        <f>B139</f>
        <v>0.86111992743881804</v>
      </c>
      <c r="D139" s="703">
        <f>[4]EBRL!$C$139</f>
        <v>0.21053550512719976</v>
      </c>
      <c r="E139" s="703">
        <f>B139-D139</f>
        <v>0.65058442231161828</v>
      </c>
      <c r="F139" s="1302">
        <f>E139/D139</f>
        <v>3.0901411233157705</v>
      </c>
      <c r="I139" s="287"/>
      <c r="J139" s="889"/>
      <c r="K139" s="889"/>
      <c r="O139" s="1198"/>
    </row>
    <row r="140" spans="1:15">
      <c r="A140" s="294" t="s">
        <v>145</v>
      </c>
      <c r="B140" s="633">
        <v>0.15</v>
      </c>
      <c r="C140" s="633">
        <f t="shared" si="11"/>
        <v>0.15</v>
      </c>
      <c r="D140" s="633">
        <v>0.15</v>
      </c>
      <c r="E140" s="633"/>
      <c r="F140" s="1303"/>
      <c r="J140" s="890"/>
      <c r="K140" s="890"/>
      <c r="O140" s="1198"/>
    </row>
    <row r="141" spans="1:15">
      <c r="A141" s="935" t="s">
        <v>505</v>
      </c>
      <c r="B141" s="634">
        <f>B139-B140</f>
        <v>0.71111992743881802</v>
      </c>
      <c r="C141" s="634">
        <f>B141</f>
        <v>0.71111992743881802</v>
      </c>
      <c r="D141" s="634">
        <f>D139-D140</f>
        <v>6.0535505127199768E-2</v>
      </c>
      <c r="E141" s="634">
        <f>B141-D141</f>
        <v>0.65058442231161828</v>
      </c>
      <c r="F141" s="1297">
        <f>E141/D141</f>
        <v>10.74715443349457</v>
      </c>
      <c r="J141" s="890"/>
      <c r="K141" s="890"/>
      <c r="O141" s="1198"/>
    </row>
    <row r="142" spans="1:15">
      <c r="A142" s="294"/>
      <c r="B142" s="633"/>
      <c r="C142" s="633"/>
      <c r="D142" s="635"/>
      <c r="E142" s="633"/>
      <c r="F142" s="1303"/>
      <c r="J142" s="890"/>
      <c r="K142" s="890"/>
    </row>
    <row r="143" spans="1:15">
      <c r="A143" s="298" t="s">
        <v>147</v>
      </c>
      <c r="B143" s="633"/>
      <c r="C143" s="633"/>
      <c r="D143" s="635"/>
      <c r="E143" s="633"/>
      <c r="F143" s="1303"/>
      <c r="J143" s="890"/>
      <c r="K143" s="890"/>
    </row>
    <row r="144" spans="1:15" s="178" customFormat="1">
      <c r="A144" s="298" t="s">
        <v>148</v>
      </c>
      <c r="B144" s="703">
        <f>'[31]ADDITIONAL DISCLOSURES'!$B$46</f>
        <v>2.76</v>
      </c>
      <c r="C144" s="703">
        <f>B144</f>
        <v>2.76</v>
      </c>
      <c r="D144" s="703">
        <f>'[33]ADDITIONAL DISCLOSURES'!$B$45</f>
        <v>2.83</v>
      </c>
      <c r="E144" s="703">
        <f>B144-D144</f>
        <v>-7.0000000000000284E-2</v>
      </c>
      <c r="F144" s="1302">
        <f>E144/D144</f>
        <v>-2.4734982332155576E-2</v>
      </c>
      <c r="I144" s="287"/>
      <c r="J144" s="889"/>
      <c r="K144" s="889">
        <v>2.83</v>
      </c>
      <c r="O144" s="1198"/>
    </row>
    <row r="145" spans="1:11">
      <c r="A145" s="294" t="s">
        <v>149</v>
      </c>
      <c r="B145" s="633">
        <f>'[31]ADDITIONAL DISCLOSURES'!$B$47</f>
        <v>1</v>
      </c>
      <c r="C145" s="633">
        <f>B145</f>
        <v>1</v>
      </c>
      <c r="D145" s="633">
        <v>1</v>
      </c>
      <c r="E145" s="633"/>
      <c r="F145" s="1303"/>
      <c r="J145" s="890"/>
      <c r="K145" s="890">
        <v>1</v>
      </c>
    </row>
    <row r="146" spans="1:11" ht="13.5" thickBot="1">
      <c r="A146" s="936" t="s">
        <v>508</v>
      </c>
      <c r="B146" s="636">
        <f>B144-B145</f>
        <v>1.7599999999999998</v>
      </c>
      <c r="C146" s="636">
        <f>B146</f>
        <v>1.7599999999999998</v>
      </c>
      <c r="D146" s="636">
        <f>D144-D145</f>
        <v>1.83</v>
      </c>
      <c r="E146" s="636">
        <f>C146-D146</f>
        <v>-7.0000000000000284E-2</v>
      </c>
      <c r="F146" s="1298">
        <f>E146/D146</f>
        <v>-3.8251366120218733E-2</v>
      </c>
      <c r="J146" s="890"/>
      <c r="K146" s="890">
        <v>1.83</v>
      </c>
    </row>
    <row r="147" spans="1:11">
      <c r="A147" s="201"/>
      <c r="B147" s="52"/>
      <c r="C147" s="102"/>
      <c r="D147" s="52"/>
      <c r="E147" s="52"/>
      <c r="F147" s="73"/>
    </row>
    <row r="148" spans="1:11">
      <c r="A148" s="201"/>
      <c r="B148" s="52"/>
      <c r="C148" s="102"/>
      <c r="D148" s="52"/>
      <c r="E148" s="52"/>
      <c r="F148" s="73"/>
    </row>
    <row r="149" spans="1:11">
      <c r="A149" s="201"/>
      <c r="B149" s="52"/>
      <c r="C149" s="102"/>
      <c r="D149" s="52"/>
      <c r="E149" s="52"/>
      <c r="F149" s="73"/>
    </row>
    <row r="150" spans="1:11">
      <c r="A150" s="201"/>
      <c r="B150" s="52"/>
      <c r="C150" s="102"/>
      <c r="D150" s="52"/>
      <c r="E150" s="52"/>
      <c r="F150" s="73"/>
    </row>
    <row r="151" spans="1:11">
      <c r="A151" s="201"/>
      <c r="B151" s="52"/>
      <c r="C151" s="102"/>
      <c r="D151" s="52"/>
      <c r="E151" s="52"/>
      <c r="F151" s="73"/>
    </row>
    <row r="152" spans="1:11">
      <c r="A152" s="201"/>
      <c r="B152" s="52"/>
      <c r="C152" s="102"/>
      <c r="D152" s="52"/>
      <c r="E152" s="52"/>
      <c r="F152" s="73"/>
    </row>
    <row r="153" spans="1:11">
      <c r="A153" s="201"/>
      <c r="B153" s="52"/>
      <c r="C153" s="102"/>
      <c r="D153" s="52"/>
      <c r="E153" s="52"/>
      <c r="F153" s="73"/>
    </row>
    <row r="154" spans="1:11">
      <c r="A154" s="201"/>
      <c r="B154" s="52"/>
      <c r="C154" s="102"/>
      <c r="D154" s="52"/>
      <c r="E154" s="52"/>
      <c r="F154" s="73"/>
    </row>
    <row r="155" spans="1:11">
      <c r="A155" s="201"/>
      <c r="B155" s="52"/>
      <c r="C155" s="102"/>
      <c r="D155" s="52"/>
      <c r="E155" s="52"/>
      <c r="F155" s="73"/>
    </row>
    <row r="156" spans="1:11">
      <c r="A156" s="201"/>
      <c r="B156" s="52"/>
      <c r="C156" s="102"/>
      <c r="D156" s="52"/>
      <c r="E156" s="52"/>
      <c r="F156" s="73"/>
    </row>
    <row r="157" spans="1:11">
      <c r="A157" s="201"/>
      <c r="B157" s="52"/>
      <c r="C157" s="102"/>
      <c r="D157" s="52"/>
      <c r="E157" s="52"/>
      <c r="F157" s="73"/>
    </row>
    <row r="158" spans="1:11">
      <c r="A158" s="201"/>
      <c r="B158" s="52"/>
      <c r="C158" s="102"/>
      <c r="D158" s="52"/>
      <c r="E158" s="52"/>
      <c r="F158" s="73"/>
    </row>
    <row r="159" spans="1:11">
      <c r="A159" s="201"/>
      <c r="B159" s="52"/>
      <c r="C159" s="102"/>
      <c r="D159" s="52"/>
      <c r="E159" s="52"/>
      <c r="F159" s="73"/>
    </row>
    <row r="160" spans="1:11">
      <c r="A160" s="201"/>
      <c r="B160" s="52"/>
      <c r="C160" s="102"/>
      <c r="D160" s="52"/>
      <c r="E160" s="52"/>
      <c r="F160" s="73"/>
    </row>
    <row r="161" spans="1:6">
      <c r="A161" s="201"/>
      <c r="B161" s="52"/>
      <c r="C161" s="102"/>
      <c r="D161" s="52"/>
      <c r="E161" s="52"/>
      <c r="F161" s="73"/>
    </row>
    <row r="162" spans="1:6">
      <c r="A162" s="201"/>
      <c r="B162" s="52"/>
      <c r="C162" s="102"/>
      <c r="D162" s="52"/>
      <c r="E162" s="52"/>
      <c r="F162" s="73"/>
    </row>
    <row r="163" spans="1:6">
      <c r="A163" s="201"/>
      <c r="B163" s="52"/>
      <c r="C163" s="102"/>
      <c r="D163" s="52"/>
      <c r="E163" s="52"/>
      <c r="F163" s="73"/>
    </row>
    <row r="164" spans="1:6">
      <c r="A164" s="201"/>
      <c r="B164" s="52"/>
      <c r="C164" s="102"/>
      <c r="D164" s="52"/>
      <c r="E164" s="52"/>
      <c r="F164" s="73"/>
    </row>
    <row r="165" spans="1:6">
      <c r="A165" s="201"/>
      <c r="B165" s="52"/>
      <c r="C165" s="102"/>
      <c r="D165" s="52"/>
      <c r="E165" s="52"/>
      <c r="F165" s="73"/>
    </row>
    <row r="166" spans="1:6">
      <c r="A166" s="201"/>
      <c r="B166" s="52"/>
      <c r="C166" s="102"/>
      <c r="D166" s="52"/>
      <c r="E166" s="52"/>
      <c r="F166" s="73"/>
    </row>
    <row r="167" spans="1:6">
      <c r="A167" s="201"/>
      <c r="B167" s="52"/>
      <c r="C167" s="102"/>
      <c r="D167" s="52"/>
      <c r="E167" s="52"/>
      <c r="F167" s="73"/>
    </row>
    <row r="168" spans="1:6">
      <c r="A168" s="201"/>
      <c r="B168" s="52"/>
      <c r="C168" s="102"/>
      <c r="D168" s="52"/>
      <c r="E168" s="52"/>
      <c r="F168" s="73"/>
    </row>
    <row r="169" spans="1:6">
      <c r="A169" s="201"/>
      <c r="B169" s="52"/>
      <c r="C169" s="102"/>
      <c r="D169" s="52"/>
      <c r="E169" s="52"/>
      <c r="F169" s="73"/>
    </row>
    <row r="170" spans="1:6">
      <c r="A170" s="201"/>
      <c r="B170" s="52"/>
      <c r="C170" s="102"/>
      <c r="D170" s="52"/>
      <c r="E170" s="52"/>
      <c r="F170" s="73"/>
    </row>
    <row r="171" spans="1:6">
      <c r="A171" s="201"/>
      <c r="B171" s="52"/>
      <c r="C171" s="102"/>
      <c r="D171" s="52"/>
      <c r="E171" s="52"/>
      <c r="F171" s="73"/>
    </row>
    <row r="172" spans="1:6">
      <c r="A172" s="201"/>
      <c r="B172" s="52"/>
      <c r="C172" s="102"/>
      <c r="D172" s="52"/>
      <c r="E172" s="52"/>
      <c r="F172" s="73"/>
    </row>
    <row r="173" spans="1:6">
      <c r="A173" s="201"/>
      <c r="B173" s="52"/>
      <c r="C173" s="102"/>
      <c r="D173" s="52"/>
      <c r="E173" s="52"/>
      <c r="F173" s="73"/>
    </row>
    <row r="174" spans="1:6">
      <c r="A174" s="201"/>
      <c r="B174" s="52"/>
      <c r="C174" s="102"/>
      <c r="D174" s="52"/>
      <c r="E174" s="52"/>
      <c r="F174" s="73"/>
    </row>
    <row r="175" spans="1:6">
      <c r="A175" s="201"/>
      <c r="B175" s="52"/>
      <c r="C175" s="102"/>
      <c r="D175" s="52"/>
      <c r="E175" s="52"/>
      <c r="F175" s="73"/>
    </row>
    <row r="176" spans="1:6">
      <c r="A176" s="201"/>
      <c r="B176" s="52"/>
      <c r="C176" s="102"/>
      <c r="D176" s="52"/>
      <c r="E176" s="52"/>
      <c r="F176" s="73"/>
    </row>
    <row r="177" spans="1:6">
      <c r="A177" s="201"/>
      <c r="B177" s="52"/>
      <c r="C177" s="102"/>
      <c r="D177" s="52"/>
      <c r="E177" s="52"/>
      <c r="F177" s="73"/>
    </row>
    <row r="178" spans="1:6">
      <c r="A178" s="201"/>
      <c r="B178" s="52"/>
      <c r="C178" s="102"/>
      <c r="D178" s="52"/>
      <c r="E178" s="52"/>
      <c r="F178" s="73"/>
    </row>
    <row r="179" spans="1:6">
      <c r="A179" s="201"/>
      <c r="B179" s="52"/>
      <c r="C179" s="102"/>
      <c r="D179" s="52"/>
      <c r="E179" s="52"/>
      <c r="F179" s="73"/>
    </row>
    <row r="180" spans="1:6">
      <c r="A180" s="201"/>
      <c r="B180" s="52"/>
      <c r="C180" s="102"/>
      <c r="D180" s="52"/>
      <c r="E180" s="52"/>
      <c r="F180" s="73"/>
    </row>
    <row r="181" spans="1:6">
      <c r="A181" s="201"/>
      <c r="B181" s="52"/>
      <c r="C181" s="102"/>
      <c r="D181" s="52"/>
      <c r="E181" s="52"/>
      <c r="F181" s="73"/>
    </row>
    <row r="182" spans="1:6">
      <c r="A182" s="201"/>
      <c r="B182" s="52"/>
      <c r="C182" s="102"/>
      <c r="D182" s="52"/>
      <c r="E182" s="52"/>
      <c r="F182" s="73"/>
    </row>
    <row r="183" spans="1:6">
      <c r="A183" s="201"/>
      <c r="B183" s="52"/>
      <c r="C183" s="102"/>
      <c r="D183" s="52"/>
      <c r="E183" s="52"/>
      <c r="F183" s="73"/>
    </row>
    <row r="184" spans="1:6">
      <c r="A184" s="201"/>
      <c r="B184" s="52"/>
      <c r="C184" s="102"/>
      <c r="D184" s="52"/>
      <c r="E184" s="52"/>
      <c r="F184" s="73"/>
    </row>
    <row r="185" spans="1:6">
      <c r="A185" s="201"/>
      <c r="B185" s="52"/>
      <c r="C185" s="102"/>
      <c r="D185" s="52"/>
      <c r="E185" s="52"/>
      <c r="F185" s="73"/>
    </row>
    <row r="186" spans="1:6">
      <c r="A186" s="201"/>
      <c r="B186" s="52"/>
      <c r="C186" s="102"/>
      <c r="D186" s="52"/>
      <c r="E186" s="52"/>
      <c r="F186" s="73"/>
    </row>
    <row r="187" spans="1:6">
      <c r="A187" s="201"/>
      <c r="B187" s="52"/>
      <c r="C187" s="102"/>
      <c r="D187" s="52"/>
      <c r="E187" s="52"/>
      <c r="F187" s="73"/>
    </row>
    <row r="188" spans="1:6">
      <c r="A188" s="201"/>
      <c r="B188" s="52"/>
      <c r="C188" s="102"/>
      <c r="D188" s="52"/>
      <c r="E188" s="52"/>
      <c r="F188" s="73"/>
    </row>
    <row r="189" spans="1:6">
      <c r="A189" s="201"/>
      <c r="B189" s="52"/>
      <c r="C189" s="102"/>
      <c r="D189" s="52"/>
      <c r="E189" s="52"/>
      <c r="F189" s="73"/>
    </row>
    <row r="190" spans="1:6">
      <c r="A190" s="201"/>
      <c r="B190" s="52"/>
      <c r="C190" s="102"/>
      <c r="D190" s="52"/>
      <c r="E190" s="52"/>
      <c r="F190" s="73"/>
    </row>
    <row r="191" spans="1:6">
      <c r="A191" s="201"/>
      <c r="B191" s="52"/>
      <c r="C191" s="102"/>
      <c r="D191" s="52"/>
      <c r="E191" s="52"/>
      <c r="F191" s="73"/>
    </row>
    <row r="192" spans="1:6">
      <c r="A192" s="201"/>
      <c r="B192" s="52"/>
      <c r="C192" s="102"/>
      <c r="D192" s="52"/>
      <c r="E192" s="52"/>
      <c r="F192" s="73"/>
    </row>
    <row r="193" spans="1:6">
      <c r="A193" s="201"/>
      <c r="B193" s="52"/>
      <c r="C193" s="102"/>
      <c r="D193" s="52"/>
      <c r="E193" s="52"/>
      <c r="F193" s="73"/>
    </row>
    <row r="194" spans="1:6">
      <c r="A194" s="201"/>
      <c r="B194" s="52"/>
      <c r="C194" s="102"/>
      <c r="D194" s="52"/>
      <c r="E194" s="52"/>
      <c r="F194" s="73"/>
    </row>
    <row r="195" spans="1:6">
      <c r="A195" s="201"/>
      <c r="B195" s="52"/>
      <c r="C195" s="102"/>
      <c r="D195" s="52"/>
      <c r="E195" s="52"/>
      <c r="F195" s="73"/>
    </row>
    <row r="196" spans="1:6">
      <c r="A196" s="201"/>
      <c r="B196" s="52"/>
      <c r="C196" s="102"/>
      <c r="D196" s="52"/>
      <c r="E196" s="52"/>
      <c r="F196" s="73"/>
    </row>
    <row r="197" spans="1:6">
      <c r="A197" s="201"/>
      <c r="B197" s="52"/>
      <c r="C197" s="102"/>
      <c r="D197" s="52"/>
      <c r="E197" s="52"/>
      <c r="F197" s="73"/>
    </row>
    <row r="198" spans="1:6">
      <c r="B198" s="50"/>
    </row>
    <row r="199" spans="1:6">
      <c r="B199" s="50"/>
    </row>
    <row r="200" spans="1:6">
      <c r="B200" s="50"/>
    </row>
    <row r="201" spans="1:6">
      <c r="B201" s="50"/>
    </row>
    <row r="202" spans="1:6">
      <c r="B202" s="50"/>
    </row>
    <row r="203" spans="1:6">
      <c r="B203" s="50"/>
    </row>
    <row r="205" spans="1:6">
      <c r="B205" s="50"/>
    </row>
  </sheetData>
  <mergeCells count="8">
    <mergeCell ref="A2:B2"/>
    <mergeCell ref="E102:E103"/>
    <mergeCell ref="F102:F103"/>
    <mergeCell ref="A106:B106"/>
    <mergeCell ref="F58:F59"/>
    <mergeCell ref="E58:E59"/>
    <mergeCell ref="E3:E4"/>
    <mergeCell ref="F3:F4"/>
  </mergeCells>
  <pageMargins left="0.7" right="0.7" top="0.75" bottom="0.75" header="0.3" footer="0.3"/>
  <pageSetup paperSize="8" scale="42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  <pageSetUpPr fitToPage="1"/>
  </sheetPr>
  <dimension ref="A1:Q257"/>
  <sheetViews>
    <sheetView workbookViewId="0">
      <selection activeCell="P36" sqref="P36"/>
    </sheetView>
  </sheetViews>
  <sheetFormatPr defaultColWidth="9.140625" defaultRowHeight="12.75"/>
  <cols>
    <col min="1" max="1" width="58.140625" style="50" bestFit="1" customWidth="1"/>
    <col min="2" max="2" width="15.42578125" style="50" customWidth="1"/>
    <col min="3" max="3" width="12.42578125" style="50" customWidth="1"/>
    <col min="4" max="4" width="15.42578125" style="51" customWidth="1"/>
    <col min="5" max="5" width="13.140625" style="50" customWidth="1"/>
    <col min="6" max="6" width="12.42578125" style="50" customWidth="1"/>
    <col min="7" max="7" width="15.42578125" style="51" customWidth="1"/>
    <col min="8" max="8" width="12.42578125" style="52" customWidth="1"/>
    <col min="9" max="9" width="15.42578125" style="52" customWidth="1"/>
    <col min="10" max="10" width="3.42578125" style="52" customWidth="1"/>
    <col min="11" max="11" width="62.7109375" style="473" hidden="1" customWidth="1"/>
    <col min="12" max="12" width="15.42578125" style="50" customWidth="1"/>
    <col min="13" max="13" width="9.140625" style="52"/>
    <col min="14" max="14" width="31.28515625" style="52" bestFit="1" customWidth="1"/>
    <col min="15" max="15" width="1" style="52" customWidth="1"/>
    <col min="16" max="16" width="13" style="52" bestFit="1" customWidth="1"/>
    <col min="17" max="17" width="9.7109375" style="52" bestFit="1" customWidth="1"/>
    <col min="18" max="16384" width="9.140625" style="52"/>
  </cols>
  <sheetData>
    <row r="1" spans="1:12">
      <c r="A1" s="1432" t="s">
        <v>662</v>
      </c>
      <c r="B1" s="1383"/>
      <c r="C1" s="1613"/>
      <c r="D1" s="1614"/>
      <c r="E1" s="391" t="s">
        <v>669</v>
      </c>
      <c r="F1" s="1613" t="s">
        <v>670</v>
      </c>
      <c r="G1" s="1614"/>
      <c r="H1" s="161"/>
      <c r="I1" s="161"/>
      <c r="J1" s="1433"/>
      <c r="K1" s="1434"/>
      <c r="L1" s="93" t="s">
        <v>661</v>
      </c>
    </row>
    <row r="2" spans="1:12">
      <c r="A2" s="18" t="s">
        <v>862</v>
      </c>
      <c r="B2" s="1384">
        <f>F2</f>
        <v>45046</v>
      </c>
      <c r="C2" s="1191"/>
      <c r="D2" s="1191"/>
      <c r="E2" s="1385">
        <f>B2</f>
        <v>45046</v>
      </c>
      <c r="F2" s="1191">
        <f>EIAL!B3</f>
        <v>45046</v>
      </c>
      <c r="G2" s="1191">
        <f>EIAL!C3</f>
        <v>44681</v>
      </c>
      <c r="H2" s="1537" t="s">
        <v>85</v>
      </c>
      <c r="I2" s="1537" t="s">
        <v>86</v>
      </c>
      <c r="L2" s="1191">
        <f>F2</f>
        <v>45046</v>
      </c>
    </row>
    <row r="3" spans="1:12">
      <c r="A3" s="976" t="s">
        <v>784</v>
      </c>
      <c r="B3" s="1386" t="s">
        <v>82</v>
      </c>
      <c r="C3" s="19"/>
      <c r="D3" s="21"/>
      <c r="E3" s="19" t="s">
        <v>82</v>
      </c>
      <c r="F3" s="19" t="s">
        <v>82</v>
      </c>
      <c r="G3" s="21" t="s">
        <v>96</v>
      </c>
      <c r="H3" s="1617"/>
      <c r="I3" s="1617"/>
      <c r="L3" s="19" t="s">
        <v>82</v>
      </c>
    </row>
    <row r="4" spans="1:12" ht="14.45" customHeight="1">
      <c r="A4" s="20"/>
      <c r="B4" s="1386" t="s">
        <v>97</v>
      </c>
      <c r="C4" s="19" t="s">
        <v>658</v>
      </c>
      <c r="D4" s="21"/>
      <c r="E4" s="19" t="s">
        <v>97</v>
      </c>
      <c r="F4" s="19" t="s">
        <v>97</v>
      </c>
      <c r="G4" s="21" t="s">
        <v>95</v>
      </c>
      <c r="H4" s="1538"/>
      <c r="I4" s="1538"/>
      <c r="L4" s="19" t="s">
        <v>97</v>
      </c>
    </row>
    <row r="5" spans="1:12">
      <c r="A5" s="18" t="s">
        <v>1</v>
      </c>
      <c r="B5" s="1386" t="s">
        <v>421</v>
      </c>
      <c r="C5" s="19"/>
      <c r="D5" s="19"/>
      <c r="E5" s="19" t="s">
        <v>879</v>
      </c>
      <c r="F5" s="19" t="s">
        <v>879</v>
      </c>
      <c r="G5" s="19" t="s">
        <v>879</v>
      </c>
      <c r="H5" s="21"/>
      <c r="I5" s="58"/>
      <c r="K5" s="1435" t="s">
        <v>157</v>
      </c>
      <c r="L5" s="19" t="s">
        <v>863</v>
      </c>
    </row>
    <row r="6" spans="1:12">
      <c r="A6" s="1387" t="s">
        <v>2</v>
      </c>
      <c r="B6" s="215">
        <f t="shared" ref="B6:B25" si="0">F6+L6</f>
        <v>1292214.1063900001</v>
      </c>
      <c r="C6" s="25"/>
      <c r="D6" s="25"/>
      <c r="E6" s="1388">
        <f>B6+C6-D6</f>
        <v>1292214.1063900001</v>
      </c>
      <c r="F6" s="25">
        <f>-'[13]BS pivot'!$B$23/1000</f>
        <v>1292214.1063900001</v>
      </c>
      <c r="G6" s="25">
        <f>'[4]FinAL&amp;Azenia'!$B6</f>
        <v>885066.89708999987</v>
      </c>
      <c r="H6" s="25">
        <f>F6-G6</f>
        <v>407147.20930000022</v>
      </c>
      <c r="I6" s="1291">
        <f>IFERROR(H6/G6,0)</f>
        <v>0.46001857106920879</v>
      </c>
      <c r="L6" s="25">
        <f>'[14]Azenia 2023 CBK FORMAT'!$E$7</f>
        <v>0</v>
      </c>
    </row>
    <row r="7" spans="1:12">
      <c r="A7" s="1275" t="s">
        <v>3</v>
      </c>
      <c r="B7" s="215">
        <f t="shared" si="0"/>
        <v>0</v>
      </c>
      <c r="C7" s="25"/>
      <c r="D7" s="25"/>
      <c r="E7" s="1388">
        <f t="shared" ref="E7:E25" si="1">B7+C7-D7</f>
        <v>0</v>
      </c>
      <c r="F7" s="25">
        <v>0</v>
      </c>
      <c r="G7" s="25">
        <f>'[4]FinAL&amp;Azenia'!$B7</f>
        <v>0</v>
      </c>
      <c r="H7" s="25">
        <f t="shared" ref="H7:H26" si="2">F7-G7</f>
        <v>0</v>
      </c>
      <c r="I7" s="1291">
        <f t="shared" ref="I7:I26" si="3">IFERROR(H7/G7,0)</f>
        <v>0</v>
      </c>
      <c r="L7" s="25">
        <f>'[14]Azenia 2023 CBK FORMAT'!$E$8</f>
        <v>0</v>
      </c>
    </row>
    <row r="8" spans="1:12">
      <c r="A8" s="1275" t="s">
        <v>4</v>
      </c>
      <c r="B8" s="215">
        <f t="shared" si="0"/>
        <v>0</v>
      </c>
      <c r="C8" s="25"/>
      <c r="D8" s="25"/>
      <c r="E8" s="1388">
        <f t="shared" si="1"/>
        <v>0</v>
      </c>
      <c r="F8" s="25">
        <v>0</v>
      </c>
      <c r="G8" s="25">
        <f>'[4]FinAL&amp;Azenia'!$B8</f>
        <v>0</v>
      </c>
      <c r="H8" s="25">
        <f t="shared" si="2"/>
        <v>0</v>
      </c>
      <c r="I8" s="1291">
        <f t="shared" si="3"/>
        <v>0</v>
      </c>
      <c r="L8" s="25">
        <f>'[14]Azenia 2023 CBK FORMAT'!$E$9</f>
        <v>0</v>
      </c>
    </row>
    <row r="9" spans="1:12">
      <c r="A9" s="1275" t="s">
        <v>5</v>
      </c>
      <c r="B9" s="215">
        <f t="shared" si="0"/>
        <v>0</v>
      </c>
      <c r="C9" s="25"/>
      <c r="D9" s="25"/>
      <c r="E9" s="1388">
        <f t="shared" si="1"/>
        <v>0</v>
      </c>
      <c r="F9" s="25">
        <v>0</v>
      </c>
      <c r="G9" s="25">
        <f>'[4]FinAL&amp;Azenia'!$B9</f>
        <v>0</v>
      </c>
      <c r="H9" s="25">
        <f t="shared" si="2"/>
        <v>0</v>
      </c>
      <c r="I9" s="1291">
        <f t="shared" si="3"/>
        <v>0</v>
      </c>
      <c r="L9" s="25">
        <f>'[14]Azenia 2023 CBK FORMAT'!$E$10</f>
        <v>0</v>
      </c>
    </row>
    <row r="10" spans="1:12">
      <c r="A10" s="1275" t="s">
        <v>6</v>
      </c>
      <c r="B10" s="215">
        <f t="shared" si="0"/>
        <v>73493.169096896556</v>
      </c>
      <c r="C10" s="25"/>
      <c r="D10" s="25"/>
      <c r="E10" s="1388">
        <f t="shared" si="1"/>
        <v>73493.169096896556</v>
      </c>
      <c r="F10" s="25">
        <v>0</v>
      </c>
      <c r="G10" s="25">
        <f>'[4]FinAL&amp;Azenia'!$B10</f>
        <v>101505.69106000001</v>
      </c>
      <c r="H10" s="25">
        <f t="shared" si="2"/>
        <v>-101505.69106000001</v>
      </c>
      <c r="I10" s="1291">
        <f t="shared" si="3"/>
        <v>-1</v>
      </c>
      <c r="L10" s="25">
        <f>'[14]Azenia 2023 CBK FORMAT'!$E$11</f>
        <v>73493.169096896556</v>
      </c>
    </row>
    <row r="11" spans="1:12">
      <c r="A11" s="1275" t="s">
        <v>7</v>
      </c>
      <c r="B11" s="215">
        <f t="shared" si="0"/>
        <v>0</v>
      </c>
      <c r="C11" s="25"/>
      <c r="D11" s="25"/>
      <c r="E11" s="1388">
        <f t="shared" si="1"/>
        <v>0</v>
      </c>
      <c r="F11" s="25">
        <v>0</v>
      </c>
      <c r="G11" s="25">
        <f>'[4]FinAL&amp;Azenia'!$B11</f>
        <v>0</v>
      </c>
      <c r="H11" s="25">
        <f t="shared" si="2"/>
        <v>0</v>
      </c>
      <c r="I11" s="1291">
        <f t="shared" si="3"/>
        <v>0</v>
      </c>
      <c r="L11" s="25">
        <f>'[14]Azenia 2023 CBK FORMAT'!$E12</f>
        <v>0</v>
      </c>
    </row>
    <row r="12" spans="1:12">
      <c r="A12" s="1275" t="s">
        <v>8</v>
      </c>
      <c r="B12" s="215">
        <f t="shared" si="0"/>
        <v>0</v>
      </c>
      <c r="C12" s="25"/>
      <c r="D12" s="25"/>
      <c r="E12" s="1388">
        <f t="shared" si="1"/>
        <v>0</v>
      </c>
      <c r="F12" s="25">
        <v>0</v>
      </c>
      <c r="G12" s="25">
        <f>'[4]FinAL&amp;Azenia'!$B12</f>
        <v>0</v>
      </c>
      <c r="H12" s="25">
        <f t="shared" si="2"/>
        <v>0</v>
      </c>
      <c r="I12" s="1291">
        <f t="shared" si="3"/>
        <v>0</v>
      </c>
      <c r="L12" s="25">
        <f>'[14]Azenia 2023 CBK FORMAT'!$E13</f>
        <v>0</v>
      </c>
    </row>
    <row r="13" spans="1:12">
      <c r="A13" s="1275" t="s">
        <v>9</v>
      </c>
      <c r="B13" s="215">
        <f t="shared" si="0"/>
        <v>160713.04737193108</v>
      </c>
      <c r="C13" s="1389"/>
      <c r="D13" s="25"/>
      <c r="E13" s="1388">
        <f t="shared" si="1"/>
        <v>160713.04737193108</v>
      </c>
      <c r="F13" s="1389">
        <f>-('[13]BS pivot'!$B$34/1000-F95)</f>
        <v>-14783.893935999979</v>
      </c>
      <c r="G13" s="25">
        <f>'[4]FinAL&amp;Azenia'!$B13</f>
        <v>0</v>
      </c>
      <c r="H13" s="25">
        <f t="shared" si="2"/>
        <v>-14783.893935999979</v>
      </c>
      <c r="I13" s="1291">
        <f t="shared" si="3"/>
        <v>0</v>
      </c>
      <c r="L13" s="25">
        <f>'[14]Azenia 2023 CBK FORMAT'!$E$14</f>
        <v>175496.94130793106</v>
      </c>
    </row>
    <row r="14" spans="1:12">
      <c r="A14" s="1275" t="s">
        <v>10</v>
      </c>
      <c r="B14" s="215">
        <f t="shared" si="0"/>
        <v>0</v>
      </c>
      <c r="C14" s="25"/>
      <c r="D14" s="25"/>
      <c r="E14" s="1388">
        <f t="shared" si="1"/>
        <v>0</v>
      </c>
      <c r="F14" s="25">
        <v>0</v>
      </c>
      <c r="G14" s="25">
        <f>'[4]FinAL&amp;Azenia'!$B14</f>
        <v>0</v>
      </c>
      <c r="H14" s="25">
        <f>F14-G14</f>
        <v>0</v>
      </c>
      <c r="I14" s="1291">
        <f t="shared" si="3"/>
        <v>0</v>
      </c>
      <c r="L14" s="25">
        <f>'[14]Azenia 2023 CBK FORMAT'!$E15</f>
        <v>0</v>
      </c>
    </row>
    <row r="15" spans="1:12">
      <c r="A15" s="1275" t="s">
        <v>11</v>
      </c>
      <c r="B15" s="215">
        <f t="shared" si="0"/>
        <v>0</v>
      </c>
      <c r="C15" s="25"/>
      <c r="D15" s="25"/>
      <c r="E15" s="1388">
        <f t="shared" si="1"/>
        <v>0</v>
      </c>
      <c r="F15" s="25">
        <v>0</v>
      </c>
      <c r="G15" s="25">
        <f>'[4]FinAL&amp;Azenia'!$B15</f>
        <v>0</v>
      </c>
      <c r="H15" s="25">
        <f t="shared" si="2"/>
        <v>0</v>
      </c>
      <c r="I15" s="1291">
        <f t="shared" si="3"/>
        <v>0</v>
      </c>
      <c r="L15" s="25">
        <f>'[14]Azenia 2023 CBK FORMAT'!$E16</f>
        <v>0</v>
      </c>
    </row>
    <row r="16" spans="1:12">
      <c r="A16" s="1275" t="s">
        <v>12</v>
      </c>
      <c r="B16" s="215">
        <f t="shared" si="0"/>
        <v>0</v>
      </c>
      <c r="C16" s="25"/>
      <c r="D16" s="25"/>
      <c r="E16" s="1388">
        <f t="shared" si="1"/>
        <v>0</v>
      </c>
      <c r="F16" s="25">
        <v>0</v>
      </c>
      <c r="G16" s="25"/>
      <c r="H16" s="25">
        <f t="shared" si="2"/>
        <v>0</v>
      </c>
      <c r="I16" s="1291">
        <f t="shared" si="3"/>
        <v>0</v>
      </c>
      <c r="L16" s="25">
        <v>0</v>
      </c>
    </row>
    <row r="17" spans="1:17" ht="13.5" thickBot="1">
      <c r="A17" s="1275" t="s">
        <v>13</v>
      </c>
      <c r="B17" s="215">
        <f t="shared" si="0"/>
        <v>0</v>
      </c>
      <c r="C17" s="25"/>
      <c r="D17" s="25"/>
      <c r="E17" s="1388">
        <f t="shared" si="1"/>
        <v>0</v>
      </c>
      <c r="F17" s="25">
        <v>0</v>
      </c>
      <c r="G17" s="25">
        <f>'[4]FinAL&amp;Azenia'!$B17</f>
        <v>0</v>
      </c>
      <c r="H17" s="25">
        <f t="shared" si="2"/>
        <v>0</v>
      </c>
      <c r="I17" s="1291">
        <f t="shared" si="3"/>
        <v>0</v>
      </c>
      <c r="L17" s="25">
        <f>'[14]Azenia 2023 CBK FORMAT'!$E18</f>
        <v>0</v>
      </c>
    </row>
    <row r="18" spans="1:17" ht="13.5" thickBot="1">
      <c r="A18" s="1275" t="s">
        <v>14</v>
      </c>
      <c r="B18" s="215">
        <f t="shared" si="0"/>
        <v>100</v>
      </c>
      <c r="C18" s="25"/>
      <c r="D18" s="25"/>
      <c r="E18" s="1388">
        <f t="shared" si="1"/>
        <v>100</v>
      </c>
      <c r="F18" s="25">
        <f>-'[13]BS pivot'!$B$25/1000</f>
        <v>100</v>
      </c>
      <c r="G18" s="25">
        <f>'[4]FinAL&amp;Azenia'!$B18</f>
        <v>100</v>
      </c>
      <c r="H18" s="25">
        <f t="shared" si="2"/>
        <v>0</v>
      </c>
      <c r="I18" s="1291">
        <f t="shared" si="3"/>
        <v>0</v>
      </c>
      <c r="L18" s="25">
        <f>'[14]Azenia 2023 CBK FORMAT'!$E19</f>
        <v>0</v>
      </c>
      <c r="N18" s="1436" t="s">
        <v>735</v>
      </c>
      <c r="O18" s="1437"/>
      <c r="P18" s="1437"/>
      <c r="Q18" s="1438"/>
    </row>
    <row r="19" spans="1:17">
      <c r="A19" s="1275" t="s">
        <v>15</v>
      </c>
      <c r="B19" s="215">
        <f t="shared" si="0"/>
        <v>0</v>
      </c>
      <c r="C19" s="25"/>
      <c r="D19" s="25"/>
      <c r="E19" s="1388">
        <f t="shared" si="1"/>
        <v>0</v>
      </c>
      <c r="F19" s="25">
        <v>0</v>
      </c>
      <c r="G19" s="25">
        <f>'[4]FinAL&amp;Azenia'!$B19</f>
        <v>0</v>
      </c>
      <c r="H19" s="25">
        <f t="shared" si="2"/>
        <v>0</v>
      </c>
      <c r="I19" s="1291">
        <f t="shared" si="3"/>
        <v>0</v>
      </c>
      <c r="L19" s="25">
        <f>'[14]Azenia 2023 CBK FORMAT'!$E20</f>
        <v>0</v>
      </c>
      <c r="N19" s="1439" t="s">
        <v>724</v>
      </c>
      <c r="P19" s="1440">
        <v>0</v>
      </c>
      <c r="Q19" s="1441"/>
    </row>
    <row r="20" spans="1:17" ht="13.5" thickBot="1">
      <c r="A20" s="1275" t="s">
        <v>16</v>
      </c>
      <c r="B20" s="215">
        <f t="shared" si="0"/>
        <v>0</v>
      </c>
      <c r="C20" s="25"/>
      <c r="D20" s="25"/>
      <c r="E20" s="1388">
        <f t="shared" si="1"/>
        <v>0</v>
      </c>
      <c r="F20" s="25">
        <v>0</v>
      </c>
      <c r="G20" s="25">
        <f>'[4]FinAL&amp;Azenia'!$B20</f>
        <v>0</v>
      </c>
      <c r="H20" s="25">
        <f t="shared" si="2"/>
        <v>0</v>
      </c>
      <c r="I20" s="1291">
        <f t="shared" si="3"/>
        <v>0</v>
      </c>
      <c r="L20" s="25">
        <f>'[14]Azenia 2023 CBK FORMAT'!$E21</f>
        <v>0</v>
      </c>
      <c r="N20" s="1442" t="s">
        <v>723</v>
      </c>
      <c r="O20" s="1443"/>
      <c r="P20" s="1444"/>
      <c r="Q20" s="1445">
        <f>P19</f>
        <v>0</v>
      </c>
    </row>
    <row r="21" spans="1:17">
      <c r="A21" s="1275" t="s">
        <v>17</v>
      </c>
      <c r="B21" s="215">
        <f t="shared" si="0"/>
        <v>12229.224901249998</v>
      </c>
      <c r="C21" s="25"/>
      <c r="D21" s="25"/>
      <c r="E21" s="1388">
        <f t="shared" si="1"/>
        <v>12229.224901249998</v>
      </c>
      <c r="F21" s="25">
        <f>-'[13]BS pivot'!$B$26/1000</f>
        <v>9938.1645199999984</v>
      </c>
      <c r="G21" s="25">
        <f>'[4]FinAL&amp;Azenia'!$B21</f>
        <v>16072.539040000021</v>
      </c>
      <c r="H21" s="25">
        <f t="shared" si="2"/>
        <v>-6134.374520000023</v>
      </c>
      <c r="I21" s="1291">
        <f t="shared" si="3"/>
        <v>-0.38166804291053785</v>
      </c>
      <c r="L21" s="25">
        <f>'[14]Azenia 2023 CBK FORMAT'!$E$22</f>
        <v>2291.0603812499994</v>
      </c>
    </row>
    <row r="22" spans="1:17">
      <c r="A22" s="1275" t="s">
        <v>18</v>
      </c>
      <c r="B22" s="215">
        <f t="shared" si="0"/>
        <v>0</v>
      </c>
      <c r="C22" s="25"/>
      <c r="D22" s="25"/>
      <c r="E22" s="1388">
        <f t="shared" si="1"/>
        <v>0</v>
      </c>
      <c r="F22" s="25">
        <v>0</v>
      </c>
      <c r="G22" s="25">
        <f>'[4]FinAL&amp;Azenia'!$B22</f>
        <v>0</v>
      </c>
      <c r="H22" s="25">
        <f t="shared" si="2"/>
        <v>0</v>
      </c>
      <c r="I22" s="1291">
        <f t="shared" si="3"/>
        <v>0</v>
      </c>
      <c r="L22" s="25">
        <f>'[14]Azenia 2023 CBK FORMAT'!$E$23</f>
        <v>0</v>
      </c>
    </row>
    <row r="23" spans="1:17" ht="15" customHeight="1">
      <c r="A23" s="1275" t="s">
        <v>19</v>
      </c>
      <c r="B23" s="215">
        <f t="shared" si="0"/>
        <v>212558.38615999997</v>
      </c>
      <c r="C23" s="25"/>
      <c r="D23" s="25"/>
      <c r="E23" s="1388">
        <f t="shared" si="1"/>
        <v>212558.38615999997</v>
      </c>
      <c r="F23" s="25">
        <f>-'[13]BS pivot'!$B$27/1000</f>
        <v>212558.38615999997</v>
      </c>
      <c r="G23" s="25">
        <f>'[4]FinAL&amp;Azenia'!$B23</f>
        <v>174491.32197999998</v>
      </c>
      <c r="H23" s="25">
        <f t="shared" si="2"/>
        <v>38067.064179999987</v>
      </c>
      <c r="I23" s="1291">
        <f t="shared" si="3"/>
        <v>0.21816021420459636</v>
      </c>
      <c r="K23" s="1446" t="s">
        <v>303</v>
      </c>
      <c r="L23" s="25">
        <f>'[14]Azenia 2023 CBK FORMAT'!$E24</f>
        <v>0</v>
      </c>
    </row>
    <row r="24" spans="1:17">
      <c r="A24" s="1275" t="s">
        <v>20</v>
      </c>
      <c r="B24" s="215">
        <f t="shared" si="0"/>
        <v>69824.221686367382</v>
      </c>
      <c r="C24" s="25"/>
      <c r="D24" s="25"/>
      <c r="E24" s="1388">
        <f t="shared" si="1"/>
        <v>69824.221686367382</v>
      </c>
      <c r="F24" s="25">
        <f>-'[13]BS pivot'!$B$28/1000</f>
        <v>47329.747289999999</v>
      </c>
      <c r="G24" s="25">
        <f>'[4]FinAL&amp;Azenia'!$B24</f>
        <v>77857.471720000001</v>
      </c>
      <c r="H24" s="25">
        <f t="shared" si="2"/>
        <v>-30527.724430000002</v>
      </c>
      <c r="I24" s="1291">
        <f t="shared" si="3"/>
        <v>-0.39209755667108376</v>
      </c>
      <c r="L24" s="25">
        <f>'[14]Azenia 2023 CBK FORMAT'!$E$25</f>
        <v>22494.474396367379</v>
      </c>
    </row>
    <row r="25" spans="1:17">
      <c r="A25" s="1275" t="s">
        <v>21</v>
      </c>
      <c r="B25" s="215">
        <f t="shared" si="0"/>
        <v>0</v>
      </c>
      <c r="C25" s="25"/>
      <c r="D25" s="25"/>
      <c r="E25" s="1388">
        <f t="shared" si="1"/>
        <v>0</v>
      </c>
      <c r="F25" s="25">
        <v>0</v>
      </c>
      <c r="G25" s="25">
        <f>'[4]FinAL&amp;Azenia'!$B25</f>
        <v>0</v>
      </c>
      <c r="H25" s="25">
        <f t="shared" si="2"/>
        <v>0</v>
      </c>
      <c r="I25" s="1291">
        <f t="shared" si="3"/>
        <v>0</v>
      </c>
      <c r="L25" s="25">
        <f>'[14]Azenia 2023 CBK FORMAT'!$E26</f>
        <v>0</v>
      </c>
    </row>
    <row r="26" spans="1:17">
      <c r="A26" s="1275" t="s">
        <v>22</v>
      </c>
      <c r="B26" s="215">
        <f>F26+L26</f>
        <v>4659510.8111738618</v>
      </c>
      <c r="C26" s="25"/>
      <c r="D26" s="25">
        <f>Q20</f>
        <v>0</v>
      </c>
      <c r="E26" s="1388">
        <f>B26+C26-D26</f>
        <v>4659510.8111738618</v>
      </c>
      <c r="F26" s="25">
        <f>-('[13]BS pivot'!$B$24+'[13]BS pivot'!$B$29)/1000</f>
        <v>2304162.5345699997</v>
      </c>
      <c r="G26" s="25">
        <f>'[4]FinAL&amp;Azenia'!$B26+'[4]FinAL&amp;Azenia'!$B16</f>
        <v>2456064.8743084497</v>
      </c>
      <c r="H26" s="25">
        <f t="shared" si="2"/>
        <v>-151902.33973845001</v>
      </c>
      <c r="I26" s="1291">
        <f t="shared" si="3"/>
        <v>-6.184785317660671E-2</v>
      </c>
      <c r="K26" s="194" t="s">
        <v>304</v>
      </c>
      <c r="L26" s="25">
        <f>('[14]Azenia 2023 CBK FORMAT'!$E$17+'[14]Azenia 2023 CBK FORMAT'!$E$27)-10.3603999870829</f>
        <v>2355348.2766038626</v>
      </c>
    </row>
    <row r="27" spans="1:17">
      <c r="A27" s="1390" t="s">
        <v>23</v>
      </c>
      <c r="B27" s="1391">
        <f t="shared" ref="B27:G27" si="4">SUM(B6:B26)</f>
        <v>6480642.9667803068</v>
      </c>
      <c r="C27" s="39">
        <f t="shared" si="4"/>
        <v>0</v>
      </c>
      <c r="D27" s="39">
        <f t="shared" si="4"/>
        <v>0</v>
      </c>
      <c r="E27" s="39">
        <f t="shared" si="4"/>
        <v>6480642.9667803068</v>
      </c>
      <c r="F27" s="39">
        <f t="shared" si="4"/>
        <v>3851519.0449939999</v>
      </c>
      <c r="G27" s="39">
        <f t="shared" si="4"/>
        <v>3711158.7951984499</v>
      </c>
      <c r="H27" s="30">
        <f>F27-G27</f>
        <v>140360.24979555001</v>
      </c>
      <c r="I27" s="1292">
        <f>H27/G27</f>
        <v>3.7821138232389868E-2</v>
      </c>
      <c r="L27" s="39">
        <f>SUM(L6:L26)</f>
        <v>2629123.9217863078</v>
      </c>
      <c r="P27" s="52">
        <v>2130600.4592800001</v>
      </c>
    </row>
    <row r="28" spans="1:17">
      <c r="A28" s="1274"/>
      <c r="B28" s="1392"/>
      <c r="C28" s="76"/>
      <c r="D28" s="25"/>
      <c r="E28" s="1393"/>
      <c r="F28" s="76"/>
      <c r="G28" s="25"/>
      <c r="H28" s="32"/>
      <c r="I28" s="1293"/>
      <c r="L28" s="76"/>
    </row>
    <row r="29" spans="1:17">
      <c r="A29" s="1274" t="s">
        <v>24</v>
      </c>
      <c r="B29" s="215"/>
      <c r="C29" s="25"/>
      <c r="D29" s="25"/>
      <c r="E29" s="1393"/>
      <c r="F29" s="25"/>
      <c r="G29" s="25"/>
      <c r="H29" s="24"/>
      <c r="I29" s="1294"/>
      <c r="L29" s="25"/>
    </row>
    <row r="30" spans="1:17">
      <c r="A30" s="1275" t="s">
        <v>25</v>
      </c>
      <c r="B30" s="215">
        <f t="shared" ref="B30:B40" si="5">F30+L30</f>
        <v>0</v>
      </c>
      <c r="C30" s="25"/>
      <c r="D30" s="25"/>
      <c r="E30" s="1388">
        <f>B30-C30+D30</f>
        <v>0</v>
      </c>
      <c r="F30" s="25">
        <v>0</v>
      </c>
      <c r="G30" s="25">
        <f>'[4]FinAL&amp;Azenia'!$B30</f>
        <v>0</v>
      </c>
      <c r="H30" s="163">
        <f>F30-G30</f>
        <v>0</v>
      </c>
      <c r="I30" s="1291">
        <f>IFERROR(H30/G30,0)</f>
        <v>0</v>
      </c>
      <c r="L30" s="25">
        <f>'[14]Azenia 2023 CBK FORMAT'!$E31</f>
        <v>0</v>
      </c>
    </row>
    <row r="31" spans="1:17">
      <c r="A31" s="1275" t="s">
        <v>26</v>
      </c>
      <c r="B31" s="215">
        <f t="shared" si="5"/>
        <v>0</v>
      </c>
      <c r="C31" s="25"/>
      <c r="D31" s="25"/>
      <c r="E31" s="1388">
        <f t="shared" ref="E31:E40" si="6">B31-C31+D31</f>
        <v>0</v>
      </c>
      <c r="F31" s="25">
        <v>0</v>
      </c>
      <c r="G31" s="25">
        <f>'[4]FinAL&amp;Azenia'!$B31</f>
        <v>0</v>
      </c>
      <c r="H31" s="163">
        <f t="shared" ref="H31:H41" si="7">F31-G31</f>
        <v>0</v>
      </c>
      <c r="I31" s="1291">
        <f t="shared" ref="I31:I41" si="8">IFERROR(H31/G31,0)</f>
        <v>0</v>
      </c>
      <c r="L31" s="25">
        <f>'[14]Azenia 2023 CBK FORMAT'!$E32</f>
        <v>0</v>
      </c>
    </row>
    <row r="32" spans="1:17">
      <c r="A32" s="1275" t="s">
        <v>27</v>
      </c>
      <c r="B32" s="215">
        <f t="shared" si="5"/>
        <v>0</v>
      </c>
      <c r="C32" s="25"/>
      <c r="D32" s="25"/>
      <c r="E32" s="1388">
        <f t="shared" si="6"/>
        <v>0</v>
      </c>
      <c r="F32" s="25">
        <v>0</v>
      </c>
      <c r="G32" s="25">
        <f>'[4]FinAL&amp;Azenia'!$B32</f>
        <v>0</v>
      </c>
      <c r="H32" s="163">
        <f t="shared" si="7"/>
        <v>0</v>
      </c>
      <c r="I32" s="1291">
        <f t="shared" si="8"/>
        <v>0</v>
      </c>
      <c r="L32" s="25">
        <f>'[14]Azenia 2023 CBK FORMAT'!$E33</f>
        <v>0</v>
      </c>
    </row>
    <row r="33" spans="1:13">
      <c r="A33" s="1275" t="s">
        <v>28</v>
      </c>
      <c r="B33" s="215">
        <f t="shared" si="5"/>
        <v>0</v>
      </c>
      <c r="C33" s="25"/>
      <c r="D33" s="25"/>
      <c r="E33" s="1388">
        <f t="shared" si="6"/>
        <v>0</v>
      </c>
      <c r="F33" s="25">
        <v>0</v>
      </c>
      <c r="G33" s="25">
        <f>'[4]FinAL&amp;Azenia'!$B33</f>
        <v>0</v>
      </c>
      <c r="H33" s="163">
        <f t="shared" si="7"/>
        <v>0</v>
      </c>
      <c r="I33" s="1291">
        <f t="shared" si="8"/>
        <v>0</v>
      </c>
      <c r="L33" s="25">
        <f>'[14]Azenia 2023 CBK FORMAT'!$E34</f>
        <v>0</v>
      </c>
    </row>
    <row r="34" spans="1:13">
      <c r="A34" s="1275" t="s">
        <v>29</v>
      </c>
      <c r="B34" s="215">
        <f t="shared" si="5"/>
        <v>0</v>
      </c>
      <c r="C34" s="25"/>
      <c r="D34" s="25"/>
      <c r="E34" s="1388">
        <f t="shared" si="6"/>
        <v>0</v>
      </c>
      <c r="F34" s="25">
        <v>0</v>
      </c>
      <c r="G34" s="25">
        <f>'[4]FinAL&amp;Azenia'!$B34</f>
        <v>0</v>
      </c>
      <c r="H34" s="163">
        <f t="shared" si="7"/>
        <v>0</v>
      </c>
      <c r="I34" s="1291">
        <f t="shared" si="8"/>
        <v>0</v>
      </c>
      <c r="L34" s="25">
        <f>'[14]Azenia 2023 CBK FORMAT'!$E35</f>
        <v>0</v>
      </c>
    </row>
    <row r="35" spans="1:13">
      <c r="A35" s="1275" t="s">
        <v>30</v>
      </c>
      <c r="B35" s="215">
        <f t="shared" si="5"/>
        <v>0</v>
      </c>
      <c r="C35" s="25"/>
      <c r="D35" s="25"/>
      <c r="E35" s="1388">
        <f t="shared" si="6"/>
        <v>0</v>
      </c>
      <c r="F35" s="25">
        <v>0</v>
      </c>
      <c r="G35" s="25">
        <f>'[4]FinAL&amp;Azenia'!$B35</f>
        <v>0</v>
      </c>
      <c r="H35" s="163">
        <f t="shared" si="7"/>
        <v>0</v>
      </c>
      <c r="I35" s="1291">
        <f t="shared" si="8"/>
        <v>0</v>
      </c>
      <c r="L35" s="25">
        <f>'[14]Azenia 2023 CBK FORMAT'!$E36</f>
        <v>0</v>
      </c>
    </row>
    <row r="36" spans="1:13">
      <c r="A36" s="1275" t="s">
        <v>31</v>
      </c>
      <c r="B36" s="215">
        <f t="shared" si="5"/>
        <v>0</v>
      </c>
      <c r="C36" s="25"/>
      <c r="D36" s="25"/>
      <c r="E36" s="1388">
        <f t="shared" si="6"/>
        <v>0</v>
      </c>
      <c r="F36" s="25">
        <v>0</v>
      </c>
      <c r="G36" s="25"/>
      <c r="H36" s="163">
        <f t="shared" si="7"/>
        <v>0</v>
      </c>
      <c r="I36" s="1291">
        <f t="shared" si="8"/>
        <v>0</v>
      </c>
      <c r="L36" s="25">
        <v>0</v>
      </c>
    </row>
    <row r="37" spans="1:13">
      <c r="A37" s="1275" t="s">
        <v>32</v>
      </c>
      <c r="B37" s="1394">
        <f t="shared" si="5"/>
        <v>59437.104112427784</v>
      </c>
      <c r="C37" s="1389"/>
      <c r="D37" s="25"/>
      <c r="E37" s="1388">
        <f t="shared" si="6"/>
        <v>59437.104112427784</v>
      </c>
      <c r="F37" s="1389">
        <v>0</v>
      </c>
      <c r="G37" s="25">
        <f>'[4]FinAL&amp;Azenia'!$B37</f>
        <v>46081.721044200021</v>
      </c>
      <c r="H37" s="163">
        <f t="shared" si="7"/>
        <v>-46081.721044200021</v>
      </c>
      <c r="I37" s="1291">
        <f t="shared" si="8"/>
        <v>-1</v>
      </c>
      <c r="L37" s="1389">
        <f>'[14]Azenia 2023 CBK FORMAT'!$E$38</f>
        <v>59437.104112427784</v>
      </c>
    </row>
    <row r="38" spans="1:13">
      <c r="A38" s="1275" t="s">
        <v>33</v>
      </c>
      <c r="B38" s="215">
        <f t="shared" si="5"/>
        <v>0</v>
      </c>
      <c r="C38" s="25"/>
      <c r="D38" s="25"/>
      <c r="E38" s="1388">
        <f t="shared" si="6"/>
        <v>0</v>
      </c>
      <c r="F38" s="25">
        <v>0</v>
      </c>
      <c r="G38" s="25">
        <f>'[4]FinAL&amp;Azenia'!$B38</f>
        <v>0</v>
      </c>
      <c r="H38" s="163">
        <f t="shared" si="7"/>
        <v>0</v>
      </c>
      <c r="I38" s="1291">
        <f t="shared" si="8"/>
        <v>0</v>
      </c>
      <c r="L38" s="25">
        <f>'[14]Azenia 2023 CBK FORMAT'!$E$39</f>
        <v>0</v>
      </c>
    </row>
    <row r="39" spans="1:13">
      <c r="A39" s="1275" t="s">
        <v>34</v>
      </c>
      <c r="B39" s="215">
        <f t="shared" si="5"/>
        <v>0</v>
      </c>
      <c r="C39" s="25"/>
      <c r="D39" s="25"/>
      <c r="E39" s="1388">
        <f t="shared" si="6"/>
        <v>0</v>
      </c>
      <c r="F39" s="25">
        <v>0</v>
      </c>
      <c r="G39" s="25">
        <f>'[4]FinAL&amp;Azenia'!$B39</f>
        <v>0</v>
      </c>
      <c r="H39" s="163">
        <f t="shared" si="7"/>
        <v>0</v>
      </c>
      <c r="I39" s="1291">
        <f t="shared" si="8"/>
        <v>0</v>
      </c>
      <c r="L39" s="25">
        <f>'[14]Azenia 2023 CBK FORMAT'!$E$40</f>
        <v>0</v>
      </c>
    </row>
    <row r="40" spans="1:13">
      <c r="A40" s="1275" t="s">
        <v>35</v>
      </c>
      <c r="B40" s="215">
        <f t="shared" si="5"/>
        <v>0</v>
      </c>
      <c r="C40" s="25"/>
      <c r="D40" s="25"/>
      <c r="E40" s="1388">
        <f t="shared" si="6"/>
        <v>0</v>
      </c>
      <c r="F40" s="25">
        <v>0</v>
      </c>
      <c r="G40" s="25">
        <f>'[4]FinAL&amp;Azenia'!$B40</f>
        <v>0</v>
      </c>
      <c r="H40" s="163">
        <f t="shared" si="7"/>
        <v>0</v>
      </c>
      <c r="I40" s="1291">
        <f t="shared" si="8"/>
        <v>0</v>
      </c>
      <c r="L40" s="25">
        <f>'[14]Azenia 2023 CBK FORMAT'!$E$41</f>
        <v>0</v>
      </c>
    </row>
    <row r="41" spans="1:13">
      <c r="A41" s="1275" t="s">
        <v>36</v>
      </c>
      <c r="B41" s="215">
        <f>F41+L41</f>
        <v>5307773.4697233718</v>
      </c>
      <c r="C41" s="25">
        <f>P19</f>
        <v>0</v>
      </c>
      <c r="D41" s="25"/>
      <c r="E41" s="1388">
        <f>B41-C41+D41</f>
        <v>5307773.4697233718</v>
      </c>
      <c r="F41" s="25">
        <f>('[13]BS pivot'!$B$30+'[13]BS pivot'!$B$31)/1000</f>
        <v>2650417.3341799998</v>
      </c>
      <c r="G41" s="25">
        <f>'[4]FinAL&amp;Azenia'!$B41+'[4]FinAL&amp;Azenia'!$B36</f>
        <v>2617263.511905184</v>
      </c>
      <c r="H41" s="163">
        <f t="shared" si="7"/>
        <v>33153.822274815757</v>
      </c>
      <c r="I41" s="1291">
        <f t="shared" si="8"/>
        <v>1.2667361205323227E-2</v>
      </c>
      <c r="L41" s="25">
        <f>('[14]Azenia 2023 CBK FORMAT'!$E$37+'[14]Azenia 2023 CBK FORMAT'!$E$42)</f>
        <v>2657356.1355433725</v>
      </c>
      <c r="M41" s="55"/>
    </row>
    <row r="42" spans="1:13">
      <c r="A42" s="1390" t="s">
        <v>37</v>
      </c>
      <c r="B42" s="1391">
        <f t="shared" ref="B42:G42" si="9">SUM(B30:B41)</f>
        <v>5367210.5738357995</v>
      </c>
      <c r="C42" s="39">
        <f t="shared" si="9"/>
        <v>0</v>
      </c>
      <c r="D42" s="39">
        <f t="shared" si="9"/>
        <v>0</v>
      </c>
      <c r="E42" s="39">
        <f t="shared" si="9"/>
        <v>5367210.5738357995</v>
      </c>
      <c r="F42" s="39">
        <f t="shared" si="9"/>
        <v>2650417.3341799998</v>
      </c>
      <c r="G42" s="39">
        <f t="shared" si="9"/>
        <v>2663345.232949384</v>
      </c>
      <c r="H42" s="30">
        <f>F42-G42</f>
        <v>-12927.89876938425</v>
      </c>
      <c r="I42" s="1292">
        <f>H42/G42</f>
        <v>-4.8540078880678628E-3</v>
      </c>
      <c r="L42" s="39">
        <f>SUM(L30:L41)</f>
        <v>2716793.2396558002</v>
      </c>
    </row>
    <row r="43" spans="1:13">
      <c r="A43" s="1274"/>
      <c r="B43" s="1395"/>
      <c r="C43" s="60"/>
      <c r="D43" s="25"/>
      <c r="E43" s="1393"/>
      <c r="F43" s="60"/>
      <c r="G43" s="25"/>
      <c r="H43" s="32"/>
      <c r="I43" s="1293"/>
      <c r="L43" s="60"/>
    </row>
    <row r="44" spans="1:13">
      <c r="A44" s="1390" t="s">
        <v>38</v>
      </c>
      <c r="B44" s="1391"/>
      <c r="C44" s="39"/>
      <c r="D44" s="39"/>
      <c r="E44" s="1396"/>
      <c r="F44" s="39"/>
      <c r="G44" s="39"/>
      <c r="H44" s="30"/>
      <c r="I44" s="1292"/>
      <c r="L44" s="39"/>
    </row>
    <row r="45" spans="1:13">
      <c r="A45" s="1275" t="s">
        <v>39</v>
      </c>
      <c r="B45" s="215">
        <f t="shared" ref="B45:B51" si="10">F45+L45</f>
        <v>1000600</v>
      </c>
      <c r="C45" s="25"/>
      <c r="D45" s="25"/>
      <c r="E45" s="1388">
        <f t="shared" ref="E45:E51" si="11">B45-C45+D45</f>
        <v>1000600</v>
      </c>
      <c r="F45" s="25">
        <f>'[13]BS pivot'!$B$32/1000</f>
        <v>1000500</v>
      </c>
      <c r="G45" s="25">
        <f>'[4]FinAL&amp;Azenia'!$B45</f>
        <v>1000600</v>
      </c>
      <c r="H45" s="24">
        <f>F45-G45</f>
        <v>-100</v>
      </c>
      <c r="I45" s="1291">
        <f t="shared" ref="I45:I51" si="12">IFERROR(H45/G45,0)</f>
        <v>-9.9940035978412952E-5</v>
      </c>
      <c r="L45" s="25">
        <f>'[14]Azenia 2023 CBK FORMAT'!$E$46</f>
        <v>100</v>
      </c>
    </row>
    <row r="46" spans="1:13">
      <c r="A46" s="1275" t="s">
        <v>40</v>
      </c>
      <c r="B46" s="215">
        <f t="shared" si="10"/>
        <v>0</v>
      </c>
      <c r="C46" s="25"/>
      <c r="D46" s="25"/>
      <c r="E46" s="1388">
        <f t="shared" si="11"/>
        <v>0</v>
      </c>
      <c r="F46" s="25">
        <v>0</v>
      </c>
      <c r="G46" s="25">
        <f>'[4]FinAL&amp;Azenia'!$B46</f>
        <v>0</v>
      </c>
      <c r="H46" s="162">
        <v>0</v>
      </c>
      <c r="I46" s="1291">
        <f t="shared" si="12"/>
        <v>0</v>
      </c>
      <c r="L46" s="25">
        <f>'[14]Azenia 2023 CBK FORMAT'!$E$47</f>
        <v>0</v>
      </c>
    </row>
    <row r="47" spans="1:13">
      <c r="A47" s="1275" t="s">
        <v>41</v>
      </c>
      <c r="B47" s="215">
        <f t="shared" si="10"/>
        <v>0</v>
      </c>
      <c r="C47" s="25"/>
      <c r="D47" s="25"/>
      <c r="E47" s="1388">
        <f t="shared" si="11"/>
        <v>0</v>
      </c>
      <c r="F47" s="25">
        <v>0</v>
      </c>
      <c r="G47" s="25">
        <f>'[4]FinAL&amp;Azenia'!$B47</f>
        <v>0</v>
      </c>
      <c r="H47" s="162">
        <v>0</v>
      </c>
      <c r="I47" s="1291">
        <f t="shared" si="12"/>
        <v>0</v>
      </c>
      <c r="L47" s="25">
        <f>'[14]Azenia 2023 CBK FORMAT'!$E$48</f>
        <v>0</v>
      </c>
    </row>
    <row r="48" spans="1:13">
      <c r="A48" s="1275" t="s">
        <v>42</v>
      </c>
      <c r="B48" s="1397">
        <f t="shared" si="10"/>
        <v>112832.39294450734</v>
      </c>
      <c r="C48" s="1398"/>
      <c r="D48" s="25"/>
      <c r="E48" s="1388">
        <f>B48-C48+D48</f>
        <v>112832.39294450734</v>
      </c>
      <c r="F48" s="1398">
        <f>'[13]BS pivot'!$B$33/1000+F95</f>
        <v>200601.71081399982</v>
      </c>
      <c r="G48" s="25">
        <f>'[4]FinAL&amp;Azenia'!$B48</f>
        <v>47213.562249066134</v>
      </c>
      <c r="H48" s="24">
        <f>F48-G48</f>
        <v>153388.14856493368</v>
      </c>
      <c r="I48" s="1291">
        <f>IFERROR(H48/G48,0)</f>
        <v>3.2488154093470811</v>
      </c>
      <c r="L48" s="1398">
        <f>'[14]Azenia 2023 CBK FORMAT'!$E$49</f>
        <v>-87769.317869492472</v>
      </c>
    </row>
    <row r="49" spans="1:12">
      <c r="A49" s="1275" t="s">
        <v>43</v>
      </c>
      <c r="B49" s="215">
        <f t="shared" si="10"/>
        <v>0</v>
      </c>
      <c r="C49" s="25"/>
      <c r="D49" s="25"/>
      <c r="E49" s="1388">
        <f t="shared" si="11"/>
        <v>0</v>
      </c>
      <c r="F49" s="25">
        <v>0</v>
      </c>
      <c r="G49" s="25">
        <f>'[4]FinAL&amp;Azenia'!$B49</f>
        <v>0</v>
      </c>
      <c r="H49" s="162">
        <v>0</v>
      </c>
      <c r="I49" s="1291">
        <f t="shared" si="12"/>
        <v>0</v>
      </c>
      <c r="L49" s="25">
        <f>'[14]Azenia 2023 CBK FORMAT'!$E$50</f>
        <v>0</v>
      </c>
    </row>
    <row r="50" spans="1:12">
      <c r="A50" s="1275" t="s">
        <v>44</v>
      </c>
      <c r="B50" s="215">
        <f t="shared" si="10"/>
        <v>0</v>
      </c>
      <c r="C50" s="25"/>
      <c r="D50" s="25"/>
      <c r="E50" s="1388">
        <f t="shared" si="11"/>
        <v>0</v>
      </c>
      <c r="F50" s="25">
        <v>0</v>
      </c>
      <c r="G50" s="25">
        <f>'[4]FinAL&amp;Azenia'!$B50</f>
        <v>0</v>
      </c>
      <c r="H50" s="162">
        <v>0</v>
      </c>
      <c r="I50" s="1291">
        <f t="shared" si="12"/>
        <v>0</v>
      </c>
      <c r="L50" s="25">
        <f>'[14]Azenia 2023 CBK FORMAT'!$E$51</f>
        <v>0</v>
      </c>
    </row>
    <row r="51" spans="1:12">
      <c r="A51" s="1275" t="s">
        <v>45</v>
      </c>
      <c r="B51" s="215">
        <f t="shared" si="10"/>
        <v>0</v>
      </c>
      <c r="C51" s="25"/>
      <c r="D51" s="25"/>
      <c r="E51" s="1388">
        <f t="shared" si="11"/>
        <v>0</v>
      </c>
      <c r="F51" s="25">
        <v>0</v>
      </c>
      <c r="G51" s="25">
        <f>'[4]FinAL&amp;Azenia'!$B51</f>
        <v>0</v>
      </c>
      <c r="H51" s="162">
        <v>0</v>
      </c>
      <c r="I51" s="1291">
        <f t="shared" si="12"/>
        <v>0</v>
      </c>
      <c r="L51" s="25">
        <f>'[14]Azenia 2023 CBK FORMAT'!$E$52</f>
        <v>0</v>
      </c>
    </row>
    <row r="52" spans="1:12">
      <c r="A52" s="1390" t="s">
        <v>46</v>
      </c>
      <c r="B52" s="1391">
        <f t="shared" ref="B52:G52" si="13">SUM(B45:B51)</f>
        <v>1113432.3929445073</v>
      </c>
      <c r="C52" s="39">
        <f t="shared" si="13"/>
        <v>0</v>
      </c>
      <c r="D52" s="39">
        <f t="shared" si="13"/>
        <v>0</v>
      </c>
      <c r="E52" s="39">
        <f t="shared" si="13"/>
        <v>1113432.3929445073</v>
      </c>
      <c r="F52" s="39">
        <f t="shared" si="13"/>
        <v>1201101.7108139999</v>
      </c>
      <c r="G52" s="39">
        <f t="shared" si="13"/>
        <v>1047813.5622490661</v>
      </c>
      <c r="H52" s="30">
        <f>F52-G52</f>
        <v>153288.1485649338</v>
      </c>
      <c r="I52" s="1292">
        <f>H52/G52</f>
        <v>0.14629334271634203</v>
      </c>
      <c r="L52" s="39">
        <f>SUM(L45:L51)</f>
        <v>-87669.317869492472</v>
      </c>
    </row>
    <row r="53" spans="1:12">
      <c r="A53" s="1399"/>
      <c r="B53" s="1400"/>
      <c r="C53" s="61"/>
      <c r="D53" s="25"/>
      <c r="E53" s="80"/>
      <c r="F53" s="61"/>
      <c r="G53" s="25"/>
      <c r="H53" s="35"/>
      <c r="I53" s="1300"/>
      <c r="L53" s="61"/>
    </row>
    <row r="54" spans="1:12" ht="13.5" thickBot="1">
      <c r="A54" s="1401" t="s">
        <v>47</v>
      </c>
      <c r="B54" s="1402">
        <f t="shared" ref="B54:G54" si="14">B42+B52</f>
        <v>6480642.9667803068</v>
      </c>
      <c r="C54" s="94">
        <f t="shared" si="14"/>
        <v>0</v>
      </c>
      <c r="D54" s="94">
        <f t="shared" si="14"/>
        <v>0</v>
      </c>
      <c r="E54" s="94">
        <f t="shared" si="14"/>
        <v>6480642.9667803068</v>
      </c>
      <c r="F54" s="94">
        <f t="shared" si="14"/>
        <v>3851519.0449939994</v>
      </c>
      <c r="G54" s="94">
        <f t="shared" si="14"/>
        <v>3711158.7951984499</v>
      </c>
      <c r="H54" s="94">
        <f>F54-G54</f>
        <v>140360.24979554955</v>
      </c>
      <c r="I54" s="1295">
        <f>H54/G54</f>
        <v>3.7821138232389744E-2</v>
      </c>
      <c r="J54" s="1443"/>
      <c r="K54" s="1447"/>
      <c r="L54" s="94">
        <f>L42+L52</f>
        <v>2629123.9217863078</v>
      </c>
    </row>
    <row r="55" spans="1:12" ht="13.5" thickBot="1">
      <c r="A55" s="1403"/>
      <c r="B55" s="1404">
        <f>B27-B54</f>
        <v>0</v>
      </c>
      <c r="C55" s="1404">
        <f t="shared" ref="C55:L55" si="15">C27-C54</f>
        <v>0</v>
      </c>
      <c r="D55" s="1404">
        <f t="shared" si="15"/>
        <v>0</v>
      </c>
      <c r="E55" s="1404">
        <f t="shared" si="15"/>
        <v>0</v>
      </c>
      <c r="F55" s="1404">
        <f t="shared" si="15"/>
        <v>0</v>
      </c>
      <c r="G55" s="1404">
        <f t="shared" si="15"/>
        <v>0</v>
      </c>
      <c r="H55" s="1404">
        <f t="shared" si="15"/>
        <v>4.6566128730773926E-10</v>
      </c>
      <c r="I55" s="1405"/>
      <c r="J55" s="1404"/>
      <c r="K55" s="1404">
        <f t="shared" si="15"/>
        <v>0</v>
      </c>
      <c r="L55" s="1404">
        <f t="shared" si="15"/>
        <v>0</v>
      </c>
    </row>
    <row r="56" spans="1:12">
      <c r="A56" s="1448" t="s">
        <v>185</v>
      </c>
      <c r="B56" s="1383"/>
      <c r="C56" s="1613"/>
      <c r="D56" s="1614"/>
      <c r="E56" s="391" t="s">
        <v>669</v>
      </c>
      <c r="F56" s="1615" t="s">
        <v>670</v>
      </c>
      <c r="G56" s="1614"/>
      <c r="H56" s="1449"/>
      <c r="I56" s="1450"/>
      <c r="K56" s="475">
        <f>F54-F27</f>
        <v>0</v>
      </c>
      <c r="L56" s="93" t="s">
        <v>663</v>
      </c>
    </row>
    <row r="57" spans="1:12">
      <c r="A57" s="36" t="s">
        <v>48</v>
      </c>
      <c r="B57" s="1386"/>
      <c r="C57" s="19"/>
      <c r="D57" s="19"/>
      <c r="E57" s="1385">
        <v>44916</v>
      </c>
      <c r="F57" s="1191">
        <f>F2</f>
        <v>45046</v>
      </c>
      <c r="G57" s="1191">
        <f>G2</f>
        <v>44681</v>
      </c>
      <c r="H57" s="1580" t="s">
        <v>85</v>
      </c>
      <c r="I57" s="1618" t="s">
        <v>86</v>
      </c>
      <c r="L57" s="1191">
        <f>L2</f>
        <v>45046</v>
      </c>
    </row>
    <row r="58" spans="1:12">
      <c r="A58" s="36"/>
      <c r="B58" s="1386"/>
      <c r="C58" s="19"/>
      <c r="D58" s="19"/>
      <c r="E58" s="1386" t="s">
        <v>97</v>
      </c>
      <c r="F58" s="1386" t="s">
        <v>97</v>
      </c>
      <c r="G58" s="19" t="s">
        <v>83</v>
      </c>
      <c r="H58" s="1538"/>
      <c r="I58" s="1619"/>
      <c r="L58" s="19" t="s">
        <v>97</v>
      </c>
    </row>
    <row r="59" spans="1:12" ht="13.5" thickBot="1">
      <c r="A59" s="1406"/>
      <c r="B59" s="1407"/>
      <c r="C59" s="1408"/>
      <c r="D59" s="507"/>
      <c r="E59" s="1407" t="s">
        <v>84</v>
      </c>
      <c r="F59" s="1407" t="s">
        <v>84</v>
      </c>
      <c r="G59" s="507" t="s">
        <v>879</v>
      </c>
      <c r="H59" s="1406"/>
      <c r="I59" s="1409"/>
      <c r="L59" s="1408" t="s">
        <v>614</v>
      </c>
    </row>
    <row r="60" spans="1:12">
      <c r="A60" s="1410" t="s">
        <v>49</v>
      </c>
      <c r="B60" s="1411"/>
      <c r="C60" s="1412"/>
      <c r="D60" s="1412"/>
      <c r="E60" s="1410"/>
      <c r="F60" s="1411"/>
      <c r="G60" s="1412"/>
      <c r="H60" s="1413"/>
      <c r="I60" s="1414"/>
      <c r="L60" s="1412"/>
    </row>
    <row r="61" spans="1:12">
      <c r="A61" s="1275" t="s">
        <v>50</v>
      </c>
      <c r="B61" s="215">
        <f>F61+L61</f>
        <v>0</v>
      </c>
      <c r="C61" s="25"/>
      <c r="D61" s="25"/>
      <c r="E61" s="1415">
        <f>B61+D61-C61</f>
        <v>0</v>
      </c>
      <c r="F61" s="215">
        <f>'[34]PnL pivot'!$B$18/1000</f>
        <v>0</v>
      </c>
      <c r="G61" s="25">
        <f>'[4]FinAL&amp;Azenia'!$B60</f>
        <v>0</v>
      </c>
      <c r="H61" s="162">
        <f>F61-G61</f>
        <v>0</v>
      </c>
      <c r="I61" s="1291">
        <f>IFERROR(H61/G61,0)</f>
        <v>0</v>
      </c>
      <c r="L61" s="25">
        <f>'[14]Azenia 2023 CBK FORMAT'!$E$62</f>
        <v>0</v>
      </c>
    </row>
    <row r="62" spans="1:12">
      <c r="A62" s="1275" t="s">
        <v>51</v>
      </c>
      <c r="B62" s="215">
        <f>F62+L62</f>
        <v>0</v>
      </c>
      <c r="C62" s="25"/>
      <c r="D62" s="25"/>
      <c r="E62" s="1415">
        <f>B62+D62-C62</f>
        <v>0</v>
      </c>
      <c r="F62" s="215">
        <v>0</v>
      </c>
      <c r="G62" s="25">
        <f>'[4]FinAL&amp;Azenia'!$B61</f>
        <v>0</v>
      </c>
      <c r="H62" s="162">
        <f>F62-G62</f>
        <v>0</v>
      </c>
      <c r="I62" s="1291">
        <f>IFERROR(H62/G62,0)</f>
        <v>0</v>
      </c>
      <c r="L62" s="25">
        <f>'[14]Azenia 2023 CBK FORMAT'!$E$63</f>
        <v>0</v>
      </c>
    </row>
    <row r="63" spans="1:12">
      <c r="A63" s="1275" t="s">
        <v>52</v>
      </c>
      <c r="B63" s="215">
        <f>F63+L63</f>
        <v>26422.925079999997</v>
      </c>
      <c r="C63" s="25"/>
      <c r="D63" s="25"/>
      <c r="E63" s="1415">
        <f>B63+D63-C63</f>
        <v>26422.925079999997</v>
      </c>
      <c r="F63" s="215">
        <f>'[13]PnL pivot'!$B$19/1000</f>
        <v>26422.925079999997</v>
      </c>
      <c r="G63" s="25">
        <f>'[4]FinAL&amp;Azenia'!$B$62</f>
        <v>0</v>
      </c>
      <c r="H63" s="162">
        <f>F63-G63</f>
        <v>26422.925079999997</v>
      </c>
      <c r="I63" s="1291">
        <f>IFERROR(H63/G63,0)</f>
        <v>0</v>
      </c>
      <c r="L63" s="25">
        <f>'[14]Azenia 2023 CBK FORMAT'!$E$64</f>
        <v>0</v>
      </c>
    </row>
    <row r="64" spans="1:12">
      <c r="A64" s="1275" t="s">
        <v>53</v>
      </c>
      <c r="B64" s="215">
        <f>F64+L64</f>
        <v>0</v>
      </c>
      <c r="C64" s="25"/>
      <c r="D64" s="25"/>
      <c r="E64" s="1415">
        <f>B64+D64-C64</f>
        <v>0</v>
      </c>
      <c r="F64" s="215">
        <v>0</v>
      </c>
      <c r="G64" s="25">
        <f>'[4]FinAL&amp;Azenia'!$B63</f>
        <v>16212.690929999999</v>
      </c>
      <c r="H64" s="162">
        <f>F64-G64</f>
        <v>-16212.690929999999</v>
      </c>
      <c r="I64" s="1291">
        <f>IFERROR(H64/G64,0)</f>
        <v>-1</v>
      </c>
      <c r="L64" s="25">
        <f>'[14]Azenia 2023 CBK FORMAT'!$E$65</f>
        <v>0</v>
      </c>
    </row>
    <row r="65" spans="1:12">
      <c r="A65" s="1390" t="s">
        <v>54</v>
      </c>
      <c r="B65" s="1391">
        <f>SUM(B61:B64)</f>
        <v>26422.925079999997</v>
      </c>
      <c r="C65" s="39"/>
      <c r="D65" s="39"/>
      <c r="E65" s="1416">
        <f>SUM(E61:E64)</f>
        <v>26422.925079999997</v>
      </c>
      <c r="F65" s="1391">
        <f>SUM(F61:F64)</f>
        <v>26422.925079999997</v>
      </c>
      <c r="G65" s="39">
        <f>SUM(G61:G64)</f>
        <v>16212.690929999999</v>
      </c>
      <c r="H65" s="39">
        <f>F65-G65</f>
        <v>10210.234149999998</v>
      </c>
      <c r="I65" s="1299">
        <f>IFERROR(H65/G65,0)</f>
        <v>0.62976801285386619</v>
      </c>
      <c r="L65" s="39">
        <f>SUM(L61:L64)</f>
        <v>0</v>
      </c>
    </row>
    <row r="66" spans="1:12">
      <c r="A66" s="1274"/>
      <c r="B66" s="1417"/>
      <c r="C66" s="1418"/>
      <c r="D66" s="25"/>
      <c r="E66" s="1419">
        <f t="shared" ref="E66:E97" si="16">B66+D66-C66</f>
        <v>0</v>
      </c>
      <c r="F66" s="1417"/>
      <c r="G66" s="25"/>
      <c r="H66" s="32"/>
      <c r="I66" s="1293"/>
      <c r="L66" s="1418"/>
    </row>
    <row r="67" spans="1:12">
      <c r="A67" s="1274" t="s">
        <v>55</v>
      </c>
      <c r="B67" s="1420"/>
      <c r="C67" s="1421"/>
      <c r="D67" s="25"/>
      <c r="E67" s="1419">
        <f t="shared" si="16"/>
        <v>0</v>
      </c>
      <c r="F67" s="1420"/>
      <c r="G67" s="25"/>
      <c r="H67" s="162"/>
      <c r="I67" s="1302"/>
      <c r="L67" s="1421"/>
    </row>
    <row r="68" spans="1:12">
      <c r="A68" s="1275" t="s">
        <v>56</v>
      </c>
      <c r="B68" s="215">
        <f>F68+L68</f>
        <v>0</v>
      </c>
      <c r="C68" s="25"/>
      <c r="D68" s="25"/>
      <c r="E68" s="1422">
        <f t="shared" si="16"/>
        <v>0</v>
      </c>
      <c r="F68" s="215">
        <v>0</v>
      </c>
      <c r="G68" s="25">
        <f>'[4]FinAL&amp;Azenia'!$B67</f>
        <v>0</v>
      </c>
      <c r="H68" s="162">
        <f>F68-G68</f>
        <v>0</v>
      </c>
      <c r="I68" s="1291">
        <f>IFERROR(H68/G68,0)</f>
        <v>0</v>
      </c>
      <c r="L68" s="25">
        <f>'[14]Azenia 2023 CBK FORMAT'!$E$69</f>
        <v>0</v>
      </c>
    </row>
    <row r="69" spans="1:12">
      <c r="A69" s="1275" t="s">
        <v>57</v>
      </c>
      <c r="B69" s="215">
        <f>F69+L69</f>
        <v>0</v>
      </c>
      <c r="C69" s="25"/>
      <c r="D69" s="25"/>
      <c r="E69" s="1422">
        <f t="shared" si="16"/>
        <v>0</v>
      </c>
      <c r="F69" s="215">
        <v>0</v>
      </c>
      <c r="G69" s="25">
        <f>'[4]FinAL&amp;Azenia'!$B68</f>
        <v>0</v>
      </c>
      <c r="H69" s="162">
        <f>F69-G69</f>
        <v>0</v>
      </c>
      <c r="I69" s="1291">
        <f>IFERROR(H69/G69,0)</f>
        <v>0</v>
      </c>
      <c r="L69" s="25">
        <f>'[14]Azenia 2023 CBK FORMAT'!$E$70</f>
        <v>0</v>
      </c>
    </row>
    <row r="70" spans="1:12">
      <c r="A70" s="1275" t="s">
        <v>58</v>
      </c>
      <c r="B70" s="215">
        <f>F70+L70</f>
        <v>621.22142243908434</v>
      </c>
      <c r="C70" s="25"/>
      <c r="D70" s="25"/>
      <c r="E70" s="1422">
        <f t="shared" si="16"/>
        <v>621.22142243908434</v>
      </c>
      <c r="F70" s="215">
        <v>0</v>
      </c>
      <c r="G70" s="25">
        <f>'[4]FinAL&amp;Azenia'!$B69</f>
        <v>0</v>
      </c>
      <c r="H70" s="162">
        <f>F70-G70</f>
        <v>0</v>
      </c>
      <c r="I70" s="1291">
        <f>IFERROR(H70/G70,0)</f>
        <v>0</v>
      </c>
      <c r="L70" s="25">
        <f>-'[14]Azenia 2023 CBK FORMAT'!$E$71</f>
        <v>621.22142243908434</v>
      </c>
    </row>
    <row r="71" spans="1:12">
      <c r="A71" s="1390" t="s">
        <v>59</v>
      </c>
      <c r="B71" s="1391">
        <f>SUM(B68:B70)</f>
        <v>621.22142243908434</v>
      </c>
      <c r="C71" s="39"/>
      <c r="D71" s="39"/>
      <c r="E71" s="1423">
        <f t="shared" si="16"/>
        <v>621.22142243908434</v>
      </c>
      <c r="F71" s="1391">
        <f>SUM(F68:F70)</f>
        <v>0</v>
      </c>
      <c r="G71" s="39">
        <f>SUM(G68:G70)</f>
        <v>0</v>
      </c>
      <c r="H71" s="39">
        <f>F71-G71</f>
        <v>0</v>
      </c>
      <c r="I71" s="1299">
        <f>IFERROR(H71/G71,0)</f>
        <v>0</v>
      </c>
      <c r="L71" s="39">
        <f>SUM(L68:L70)</f>
        <v>621.22142243908434</v>
      </c>
    </row>
    <row r="72" spans="1:12">
      <c r="A72" s="1390" t="s">
        <v>60</v>
      </c>
      <c r="B72" s="1391">
        <f>B65-B71</f>
        <v>25801.703657560913</v>
      </c>
      <c r="C72" s="39"/>
      <c r="D72" s="39"/>
      <c r="E72" s="1423">
        <f t="shared" si="16"/>
        <v>25801.703657560913</v>
      </c>
      <c r="F72" s="1391">
        <f>F65-F71</f>
        <v>26422.925079999997</v>
      </c>
      <c r="G72" s="39">
        <f>G65-G71</f>
        <v>16212.690929999999</v>
      </c>
      <c r="H72" s="39">
        <f>F72-G72</f>
        <v>10210.234149999998</v>
      </c>
      <c r="I72" s="1299">
        <f>IFERROR(H72/G72,0)</f>
        <v>0.62976801285386619</v>
      </c>
      <c r="L72" s="39">
        <f>L65-L71</f>
        <v>-621.22142243908434</v>
      </c>
    </row>
    <row r="73" spans="1:12">
      <c r="A73" s="1274"/>
      <c r="B73" s="1424"/>
      <c r="C73" s="162"/>
      <c r="D73" s="25"/>
      <c r="E73" s="1419">
        <f t="shared" si="16"/>
        <v>0</v>
      </c>
      <c r="F73" s="1424"/>
      <c r="G73" s="25"/>
      <c r="H73" s="40"/>
      <c r="I73" s="1302"/>
      <c r="L73" s="162"/>
    </row>
    <row r="74" spans="1:12">
      <c r="A74" s="1274" t="s">
        <v>61</v>
      </c>
      <c r="B74" s="1425"/>
      <c r="C74" s="165"/>
      <c r="D74" s="25"/>
      <c r="E74" s="1419">
        <f t="shared" si="16"/>
        <v>0</v>
      </c>
      <c r="F74" s="1425"/>
      <c r="G74" s="25"/>
      <c r="H74" s="41"/>
      <c r="I74" s="1303"/>
      <c r="L74" s="165"/>
    </row>
    <row r="75" spans="1:12">
      <c r="A75" s="1275" t="s">
        <v>62</v>
      </c>
      <c r="B75" s="215">
        <f>F75+L75</f>
        <v>0</v>
      </c>
      <c r="C75" s="25"/>
      <c r="D75" s="25"/>
      <c r="E75" s="1422">
        <f t="shared" si="16"/>
        <v>0</v>
      </c>
      <c r="F75" s="215">
        <v>0</v>
      </c>
      <c r="G75" s="25">
        <f>'[4]FinAL&amp;Azenia'!$B74</f>
        <v>0</v>
      </c>
      <c r="H75" s="162">
        <f t="shared" ref="H75:H81" si="17">F75-G75</f>
        <v>0</v>
      </c>
      <c r="I75" s="1291">
        <f>IFERROR(H75/G75,0)</f>
        <v>0</v>
      </c>
      <c r="L75" s="25">
        <f>'[14]Azenia 2023 CBK FORMAT'!$E$76</f>
        <v>0</v>
      </c>
    </row>
    <row r="76" spans="1:12">
      <c r="A76" s="1275" t="s">
        <v>63</v>
      </c>
      <c r="B76" s="215">
        <f>F76+L76</f>
        <v>0</v>
      </c>
      <c r="C76" s="25"/>
      <c r="D76" s="25"/>
      <c r="E76" s="1422">
        <f t="shared" si="16"/>
        <v>0</v>
      </c>
      <c r="F76" s="215">
        <v>0</v>
      </c>
      <c r="G76" s="25">
        <f>'[4]FinAL&amp;Azenia'!$B75</f>
        <v>0</v>
      </c>
      <c r="H76" s="162">
        <f t="shared" si="17"/>
        <v>0</v>
      </c>
      <c r="I76" s="1291">
        <f>IFERROR(H76/G76,0)</f>
        <v>0</v>
      </c>
      <c r="L76" s="25">
        <f>'[14]Azenia 2023 CBK FORMAT'!$E$77</f>
        <v>0</v>
      </c>
    </row>
    <row r="77" spans="1:12">
      <c r="A77" s="1275" t="s">
        <v>64</v>
      </c>
      <c r="B77" s="215">
        <f>F77+L77</f>
        <v>-4.0653499999999996</v>
      </c>
      <c r="C77" s="25"/>
      <c r="D77" s="25"/>
      <c r="E77" s="1422">
        <f t="shared" si="16"/>
        <v>-4.0653499999999996</v>
      </c>
      <c r="F77" s="215">
        <v>0</v>
      </c>
      <c r="G77" s="25">
        <f>'[4]FinAL&amp;Azenia'!$B76</f>
        <v>0</v>
      </c>
      <c r="H77" s="162">
        <f t="shared" si="17"/>
        <v>0</v>
      </c>
      <c r="I77" s="1291">
        <f>IFERROR(H77/G77,0)</f>
        <v>0</v>
      </c>
      <c r="L77" s="25">
        <f>'[14]Azenia 2023 CBK FORMAT'!$E$78</f>
        <v>-4.0653499999999996</v>
      </c>
    </row>
    <row r="78" spans="1:12">
      <c r="A78" s="1275" t="s">
        <v>65</v>
      </c>
      <c r="B78" s="215">
        <f>F78+L78</f>
        <v>0</v>
      </c>
      <c r="C78" s="25"/>
      <c r="D78" s="25"/>
      <c r="E78" s="1422">
        <f t="shared" si="16"/>
        <v>0</v>
      </c>
      <c r="F78" s="215">
        <v>0</v>
      </c>
      <c r="G78" s="25">
        <f>'[4]FinAL&amp;Azenia'!$B77</f>
        <v>74.75412</v>
      </c>
      <c r="H78" s="162">
        <f t="shared" si="17"/>
        <v>-74.75412</v>
      </c>
      <c r="I78" s="1291">
        <f>IFERROR(H78/G78,0)</f>
        <v>-1</v>
      </c>
      <c r="L78" s="25">
        <f>'[14]Azenia 2023 CBK FORMAT'!$E$79</f>
        <v>0</v>
      </c>
    </row>
    <row r="79" spans="1:12">
      <c r="A79" s="1275" t="s">
        <v>66</v>
      </c>
      <c r="B79" s="215">
        <f>F79+L79</f>
        <v>1227530.5126873981</v>
      </c>
      <c r="C79" s="25"/>
      <c r="D79" s="25"/>
      <c r="E79" s="1422">
        <f t="shared" si="16"/>
        <v>1227530.5126873981</v>
      </c>
      <c r="F79" s="215">
        <f>'[13]PnL pivot'!$B$20/1000</f>
        <v>671440.53328999993</v>
      </c>
      <c r="G79" s="25">
        <f>'[4]FinAL&amp;Azenia'!$B$79</f>
        <v>1447824.91792625</v>
      </c>
      <c r="H79" s="162">
        <f t="shared" si="17"/>
        <v>-776384.38463625009</v>
      </c>
      <c r="I79" s="1291">
        <f>IFERROR(H79/G79,0)</f>
        <v>-0.5362418998481403</v>
      </c>
      <c r="K79" s="1616" t="s">
        <v>305</v>
      </c>
      <c r="L79" s="25">
        <f>'[14]Azenia 2023 CBK FORMAT'!$E$80</f>
        <v>556089.97939739819</v>
      </c>
    </row>
    <row r="80" spans="1:12">
      <c r="A80" s="1390" t="s">
        <v>67</v>
      </c>
      <c r="B80" s="1391">
        <f>SUM(B75:B79)</f>
        <v>1227526.4473373981</v>
      </c>
      <c r="C80" s="39"/>
      <c r="D80" s="39"/>
      <c r="E80" s="1423">
        <f t="shared" si="16"/>
        <v>1227526.4473373981</v>
      </c>
      <c r="F80" s="1391">
        <f>F79</f>
        <v>671440.53328999993</v>
      </c>
      <c r="G80" s="39">
        <f>G79</f>
        <v>1447824.91792625</v>
      </c>
      <c r="H80" s="39">
        <f t="shared" si="17"/>
        <v>-776384.38463625009</v>
      </c>
      <c r="I80" s="1292">
        <f>H80/G80</f>
        <v>-0.5362418998481403</v>
      </c>
      <c r="K80" s="1616"/>
      <c r="L80" s="39">
        <f>SUM(L75:L79)</f>
        <v>556085.91404739814</v>
      </c>
    </row>
    <row r="81" spans="1:13">
      <c r="A81" s="1390" t="s">
        <v>68</v>
      </c>
      <c r="B81" s="1391">
        <f>B80+B72</f>
        <v>1253328.1509949591</v>
      </c>
      <c r="C81" s="39"/>
      <c r="D81" s="39"/>
      <c r="E81" s="1423">
        <f t="shared" si="16"/>
        <v>1253328.1509949591</v>
      </c>
      <c r="F81" s="1391">
        <f>F80+F72</f>
        <v>697863.45836999989</v>
      </c>
      <c r="G81" s="39">
        <f>G80+G72</f>
        <v>1464037.6088562501</v>
      </c>
      <c r="H81" s="39">
        <f t="shared" si="17"/>
        <v>-766174.15048625018</v>
      </c>
      <c r="I81" s="1292">
        <f>H81/G81</f>
        <v>-0.52332955509579315</v>
      </c>
      <c r="L81" s="39">
        <f>L80+L72</f>
        <v>555464.69262495905</v>
      </c>
    </row>
    <row r="82" spans="1:13">
      <c r="A82" s="1274"/>
      <c r="B82" s="1424"/>
      <c r="C82" s="162"/>
      <c r="D82" s="25"/>
      <c r="E82" s="1419"/>
      <c r="F82" s="1424"/>
      <c r="G82" s="25"/>
      <c r="H82" s="42"/>
      <c r="I82" s="1303"/>
      <c r="L82" s="162"/>
    </row>
    <row r="83" spans="1:13">
      <c r="A83" s="1274" t="s">
        <v>69</v>
      </c>
      <c r="B83" s="1425"/>
      <c r="C83" s="165"/>
      <c r="D83" s="25"/>
      <c r="E83" s="1419"/>
      <c r="F83" s="1425"/>
      <c r="G83" s="25"/>
      <c r="H83" s="43"/>
      <c r="I83" s="1303"/>
      <c r="L83" s="165"/>
    </row>
    <row r="84" spans="1:13">
      <c r="A84" s="1275" t="s">
        <v>70</v>
      </c>
      <c r="B84" s="215">
        <f t="shared" ref="B84:B89" si="18">F84+L84</f>
        <v>0</v>
      </c>
      <c r="C84" s="25"/>
      <c r="D84" s="25"/>
      <c r="E84" s="1422">
        <f t="shared" si="16"/>
        <v>0</v>
      </c>
      <c r="F84" s="215">
        <f>-'[13]PnL pivot'!$B$21/1000</f>
        <v>0</v>
      </c>
      <c r="G84" s="25">
        <f>'[4]FinAL&amp;Azenia'!$B$84</f>
        <v>0</v>
      </c>
      <c r="H84" s="43">
        <f>F84-G84</f>
        <v>0</v>
      </c>
      <c r="I84" s="1291">
        <f t="shared" ref="I84:I90" si="19">IFERROR(H84/G84,0)</f>
        <v>0</v>
      </c>
      <c r="L84" s="25">
        <f>'[14]Azenia 2023 CBK FORMAT'!$E$85</f>
        <v>0</v>
      </c>
    </row>
    <row r="85" spans="1:13">
      <c r="A85" s="1275" t="s">
        <v>71</v>
      </c>
      <c r="B85" s="215">
        <f>F85+L85</f>
        <v>75336.627238500005</v>
      </c>
      <c r="C85" s="25"/>
      <c r="D85" s="25"/>
      <c r="E85" s="1422">
        <f t="shared" si="16"/>
        <v>75336.627238500005</v>
      </c>
      <c r="F85" s="215">
        <f>-'[13]PnL pivot'!$B$22/1000</f>
        <v>59117.860350000003</v>
      </c>
      <c r="G85" s="25">
        <f>'[4]FinAL&amp;Azenia'!$B$85</f>
        <v>164981.84323</v>
      </c>
      <c r="H85" s="43">
        <f t="shared" ref="H85:H90" si="20">F85-G85</f>
        <v>-105863.98288</v>
      </c>
      <c r="I85" s="1291">
        <f t="shared" si="19"/>
        <v>-0.64167050632605538</v>
      </c>
      <c r="L85" s="25">
        <f>'[14]Azenia 2023 CBK FORMAT'!$E$86</f>
        <v>16218.7668885</v>
      </c>
    </row>
    <row r="86" spans="1:13">
      <c r="A86" s="1275" t="s">
        <v>72</v>
      </c>
      <c r="B86" s="215">
        <f t="shared" si="18"/>
        <v>2746.5071400000002</v>
      </c>
      <c r="C86" s="25"/>
      <c r="D86" s="25"/>
      <c r="E86" s="1422">
        <f t="shared" si="16"/>
        <v>2746.5071400000002</v>
      </c>
      <c r="F86" s="215">
        <f>-'[13]PnL pivot'!$B$23/1000</f>
        <v>2746.5071400000002</v>
      </c>
      <c r="G86" s="25">
        <f>'[4]FinAL&amp;Azenia'!$B$86</f>
        <v>1143.5</v>
      </c>
      <c r="H86" s="43">
        <f t="shared" si="20"/>
        <v>1603.0071400000002</v>
      </c>
      <c r="I86" s="1291">
        <f t="shared" si="19"/>
        <v>1.4018427109750766</v>
      </c>
      <c r="K86" s="1616"/>
      <c r="L86" s="25">
        <f>'[14]Azenia 2023 CBK FORMAT'!$E$87</f>
        <v>0</v>
      </c>
    </row>
    <row r="87" spans="1:13">
      <c r="A87" s="1275" t="s">
        <v>73</v>
      </c>
      <c r="B87" s="215">
        <f t="shared" si="18"/>
        <v>5038.6419599999999</v>
      </c>
      <c r="C87" s="25"/>
      <c r="D87" s="25"/>
      <c r="E87" s="1422">
        <f t="shared" si="16"/>
        <v>5038.6419599999999</v>
      </c>
      <c r="F87" s="215">
        <f>-'[13]PnL pivot'!$B$24/1000</f>
        <v>5038.6419599999999</v>
      </c>
      <c r="G87" s="25">
        <f>'[4]FinAL&amp;Azenia'!$B$87</f>
        <v>5210.2</v>
      </c>
      <c r="H87" s="43">
        <f t="shared" si="20"/>
        <v>-171.55803999999989</v>
      </c>
      <c r="I87" s="1291">
        <f t="shared" si="19"/>
        <v>-3.2927342520440654E-2</v>
      </c>
      <c r="K87" s="1616"/>
      <c r="L87" s="25">
        <f>'[14]Azenia 2023 CBK FORMAT'!$E$88</f>
        <v>0</v>
      </c>
    </row>
    <row r="88" spans="1:13">
      <c r="A88" s="1275" t="s">
        <v>74</v>
      </c>
      <c r="B88" s="215">
        <f t="shared" si="18"/>
        <v>2908.5788165122103</v>
      </c>
      <c r="C88" s="25"/>
      <c r="D88" s="25"/>
      <c r="E88" s="1422">
        <f t="shared" si="16"/>
        <v>2908.5788165122103</v>
      </c>
      <c r="F88" s="215">
        <f>-'[13]PnL pivot'!$B$25/1000</f>
        <v>1716.5807199999999</v>
      </c>
      <c r="G88" s="25">
        <f>'[4]FinAL&amp;Azenia'!$B$88</f>
        <v>3462.5174200000001</v>
      </c>
      <c r="H88" s="43">
        <f t="shared" si="20"/>
        <v>-1745.9367000000002</v>
      </c>
      <c r="I88" s="1291">
        <f t="shared" si="19"/>
        <v>-0.50423910935876248</v>
      </c>
      <c r="K88" s="1616" t="s">
        <v>389</v>
      </c>
      <c r="L88" s="25">
        <f>'[14]Azenia 2023 CBK FORMAT'!$E$89</f>
        <v>1191.9980965122102</v>
      </c>
    </row>
    <row r="89" spans="1:13">
      <c r="A89" s="1275" t="s">
        <v>75</v>
      </c>
      <c r="B89" s="215">
        <f t="shared" si="18"/>
        <v>5387.1090400000003</v>
      </c>
      <c r="C89" s="25"/>
      <c r="D89" s="25"/>
      <c r="E89" s="1422">
        <f t="shared" si="16"/>
        <v>5387.1090400000003</v>
      </c>
      <c r="F89" s="215">
        <f>-'[13]PnL pivot'!$B$26/1000</f>
        <v>5387.1090400000003</v>
      </c>
      <c r="G89" s="25">
        <f>'[4]FinAL&amp;Azenia'!$B$89</f>
        <v>14241.51101</v>
      </c>
      <c r="H89" s="165">
        <f t="shared" si="20"/>
        <v>-8854.401969999999</v>
      </c>
      <c r="I89" s="1291">
        <f t="shared" si="19"/>
        <v>-0.62173191902057867</v>
      </c>
      <c r="K89" s="1616"/>
      <c r="L89" s="25">
        <f>'[14]Azenia 2023 CBK FORMAT'!$E$90</f>
        <v>0</v>
      </c>
    </row>
    <row r="90" spans="1:13">
      <c r="A90" s="1275" t="s">
        <v>76</v>
      </c>
      <c r="B90" s="215">
        <f>F90+L90</f>
        <v>954491.47075791564</v>
      </c>
      <c r="C90" s="25"/>
      <c r="D90" s="25"/>
      <c r="E90" s="1422">
        <f t="shared" si="16"/>
        <v>954491.47075791564</v>
      </c>
      <c r="F90" s="215">
        <f>-'[13]PnL pivot'!$B$27/1000</f>
        <v>385754.78683999996</v>
      </c>
      <c r="G90" s="25">
        <f>'[4]FinAL&amp;Azenia'!$B$90</f>
        <v>1160693.3542131835</v>
      </c>
      <c r="H90" s="165">
        <f t="shared" si="20"/>
        <v>-774938.56737318356</v>
      </c>
      <c r="I90" s="1291">
        <f t="shared" si="19"/>
        <v>-0.66765142107538189</v>
      </c>
      <c r="L90" s="25">
        <f>'[14]Azenia 2023 CBK FORMAT'!$E$91</f>
        <v>568736.68391791568</v>
      </c>
      <c r="M90" s="55"/>
    </row>
    <row r="91" spans="1:13">
      <c r="A91" s="1390" t="s">
        <v>77</v>
      </c>
      <c r="B91" s="1391">
        <f>SUM(B84:B90)</f>
        <v>1045908.9349529279</v>
      </c>
      <c r="C91" s="39"/>
      <c r="D91" s="39"/>
      <c r="E91" s="1423">
        <f t="shared" si="16"/>
        <v>1045908.9349529279</v>
      </c>
      <c r="F91" s="1391">
        <f>SUM(F84:F90)</f>
        <v>459761.48604999995</v>
      </c>
      <c r="G91" s="39">
        <f>SUM(G84:G90)</f>
        <v>1349732.9258731834</v>
      </c>
      <c r="H91" s="39">
        <f>F91-G91</f>
        <v>-889971.43982318346</v>
      </c>
      <c r="I91" s="1292">
        <f>H91/G91</f>
        <v>-0.65936854822403757</v>
      </c>
      <c r="L91" s="39">
        <f>SUM(L84:L90)</f>
        <v>586147.44890292792</v>
      </c>
    </row>
    <row r="92" spans="1:13">
      <c r="A92" s="1390" t="s">
        <v>78</v>
      </c>
      <c r="B92" s="1391">
        <f>B81-B91</f>
        <v>207419.21604203118</v>
      </c>
      <c r="C92" s="39"/>
      <c r="D92" s="39"/>
      <c r="E92" s="1423">
        <f t="shared" si="16"/>
        <v>207419.21604203118</v>
      </c>
      <c r="F92" s="1391">
        <f>F81-F91</f>
        <v>238101.97231999994</v>
      </c>
      <c r="G92" s="39">
        <f>G81-G91</f>
        <v>114304.68298306665</v>
      </c>
      <c r="H92" s="39">
        <f>F92-G92</f>
        <v>123797.28933693329</v>
      </c>
      <c r="I92" s="1292">
        <f>H92/G92</f>
        <v>1.0830465218583643</v>
      </c>
      <c r="L92" s="39">
        <f>L81-L91</f>
        <v>-30682.756277968874</v>
      </c>
    </row>
    <row r="93" spans="1:13">
      <c r="A93" s="1275" t="s">
        <v>80</v>
      </c>
      <c r="B93" s="215"/>
      <c r="C93" s="25"/>
      <c r="D93" s="25"/>
      <c r="E93" s="1422">
        <f t="shared" si="16"/>
        <v>0</v>
      </c>
      <c r="F93" s="215">
        <v>0</v>
      </c>
      <c r="G93" s="25">
        <v>0</v>
      </c>
      <c r="H93" s="162">
        <v>0</v>
      </c>
      <c r="I93" s="1302">
        <v>0</v>
      </c>
      <c r="L93" s="25">
        <v>0</v>
      </c>
    </row>
    <row r="94" spans="1:13">
      <c r="A94" s="1390" t="s">
        <v>81</v>
      </c>
      <c r="B94" s="1391">
        <f>SUM(B92:B93)</f>
        <v>207419.21604203118</v>
      </c>
      <c r="C94" s="39"/>
      <c r="D94" s="39"/>
      <c r="E94" s="1423">
        <f t="shared" si="16"/>
        <v>207419.21604203118</v>
      </c>
      <c r="F94" s="1391">
        <f>SUM(F92:F93)</f>
        <v>238101.97231999994</v>
      </c>
      <c r="G94" s="39">
        <f>SUM(G92:G93)</f>
        <v>114304.68298306665</v>
      </c>
      <c r="H94" s="39">
        <f>(F94-G94)</f>
        <v>123797.28933693329</v>
      </c>
      <c r="I94" s="1292">
        <f>H94/G94</f>
        <v>1.0830465218583643</v>
      </c>
      <c r="L94" s="39">
        <f>SUM(L92:L93)</f>
        <v>-30682.756277968874</v>
      </c>
    </row>
    <row r="95" spans="1:13">
      <c r="A95" s="1275" t="s">
        <v>91</v>
      </c>
      <c r="B95" s="215">
        <f>F95+L95</f>
        <v>-71430.591695999974</v>
      </c>
      <c r="C95" s="25"/>
      <c r="D95" s="25"/>
      <c r="E95" s="1422">
        <f t="shared" si="16"/>
        <v>-71430.591695999974</v>
      </c>
      <c r="F95" s="215">
        <f>-0.3*(F94)</f>
        <v>-71430.591695999974</v>
      </c>
      <c r="G95" s="25">
        <f>'[4]FinAL&amp;Azenia'!$B$95</f>
        <v>-43655.633904000009</v>
      </c>
      <c r="H95" s="43">
        <f>F95-G95</f>
        <v>-27774.957791999965</v>
      </c>
      <c r="I95" s="1291">
        <f>IFERROR(H95/G95,0)</f>
        <v>0.63622848434815749</v>
      </c>
      <c r="J95" s="105" t="s">
        <v>644</v>
      </c>
      <c r="L95" s="25"/>
    </row>
    <row r="96" spans="1:13">
      <c r="A96" s="1275" t="s">
        <v>92</v>
      </c>
      <c r="B96" s="1425">
        <f>F96+L96</f>
        <v>0</v>
      </c>
      <c r="C96" s="165"/>
      <c r="D96" s="25"/>
      <c r="E96" s="1426">
        <f t="shared" si="16"/>
        <v>0</v>
      </c>
      <c r="F96" s="1425">
        <f>[34]PnL!$N$152/1000</f>
        <v>0</v>
      </c>
      <c r="G96" s="25">
        <f>'[4]FinAL&amp;Azenia'!$B$96</f>
        <v>0</v>
      </c>
      <c r="H96" s="43">
        <f>F96-G96</f>
        <v>0</v>
      </c>
      <c r="I96" s="1303" t="s">
        <v>101</v>
      </c>
      <c r="L96" s="165">
        <f>[35]PnL!$N$152/1000</f>
        <v>0</v>
      </c>
    </row>
    <row r="97" spans="1:12" ht="13.5" thickBot="1">
      <c r="A97" s="1427" t="s">
        <v>93</v>
      </c>
      <c r="B97" s="1428">
        <f>B94+B95+B96</f>
        <v>135988.62434603123</v>
      </c>
      <c r="C97" s="1429"/>
      <c r="D97" s="1429"/>
      <c r="E97" s="1430">
        <f t="shared" si="16"/>
        <v>135988.62434603123</v>
      </c>
      <c r="F97" s="1428">
        <f>F94+F95+F96</f>
        <v>166671.38062399998</v>
      </c>
      <c r="G97" s="1429">
        <f>SUM(G94:G96)</f>
        <v>70649.049079066637</v>
      </c>
      <c r="H97" s="1429">
        <f>F97-G97</f>
        <v>96022.331544933346</v>
      </c>
      <c r="I97" s="1431">
        <f>IFERROR(H97/G97,0)</f>
        <v>1.3591454208742468</v>
      </c>
      <c r="L97" s="1429">
        <f>L94+L95+L96</f>
        <v>-30682.756277968874</v>
      </c>
    </row>
    <row r="98" spans="1:12">
      <c r="A98" s="52"/>
      <c r="B98" s="102"/>
      <c r="C98" s="102"/>
      <c r="D98" s="52"/>
      <c r="E98" s="52"/>
      <c r="F98" s="102"/>
      <c r="G98" s="52"/>
      <c r="L98" s="102"/>
    </row>
    <row r="99" spans="1:12">
      <c r="A99" s="52"/>
      <c r="B99" s="103"/>
      <c r="C99" s="103"/>
      <c r="D99" s="52"/>
      <c r="E99" s="52"/>
      <c r="F99" s="103"/>
      <c r="G99" s="52"/>
      <c r="L99" s="103"/>
    </row>
    <row r="100" spans="1:12">
      <c r="A100" s="52"/>
      <c r="B100" s="102"/>
      <c r="C100" s="102"/>
      <c r="D100" s="52"/>
      <c r="E100" s="52"/>
      <c r="F100" s="102"/>
      <c r="G100" s="52"/>
      <c r="L100" s="102"/>
    </row>
    <row r="101" spans="1:12">
      <c r="A101" s="52"/>
      <c r="B101" s="102"/>
      <c r="C101" s="102"/>
      <c r="D101" s="52"/>
      <c r="E101" s="52"/>
      <c r="F101" s="102"/>
      <c r="G101" s="52"/>
      <c r="L101" s="102"/>
    </row>
    <row r="102" spans="1:12">
      <c r="A102" s="52"/>
      <c r="B102" s="102"/>
      <c r="C102" s="102"/>
      <c r="D102" s="52"/>
      <c r="E102" s="52"/>
      <c r="F102" s="102"/>
      <c r="G102" s="52"/>
      <c r="L102" s="102"/>
    </row>
    <row r="103" spans="1:12">
      <c r="A103" s="52"/>
      <c r="B103" s="102"/>
      <c r="C103" s="102"/>
      <c r="D103" s="52"/>
      <c r="E103" s="52"/>
      <c r="F103" s="102"/>
      <c r="G103" s="52"/>
      <c r="L103" s="102"/>
    </row>
    <row r="104" spans="1:12">
      <c r="A104" s="52"/>
      <c r="B104" s="102"/>
      <c r="C104" s="102"/>
      <c r="D104" s="52"/>
      <c r="E104" s="52"/>
      <c r="F104" s="102"/>
      <c r="G104" s="52"/>
      <c r="L104" s="102"/>
    </row>
    <row r="105" spans="1:12">
      <c r="A105" s="52"/>
      <c r="B105" s="102"/>
      <c r="C105" s="102"/>
      <c r="D105" s="52"/>
      <c r="E105" s="52"/>
      <c r="F105" s="102"/>
      <c r="G105" s="52"/>
      <c r="L105" s="102"/>
    </row>
    <row r="106" spans="1:12">
      <c r="A106" s="52"/>
      <c r="B106" s="102"/>
      <c r="C106" s="102"/>
      <c r="D106" s="52"/>
      <c r="E106" s="52"/>
      <c r="F106" s="102"/>
      <c r="G106" s="52"/>
      <c r="L106" s="102"/>
    </row>
    <row r="107" spans="1:12">
      <c r="A107" s="52"/>
      <c r="B107" s="102"/>
      <c r="C107" s="102"/>
      <c r="D107" s="52"/>
      <c r="E107" s="52"/>
      <c r="F107" s="102"/>
      <c r="G107" s="52"/>
      <c r="L107" s="102"/>
    </row>
    <row r="108" spans="1:12">
      <c r="A108" s="52"/>
      <c r="B108" s="102"/>
      <c r="C108" s="102"/>
      <c r="D108" s="52"/>
      <c r="E108" s="52"/>
      <c r="F108" s="102"/>
      <c r="G108" s="52"/>
      <c r="L108" s="102"/>
    </row>
    <row r="109" spans="1:12">
      <c r="A109" s="52"/>
      <c r="B109" s="102"/>
      <c r="C109" s="102"/>
      <c r="D109" s="52"/>
      <c r="E109" s="52"/>
      <c r="F109" s="102"/>
      <c r="G109" s="52"/>
      <c r="L109" s="102"/>
    </row>
    <row r="110" spans="1:12">
      <c r="A110" s="52"/>
      <c r="B110" s="102"/>
      <c r="C110" s="102"/>
      <c r="D110" s="52"/>
      <c r="E110" s="52"/>
      <c r="F110" s="102"/>
      <c r="G110" s="52"/>
      <c r="L110" s="102"/>
    </row>
    <row r="111" spans="1:12">
      <c r="A111" s="52"/>
      <c r="B111" s="102"/>
      <c r="C111" s="102"/>
      <c r="D111" s="52"/>
      <c r="E111" s="52"/>
      <c r="F111" s="102"/>
      <c r="G111" s="52"/>
      <c r="L111" s="102"/>
    </row>
    <row r="112" spans="1:12">
      <c r="A112" s="52"/>
      <c r="B112" s="102"/>
      <c r="C112" s="102"/>
      <c r="D112" s="52"/>
      <c r="E112" s="52"/>
      <c r="F112" s="102"/>
      <c r="G112" s="52"/>
      <c r="L112" s="102"/>
    </row>
    <row r="113" spans="1:12">
      <c r="A113" s="52"/>
      <c r="B113" s="102"/>
      <c r="C113" s="102"/>
      <c r="D113" s="52"/>
      <c r="E113" s="52"/>
      <c r="F113" s="102"/>
      <c r="G113" s="52"/>
      <c r="L113" s="102"/>
    </row>
    <row r="114" spans="1:12">
      <c r="A114" s="52"/>
      <c r="B114" s="102"/>
      <c r="C114" s="102"/>
      <c r="D114" s="52"/>
      <c r="E114" s="52"/>
      <c r="F114" s="102"/>
      <c r="G114" s="52"/>
      <c r="L114" s="102"/>
    </row>
    <row r="115" spans="1:12">
      <c r="A115" s="52"/>
      <c r="B115" s="102"/>
      <c r="C115" s="102"/>
      <c r="D115" s="52"/>
      <c r="E115" s="52"/>
      <c r="F115" s="102"/>
      <c r="G115" s="52"/>
      <c r="L115" s="102"/>
    </row>
    <row r="116" spans="1:12">
      <c r="A116" s="52"/>
      <c r="B116" s="102"/>
      <c r="C116" s="102"/>
      <c r="D116" s="52"/>
      <c r="E116" s="52"/>
      <c r="F116" s="102"/>
      <c r="G116" s="52"/>
      <c r="L116" s="102"/>
    </row>
    <row r="117" spans="1:12">
      <c r="A117" s="52"/>
      <c r="B117" s="102"/>
      <c r="C117" s="102"/>
      <c r="D117" s="52"/>
      <c r="E117" s="52"/>
      <c r="F117" s="102"/>
      <c r="G117" s="52"/>
      <c r="L117" s="102"/>
    </row>
    <row r="118" spans="1:12">
      <c r="A118" s="52"/>
      <c r="B118" s="102"/>
      <c r="C118" s="102"/>
      <c r="D118" s="52"/>
      <c r="E118" s="52"/>
      <c r="F118" s="102"/>
      <c r="G118" s="52"/>
      <c r="L118" s="102"/>
    </row>
    <row r="119" spans="1:12">
      <c r="A119" s="52"/>
      <c r="B119" s="102"/>
      <c r="C119" s="102"/>
      <c r="D119" s="52"/>
      <c r="E119" s="52"/>
      <c r="F119" s="102"/>
      <c r="G119" s="52"/>
      <c r="L119" s="102"/>
    </row>
    <row r="120" spans="1:12">
      <c r="A120" s="52"/>
      <c r="B120" s="102"/>
      <c r="C120" s="102"/>
      <c r="D120" s="52"/>
      <c r="E120" s="52"/>
      <c r="F120" s="102"/>
      <c r="G120" s="52"/>
      <c r="L120" s="102"/>
    </row>
    <row r="121" spans="1:12">
      <c r="A121" s="52"/>
      <c r="B121" s="102"/>
      <c r="C121" s="102"/>
      <c r="D121" s="52"/>
      <c r="E121" s="52"/>
      <c r="F121" s="102"/>
      <c r="G121" s="52"/>
      <c r="L121" s="102"/>
    </row>
    <row r="122" spans="1:12">
      <c r="A122" s="52"/>
      <c r="B122" s="102"/>
      <c r="C122" s="102"/>
      <c r="D122" s="52"/>
      <c r="E122" s="52"/>
      <c r="F122" s="102"/>
      <c r="G122" s="52"/>
      <c r="L122" s="102"/>
    </row>
    <row r="123" spans="1:12">
      <c r="A123" s="52"/>
      <c r="B123" s="102"/>
      <c r="C123" s="102"/>
      <c r="D123" s="52"/>
      <c r="E123" s="52"/>
      <c r="F123" s="102"/>
      <c r="G123" s="52"/>
      <c r="L123" s="102"/>
    </row>
    <row r="124" spans="1:12">
      <c r="A124" s="52"/>
      <c r="B124" s="102"/>
      <c r="C124" s="102"/>
      <c r="D124" s="52"/>
      <c r="E124" s="52"/>
      <c r="F124" s="102"/>
      <c r="G124" s="52"/>
      <c r="L124" s="102"/>
    </row>
    <row r="125" spans="1:12">
      <c r="A125" s="52"/>
      <c r="B125" s="102"/>
      <c r="C125" s="102"/>
      <c r="D125" s="52"/>
      <c r="E125" s="52"/>
      <c r="F125" s="102"/>
      <c r="G125" s="52"/>
      <c r="L125" s="102"/>
    </row>
    <row r="126" spans="1:12">
      <c r="A126" s="52"/>
      <c r="B126" s="102"/>
      <c r="C126" s="102"/>
      <c r="D126" s="52"/>
      <c r="E126" s="52"/>
      <c r="F126" s="102"/>
      <c r="G126" s="52"/>
      <c r="L126" s="102"/>
    </row>
    <row r="127" spans="1:12">
      <c r="A127" s="52"/>
      <c r="B127" s="102"/>
      <c r="C127" s="102"/>
      <c r="D127" s="52"/>
      <c r="E127" s="52"/>
      <c r="F127" s="102"/>
      <c r="G127" s="52"/>
      <c r="L127" s="102"/>
    </row>
    <row r="128" spans="1:12">
      <c r="A128" s="52"/>
      <c r="B128" s="102"/>
      <c r="C128" s="102"/>
      <c r="D128" s="52"/>
      <c r="E128" s="52"/>
      <c r="F128" s="102"/>
      <c r="G128" s="52"/>
      <c r="L128" s="102"/>
    </row>
    <row r="129" spans="1:12">
      <c r="A129" s="52"/>
      <c r="B129" s="102"/>
      <c r="C129" s="102"/>
      <c r="D129" s="52"/>
      <c r="E129" s="52"/>
      <c r="F129" s="102"/>
      <c r="G129" s="52"/>
      <c r="L129" s="102"/>
    </row>
    <row r="130" spans="1:12">
      <c r="A130" s="52"/>
      <c r="B130" s="102"/>
      <c r="C130" s="102"/>
      <c r="D130" s="52"/>
      <c r="E130" s="52"/>
      <c r="F130" s="102"/>
      <c r="G130" s="52"/>
      <c r="L130" s="102"/>
    </row>
    <row r="131" spans="1:12">
      <c r="A131" s="52"/>
      <c r="B131" s="102"/>
      <c r="C131" s="102"/>
      <c r="D131" s="52"/>
      <c r="E131" s="52"/>
      <c r="F131" s="102"/>
      <c r="G131" s="52"/>
      <c r="L131" s="102"/>
    </row>
    <row r="132" spans="1:12">
      <c r="A132" s="52"/>
      <c r="B132" s="102"/>
      <c r="C132" s="102"/>
      <c r="D132" s="52"/>
      <c r="E132" s="52"/>
      <c r="F132" s="102"/>
      <c r="G132" s="52"/>
      <c r="L132" s="102"/>
    </row>
    <row r="133" spans="1:12">
      <c r="A133" s="52"/>
      <c r="B133" s="102"/>
      <c r="C133" s="102"/>
      <c r="D133" s="52"/>
      <c r="E133" s="52"/>
      <c r="F133" s="102"/>
      <c r="G133" s="52"/>
      <c r="L133" s="102"/>
    </row>
    <row r="134" spans="1:12">
      <c r="A134" s="52"/>
      <c r="B134" s="102"/>
      <c r="C134" s="102"/>
      <c r="D134" s="52"/>
      <c r="E134" s="52"/>
      <c r="F134" s="102"/>
      <c r="G134" s="52"/>
      <c r="L134" s="102"/>
    </row>
    <row r="135" spans="1:12">
      <c r="A135" s="52"/>
      <c r="B135" s="102"/>
      <c r="C135" s="102"/>
      <c r="D135" s="52"/>
      <c r="E135" s="52"/>
      <c r="F135" s="102"/>
      <c r="G135" s="52"/>
      <c r="L135" s="102"/>
    </row>
    <row r="136" spans="1:12">
      <c r="A136" s="52"/>
      <c r="B136" s="102"/>
      <c r="C136" s="102"/>
      <c r="D136" s="52"/>
      <c r="E136" s="52"/>
      <c r="F136" s="102"/>
      <c r="G136" s="52"/>
      <c r="L136" s="102"/>
    </row>
    <row r="137" spans="1:12">
      <c r="A137" s="52"/>
      <c r="B137" s="102"/>
      <c r="C137" s="102"/>
      <c r="D137" s="52"/>
      <c r="E137" s="52"/>
      <c r="F137" s="102"/>
      <c r="G137" s="52"/>
      <c r="L137" s="102"/>
    </row>
    <row r="138" spans="1:12">
      <c r="A138" s="52"/>
      <c r="B138" s="102"/>
      <c r="C138" s="102"/>
      <c r="D138" s="52"/>
      <c r="E138" s="52"/>
      <c r="F138" s="102"/>
      <c r="G138" s="52"/>
      <c r="L138" s="102"/>
    </row>
    <row r="139" spans="1:12">
      <c r="A139" s="52"/>
      <c r="B139" s="102"/>
      <c r="C139" s="102"/>
      <c r="D139" s="52"/>
      <c r="E139" s="52"/>
      <c r="F139" s="102"/>
      <c r="G139" s="52"/>
      <c r="L139" s="102"/>
    </row>
    <row r="140" spans="1:12">
      <c r="A140" s="52"/>
      <c r="B140" s="102"/>
      <c r="C140" s="102"/>
      <c r="D140" s="52"/>
      <c r="E140" s="52"/>
      <c r="F140" s="102"/>
      <c r="G140" s="52"/>
      <c r="L140" s="102"/>
    </row>
    <row r="141" spans="1:12">
      <c r="A141" s="52"/>
      <c r="B141" s="102"/>
      <c r="C141" s="102"/>
      <c r="D141" s="52"/>
      <c r="E141" s="52"/>
      <c r="F141" s="102"/>
      <c r="G141" s="52"/>
      <c r="L141" s="102"/>
    </row>
    <row r="142" spans="1:12">
      <c r="A142" s="52"/>
      <c r="B142" s="102"/>
      <c r="C142" s="102"/>
      <c r="D142" s="52"/>
      <c r="E142" s="52"/>
      <c r="F142" s="102"/>
      <c r="G142" s="52"/>
      <c r="L142" s="102"/>
    </row>
    <row r="143" spans="1:12">
      <c r="A143" s="52"/>
      <c r="B143" s="102"/>
      <c r="C143" s="102"/>
      <c r="D143" s="52"/>
      <c r="E143" s="52"/>
      <c r="F143" s="102"/>
      <c r="G143" s="52"/>
      <c r="L143" s="102"/>
    </row>
    <row r="144" spans="1:12">
      <c r="A144" s="52"/>
      <c r="B144" s="102"/>
      <c r="C144" s="102"/>
      <c r="D144" s="52"/>
      <c r="E144" s="52"/>
      <c r="F144" s="102"/>
      <c r="G144" s="52"/>
      <c r="L144" s="102"/>
    </row>
    <row r="145" spans="1:12">
      <c r="A145" s="52"/>
      <c r="B145" s="102"/>
      <c r="C145" s="102"/>
      <c r="D145" s="52"/>
      <c r="E145" s="52"/>
      <c r="F145" s="102"/>
      <c r="G145" s="52"/>
      <c r="L145" s="102"/>
    </row>
    <row r="146" spans="1:12">
      <c r="A146" s="52"/>
      <c r="B146" s="102"/>
      <c r="C146" s="102"/>
      <c r="D146" s="52"/>
      <c r="E146" s="52"/>
      <c r="F146" s="102"/>
      <c r="G146" s="52"/>
      <c r="L146" s="102"/>
    </row>
    <row r="147" spans="1:12">
      <c r="A147" s="52"/>
      <c r="B147" s="102"/>
      <c r="C147" s="102"/>
      <c r="D147" s="52"/>
      <c r="E147" s="52"/>
      <c r="F147" s="102"/>
      <c r="G147" s="52"/>
      <c r="L147" s="102"/>
    </row>
    <row r="148" spans="1:12">
      <c r="A148" s="52"/>
      <c r="B148" s="102"/>
      <c r="C148" s="102"/>
      <c r="D148" s="52"/>
      <c r="E148" s="52"/>
      <c r="F148" s="102"/>
      <c r="G148" s="52"/>
      <c r="L148" s="102"/>
    </row>
    <row r="149" spans="1:12">
      <c r="A149" s="52"/>
      <c r="B149" s="102"/>
      <c r="C149" s="102"/>
      <c r="D149" s="52"/>
      <c r="E149" s="52"/>
      <c r="F149" s="102"/>
      <c r="G149" s="52"/>
      <c r="L149" s="102"/>
    </row>
    <row r="150" spans="1:12">
      <c r="A150" s="52"/>
      <c r="B150" s="102"/>
      <c r="C150" s="102"/>
      <c r="D150" s="52"/>
      <c r="E150" s="52"/>
      <c r="F150" s="102"/>
      <c r="G150" s="52"/>
      <c r="L150" s="102"/>
    </row>
    <row r="151" spans="1:12">
      <c r="A151" s="52"/>
      <c r="B151" s="102"/>
      <c r="C151" s="102"/>
      <c r="D151" s="52"/>
      <c r="E151" s="52"/>
      <c r="F151" s="102"/>
      <c r="G151" s="52"/>
      <c r="L151" s="102"/>
    </row>
    <row r="152" spans="1:12">
      <c r="A152" s="52"/>
      <c r="B152" s="102"/>
      <c r="C152" s="102"/>
      <c r="D152" s="52"/>
      <c r="E152" s="52"/>
      <c r="F152" s="102"/>
      <c r="G152" s="52"/>
      <c r="L152" s="102"/>
    </row>
    <row r="153" spans="1:12">
      <c r="A153" s="52"/>
      <c r="B153" s="102"/>
      <c r="C153" s="102"/>
      <c r="D153" s="52"/>
      <c r="E153" s="52"/>
      <c r="F153" s="102"/>
      <c r="G153" s="52"/>
      <c r="L153" s="102"/>
    </row>
    <row r="154" spans="1:12">
      <c r="A154" s="52"/>
      <c r="B154" s="102"/>
      <c r="C154" s="102"/>
      <c r="D154" s="52"/>
      <c r="E154" s="52"/>
      <c r="F154" s="102"/>
      <c r="G154" s="52"/>
      <c r="L154" s="102"/>
    </row>
    <row r="155" spans="1:12">
      <c r="A155" s="52"/>
      <c r="B155" s="102"/>
      <c r="C155" s="102"/>
      <c r="D155" s="52"/>
      <c r="E155" s="52"/>
      <c r="F155" s="102"/>
      <c r="G155" s="52"/>
      <c r="L155" s="102"/>
    </row>
    <row r="156" spans="1:12">
      <c r="A156" s="52"/>
      <c r="B156" s="102"/>
      <c r="C156" s="102"/>
      <c r="D156" s="52"/>
      <c r="E156" s="52"/>
      <c r="F156" s="102"/>
      <c r="G156" s="52"/>
      <c r="L156" s="102"/>
    </row>
    <row r="157" spans="1:12">
      <c r="A157" s="52"/>
      <c r="B157" s="102"/>
      <c r="C157" s="102"/>
      <c r="D157" s="52"/>
      <c r="E157" s="52"/>
      <c r="F157" s="102"/>
      <c r="G157" s="52"/>
      <c r="L157" s="102"/>
    </row>
    <row r="158" spans="1:12">
      <c r="A158" s="52"/>
      <c r="B158" s="102"/>
      <c r="C158" s="102"/>
      <c r="D158" s="52"/>
      <c r="E158" s="52"/>
      <c r="F158" s="102"/>
      <c r="G158" s="52"/>
      <c r="L158" s="102"/>
    </row>
    <row r="159" spans="1:12">
      <c r="A159" s="52"/>
      <c r="B159" s="102"/>
      <c r="C159" s="102"/>
      <c r="D159" s="52"/>
      <c r="E159" s="52"/>
      <c r="F159" s="102"/>
      <c r="G159" s="52"/>
      <c r="L159" s="102"/>
    </row>
    <row r="160" spans="1:12">
      <c r="A160" s="52"/>
      <c r="B160" s="102"/>
      <c r="C160" s="102"/>
      <c r="D160" s="52"/>
      <c r="E160" s="52"/>
      <c r="F160" s="102"/>
      <c r="G160" s="52"/>
      <c r="L160" s="102"/>
    </row>
    <row r="161" spans="1:12">
      <c r="A161" s="52"/>
      <c r="B161" s="102"/>
      <c r="C161" s="102"/>
      <c r="D161" s="52"/>
      <c r="E161" s="52"/>
      <c r="F161" s="102"/>
      <c r="G161" s="52"/>
      <c r="L161" s="102"/>
    </row>
    <row r="162" spans="1:12">
      <c r="A162" s="52"/>
      <c r="B162" s="102"/>
      <c r="C162" s="102"/>
      <c r="D162" s="52"/>
      <c r="E162" s="52"/>
      <c r="F162" s="102"/>
      <c r="G162" s="52"/>
      <c r="L162" s="102"/>
    </row>
    <row r="163" spans="1:12">
      <c r="A163" s="52"/>
      <c r="B163" s="102"/>
      <c r="C163" s="102"/>
      <c r="D163" s="52"/>
      <c r="E163" s="52"/>
      <c r="F163" s="102"/>
      <c r="G163" s="52"/>
      <c r="L163" s="102"/>
    </row>
    <row r="164" spans="1:12">
      <c r="A164" s="52"/>
      <c r="B164" s="102"/>
      <c r="C164" s="102"/>
      <c r="D164" s="52"/>
      <c r="E164" s="52"/>
      <c r="F164" s="102"/>
      <c r="G164" s="52"/>
      <c r="L164" s="102"/>
    </row>
    <row r="165" spans="1:12">
      <c r="A165" s="52"/>
      <c r="B165" s="102"/>
      <c r="C165" s="102"/>
      <c r="D165" s="52"/>
      <c r="E165" s="52"/>
      <c r="F165" s="102"/>
      <c r="G165" s="52"/>
      <c r="L165" s="102"/>
    </row>
    <row r="166" spans="1:12">
      <c r="A166" s="52"/>
      <c r="B166" s="102"/>
      <c r="C166" s="102"/>
      <c r="D166" s="52"/>
      <c r="E166" s="52"/>
      <c r="F166" s="102"/>
      <c r="G166" s="52"/>
      <c r="L166" s="102"/>
    </row>
    <row r="167" spans="1:12">
      <c r="A167" s="52"/>
      <c r="B167" s="102"/>
      <c r="C167" s="102"/>
      <c r="D167" s="52"/>
      <c r="E167" s="52"/>
      <c r="F167" s="102"/>
      <c r="G167" s="52"/>
      <c r="L167" s="102"/>
    </row>
    <row r="168" spans="1:12">
      <c r="A168" s="52"/>
      <c r="B168" s="102"/>
      <c r="C168" s="102"/>
      <c r="D168" s="52"/>
      <c r="E168" s="52"/>
      <c r="F168" s="102"/>
      <c r="G168" s="52"/>
      <c r="L168" s="102"/>
    </row>
    <row r="169" spans="1:12">
      <c r="A169" s="52"/>
      <c r="B169" s="102"/>
      <c r="C169" s="102"/>
      <c r="D169" s="52"/>
      <c r="E169" s="52"/>
      <c r="F169" s="102"/>
      <c r="G169" s="52"/>
      <c r="L169" s="102"/>
    </row>
    <row r="170" spans="1:12">
      <c r="A170" s="52"/>
      <c r="B170" s="102"/>
      <c r="C170" s="102"/>
      <c r="D170" s="52"/>
      <c r="E170" s="52"/>
      <c r="F170" s="102"/>
      <c r="G170" s="52"/>
      <c r="L170" s="102"/>
    </row>
    <row r="171" spans="1:12">
      <c r="A171" s="52"/>
      <c r="B171" s="102"/>
      <c r="C171" s="102"/>
      <c r="D171" s="52"/>
      <c r="E171" s="52"/>
      <c r="F171" s="102"/>
      <c r="G171" s="52"/>
      <c r="L171" s="102"/>
    </row>
    <row r="172" spans="1:12">
      <c r="A172" s="52"/>
      <c r="B172" s="102"/>
      <c r="C172" s="102"/>
      <c r="D172" s="52"/>
      <c r="E172" s="52"/>
      <c r="F172" s="102"/>
      <c r="G172" s="52"/>
      <c r="L172" s="102"/>
    </row>
    <row r="173" spans="1:12">
      <c r="A173" s="52"/>
      <c r="B173" s="102"/>
      <c r="C173" s="102"/>
      <c r="D173" s="52"/>
      <c r="E173" s="52"/>
      <c r="F173" s="102"/>
      <c r="G173" s="52"/>
      <c r="L173" s="102"/>
    </row>
    <row r="174" spans="1:12">
      <c r="A174" s="52"/>
      <c r="B174" s="102"/>
      <c r="C174" s="102"/>
      <c r="D174" s="52"/>
      <c r="E174" s="52"/>
      <c r="F174" s="102"/>
      <c r="G174" s="52"/>
      <c r="L174" s="102"/>
    </row>
    <row r="175" spans="1:12">
      <c r="A175" s="52"/>
      <c r="B175" s="102"/>
      <c r="C175" s="102"/>
      <c r="D175" s="52"/>
      <c r="E175" s="52"/>
      <c r="F175" s="102"/>
      <c r="G175" s="52"/>
      <c r="L175" s="102"/>
    </row>
    <row r="176" spans="1:12">
      <c r="A176" s="52"/>
      <c r="B176" s="102"/>
      <c r="C176" s="102"/>
      <c r="D176" s="52"/>
      <c r="E176" s="52"/>
      <c r="F176" s="102"/>
      <c r="G176" s="52"/>
      <c r="L176" s="102"/>
    </row>
    <row r="177" spans="1:12">
      <c r="A177" s="52"/>
      <c r="B177" s="102"/>
      <c r="C177" s="102"/>
      <c r="D177" s="52"/>
      <c r="E177" s="52"/>
      <c r="F177" s="102"/>
      <c r="G177" s="52"/>
      <c r="L177" s="102"/>
    </row>
    <row r="178" spans="1:12">
      <c r="A178" s="52"/>
      <c r="B178" s="102"/>
      <c r="C178" s="102"/>
      <c r="D178" s="52"/>
      <c r="E178" s="52"/>
      <c r="F178" s="102"/>
      <c r="G178" s="52"/>
      <c r="L178" s="102"/>
    </row>
    <row r="179" spans="1:12">
      <c r="A179" s="52"/>
      <c r="B179" s="102"/>
      <c r="C179" s="102"/>
      <c r="D179" s="52"/>
      <c r="E179" s="52"/>
      <c r="F179" s="102"/>
      <c r="G179" s="52"/>
      <c r="L179" s="102"/>
    </row>
    <row r="180" spans="1:12">
      <c r="A180" s="52"/>
      <c r="B180" s="102"/>
      <c r="C180" s="102"/>
      <c r="D180" s="52"/>
      <c r="E180" s="52"/>
      <c r="F180" s="102"/>
      <c r="G180" s="52"/>
      <c r="L180" s="102"/>
    </row>
    <row r="181" spans="1:12">
      <c r="A181" s="52"/>
      <c r="B181" s="102"/>
      <c r="C181" s="102"/>
      <c r="D181" s="52"/>
      <c r="E181" s="52"/>
      <c r="F181" s="102"/>
      <c r="G181" s="52"/>
      <c r="L181" s="102"/>
    </row>
    <row r="182" spans="1:12">
      <c r="A182" s="52"/>
      <c r="B182" s="102"/>
      <c r="C182" s="102"/>
      <c r="D182" s="52"/>
      <c r="E182" s="52"/>
      <c r="F182" s="102"/>
      <c r="G182" s="52"/>
      <c r="L182" s="102"/>
    </row>
    <row r="183" spans="1:12">
      <c r="A183" s="52"/>
      <c r="B183" s="102"/>
      <c r="C183" s="102"/>
      <c r="D183" s="52"/>
      <c r="E183" s="52"/>
      <c r="F183" s="102"/>
      <c r="G183" s="52"/>
      <c r="L183" s="102"/>
    </row>
    <row r="184" spans="1:12">
      <c r="A184" s="52"/>
      <c r="B184" s="102"/>
      <c r="C184" s="102"/>
      <c r="D184" s="52"/>
      <c r="E184" s="52"/>
      <c r="F184" s="102"/>
      <c r="G184" s="52"/>
      <c r="L184" s="102"/>
    </row>
    <row r="185" spans="1:12">
      <c r="A185" s="52"/>
      <c r="B185" s="102"/>
      <c r="C185" s="102"/>
      <c r="D185" s="52"/>
      <c r="E185" s="52"/>
      <c r="F185" s="102"/>
      <c r="G185" s="52"/>
      <c r="L185" s="102"/>
    </row>
    <row r="186" spans="1:12">
      <c r="A186" s="52"/>
      <c r="B186" s="102"/>
      <c r="C186" s="102"/>
      <c r="D186" s="52"/>
      <c r="E186" s="52"/>
      <c r="F186" s="102"/>
      <c r="G186" s="52"/>
      <c r="L186" s="102"/>
    </row>
    <row r="187" spans="1:12">
      <c r="A187" s="52"/>
      <c r="B187" s="102"/>
      <c r="C187" s="102"/>
      <c r="D187" s="52"/>
      <c r="E187" s="52"/>
      <c r="F187" s="102"/>
      <c r="G187" s="52"/>
      <c r="L187" s="102"/>
    </row>
    <row r="188" spans="1:12">
      <c r="A188" s="52"/>
      <c r="B188" s="102"/>
      <c r="C188" s="102"/>
      <c r="D188" s="52"/>
      <c r="E188" s="52"/>
      <c r="F188" s="102"/>
      <c r="G188" s="52"/>
      <c r="L188" s="102"/>
    </row>
    <row r="189" spans="1:12">
      <c r="A189" s="52"/>
      <c r="B189" s="102"/>
      <c r="C189" s="102"/>
      <c r="D189" s="52"/>
      <c r="E189" s="52"/>
      <c r="F189" s="102"/>
      <c r="G189" s="52"/>
      <c r="L189" s="102"/>
    </row>
    <row r="190" spans="1:12">
      <c r="A190" s="52"/>
      <c r="B190" s="102"/>
      <c r="C190" s="102"/>
      <c r="D190" s="52"/>
      <c r="E190" s="52"/>
      <c r="F190" s="102"/>
      <c r="G190" s="52"/>
      <c r="L190" s="102"/>
    </row>
    <row r="191" spans="1:12">
      <c r="A191" s="52"/>
      <c r="B191" s="102"/>
      <c r="C191" s="102"/>
      <c r="D191" s="52"/>
      <c r="E191" s="52"/>
      <c r="F191" s="102"/>
      <c r="G191" s="52"/>
      <c r="L191" s="102"/>
    </row>
    <row r="192" spans="1:12">
      <c r="A192" s="52"/>
      <c r="B192" s="102"/>
      <c r="C192" s="102"/>
      <c r="D192" s="52"/>
      <c r="E192" s="52"/>
      <c r="F192" s="102"/>
      <c r="G192" s="52"/>
      <c r="L192" s="102"/>
    </row>
    <row r="193" spans="1:12">
      <c r="A193" s="52"/>
      <c r="B193" s="102"/>
      <c r="C193" s="102"/>
      <c r="D193" s="52"/>
      <c r="E193" s="52"/>
      <c r="F193" s="102"/>
      <c r="G193" s="52"/>
      <c r="L193" s="102"/>
    </row>
    <row r="194" spans="1:12">
      <c r="A194" s="52"/>
      <c r="B194" s="102"/>
      <c r="C194" s="102"/>
      <c r="D194" s="52"/>
      <c r="E194" s="52"/>
      <c r="F194" s="102"/>
      <c r="G194" s="52"/>
      <c r="L194" s="102"/>
    </row>
    <row r="195" spans="1:12">
      <c r="A195" s="52"/>
      <c r="B195" s="102"/>
      <c r="C195" s="102"/>
      <c r="D195" s="52"/>
      <c r="E195" s="52"/>
      <c r="F195" s="102"/>
      <c r="G195" s="52"/>
      <c r="L195" s="102"/>
    </row>
    <row r="196" spans="1:12">
      <c r="A196" s="52"/>
      <c r="B196" s="102"/>
      <c r="C196" s="102"/>
      <c r="D196" s="52"/>
      <c r="E196" s="52"/>
      <c r="F196" s="102"/>
      <c r="G196" s="52"/>
      <c r="L196" s="102"/>
    </row>
    <row r="197" spans="1:12">
      <c r="A197" s="52"/>
      <c r="B197" s="102"/>
      <c r="C197" s="102"/>
      <c r="D197" s="52"/>
      <c r="E197" s="52"/>
      <c r="F197" s="102"/>
      <c r="G197" s="52"/>
      <c r="L197" s="102"/>
    </row>
    <row r="198" spans="1:12">
      <c r="A198" s="52"/>
      <c r="B198" s="102"/>
      <c r="C198" s="102"/>
      <c r="D198" s="52"/>
      <c r="E198" s="52"/>
      <c r="F198" s="102"/>
      <c r="G198" s="52"/>
      <c r="L198" s="102"/>
    </row>
    <row r="199" spans="1:12">
      <c r="A199" s="52"/>
      <c r="B199" s="102"/>
      <c r="C199" s="102"/>
      <c r="D199" s="52"/>
      <c r="E199" s="52"/>
      <c r="F199" s="102"/>
      <c r="G199" s="52"/>
      <c r="L199" s="102"/>
    </row>
    <row r="200" spans="1:12">
      <c r="A200" s="52"/>
      <c r="B200" s="102"/>
      <c r="C200" s="102"/>
      <c r="D200" s="52"/>
      <c r="E200" s="52"/>
      <c r="F200" s="102"/>
      <c r="G200" s="52"/>
      <c r="L200" s="102"/>
    </row>
    <row r="201" spans="1:12">
      <c r="A201" s="52"/>
      <c r="B201" s="102"/>
      <c r="C201" s="102"/>
      <c r="D201" s="52"/>
      <c r="E201" s="52"/>
      <c r="F201" s="102"/>
      <c r="G201" s="52"/>
      <c r="L201" s="102"/>
    </row>
    <row r="202" spans="1:12">
      <c r="A202" s="52"/>
      <c r="B202" s="102"/>
      <c r="C202" s="102"/>
      <c r="D202" s="52"/>
      <c r="E202" s="52"/>
      <c r="F202" s="102"/>
      <c r="G202" s="52"/>
      <c r="L202" s="102"/>
    </row>
    <row r="203" spans="1:12">
      <c r="A203" s="52"/>
      <c r="B203" s="102"/>
      <c r="C203" s="102"/>
      <c r="D203" s="52"/>
      <c r="E203" s="52"/>
      <c r="F203" s="102"/>
      <c r="G203" s="52"/>
      <c r="L203" s="102"/>
    </row>
    <row r="204" spans="1:12">
      <c r="A204" s="52"/>
      <c r="B204" s="102"/>
      <c r="C204" s="102"/>
      <c r="D204" s="52"/>
      <c r="E204" s="52"/>
      <c r="F204" s="102"/>
      <c r="G204" s="52"/>
      <c r="L204" s="102"/>
    </row>
    <row r="205" spans="1:12">
      <c r="A205" s="52"/>
      <c r="B205" s="102"/>
      <c r="C205" s="102"/>
      <c r="D205" s="52"/>
      <c r="E205" s="52"/>
      <c r="F205" s="102"/>
      <c r="G205" s="52"/>
      <c r="L205" s="102"/>
    </row>
    <row r="206" spans="1:12">
      <c r="A206" s="52"/>
      <c r="B206" s="102"/>
      <c r="C206" s="102"/>
      <c r="D206" s="52"/>
      <c r="E206" s="52"/>
      <c r="F206" s="102"/>
      <c r="G206" s="52"/>
      <c r="L206" s="102"/>
    </row>
    <row r="207" spans="1:12">
      <c r="A207" s="52"/>
      <c r="B207" s="102"/>
      <c r="C207" s="102"/>
      <c r="D207" s="52"/>
      <c r="E207" s="52"/>
      <c r="F207" s="102"/>
      <c r="G207" s="52"/>
      <c r="L207" s="102"/>
    </row>
    <row r="208" spans="1:12">
      <c r="A208" s="52"/>
      <c r="B208" s="102"/>
      <c r="C208" s="102"/>
      <c r="D208" s="52"/>
      <c r="E208" s="52"/>
      <c r="F208" s="102"/>
      <c r="G208" s="52"/>
      <c r="L208" s="102"/>
    </row>
    <row r="209" spans="1:12">
      <c r="A209" s="52"/>
      <c r="B209" s="102"/>
      <c r="C209" s="102"/>
      <c r="D209" s="52"/>
      <c r="E209" s="52"/>
      <c r="F209" s="102"/>
      <c r="G209" s="52"/>
      <c r="L209" s="102"/>
    </row>
    <row r="210" spans="1:12">
      <c r="A210" s="52"/>
      <c r="B210" s="102"/>
      <c r="C210" s="102"/>
      <c r="D210" s="52"/>
      <c r="E210" s="52"/>
      <c r="F210" s="102"/>
      <c r="G210" s="52"/>
      <c r="L210" s="102"/>
    </row>
    <row r="211" spans="1:12">
      <c r="A211" s="52"/>
      <c r="B211" s="102"/>
      <c r="C211" s="102"/>
      <c r="D211" s="52"/>
      <c r="E211" s="52"/>
      <c r="F211" s="102"/>
      <c r="G211" s="52"/>
      <c r="L211" s="102"/>
    </row>
    <row r="212" spans="1:12">
      <c r="A212" s="52"/>
      <c r="B212" s="102"/>
      <c r="C212" s="102"/>
      <c r="D212" s="52"/>
      <c r="E212" s="52"/>
      <c r="F212" s="102"/>
      <c r="G212" s="52"/>
      <c r="L212" s="102"/>
    </row>
    <row r="213" spans="1:12">
      <c r="A213" s="52"/>
      <c r="B213" s="102"/>
      <c r="C213" s="102"/>
      <c r="D213" s="52"/>
      <c r="E213" s="52"/>
      <c r="F213" s="102"/>
      <c r="G213" s="52"/>
      <c r="L213" s="102"/>
    </row>
    <row r="214" spans="1:12">
      <c r="A214" s="52"/>
      <c r="B214" s="102"/>
      <c r="C214" s="102"/>
      <c r="D214" s="52"/>
      <c r="E214" s="52"/>
      <c r="F214" s="102"/>
      <c r="G214" s="52"/>
      <c r="L214" s="102"/>
    </row>
    <row r="215" spans="1:12">
      <c r="A215" s="52"/>
      <c r="B215" s="102"/>
      <c r="C215" s="102"/>
      <c r="D215" s="52"/>
      <c r="E215" s="52"/>
      <c r="F215" s="102"/>
      <c r="G215" s="52"/>
      <c r="L215" s="102"/>
    </row>
    <row r="216" spans="1:12">
      <c r="A216" s="52"/>
      <c r="B216" s="102"/>
      <c r="C216" s="102"/>
      <c r="D216" s="52"/>
      <c r="E216" s="52"/>
      <c r="F216" s="102"/>
      <c r="G216" s="52"/>
      <c r="L216" s="102"/>
    </row>
    <row r="217" spans="1:12">
      <c r="A217" s="52"/>
      <c r="B217" s="102"/>
      <c r="C217" s="102"/>
      <c r="D217" s="52"/>
      <c r="E217" s="52"/>
      <c r="F217" s="102"/>
      <c r="G217" s="52"/>
      <c r="L217" s="102"/>
    </row>
    <row r="218" spans="1:12">
      <c r="A218" s="52"/>
      <c r="B218" s="102"/>
      <c r="C218" s="102"/>
      <c r="D218" s="52"/>
      <c r="E218" s="52"/>
      <c r="F218" s="102"/>
      <c r="G218" s="52"/>
      <c r="L218" s="102"/>
    </row>
    <row r="219" spans="1:12">
      <c r="A219" s="52"/>
      <c r="B219" s="102"/>
      <c r="C219" s="102"/>
      <c r="D219" s="52"/>
      <c r="E219" s="52"/>
      <c r="F219" s="102"/>
      <c r="G219" s="52"/>
      <c r="L219" s="102"/>
    </row>
    <row r="220" spans="1:12">
      <c r="A220" s="52"/>
      <c r="B220" s="102"/>
      <c r="C220" s="102"/>
      <c r="D220" s="52"/>
      <c r="E220" s="52"/>
      <c r="F220" s="102"/>
      <c r="G220" s="52"/>
      <c r="L220" s="102"/>
    </row>
    <row r="221" spans="1:12">
      <c r="A221" s="52"/>
      <c r="B221" s="102"/>
      <c r="C221" s="102"/>
      <c r="D221" s="52"/>
      <c r="E221" s="52"/>
      <c r="F221" s="102"/>
      <c r="G221" s="52"/>
      <c r="L221" s="102"/>
    </row>
    <row r="222" spans="1:12">
      <c r="A222" s="52"/>
      <c r="B222" s="102"/>
      <c r="C222" s="102"/>
      <c r="D222" s="52"/>
      <c r="E222" s="52"/>
      <c r="F222" s="102"/>
      <c r="G222" s="52"/>
      <c r="L222" s="102"/>
    </row>
    <row r="223" spans="1:12">
      <c r="A223" s="52"/>
      <c r="B223" s="102"/>
      <c r="C223" s="102"/>
      <c r="D223" s="52"/>
      <c r="E223" s="52"/>
      <c r="F223" s="102"/>
      <c r="G223" s="52"/>
      <c r="L223" s="102"/>
    </row>
    <row r="224" spans="1:12">
      <c r="A224" s="52"/>
      <c r="B224" s="102"/>
      <c r="C224" s="102"/>
      <c r="D224" s="52"/>
      <c r="E224" s="52"/>
      <c r="F224" s="102"/>
      <c r="G224" s="52"/>
      <c r="L224" s="102"/>
    </row>
    <row r="225" spans="1:12">
      <c r="A225" s="52"/>
      <c r="B225" s="102"/>
      <c r="C225" s="102"/>
      <c r="D225" s="52"/>
      <c r="E225" s="52"/>
      <c r="F225" s="102"/>
      <c r="G225" s="52"/>
      <c r="L225" s="102"/>
    </row>
    <row r="226" spans="1:12">
      <c r="A226" s="52"/>
      <c r="B226" s="102"/>
      <c r="C226" s="102"/>
      <c r="D226" s="52"/>
      <c r="E226" s="52"/>
      <c r="F226" s="102"/>
      <c r="G226" s="52"/>
      <c r="L226" s="102"/>
    </row>
    <row r="227" spans="1:12">
      <c r="A227" s="52"/>
      <c r="B227" s="102"/>
      <c r="C227" s="102"/>
      <c r="D227" s="52"/>
      <c r="E227" s="52"/>
      <c r="F227" s="102"/>
      <c r="G227" s="52"/>
      <c r="L227" s="102"/>
    </row>
    <row r="228" spans="1:12">
      <c r="A228" s="52"/>
      <c r="B228" s="102"/>
      <c r="C228" s="102"/>
      <c r="D228" s="52"/>
      <c r="E228" s="52"/>
      <c r="F228" s="102"/>
      <c r="G228" s="52"/>
      <c r="L228" s="102"/>
    </row>
    <row r="229" spans="1:12">
      <c r="A229" s="52"/>
      <c r="B229" s="102"/>
      <c r="C229" s="102"/>
      <c r="D229" s="52"/>
      <c r="E229" s="52"/>
      <c r="F229" s="102"/>
      <c r="G229" s="52"/>
      <c r="L229" s="102"/>
    </row>
    <row r="230" spans="1:12">
      <c r="A230" s="52"/>
      <c r="B230" s="102"/>
      <c r="C230" s="102"/>
      <c r="D230" s="52"/>
      <c r="E230" s="52"/>
      <c r="F230" s="102"/>
      <c r="G230" s="52"/>
      <c r="L230" s="102"/>
    </row>
    <row r="231" spans="1:12">
      <c r="A231" s="52"/>
      <c r="B231" s="102"/>
      <c r="C231" s="102"/>
      <c r="D231" s="52"/>
      <c r="E231" s="52"/>
      <c r="F231" s="102"/>
      <c r="G231" s="52"/>
      <c r="L231" s="102"/>
    </row>
    <row r="232" spans="1:12">
      <c r="A232" s="52"/>
      <c r="B232" s="102"/>
      <c r="C232" s="102"/>
      <c r="D232" s="52"/>
      <c r="E232" s="52"/>
      <c r="F232" s="102"/>
      <c r="G232" s="52"/>
      <c r="L232" s="102"/>
    </row>
    <row r="233" spans="1:12">
      <c r="A233" s="52"/>
      <c r="B233" s="102"/>
      <c r="C233" s="102"/>
      <c r="D233" s="52"/>
      <c r="E233" s="52"/>
      <c r="F233" s="102"/>
      <c r="G233" s="52"/>
      <c r="L233" s="102"/>
    </row>
    <row r="234" spans="1:12">
      <c r="A234" s="52"/>
      <c r="B234" s="102"/>
      <c r="C234" s="102"/>
      <c r="D234" s="52"/>
      <c r="E234" s="52"/>
      <c r="F234" s="102"/>
      <c r="G234" s="52"/>
      <c r="L234" s="102"/>
    </row>
    <row r="235" spans="1:12">
      <c r="A235" s="52"/>
      <c r="B235" s="102"/>
      <c r="C235" s="102"/>
      <c r="D235" s="52"/>
      <c r="E235" s="52"/>
      <c r="F235" s="102"/>
      <c r="G235" s="52"/>
      <c r="L235" s="102"/>
    </row>
    <row r="236" spans="1:12">
      <c r="A236" s="52"/>
      <c r="B236" s="102"/>
      <c r="C236" s="102"/>
      <c r="D236" s="52"/>
      <c r="E236" s="52"/>
      <c r="F236" s="102"/>
      <c r="G236" s="52"/>
      <c r="L236" s="102"/>
    </row>
    <row r="237" spans="1:12">
      <c r="A237" s="52"/>
      <c r="B237" s="102"/>
      <c r="C237" s="102"/>
      <c r="D237" s="52"/>
      <c r="E237" s="52"/>
      <c r="F237" s="102"/>
      <c r="G237" s="52"/>
      <c r="L237" s="102"/>
    </row>
    <row r="238" spans="1:12">
      <c r="A238" s="52"/>
      <c r="B238" s="102"/>
      <c r="C238" s="102"/>
      <c r="D238" s="52"/>
      <c r="E238" s="52"/>
      <c r="F238" s="102"/>
      <c r="G238" s="52"/>
      <c r="L238" s="102"/>
    </row>
    <row r="239" spans="1:12">
      <c r="A239" s="52"/>
      <c r="B239" s="102"/>
      <c r="C239" s="102"/>
      <c r="D239" s="52"/>
      <c r="E239" s="52"/>
      <c r="F239" s="102"/>
      <c r="G239" s="52"/>
      <c r="L239" s="102"/>
    </row>
    <row r="240" spans="1:12">
      <c r="A240" s="52"/>
      <c r="B240" s="102"/>
      <c r="C240" s="102"/>
      <c r="D240" s="52"/>
      <c r="E240" s="52"/>
      <c r="F240" s="102"/>
      <c r="G240" s="52"/>
      <c r="L240" s="102"/>
    </row>
    <row r="241" spans="1:12">
      <c r="A241" s="52"/>
      <c r="B241" s="102"/>
      <c r="C241" s="102"/>
      <c r="D241" s="52"/>
      <c r="E241" s="52"/>
      <c r="F241" s="102"/>
      <c r="G241" s="52"/>
      <c r="L241" s="102"/>
    </row>
    <row r="242" spans="1:12">
      <c r="A242" s="52"/>
      <c r="B242" s="102"/>
      <c r="C242" s="102"/>
      <c r="D242" s="52"/>
      <c r="E242" s="52"/>
      <c r="F242" s="102"/>
      <c r="G242" s="52"/>
      <c r="L242" s="102"/>
    </row>
    <row r="243" spans="1:12">
      <c r="A243" s="52"/>
      <c r="B243" s="102"/>
      <c r="C243" s="102"/>
      <c r="D243" s="52"/>
      <c r="E243" s="52"/>
      <c r="F243" s="102"/>
      <c r="G243" s="52"/>
      <c r="L243" s="102"/>
    </row>
    <row r="244" spans="1:12">
      <c r="A244" s="52"/>
      <c r="B244" s="102"/>
      <c r="C244" s="102"/>
      <c r="D244" s="52"/>
      <c r="E244" s="52"/>
      <c r="F244" s="102"/>
      <c r="G244" s="52"/>
      <c r="L244" s="102"/>
    </row>
    <row r="245" spans="1:12">
      <c r="A245" s="52"/>
      <c r="B245" s="102"/>
      <c r="C245" s="102"/>
      <c r="D245" s="52"/>
      <c r="E245" s="52"/>
      <c r="F245" s="102"/>
      <c r="G245" s="52"/>
      <c r="L245" s="102"/>
    </row>
    <row r="246" spans="1:12">
      <c r="A246" s="52"/>
      <c r="B246" s="102"/>
      <c r="C246" s="102"/>
      <c r="D246" s="52"/>
      <c r="E246" s="52"/>
      <c r="F246" s="102"/>
      <c r="G246" s="52"/>
      <c r="L246" s="102"/>
    </row>
    <row r="247" spans="1:12">
      <c r="A247" s="52"/>
      <c r="B247" s="102"/>
      <c r="C247" s="102"/>
      <c r="D247" s="52"/>
      <c r="E247" s="52"/>
      <c r="F247" s="102"/>
      <c r="G247" s="52"/>
      <c r="L247" s="102"/>
    </row>
    <row r="248" spans="1:12">
      <c r="A248" s="52"/>
      <c r="B248" s="102"/>
      <c r="C248" s="102"/>
      <c r="D248" s="52"/>
      <c r="E248" s="52"/>
      <c r="F248" s="102"/>
      <c r="G248" s="52"/>
      <c r="L248" s="102"/>
    </row>
    <row r="249" spans="1:12">
      <c r="A249" s="52"/>
      <c r="B249" s="102"/>
      <c r="C249" s="102"/>
      <c r="D249" s="52"/>
      <c r="E249" s="52"/>
      <c r="F249" s="102"/>
      <c r="G249" s="52"/>
      <c r="L249" s="102"/>
    </row>
    <row r="250" spans="1:12">
      <c r="A250" s="52"/>
      <c r="B250" s="102"/>
      <c r="C250" s="102"/>
      <c r="D250" s="52"/>
      <c r="E250" s="52"/>
      <c r="F250" s="102"/>
      <c r="G250" s="52"/>
      <c r="L250" s="102"/>
    </row>
    <row r="251" spans="1:12">
      <c r="A251" s="52"/>
      <c r="B251" s="102"/>
      <c r="C251" s="102"/>
      <c r="D251" s="52"/>
      <c r="E251" s="52"/>
      <c r="F251" s="102"/>
      <c r="G251" s="52"/>
      <c r="L251" s="102"/>
    </row>
    <row r="252" spans="1:12">
      <c r="A252" s="52"/>
      <c r="B252" s="102"/>
      <c r="C252" s="102"/>
      <c r="D252" s="52"/>
      <c r="E252" s="52"/>
      <c r="F252" s="102"/>
      <c r="G252" s="52"/>
      <c r="L252" s="102"/>
    </row>
    <row r="253" spans="1:12">
      <c r="A253" s="52"/>
      <c r="B253" s="102"/>
      <c r="C253" s="102"/>
      <c r="D253" s="52"/>
      <c r="E253" s="52"/>
      <c r="F253" s="102"/>
      <c r="G253" s="52"/>
      <c r="L253" s="102"/>
    </row>
    <row r="254" spans="1:12">
      <c r="A254" s="52"/>
      <c r="B254" s="102"/>
      <c r="C254" s="102"/>
      <c r="D254" s="52"/>
      <c r="E254" s="52"/>
      <c r="F254" s="102"/>
      <c r="G254" s="52"/>
      <c r="L254" s="102"/>
    </row>
    <row r="255" spans="1:12">
      <c r="A255" s="52"/>
      <c r="B255" s="102"/>
      <c r="C255" s="102"/>
      <c r="D255" s="52"/>
      <c r="E255" s="52"/>
      <c r="F255" s="102"/>
      <c r="G255" s="52"/>
      <c r="L255" s="102"/>
    </row>
    <row r="256" spans="1:12">
      <c r="A256" s="52"/>
      <c r="B256" s="102"/>
      <c r="C256" s="102"/>
      <c r="D256" s="52"/>
      <c r="E256" s="52"/>
      <c r="F256" s="102"/>
      <c r="G256" s="52"/>
      <c r="L256" s="102"/>
    </row>
    <row r="257" spans="1:12">
      <c r="A257" s="52"/>
      <c r="B257" s="102"/>
      <c r="C257" s="102"/>
      <c r="D257" s="52"/>
      <c r="E257" s="52"/>
      <c r="F257" s="102"/>
      <c r="G257" s="52"/>
      <c r="L257" s="102"/>
    </row>
  </sheetData>
  <mergeCells count="11">
    <mergeCell ref="C1:D1"/>
    <mergeCell ref="C56:D56"/>
    <mergeCell ref="F1:G1"/>
    <mergeCell ref="F56:G56"/>
    <mergeCell ref="K88:K89"/>
    <mergeCell ref="K79:K80"/>
    <mergeCell ref="H2:H4"/>
    <mergeCell ref="I2:I4"/>
    <mergeCell ref="H57:H58"/>
    <mergeCell ref="I57:I58"/>
    <mergeCell ref="K86:K87"/>
  </mergeCells>
  <pageMargins left="0.7" right="0.7" top="0.75" bottom="0.75" header="0.3" footer="0.3"/>
  <pageSetup paperSize="8" scale="51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  <pageSetUpPr fitToPage="1"/>
  </sheetPr>
  <dimension ref="A1:XEU345"/>
  <sheetViews>
    <sheetView tabSelected="1" workbookViewId="0">
      <selection activeCell="B16" sqref="B16"/>
    </sheetView>
  </sheetViews>
  <sheetFormatPr defaultColWidth="9.140625" defaultRowHeight="12.75"/>
  <cols>
    <col min="1" max="1" width="52.42578125" style="50" customWidth="1"/>
    <col min="2" max="2" width="17.85546875" style="50" bestFit="1" customWidth="1"/>
    <col min="3" max="3" width="17.85546875" style="50" customWidth="1"/>
    <col min="4" max="4" width="13.5703125" style="50" customWidth="1"/>
    <col min="5" max="5" width="12.140625" style="50" bestFit="1" customWidth="1"/>
    <col min="6" max="6" width="13" style="154" customWidth="1"/>
    <col min="7" max="7" width="4.5703125" style="194" hidden="1" customWidth="1"/>
    <col min="8" max="8" width="15.140625" style="52" customWidth="1"/>
    <col min="9" max="9" width="21" style="52" bestFit="1" customWidth="1"/>
    <col min="10" max="10" width="17.85546875" style="70" customWidth="1"/>
    <col min="11" max="11" width="18.140625" style="70" customWidth="1"/>
    <col min="12" max="12" width="16.85546875" style="70" customWidth="1"/>
    <col min="13" max="14" width="16.7109375" style="52" customWidth="1"/>
    <col min="15" max="16384" width="9.140625" style="52"/>
  </cols>
  <sheetData>
    <row r="1" spans="1:14" ht="18">
      <c r="A1" s="1573" t="s">
        <v>87</v>
      </c>
      <c r="B1" s="1604"/>
      <c r="C1" s="93"/>
      <c r="D1" s="93"/>
      <c r="E1" s="93"/>
      <c r="F1" s="99"/>
    </row>
    <row r="2" spans="1:14">
      <c r="A2" s="18" t="s">
        <v>862</v>
      </c>
      <c r="B2" s="155"/>
      <c r="C2" s="155"/>
      <c r="D2" s="155"/>
      <c r="E2" s="21"/>
      <c r="F2" s="58"/>
    </row>
    <row r="3" spans="1:14">
      <c r="A3" s="20" t="s">
        <v>0</v>
      </c>
      <c r="B3" s="1191">
        <f>GROUP!G3</f>
        <v>45046</v>
      </c>
      <c r="C3" s="1191">
        <f>B3</f>
        <v>45046</v>
      </c>
      <c r="D3" s="1191">
        <f>GROUP!H3</f>
        <v>44681</v>
      </c>
      <c r="E3" s="1537" t="s">
        <v>85</v>
      </c>
      <c r="F3" s="1605" t="s">
        <v>86</v>
      </c>
    </row>
    <row r="4" spans="1:14">
      <c r="A4" s="20"/>
      <c r="B4" s="19" t="s">
        <v>82</v>
      </c>
      <c r="C4" s="19" t="s">
        <v>82</v>
      </c>
      <c r="D4" s="19" t="s">
        <v>96</v>
      </c>
      <c r="E4" s="1538"/>
      <c r="F4" s="1606"/>
      <c r="J4" s="177"/>
    </row>
    <row r="5" spans="1:14">
      <c r="A5" s="20"/>
      <c r="B5" s="19" t="s">
        <v>409</v>
      </c>
      <c r="C5" s="19" t="s">
        <v>97</v>
      </c>
      <c r="D5" s="19" t="s">
        <v>97</v>
      </c>
      <c r="E5" s="21"/>
      <c r="F5" s="58"/>
    </row>
    <row r="6" spans="1:14">
      <c r="A6" s="18" t="s">
        <v>1</v>
      </c>
      <c r="B6" s="19" t="s">
        <v>879</v>
      </c>
      <c r="C6" s="19" t="s">
        <v>879</v>
      </c>
      <c r="D6" s="19" t="s">
        <v>879</v>
      </c>
      <c r="E6" s="21"/>
      <c r="F6" s="58"/>
      <c r="G6" s="195"/>
    </row>
    <row r="7" spans="1:14">
      <c r="A7" s="23"/>
      <c r="B7" s="24"/>
      <c r="C7" s="817">
        <f>'Reval rates'!C13</f>
        <v>27.477983065518526</v>
      </c>
      <c r="D7" s="410">
        <f>[4]EBUL!$C$7</f>
        <v>30.76</v>
      </c>
      <c r="E7" s="25"/>
      <c r="F7" s="26"/>
      <c r="I7" s="70"/>
    </row>
    <row r="8" spans="1:14">
      <c r="A8" s="23" t="s">
        <v>2</v>
      </c>
      <c r="B8" s="24">
        <f>'[36]Uganda Apr 2023'!$B$7</f>
        <v>580357603.34844995</v>
      </c>
      <c r="C8" s="24">
        <f>B8/$C$7</f>
        <v>21120822.513233405</v>
      </c>
      <c r="D8" s="25">
        <f>[4]EBUL!$C8</f>
        <v>6788539.1769236019</v>
      </c>
      <c r="E8" s="25">
        <f>(C8-D8)</f>
        <v>14332283.336309802</v>
      </c>
      <c r="F8" s="1291">
        <f>IFERROR(E8/D8,0)</f>
        <v>2.1112470537151466</v>
      </c>
      <c r="G8" s="196" t="s">
        <v>228</v>
      </c>
      <c r="I8" s="70"/>
      <c r="J8" s="700"/>
      <c r="M8" s="71"/>
      <c r="N8" s="71"/>
    </row>
    <row r="9" spans="1:14">
      <c r="A9" s="27" t="s">
        <v>3</v>
      </c>
      <c r="B9" s="24">
        <v>0</v>
      </c>
      <c r="C9" s="24">
        <f t="shared" ref="C9:C28" si="0">B9/$C$7</f>
        <v>0</v>
      </c>
      <c r="D9" s="25">
        <f>[4]EBUL!$C9</f>
        <v>0</v>
      </c>
      <c r="E9" s="25">
        <f t="shared" ref="E9:E39" si="1">(C9-D9)</f>
        <v>0</v>
      </c>
      <c r="F9" s="1291">
        <f t="shared" ref="F9:F28" si="2">IFERROR(E9/D9,0)</f>
        <v>0</v>
      </c>
      <c r="G9" s="196"/>
      <c r="I9" s="70"/>
      <c r="J9" s="700"/>
      <c r="L9" s="202"/>
      <c r="M9" s="71"/>
      <c r="N9" s="71"/>
    </row>
    <row r="10" spans="1:14">
      <c r="A10" s="27" t="s">
        <v>4</v>
      </c>
      <c r="B10" s="24">
        <v>0</v>
      </c>
      <c r="C10" s="24">
        <v>0</v>
      </c>
      <c r="D10" s="25">
        <f>[4]EBUL!$C10</f>
        <v>0</v>
      </c>
      <c r="E10" s="25">
        <f t="shared" si="1"/>
        <v>0</v>
      </c>
      <c r="F10" s="1291">
        <f t="shared" si="2"/>
        <v>0</v>
      </c>
      <c r="G10" s="196"/>
      <c r="I10" s="202"/>
      <c r="J10" s="700"/>
      <c r="L10" s="202"/>
      <c r="M10" s="71"/>
      <c r="N10" s="71"/>
    </row>
    <row r="11" spans="1:14">
      <c r="A11" s="27" t="s">
        <v>5</v>
      </c>
      <c r="B11" s="24">
        <f>'[36]Uganda Apr 2023'!$B$9</f>
        <v>757333252.9812001</v>
      </c>
      <c r="C11" s="24">
        <f>B11/$C$7</f>
        <v>27561457.155549373</v>
      </c>
      <c r="D11" s="25">
        <f>[4]EBUL!$C11</f>
        <v>17411779.566206761</v>
      </c>
      <c r="E11" s="25">
        <f t="shared" si="1"/>
        <v>10149677.589342613</v>
      </c>
      <c r="F11" s="1291">
        <f t="shared" si="2"/>
        <v>0.58292017485917258</v>
      </c>
      <c r="G11" s="196" t="s">
        <v>309</v>
      </c>
      <c r="I11" s="70"/>
      <c r="J11" s="700"/>
      <c r="M11" s="71"/>
      <c r="N11" s="71"/>
    </row>
    <row r="12" spans="1:14">
      <c r="A12" s="27" t="s">
        <v>6</v>
      </c>
      <c r="B12" s="24">
        <v>0</v>
      </c>
      <c r="C12" s="24">
        <f t="shared" si="0"/>
        <v>0</v>
      </c>
      <c r="D12" s="25">
        <v>0</v>
      </c>
      <c r="E12" s="25">
        <f t="shared" si="1"/>
        <v>0</v>
      </c>
      <c r="F12" s="1291">
        <f t="shared" si="2"/>
        <v>0</v>
      </c>
      <c r="G12" s="196" t="s">
        <v>230</v>
      </c>
      <c r="I12" s="70"/>
      <c r="J12" s="700"/>
      <c r="M12" s="71"/>
      <c r="N12" s="71"/>
    </row>
    <row r="13" spans="1:14" ht="33.75" customHeight="1">
      <c r="A13" s="27" t="s">
        <v>7</v>
      </c>
      <c r="B13" s="24">
        <f>'[36]Uganda Apr 2023'!$B$8+'[36]Uganda Apr 2023'!$B$11+'[36]Uganda Apr 2023'!$B$12</f>
        <v>324497974.78188002</v>
      </c>
      <c r="C13" s="24">
        <f t="shared" si="0"/>
        <v>11809381.13281993</v>
      </c>
      <c r="D13" s="25">
        <f>[4]EBUL!$C13+[4]EBUL!$C12</f>
        <v>7898584.680978219</v>
      </c>
      <c r="E13" s="25">
        <f t="shared" si="1"/>
        <v>3910796.4518417111</v>
      </c>
      <c r="F13" s="1291">
        <f t="shared" si="2"/>
        <v>0.49512622954589497</v>
      </c>
      <c r="G13" s="196" t="s">
        <v>229</v>
      </c>
      <c r="I13" s="70"/>
      <c r="J13" s="700"/>
      <c r="M13" s="71"/>
      <c r="N13" s="71"/>
    </row>
    <row r="14" spans="1:14">
      <c r="A14" s="27" t="s">
        <v>8</v>
      </c>
      <c r="B14" s="24">
        <f>'[36]Uganda Apr 2023'!$B$13</f>
        <v>0</v>
      </c>
      <c r="C14" s="24">
        <f t="shared" si="0"/>
        <v>0</v>
      </c>
      <c r="D14" s="25">
        <f>[4]EBUL!$C14</f>
        <v>0</v>
      </c>
      <c r="E14" s="25">
        <f t="shared" si="1"/>
        <v>0</v>
      </c>
      <c r="F14" s="1291">
        <f t="shared" si="2"/>
        <v>0</v>
      </c>
      <c r="G14" s="196"/>
      <c r="I14" s="70"/>
      <c r="J14" s="700"/>
      <c r="M14" s="71"/>
      <c r="N14" s="71"/>
    </row>
    <row r="15" spans="1:14">
      <c r="A15" s="27" t="s">
        <v>9</v>
      </c>
      <c r="B15" s="1244">
        <f>'[36]Uganda Apr 2023'!$B$14</f>
        <v>7960083.0630000001</v>
      </c>
      <c r="C15" s="1244">
        <f t="shared" si="0"/>
        <v>289689.49591460085</v>
      </c>
      <c r="D15" s="25">
        <f>[4]EBUL!$C15</f>
        <v>0</v>
      </c>
      <c r="E15" s="25">
        <f t="shared" si="1"/>
        <v>289689.49591460085</v>
      </c>
      <c r="F15" s="1291">
        <f t="shared" si="2"/>
        <v>0</v>
      </c>
      <c r="G15" s="196"/>
      <c r="I15" s="70"/>
      <c r="J15" s="700"/>
      <c r="M15" s="71"/>
      <c r="N15" s="71"/>
    </row>
    <row r="16" spans="1:14">
      <c r="A16" s="27" t="s">
        <v>10</v>
      </c>
      <c r="B16" s="24">
        <f>'[36]Uganda Apr 2023'!$B$15</f>
        <v>1718800760.3682415</v>
      </c>
      <c r="C16" s="24">
        <f t="shared" si="0"/>
        <v>62551925.891719624</v>
      </c>
      <c r="D16" s="25">
        <f>[4]EBUL!$C16</f>
        <v>50624414.036495142</v>
      </c>
      <c r="E16" s="25">
        <f t="shared" si="1"/>
        <v>11927511.855224483</v>
      </c>
      <c r="F16" s="1291">
        <f t="shared" si="2"/>
        <v>0.23560789951318625</v>
      </c>
      <c r="G16" s="196" t="s">
        <v>391</v>
      </c>
      <c r="I16" s="70"/>
      <c r="J16" s="700"/>
      <c r="M16" s="71"/>
      <c r="N16" s="71"/>
    </row>
    <row r="17" spans="1:14">
      <c r="A17" s="27" t="s">
        <v>11</v>
      </c>
      <c r="B17" s="24">
        <f>'[36]Uganda Apr 2023'!$B$16</f>
        <v>0</v>
      </c>
      <c r="C17" s="24">
        <f t="shared" si="0"/>
        <v>0</v>
      </c>
      <c r="D17" s="25">
        <f>[4]EBUL!$C17</f>
        <v>0</v>
      </c>
      <c r="E17" s="25">
        <f t="shared" si="1"/>
        <v>0</v>
      </c>
      <c r="F17" s="1291">
        <f t="shared" si="2"/>
        <v>0</v>
      </c>
      <c r="G17" s="196"/>
      <c r="I17" s="70"/>
      <c r="J17" s="700"/>
      <c r="M17" s="71"/>
      <c r="N17" s="71"/>
    </row>
    <row r="18" spans="1:14">
      <c r="A18" s="27" t="s">
        <v>12</v>
      </c>
      <c r="B18" s="24">
        <f>'[36]Uganda Apr 2023'!$B$17</f>
        <v>17819420.128989998</v>
      </c>
      <c r="C18" s="24">
        <f t="shared" si="0"/>
        <v>648498.11161544709</v>
      </c>
      <c r="D18" s="25">
        <f>[4]EBUL!$C18</f>
        <v>280866.75011085824</v>
      </c>
      <c r="E18" s="25">
        <f t="shared" si="1"/>
        <v>367631.36150458886</v>
      </c>
      <c r="F18" s="1291">
        <f t="shared" si="2"/>
        <v>1.3089173473167777</v>
      </c>
      <c r="G18" s="196" t="s">
        <v>390</v>
      </c>
      <c r="I18" s="70"/>
      <c r="J18" s="700"/>
      <c r="M18" s="71"/>
      <c r="N18" s="71"/>
    </row>
    <row r="19" spans="1:14">
      <c r="A19" s="27" t="s">
        <v>13</v>
      </c>
      <c r="B19" s="24">
        <f>'[36]Uganda Apr 2023'!$B$18</f>
        <v>0</v>
      </c>
      <c r="C19" s="24">
        <f t="shared" si="0"/>
        <v>0</v>
      </c>
      <c r="D19" s="25">
        <f>[4]EBUL!$C19</f>
        <v>0</v>
      </c>
      <c r="E19" s="25">
        <f t="shared" si="1"/>
        <v>0</v>
      </c>
      <c r="F19" s="1291">
        <f t="shared" si="2"/>
        <v>0</v>
      </c>
      <c r="G19" s="196"/>
      <c r="I19" s="70"/>
      <c r="J19" s="700"/>
      <c r="M19" s="71"/>
      <c r="N19" s="71"/>
    </row>
    <row r="20" spans="1:14">
      <c r="A20" s="27" t="s">
        <v>14</v>
      </c>
      <c r="B20" s="24">
        <f>'[36]Uganda Apr 2023'!$B$19</f>
        <v>0</v>
      </c>
      <c r="C20" s="24">
        <f t="shared" si="0"/>
        <v>0</v>
      </c>
      <c r="D20" s="25">
        <f>[4]EBUL!$C20</f>
        <v>0</v>
      </c>
      <c r="E20" s="25">
        <f t="shared" si="1"/>
        <v>0</v>
      </c>
      <c r="F20" s="1291">
        <f t="shared" si="2"/>
        <v>0</v>
      </c>
      <c r="G20" s="196"/>
      <c r="I20" s="70"/>
      <c r="J20" s="700"/>
      <c r="M20" s="71"/>
      <c r="N20" s="71"/>
    </row>
    <row r="21" spans="1:14">
      <c r="A21" s="27" t="s">
        <v>15</v>
      </c>
      <c r="B21" s="24">
        <f>'[36]Uganda Apr 2023'!$B$20</f>
        <v>0</v>
      </c>
      <c r="C21" s="24">
        <f t="shared" si="0"/>
        <v>0</v>
      </c>
      <c r="D21" s="25">
        <f>[4]EBUL!$C21</f>
        <v>0</v>
      </c>
      <c r="E21" s="25">
        <f t="shared" si="1"/>
        <v>0</v>
      </c>
      <c r="F21" s="1291">
        <f t="shared" si="2"/>
        <v>0</v>
      </c>
      <c r="G21" s="196"/>
      <c r="I21" s="70"/>
      <c r="J21" s="700"/>
      <c r="M21" s="71"/>
      <c r="N21" s="71"/>
    </row>
    <row r="22" spans="1:14">
      <c r="A22" s="27" t="s">
        <v>16</v>
      </c>
      <c r="B22" s="24">
        <f>'[36]Uganda Apr 2023'!$B$21</f>
        <v>0</v>
      </c>
      <c r="C22" s="24">
        <f t="shared" si="0"/>
        <v>0</v>
      </c>
      <c r="D22" s="25">
        <f>[4]EBUL!$C22</f>
        <v>0</v>
      </c>
      <c r="E22" s="25">
        <f t="shared" si="1"/>
        <v>0</v>
      </c>
      <c r="F22" s="1291">
        <f t="shared" si="2"/>
        <v>0</v>
      </c>
      <c r="G22" s="196"/>
      <c r="I22" s="70"/>
      <c r="J22" s="700"/>
      <c r="M22" s="71"/>
      <c r="N22" s="71"/>
    </row>
    <row r="23" spans="1:14">
      <c r="A23" s="27" t="s">
        <v>17</v>
      </c>
      <c r="B23" s="24">
        <f>'[36]Uganda Apr 2023'!$B$22</f>
        <v>69386016.165429965</v>
      </c>
      <c r="C23" s="24">
        <f t="shared" si="0"/>
        <v>2525149.535174612</v>
      </c>
      <c r="D23" s="25">
        <f>[4]EBUL!$C23</f>
        <v>2090598.6147662548</v>
      </c>
      <c r="E23" s="25">
        <f t="shared" si="1"/>
        <v>434550.92040835717</v>
      </c>
      <c r="F23" s="1291">
        <f t="shared" si="2"/>
        <v>0.2078595658387267</v>
      </c>
      <c r="G23" s="196" t="s">
        <v>231</v>
      </c>
      <c r="I23" s="70"/>
      <c r="J23" s="700"/>
      <c r="M23" s="71"/>
      <c r="N23" s="71"/>
    </row>
    <row r="24" spans="1:14">
      <c r="A24" s="27" t="s">
        <v>18</v>
      </c>
      <c r="B24" s="24">
        <v>0</v>
      </c>
      <c r="C24" s="24">
        <f t="shared" si="0"/>
        <v>0</v>
      </c>
      <c r="D24" s="25">
        <f>[4]EBUL!$C24</f>
        <v>0</v>
      </c>
      <c r="E24" s="25">
        <f t="shared" si="1"/>
        <v>0</v>
      </c>
      <c r="F24" s="1291">
        <f t="shared" si="2"/>
        <v>0</v>
      </c>
      <c r="G24" s="196" t="s">
        <v>231</v>
      </c>
      <c r="I24" s="70"/>
      <c r="J24" s="700"/>
      <c r="M24" s="71"/>
      <c r="N24" s="71"/>
    </row>
    <row r="25" spans="1:14">
      <c r="A25" s="27" t="s">
        <v>19</v>
      </c>
      <c r="B25" s="24">
        <f>'[36]Uganda Apr 2023'!$B$24</f>
        <v>508894.35594999982</v>
      </c>
      <c r="C25" s="24">
        <f t="shared" si="0"/>
        <v>18520.076773342196</v>
      </c>
      <c r="D25" s="25">
        <f>[4]EBUL!$C25</f>
        <v>23808.64433842654</v>
      </c>
      <c r="E25" s="25">
        <f t="shared" si="1"/>
        <v>-5288.5675650843441</v>
      </c>
      <c r="F25" s="1291">
        <f t="shared" si="2"/>
        <v>-0.22212804265166547</v>
      </c>
      <c r="G25" s="196"/>
      <c r="I25" s="70"/>
      <c r="J25" s="700"/>
      <c r="M25" s="71"/>
      <c r="N25" s="71"/>
    </row>
    <row r="26" spans="1:14">
      <c r="A26" s="27" t="s">
        <v>20</v>
      </c>
      <c r="B26" s="1244">
        <f>'[36]Uganda Apr 2023'!$B$25</f>
        <v>15404144.877139999</v>
      </c>
      <c r="C26" s="1244">
        <f t="shared" si="0"/>
        <v>560599.54766004265</v>
      </c>
      <c r="D26" s="25">
        <f>[4]EBUL!$C26</f>
        <v>213872.83960215768</v>
      </c>
      <c r="E26" s="25">
        <f t="shared" si="1"/>
        <v>346726.70805788494</v>
      </c>
      <c r="F26" s="1291">
        <f t="shared" si="2"/>
        <v>1.621181580152298</v>
      </c>
      <c r="G26" s="196" t="s">
        <v>232</v>
      </c>
      <c r="I26" s="70"/>
      <c r="J26" s="700"/>
      <c r="M26" s="71"/>
      <c r="N26" s="71"/>
    </row>
    <row r="27" spans="1:14">
      <c r="A27" s="27" t="s">
        <v>21</v>
      </c>
      <c r="B27" s="24">
        <f>'[36]Uganda Apr 2023'!$B$26</f>
        <v>0</v>
      </c>
      <c r="C27" s="24">
        <f t="shared" si="0"/>
        <v>0</v>
      </c>
      <c r="D27" s="25">
        <f>[4]EBUL!$C27</f>
        <v>0</v>
      </c>
      <c r="E27" s="25">
        <f t="shared" si="1"/>
        <v>0</v>
      </c>
      <c r="F27" s="1291">
        <f t="shared" si="2"/>
        <v>0</v>
      </c>
      <c r="G27" s="196"/>
      <c r="I27" s="70"/>
      <c r="J27" s="700"/>
      <c r="M27" s="71"/>
      <c r="N27" s="71"/>
    </row>
    <row r="28" spans="1:14">
      <c r="A28" s="27" t="s">
        <v>22</v>
      </c>
      <c r="B28" s="24">
        <f>'[36]Uganda Apr 2023'!$B$27+'[36]Uganda Apr 2023'!$B$23</f>
        <v>115699417.01101004</v>
      </c>
      <c r="C28" s="24">
        <f t="shared" si="0"/>
        <v>4210622.6186665976</v>
      </c>
      <c r="D28" s="25">
        <f>[4]EBUL!$C28</f>
        <v>4148492.1117464257</v>
      </c>
      <c r="E28" s="25">
        <f t="shared" si="1"/>
        <v>62130.506920171902</v>
      </c>
      <c r="F28" s="1291">
        <f t="shared" si="2"/>
        <v>1.4976648200499119E-2</v>
      </c>
      <c r="G28" s="196" t="s">
        <v>392</v>
      </c>
      <c r="I28" s="70"/>
      <c r="J28" s="700"/>
      <c r="M28" s="71"/>
      <c r="N28" s="71"/>
    </row>
    <row r="29" spans="1:14">
      <c r="A29" s="29" t="s">
        <v>23</v>
      </c>
      <c r="B29" s="30">
        <f>SUM(B8:B28)</f>
        <v>3607767567.0812917</v>
      </c>
      <c r="C29" s="30">
        <f>SUM(C8:C28)</f>
        <v>131296666.07912698</v>
      </c>
      <c r="D29" s="30">
        <f>SUM(D8:D28)</f>
        <v>89480956.421167865</v>
      </c>
      <c r="E29" s="30">
        <f>SUM(E8:E28)</f>
        <v>41815709.657959141</v>
      </c>
      <c r="F29" s="1335">
        <f>E29/D29</f>
        <v>0.46731406692996746</v>
      </c>
      <c r="I29" s="70"/>
      <c r="J29" s="700"/>
      <c r="M29" s="71"/>
      <c r="N29" s="71"/>
    </row>
    <row r="30" spans="1:14">
      <c r="A30" s="31"/>
      <c r="B30" s="32"/>
      <c r="C30" s="32"/>
      <c r="D30" s="32"/>
      <c r="E30" s="32"/>
      <c r="F30" s="1293"/>
      <c r="I30" s="70"/>
      <c r="J30" s="700"/>
      <c r="M30" s="71"/>
      <c r="N30" s="71"/>
    </row>
    <row r="31" spans="1:14">
      <c r="A31" s="31" t="s">
        <v>24</v>
      </c>
      <c r="B31" s="24"/>
      <c r="C31" s="24"/>
      <c r="D31" s="24"/>
      <c r="E31" s="24"/>
      <c r="F31" s="1294"/>
      <c r="I31" s="70"/>
      <c r="J31" s="700"/>
      <c r="M31" s="71"/>
      <c r="N31" s="71"/>
    </row>
    <row r="32" spans="1:14">
      <c r="A32" s="27" t="s">
        <v>25</v>
      </c>
      <c r="B32" s="24">
        <f>'[36]Uganda Apr 2023'!$B$31</f>
        <v>0</v>
      </c>
      <c r="C32" s="24">
        <f t="shared" ref="C32:C43" si="3">B32/$C$7</f>
        <v>0</v>
      </c>
      <c r="D32" s="25">
        <f>[4]EBUL!$C32</f>
        <v>0</v>
      </c>
      <c r="E32" s="24">
        <f t="shared" si="1"/>
        <v>0</v>
      </c>
      <c r="F32" s="1291">
        <f t="shared" ref="F32:F43" si="4">IFERROR(E32/D32,0)</f>
        <v>0</v>
      </c>
      <c r="G32" s="196"/>
      <c r="I32" s="70"/>
      <c r="J32" s="700"/>
      <c r="M32" s="71"/>
      <c r="N32" s="71"/>
    </row>
    <row r="33" spans="1:14">
      <c r="A33" s="27" t="s">
        <v>26</v>
      </c>
      <c r="B33" s="24">
        <f>'[36]Uganda Apr 2023'!$B$32</f>
        <v>2868621819.1551399</v>
      </c>
      <c r="C33" s="24">
        <f t="shared" si="3"/>
        <v>104397102.66634911</v>
      </c>
      <c r="D33" s="25">
        <f>[4]EBUL!$C33</f>
        <v>69737483.84619309</v>
      </c>
      <c r="E33" s="24">
        <f t="shared" si="1"/>
        <v>34659618.820156023</v>
      </c>
      <c r="F33" s="1291">
        <f t="shared" si="4"/>
        <v>0.49700128121338955</v>
      </c>
      <c r="G33" s="196" t="s">
        <v>385</v>
      </c>
      <c r="I33" s="70"/>
      <c r="J33" s="700"/>
      <c r="M33" s="71"/>
      <c r="N33" s="71"/>
    </row>
    <row r="34" spans="1:14">
      <c r="A34" s="27" t="s">
        <v>543</v>
      </c>
      <c r="B34" s="24">
        <f>'[36]Uganda Apr 2023'!$B$33</f>
        <v>0</v>
      </c>
      <c r="C34" s="24">
        <f t="shared" si="3"/>
        <v>0</v>
      </c>
      <c r="D34" s="25">
        <f>[4]EBUL!$C34</f>
        <v>0</v>
      </c>
      <c r="E34" s="24">
        <f t="shared" si="1"/>
        <v>0</v>
      </c>
      <c r="F34" s="1291">
        <f t="shared" si="4"/>
        <v>0</v>
      </c>
      <c r="G34" s="196"/>
      <c r="I34" s="70"/>
      <c r="J34" s="700"/>
      <c r="M34" s="71"/>
      <c r="N34" s="71"/>
    </row>
    <row r="35" spans="1:14" ht="25.5">
      <c r="A35" s="27" t="s">
        <v>544</v>
      </c>
      <c r="B35" s="24">
        <f>'[36]Uganda Apr 2023'!$B$34</f>
        <v>0</v>
      </c>
      <c r="C35" s="24">
        <f t="shared" si="3"/>
        <v>0</v>
      </c>
      <c r="D35" s="25">
        <f>[4]EBUL!$C35</f>
        <v>0</v>
      </c>
      <c r="E35" s="24">
        <f t="shared" si="1"/>
        <v>0</v>
      </c>
      <c r="F35" s="1291">
        <f t="shared" si="4"/>
        <v>0</v>
      </c>
      <c r="G35" s="196"/>
      <c r="I35" s="70"/>
      <c r="J35" s="700"/>
      <c r="M35" s="71"/>
      <c r="N35" s="71"/>
    </row>
    <row r="36" spans="1:14">
      <c r="A36" s="27" t="s">
        <v>29</v>
      </c>
      <c r="B36" s="24">
        <f>'[36]Uganda Apr 2023'!$B$35</f>
        <v>72127082.191780806</v>
      </c>
      <c r="C36" s="24">
        <f t="shared" si="3"/>
        <v>2624904.5288295336</v>
      </c>
      <c r="D36" s="25">
        <f>[4]EBUL!$C36</f>
        <v>975292.58777633286</v>
      </c>
      <c r="E36" s="24">
        <f t="shared" si="1"/>
        <v>1649611.9410532007</v>
      </c>
      <c r="F36" s="1291">
        <f t="shared" si="4"/>
        <v>1.6914021102265486</v>
      </c>
      <c r="G36" s="196" t="s">
        <v>310</v>
      </c>
      <c r="I36" s="70"/>
      <c r="J36" s="700"/>
      <c r="M36" s="71"/>
      <c r="N36" s="71"/>
    </row>
    <row r="37" spans="1:14">
      <c r="A37" s="27" t="s">
        <v>30</v>
      </c>
      <c r="B37" s="24">
        <f>'[36]Uganda Apr 2023'!$B$36</f>
        <v>42287166.705969185</v>
      </c>
      <c r="C37" s="24">
        <f t="shared" si="3"/>
        <v>1538947.258433766</v>
      </c>
      <c r="D37" s="25">
        <f>[4]EBUL!$C37</f>
        <v>1598228.9412012354</v>
      </c>
      <c r="E37" s="24">
        <f t="shared" si="1"/>
        <v>-59281.682767469436</v>
      </c>
      <c r="F37" s="1291">
        <f t="shared" si="4"/>
        <v>-3.709210942139058E-2</v>
      </c>
      <c r="G37" s="196" t="s">
        <v>233</v>
      </c>
      <c r="I37" s="70"/>
      <c r="J37" s="700"/>
      <c r="M37" s="71"/>
      <c r="N37" s="71"/>
    </row>
    <row r="38" spans="1:14">
      <c r="A38" s="27" t="s">
        <v>31</v>
      </c>
      <c r="B38" s="24">
        <f>'[36]Uganda Apr 2023'!$B$37</f>
        <v>67106406.256329998</v>
      </c>
      <c r="C38" s="24">
        <f t="shared" si="3"/>
        <v>2442188.2092408831</v>
      </c>
      <c r="D38" s="25">
        <f>[4]EBUL!$C38</f>
        <v>137917.02512938881</v>
      </c>
      <c r="E38" s="24">
        <f t="shared" si="1"/>
        <v>2304271.1841114941</v>
      </c>
      <c r="F38" s="1291">
        <f t="shared" si="4"/>
        <v>16.707663045586354</v>
      </c>
      <c r="G38" s="196"/>
      <c r="I38" s="70"/>
      <c r="J38" s="700"/>
      <c r="M38" s="71"/>
      <c r="N38" s="71"/>
    </row>
    <row r="39" spans="1:14">
      <c r="A39" s="27" t="s">
        <v>32</v>
      </c>
      <c r="B39" s="24">
        <f>'[36]Uganda Apr 2023'!$B$38</f>
        <v>0</v>
      </c>
      <c r="C39" s="24">
        <f t="shared" si="3"/>
        <v>0</v>
      </c>
      <c r="D39" s="25">
        <f>[4]EBUL!$C39</f>
        <v>517892.84651679231</v>
      </c>
      <c r="E39" s="24">
        <f t="shared" si="1"/>
        <v>-517892.84651679231</v>
      </c>
      <c r="F39" s="1291">
        <f t="shared" si="4"/>
        <v>-1</v>
      </c>
      <c r="G39" s="196"/>
      <c r="I39" s="70"/>
      <c r="J39" s="700"/>
      <c r="M39" s="71"/>
      <c r="N39" s="71"/>
    </row>
    <row r="40" spans="1:14">
      <c r="A40" s="27" t="s">
        <v>33</v>
      </c>
      <c r="B40" s="24">
        <f>'[36]Uganda Apr 2023'!$B$39</f>
        <v>0</v>
      </c>
      <c r="C40" s="24">
        <f t="shared" si="3"/>
        <v>0</v>
      </c>
      <c r="D40" s="25">
        <f>[4]EBUL!$C40</f>
        <v>0</v>
      </c>
      <c r="E40" s="24">
        <f t="shared" ref="E40:E54" si="5">(C40-D40)</f>
        <v>0</v>
      </c>
      <c r="F40" s="1291">
        <f t="shared" si="4"/>
        <v>0</v>
      </c>
      <c r="G40" s="196"/>
      <c r="I40" s="70"/>
      <c r="J40" s="700"/>
      <c r="M40" s="71"/>
      <c r="N40" s="71"/>
    </row>
    <row r="41" spans="1:14">
      <c r="A41" s="27" t="s">
        <v>34</v>
      </c>
      <c r="B41" s="24">
        <f>'[36]Uganda Apr 2023'!$B$40</f>
        <v>0</v>
      </c>
      <c r="C41" s="24">
        <f t="shared" si="3"/>
        <v>0</v>
      </c>
      <c r="D41" s="25">
        <f>[4]EBUL!$C41</f>
        <v>0</v>
      </c>
      <c r="E41" s="24">
        <f t="shared" si="5"/>
        <v>0</v>
      </c>
      <c r="F41" s="1291">
        <f t="shared" si="4"/>
        <v>0</v>
      </c>
      <c r="G41" s="196"/>
      <c r="I41" s="70"/>
      <c r="J41" s="700"/>
      <c r="M41" s="71"/>
      <c r="N41" s="71"/>
    </row>
    <row r="42" spans="1:14">
      <c r="A42" s="27" t="s">
        <v>35</v>
      </c>
      <c r="B42" s="24">
        <f>-'[36]Uganda Apr 2023'!$B$41</f>
        <v>0</v>
      </c>
      <c r="C42" s="24">
        <f t="shared" si="3"/>
        <v>0</v>
      </c>
      <c r="D42" s="25">
        <f>[4]EBUL!$C42</f>
        <v>0</v>
      </c>
      <c r="E42" s="24">
        <f t="shared" si="5"/>
        <v>0</v>
      </c>
      <c r="F42" s="1291">
        <f t="shared" si="4"/>
        <v>0</v>
      </c>
      <c r="G42" s="196"/>
      <c r="I42" s="70"/>
      <c r="J42" s="700"/>
      <c r="M42" s="71"/>
      <c r="N42" s="71"/>
    </row>
    <row r="43" spans="1:14">
      <c r="A43" s="27" t="s">
        <v>36</v>
      </c>
      <c r="B43" s="24">
        <f>(('[36]Uganda Apr 2023'!$B$42))--0.0000300407409667969</f>
        <v>97302862.757369772</v>
      </c>
      <c r="C43" s="24">
        <f t="shared" si="3"/>
        <v>3541120.9958664267</v>
      </c>
      <c r="D43" s="25">
        <f>[4]EBUL!$C43</f>
        <v>2616728.5077542271</v>
      </c>
      <c r="E43" s="24">
        <f t="shared" si="5"/>
        <v>924392.48811219959</v>
      </c>
      <c r="F43" s="1291">
        <f t="shared" si="4"/>
        <v>0.35326266571901543</v>
      </c>
      <c r="G43" s="196" t="s">
        <v>234</v>
      </c>
      <c r="I43" s="70"/>
      <c r="J43" s="700"/>
      <c r="M43" s="71"/>
      <c r="N43" s="71"/>
    </row>
    <row r="44" spans="1:14">
      <c r="A44" s="29" t="s">
        <v>37</v>
      </c>
      <c r="B44" s="30">
        <f>SUM(B32:B43)</f>
        <v>3147445337.0665903</v>
      </c>
      <c r="C44" s="30">
        <f>SUM(C32:C43)</f>
        <v>114544263.65871972</v>
      </c>
      <c r="D44" s="30">
        <f>SUM(D32:D43)</f>
        <v>75583543.754571065</v>
      </c>
      <c r="E44" s="30">
        <f>SUM(E32:E43)</f>
        <v>38960719.904148646</v>
      </c>
      <c r="F44" s="1335">
        <f>E44/D44</f>
        <v>0.51546564197438038</v>
      </c>
      <c r="I44" s="70"/>
      <c r="J44" s="700"/>
      <c r="M44" s="71"/>
      <c r="N44" s="71"/>
    </row>
    <row r="45" spans="1:14">
      <c r="A45" s="31"/>
      <c r="B45" s="32"/>
      <c r="C45" s="32"/>
      <c r="D45" s="32"/>
      <c r="E45" s="32">
        <f t="shared" si="5"/>
        <v>0</v>
      </c>
      <c r="F45" s="1293"/>
      <c r="I45" s="70"/>
      <c r="J45" s="700"/>
      <c r="M45" s="71"/>
      <c r="N45" s="71"/>
    </row>
    <row r="46" spans="1:14" ht="13.5" thickBot="1">
      <c r="A46" s="29" t="s">
        <v>38</v>
      </c>
      <c r="B46" s="30"/>
      <c r="C46" s="30"/>
      <c r="D46" s="30"/>
      <c r="E46" s="30">
        <f t="shared" si="5"/>
        <v>0</v>
      </c>
      <c r="F46" s="1335"/>
      <c r="I46" s="70"/>
      <c r="J46" s="700"/>
      <c r="M46" s="71"/>
      <c r="N46" s="71"/>
    </row>
    <row r="47" spans="1:14" ht="13.5" thickBot="1">
      <c r="A47" s="27" t="s">
        <v>39</v>
      </c>
      <c r="B47" s="24">
        <f>'[36]Uganda Apr 2023'!$B$46</f>
        <v>120000000</v>
      </c>
      <c r="C47" s="25">
        <f>[4]EBUL!$C47+855394.682956996</f>
        <v>3689946.4590007695</v>
      </c>
      <c r="D47" s="25">
        <f>[4]EBUL!$C47</f>
        <v>2834551.7760437736</v>
      </c>
      <c r="E47" s="24">
        <f t="shared" si="5"/>
        <v>855394.68295699591</v>
      </c>
      <c r="F47" s="1291">
        <f t="shared" ref="F47:F53" si="6">IFERROR(E47/D47,0)</f>
        <v>0.30177423118052304</v>
      </c>
      <c r="G47" s="346">
        <f>D47-C47</f>
        <v>-855394.68295699591</v>
      </c>
      <c r="H47" s="902"/>
      <c r="I47" s="70"/>
      <c r="J47" s="700"/>
      <c r="L47" s="456"/>
      <c r="M47" s="71"/>
      <c r="N47" s="71"/>
    </row>
    <row r="48" spans="1:14">
      <c r="A48" s="27" t="s">
        <v>40</v>
      </c>
      <c r="B48" s="24">
        <f>'[36]Uganda Apr 2023'!$B$47</f>
        <v>36789445.074000001</v>
      </c>
      <c r="C48" s="25">
        <f>[4]EBUL!$C48</f>
        <v>1608835.1362717575</v>
      </c>
      <c r="D48" s="25">
        <f>[4]EBUL!$C48</f>
        <v>1608835.1362717575</v>
      </c>
      <c r="E48" s="24">
        <f t="shared" si="5"/>
        <v>0</v>
      </c>
      <c r="F48" s="1291">
        <f t="shared" si="6"/>
        <v>0</v>
      </c>
      <c r="G48" s="346">
        <f>D48-C48</f>
        <v>0</v>
      </c>
      <c r="H48" s="902"/>
      <c r="I48" s="70"/>
      <c r="J48" s="895"/>
      <c r="K48" s="466"/>
      <c r="M48" s="71"/>
      <c r="N48" s="71"/>
    </row>
    <row r="49" spans="1:14">
      <c r="A49" s="27" t="s">
        <v>41</v>
      </c>
      <c r="B49" s="24">
        <f>'[36]Uganda Apr 2023'!$B$48+'[37]Uganda Apr 2023'!$B$49</f>
        <v>-4866607.4527899995</v>
      </c>
      <c r="C49" s="24">
        <v>230111.74667929113</v>
      </c>
      <c r="D49" s="25">
        <f>[4]EBUL!$C49</f>
        <v>-47805.856115192102</v>
      </c>
      <c r="E49" s="24">
        <f>(C49-D49)</f>
        <v>277917.60279448325</v>
      </c>
      <c r="F49" s="1291">
        <f t="shared" si="6"/>
        <v>-5.8134635665726426</v>
      </c>
      <c r="G49" s="196"/>
      <c r="H49" s="70"/>
      <c r="I49" s="70"/>
      <c r="J49" s="895"/>
      <c r="K49" s="466"/>
      <c r="M49" s="71"/>
      <c r="N49" s="71"/>
    </row>
    <row r="50" spans="1:14">
      <c r="A50" s="27" t="s">
        <v>42</v>
      </c>
      <c r="B50" s="24">
        <f>'[37]Uganda Apr 2023'!$B$50</f>
        <v>268687087.01631999</v>
      </c>
      <c r="C50" s="24">
        <f>B50/$C$7</f>
        <v>9778268.1638482083</v>
      </c>
      <c r="D50" s="25">
        <f>[4]EBUL!$C50</f>
        <v>9451989.8787321225</v>
      </c>
      <c r="E50" s="24">
        <f t="shared" si="5"/>
        <v>326278.28511608578</v>
      </c>
      <c r="F50" s="1291">
        <f t="shared" si="6"/>
        <v>3.4519533907906845E-2</v>
      </c>
      <c r="G50" s="196"/>
      <c r="H50" s="70"/>
      <c r="I50" s="70" t="s">
        <v>520</v>
      </c>
      <c r="J50" s="1530">
        <v>235977805.62728801</v>
      </c>
      <c r="K50" s="694">
        <f>B50-J50</f>
        <v>32709281.389031976</v>
      </c>
      <c r="M50" s="71"/>
      <c r="N50" s="71"/>
    </row>
    <row r="51" spans="1:14">
      <c r="A51" s="27" t="s">
        <v>43</v>
      </c>
      <c r="B51" s="24">
        <f>'[37]Uganda Apr 2023'!$B$51</f>
        <v>39712305.377171554</v>
      </c>
      <c r="C51" s="24">
        <f>B51/$C$7</f>
        <v>1445240.9146072147</v>
      </c>
      <c r="D51" s="25">
        <f>[4]EBUL!$C51</f>
        <v>49841.731664336803</v>
      </c>
      <c r="E51" s="24">
        <f t="shared" si="5"/>
        <v>1395399.182942878</v>
      </c>
      <c r="F51" s="1291">
        <v>1</v>
      </c>
      <c r="G51" s="196"/>
      <c r="H51" s="70"/>
      <c r="I51" s="70" t="s">
        <v>767</v>
      </c>
      <c r="J51" s="895"/>
      <c r="K51" s="694"/>
      <c r="M51" s="71"/>
      <c r="N51" s="71"/>
    </row>
    <row r="52" spans="1:14">
      <c r="A52" s="27" t="s">
        <v>44</v>
      </c>
      <c r="B52" s="24">
        <f>'[37]Uganda Apr 2023'!$B$52</f>
        <v>0</v>
      </c>
      <c r="C52" s="24">
        <f>B52/$C$7</f>
        <v>0</v>
      </c>
      <c r="D52" s="25">
        <f>[4]EBUL!$C52</f>
        <v>0</v>
      </c>
      <c r="E52" s="24">
        <f t="shared" si="5"/>
        <v>0</v>
      </c>
      <c r="F52" s="1291">
        <f t="shared" si="6"/>
        <v>0</v>
      </c>
      <c r="G52" s="196"/>
      <c r="I52" s="70" t="s">
        <v>521</v>
      </c>
      <c r="J52" s="895"/>
      <c r="K52" s="694">
        <f>B100</f>
        <v>32709281.389019977</v>
      </c>
      <c r="M52" s="71"/>
      <c r="N52" s="71"/>
    </row>
    <row r="53" spans="1:14">
      <c r="A53" s="27" t="s">
        <v>45</v>
      </c>
      <c r="B53" s="24">
        <f>'[36]Uganda Apr 2023'!$B$52</f>
        <v>0</v>
      </c>
      <c r="C53" s="24">
        <f>B53/$C$7</f>
        <v>0</v>
      </c>
      <c r="D53" s="24">
        <v>0</v>
      </c>
      <c r="E53" s="24">
        <f t="shared" si="5"/>
        <v>0</v>
      </c>
      <c r="F53" s="1291">
        <f t="shared" si="6"/>
        <v>0</v>
      </c>
      <c r="G53" s="196"/>
      <c r="I53" s="70"/>
      <c r="J53" s="700"/>
      <c r="K53" s="177"/>
      <c r="M53" s="71"/>
      <c r="N53" s="71"/>
    </row>
    <row r="54" spans="1:14">
      <c r="A54" s="29" t="s">
        <v>46</v>
      </c>
      <c r="B54" s="30">
        <f>SUM(B47:B53)</f>
        <v>460322230.01470155</v>
      </c>
      <c r="C54" s="30">
        <f>SUM(C47:C53)</f>
        <v>16752402.420407243</v>
      </c>
      <c r="D54" s="30">
        <f>SUM(D47:D53)</f>
        <v>13897412.666596798</v>
      </c>
      <c r="E54" s="30">
        <f t="shared" si="5"/>
        <v>2854989.7538104448</v>
      </c>
      <c r="F54" s="1335">
        <f>E54/D54</f>
        <v>0.20543318546426781</v>
      </c>
      <c r="I54" s="70"/>
      <c r="J54" s="700"/>
      <c r="K54" s="177">
        <f>K50-K52+K51+K53</f>
        <v>1.1999160051345825E-5</v>
      </c>
      <c r="L54" s="708" t="s">
        <v>519</v>
      </c>
      <c r="M54" s="71"/>
      <c r="N54" s="71"/>
    </row>
    <row r="55" spans="1:14">
      <c r="A55" s="34"/>
      <c r="B55" s="35"/>
      <c r="C55" s="35"/>
      <c r="D55" s="35"/>
      <c r="E55" s="35"/>
      <c r="F55" s="1300"/>
      <c r="I55" s="70"/>
      <c r="J55" s="700"/>
      <c r="M55" s="71"/>
      <c r="N55" s="71"/>
    </row>
    <row r="56" spans="1:14" ht="13.5" thickBot="1">
      <c r="A56" s="95" t="s">
        <v>47</v>
      </c>
      <c r="B56" s="156">
        <f>B44+B54</f>
        <v>3607767567.0812917</v>
      </c>
      <c r="C56" s="156">
        <f>C44+C54</f>
        <v>131296666.07912695</v>
      </c>
      <c r="D56" s="156">
        <f>D44+D54</f>
        <v>89480956.421167865</v>
      </c>
      <c r="E56" s="156">
        <f>C56-D56</f>
        <v>41815709.657959089</v>
      </c>
      <c r="F56" s="1295">
        <f>E56/D56</f>
        <v>0.46731406692996685</v>
      </c>
      <c r="I56" s="70"/>
      <c r="J56" s="825"/>
      <c r="M56" s="71"/>
      <c r="N56" s="71"/>
    </row>
    <row r="57" spans="1:14" ht="13.5" thickBot="1">
      <c r="A57" s="77"/>
      <c r="B57" s="78">
        <f>B29-B56</f>
        <v>0</v>
      </c>
      <c r="C57" s="78">
        <f>C29-C56</f>
        <v>0</v>
      </c>
      <c r="D57" s="78">
        <f>D29-D56</f>
        <v>0</v>
      </c>
      <c r="E57" s="78"/>
      <c r="F57" s="1356"/>
      <c r="J57" s="177"/>
      <c r="M57" s="71"/>
      <c r="N57" s="71"/>
    </row>
    <row r="58" spans="1:14" ht="18" customHeight="1">
      <c r="A58" s="1625" t="s">
        <v>87</v>
      </c>
      <c r="B58" s="1626"/>
      <c r="C58" s="93"/>
      <c r="D58" s="93"/>
      <c r="E58" s="93"/>
      <c r="F58" s="1337"/>
      <c r="I58" s="70"/>
      <c r="K58" s="177"/>
      <c r="M58" s="71"/>
      <c r="N58" s="71"/>
    </row>
    <row r="59" spans="1:14">
      <c r="A59" s="157" t="s">
        <v>48</v>
      </c>
      <c r="B59" s="1191">
        <f>B3</f>
        <v>45046</v>
      </c>
      <c r="C59" s="1191">
        <f>C3</f>
        <v>45046</v>
      </c>
      <c r="D59" s="1191">
        <f>D3</f>
        <v>44681</v>
      </c>
      <c r="E59" s="1622" t="s">
        <v>85</v>
      </c>
      <c r="F59" s="1623" t="s">
        <v>86</v>
      </c>
      <c r="K59" s="177"/>
      <c r="M59" s="71"/>
      <c r="N59" s="71"/>
    </row>
    <row r="60" spans="1:14">
      <c r="A60" s="157"/>
      <c r="B60" s="84" t="s">
        <v>409</v>
      </c>
      <c r="C60" s="84" t="s">
        <v>97</v>
      </c>
      <c r="D60" s="84" t="s">
        <v>97</v>
      </c>
      <c r="E60" s="1603"/>
      <c r="F60" s="1624"/>
      <c r="M60" s="71"/>
      <c r="N60" s="71"/>
    </row>
    <row r="61" spans="1:14" ht="13.5" thickBot="1">
      <c r="A61" s="157"/>
      <c r="B61" s="84" t="s">
        <v>879</v>
      </c>
      <c r="C61" s="84" t="s">
        <v>879</v>
      </c>
      <c r="D61" s="84" t="s">
        <v>879</v>
      </c>
      <c r="E61" s="157"/>
      <c r="F61" s="1357"/>
      <c r="M61" s="71"/>
      <c r="N61" s="71"/>
    </row>
    <row r="62" spans="1:14">
      <c r="A62" s="37" t="s">
        <v>49</v>
      </c>
      <c r="B62" s="38"/>
      <c r="C62" s="816">
        <f>[27]UGX!$I$3</f>
        <v>28.93137931034483</v>
      </c>
      <c r="D62" s="411">
        <f>[4]EBUL!$C$62</f>
        <v>31.024705882352929</v>
      </c>
      <c r="E62" s="38"/>
      <c r="F62" s="1301"/>
      <c r="M62" s="71"/>
      <c r="N62" s="71"/>
    </row>
    <row r="63" spans="1:14">
      <c r="A63" s="27" t="s">
        <v>50</v>
      </c>
      <c r="B63" s="24">
        <f>'[37]Uganda Apr 2023'!$B$62</f>
        <v>86662594.337709993</v>
      </c>
      <c r="C63" s="24">
        <f>B63/$C$62</f>
        <v>2995453.2553766817</v>
      </c>
      <c r="D63" s="25">
        <f>[4]EBUL!$C63</f>
        <v>2516136.5127845565</v>
      </c>
      <c r="E63" s="24">
        <f>C63-D63</f>
        <v>479316.7425921252</v>
      </c>
      <c r="F63" s="1291">
        <f>IFERROR(E63/D63,0)</f>
        <v>0.19049711339456507</v>
      </c>
      <c r="G63" s="196" t="s">
        <v>398</v>
      </c>
      <c r="I63" s="380"/>
      <c r="M63" s="71"/>
      <c r="N63" s="71"/>
    </row>
    <row r="64" spans="1:14">
      <c r="A64" s="27" t="s">
        <v>51</v>
      </c>
      <c r="B64" s="24">
        <f>'[37]Uganda Apr 2023'!$B$63</f>
        <v>29950997.985379998</v>
      </c>
      <c r="C64" s="24">
        <f>B64/$C$62</f>
        <v>1035242.6569123369</v>
      </c>
      <c r="D64" s="25">
        <f>[4]EBUL!$C64</f>
        <v>660899.15776519687</v>
      </c>
      <c r="E64" s="24">
        <f>C64-D64</f>
        <v>374343.49914714007</v>
      </c>
      <c r="F64" s="1291">
        <f>IFERROR(E64/D64,0)</f>
        <v>0.56641545801475535</v>
      </c>
      <c r="G64" s="196" t="s">
        <v>302</v>
      </c>
      <c r="I64" s="380"/>
      <c r="M64" s="71"/>
      <c r="N64" s="71"/>
    </row>
    <row r="65" spans="1:14">
      <c r="A65" s="27" t="s">
        <v>52</v>
      </c>
      <c r="B65" s="24">
        <f>'[37]Uganda Apr 2023'!$B$64</f>
        <v>468874.91499999998</v>
      </c>
      <c r="C65" s="24">
        <f>B65/$C$62</f>
        <v>16206.448713364558</v>
      </c>
      <c r="D65" s="25">
        <f>[4]EBUL!$C65</f>
        <v>7855.4766073906976</v>
      </c>
      <c r="E65" s="24">
        <f>C65-D65</f>
        <v>8350.9721059738604</v>
      </c>
      <c r="F65" s="1291">
        <f>IFERROR(E65/D65,0)</f>
        <v>1.0630764399599872</v>
      </c>
      <c r="G65" s="196" t="s">
        <v>386</v>
      </c>
      <c r="I65" s="380"/>
      <c r="M65" s="71"/>
      <c r="N65" s="71"/>
    </row>
    <row r="66" spans="1:14">
      <c r="A66" s="27" t="s">
        <v>53</v>
      </c>
      <c r="B66" s="24">
        <f>'[37]Uganda Apr 2023'!$B$65</f>
        <v>1250</v>
      </c>
      <c r="C66" s="24">
        <f>B66/$C$62</f>
        <v>43.205682888165811</v>
      </c>
      <c r="D66" s="25">
        <f>[4]EBUL!$C66</f>
        <v>6275.446598536274</v>
      </c>
      <c r="E66" s="24">
        <f>C66-D66</f>
        <v>-6232.2409156481081</v>
      </c>
      <c r="F66" s="1291">
        <f>IFERROR(E66/D66,0)</f>
        <v>-0.99311512221325515</v>
      </c>
      <c r="G66" s="196" t="s">
        <v>387</v>
      </c>
      <c r="M66" s="71"/>
      <c r="N66" s="71"/>
    </row>
    <row r="67" spans="1:14">
      <c r="A67" s="29" t="s">
        <v>54</v>
      </c>
      <c r="B67" s="39">
        <f>SUM(B63:B66)</f>
        <v>117083717.23808999</v>
      </c>
      <c r="C67" s="39">
        <f>SUM(C63:C66)</f>
        <v>4046945.5666852714</v>
      </c>
      <c r="D67" s="39">
        <f>SUM(D63:D66)</f>
        <v>3191166.5937556801</v>
      </c>
      <c r="E67" s="39">
        <f t="shared" ref="E67:E95" si="7">(C67-D67)</f>
        <v>855778.97292959131</v>
      </c>
      <c r="F67" s="1292">
        <f>E67/D67</f>
        <v>0.26817119939903422</v>
      </c>
      <c r="I67" s="380"/>
      <c r="M67" s="71"/>
      <c r="N67" s="71"/>
    </row>
    <row r="68" spans="1:14">
      <c r="A68" s="31"/>
      <c r="B68" s="32"/>
      <c r="C68" s="32"/>
      <c r="D68" s="25"/>
      <c r="E68" s="32"/>
      <c r="F68" s="1293"/>
      <c r="M68" s="71"/>
      <c r="N68" s="71"/>
    </row>
    <row r="69" spans="1:14">
      <c r="A69" s="31" t="s">
        <v>55</v>
      </c>
      <c r="B69" s="24"/>
      <c r="C69" s="24"/>
      <c r="D69" s="25"/>
      <c r="E69" s="24"/>
      <c r="F69" s="1294"/>
      <c r="M69" s="71"/>
      <c r="N69" s="71"/>
    </row>
    <row r="70" spans="1:14">
      <c r="A70" s="27" t="s">
        <v>56</v>
      </c>
      <c r="B70" s="24">
        <f>'[37]Uganda Apr 2023'!$B$69</f>
        <v>32237136.374809999</v>
      </c>
      <c r="C70" s="24">
        <f>B70/$C$62</f>
        <v>1114261.9931460768</v>
      </c>
      <c r="D70" s="25">
        <f>[4]EBUL!$C70</f>
        <v>828918.24093578197</v>
      </c>
      <c r="E70" s="24">
        <f t="shared" si="7"/>
        <v>285343.75221029483</v>
      </c>
      <c r="F70" s="1291">
        <f>IFERROR(E70/D70,0)</f>
        <v>0.34423630476289763</v>
      </c>
      <c r="G70" s="194" t="s">
        <v>393</v>
      </c>
      <c r="I70" s="380"/>
      <c r="M70" s="71"/>
      <c r="N70" s="71"/>
    </row>
    <row r="71" spans="1:14">
      <c r="A71" s="27" t="s">
        <v>57</v>
      </c>
      <c r="B71" s="24">
        <f>'[37]Uganda Apr 2023'!$B$70</f>
        <v>10135990.70958</v>
      </c>
      <c r="C71" s="24">
        <f>B71/$C$62</f>
        <v>350345.92028440663</v>
      </c>
      <c r="D71" s="25">
        <f>[4]EBUL!$C71</f>
        <v>38757.924738102469</v>
      </c>
      <c r="E71" s="24">
        <f t="shared" si="7"/>
        <v>311587.99554630416</v>
      </c>
      <c r="F71" s="1291">
        <f>IFERROR(E71/D71,0)</f>
        <v>8.0393364105995495</v>
      </c>
      <c r="I71" s="380"/>
      <c r="M71" s="71"/>
      <c r="N71" s="71"/>
    </row>
    <row r="72" spans="1:14">
      <c r="A72" s="27" t="s">
        <v>58</v>
      </c>
      <c r="B72" s="24">
        <f>'[37]Uganda Apr 2023'!$B$71</f>
        <v>5011160.3120900001</v>
      </c>
      <c r="C72" s="24">
        <f>B72/$C$62</f>
        <v>173208.48267673806</v>
      </c>
      <c r="D72" s="25">
        <f>[4]EBUL!$C72</f>
        <v>76166.421765955049</v>
      </c>
      <c r="E72" s="24">
        <f t="shared" si="7"/>
        <v>97042.06091078301</v>
      </c>
      <c r="F72" s="1291">
        <f>IFERROR(E72/D72,0)</f>
        <v>1.2740792945344712</v>
      </c>
      <c r="G72" s="196" t="s">
        <v>388</v>
      </c>
      <c r="I72" s="380"/>
      <c r="M72" s="71"/>
      <c r="N72" s="71"/>
    </row>
    <row r="73" spans="1:14">
      <c r="A73" s="29" t="s">
        <v>59</v>
      </c>
      <c r="B73" s="39">
        <f>SUM(B70:B72)</f>
        <v>47384287.396480002</v>
      </c>
      <c r="C73" s="39">
        <f>SUM(C70:C72)</f>
        <v>1637816.3961072215</v>
      </c>
      <c r="D73" s="39">
        <f>SUM(D70:D72)</f>
        <v>943842.5874398395</v>
      </c>
      <c r="E73" s="39">
        <f>SUM(E70:E72)</f>
        <v>693973.80866738199</v>
      </c>
      <c r="F73" s="1292">
        <f>E73/D73</f>
        <v>0.7352643522367186</v>
      </c>
      <c r="I73" s="380"/>
      <c r="M73" s="71"/>
      <c r="N73" s="71"/>
    </row>
    <row r="74" spans="1:14">
      <c r="A74" s="29" t="s">
        <v>60</v>
      </c>
      <c r="B74" s="39">
        <f>B67-B73</f>
        <v>69699429.841609985</v>
      </c>
      <c r="C74" s="39">
        <f>C67-C73</f>
        <v>2409129.17057805</v>
      </c>
      <c r="D74" s="39">
        <f>D67-D73</f>
        <v>2247324.0063158404</v>
      </c>
      <c r="E74" s="39">
        <f>E67-E73</f>
        <v>161805.16426220932</v>
      </c>
      <c r="F74" s="1292">
        <f>E74/D74</f>
        <v>7.1999036991317183E-2</v>
      </c>
      <c r="I74" s="380"/>
      <c r="M74" s="71"/>
      <c r="N74" s="71"/>
    </row>
    <row r="75" spans="1:14">
      <c r="A75" s="31"/>
      <c r="B75" s="40"/>
      <c r="C75" s="40"/>
      <c r="D75" s="25"/>
      <c r="E75" s="40"/>
      <c r="F75" s="1302"/>
      <c r="M75" s="71"/>
      <c r="N75" s="71"/>
    </row>
    <row r="76" spans="1:14">
      <c r="A76" s="31" t="s">
        <v>61</v>
      </c>
      <c r="B76" s="41"/>
      <c r="C76" s="41"/>
      <c r="D76" s="25"/>
      <c r="E76" s="41"/>
      <c r="F76" s="1303"/>
      <c r="M76" s="71"/>
      <c r="N76" s="71"/>
    </row>
    <row r="77" spans="1:14">
      <c r="A77" s="27" t="s">
        <v>62</v>
      </c>
      <c r="B77" s="24">
        <f>'[37]Uganda Apr 2023'!$B$76</f>
        <v>6835229.2456499999</v>
      </c>
      <c r="C77" s="24">
        <f>B77/$C$62</f>
        <v>236256.59780437656</v>
      </c>
      <c r="D77" s="25">
        <f>[4]EBUL!$C77</f>
        <v>88361.0848810436</v>
      </c>
      <c r="E77" s="41">
        <f t="shared" si="7"/>
        <v>147895.51292333298</v>
      </c>
      <c r="F77" s="1291">
        <f>IFERROR(E77/D77,0)</f>
        <v>1.6737629820009317</v>
      </c>
      <c r="G77" s="196" t="s">
        <v>394</v>
      </c>
      <c r="I77" s="380"/>
      <c r="M77" s="71"/>
      <c r="N77" s="71"/>
    </row>
    <row r="78" spans="1:14">
      <c r="A78" s="27" t="s">
        <v>63</v>
      </c>
      <c r="B78" s="24">
        <f>'[37]Uganda Apr 2023'!$B$77</f>
        <v>25340323.179740004</v>
      </c>
      <c r="C78" s="24">
        <f>B78/$C$62</f>
        <v>875876.77406998735</v>
      </c>
      <c r="D78" s="25">
        <f>[4]EBUL!$C78</f>
        <v>545448.15878288681</v>
      </c>
      <c r="E78" s="41">
        <f t="shared" si="7"/>
        <v>330428.61528710055</v>
      </c>
      <c r="F78" s="1291">
        <f>IFERROR(E78/D78,0)</f>
        <v>0.60579288786017549</v>
      </c>
      <c r="G78" s="196" t="s">
        <v>395</v>
      </c>
      <c r="I78" s="380"/>
      <c r="M78" s="71"/>
      <c r="N78" s="71"/>
    </row>
    <row r="79" spans="1:14">
      <c r="A79" s="27" t="s">
        <v>64</v>
      </c>
      <c r="B79" s="24">
        <f>'[37]Uganda Apr 2023'!$B$78</f>
        <v>9144338.8774800003</v>
      </c>
      <c r="C79" s="24">
        <f>B79/$C$62</f>
        <v>316069.92460986163</v>
      </c>
      <c r="D79" s="25">
        <f>[4]EBUL!$C79</f>
        <v>333233.69282641925</v>
      </c>
      <c r="E79" s="41">
        <f t="shared" si="7"/>
        <v>-17163.768216557626</v>
      </c>
      <c r="F79" s="1291">
        <f>IFERROR(E79/D79,0)</f>
        <v>-5.1506701111097425E-2</v>
      </c>
      <c r="G79" s="196" t="s">
        <v>396</v>
      </c>
      <c r="I79" s="380"/>
      <c r="M79" s="71"/>
      <c r="N79" s="71"/>
    </row>
    <row r="80" spans="1:14">
      <c r="A80" s="27" t="s">
        <v>65</v>
      </c>
      <c r="B80" s="24">
        <f>'[37]Uganda Apr 2023'!$B$79</f>
        <v>0</v>
      </c>
      <c r="C80" s="24">
        <f>B80/$C$62</f>
        <v>0</v>
      </c>
      <c r="D80" s="25">
        <f>[4]EBUL!$C80</f>
        <v>0</v>
      </c>
      <c r="E80" s="41">
        <f t="shared" si="7"/>
        <v>0</v>
      </c>
      <c r="F80" s="1291">
        <f>IFERROR(E80/D80,0)</f>
        <v>0</v>
      </c>
      <c r="G80" s="196"/>
      <c r="I80" s="380"/>
      <c r="M80" s="71"/>
      <c r="N80" s="71"/>
    </row>
    <row r="81" spans="1:14">
      <c r="A81" s="27" t="s">
        <v>66</v>
      </c>
      <c r="B81" s="24">
        <f>'[37]Uganda Apr 2023'!$B$80</f>
        <v>10559186.823729999</v>
      </c>
      <c r="C81" s="24">
        <f>B81/$C$62</f>
        <v>364973.50197038171</v>
      </c>
      <c r="D81" s="25">
        <f>[4]EBUL!$C81</f>
        <v>467306.14020088367</v>
      </c>
      <c r="E81" s="41">
        <f t="shared" si="7"/>
        <v>-102332.63823050197</v>
      </c>
      <c r="F81" s="1291">
        <f>IFERROR(E81/D81,0)</f>
        <v>-0.2189841507036728</v>
      </c>
      <c r="G81" s="194" t="s">
        <v>397</v>
      </c>
      <c r="I81" s="380"/>
      <c r="M81" s="71"/>
      <c r="N81" s="71"/>
    </row>
    <row r="82" spans="1:14">
      <c r="A82" s="29" t="s">
        <v>67</v>
      </c>
      <c r="B82" s="39">
        <f>SUM(B77:B81)</f>
        <v>51879078.126600005</v>
      </c>
      <c r="C82" s="39">
        <f>SUM(C77:C81)</f>
        <v>1793176.7984546071</v>
      </c>
      <c r="D82" s="39">
        <f>SUM(D77:D81)</f>
        <v>1434349.0766912333</v>
      </c>
      <c r="E82" s="39">
        <f t="shared" si="7"/>
        <v>358827.72176337382</v>
      </c>
      <c r="F82" s="1292">
        <f>E82/D82</f>
        <v>0.25016763882270565</v>
      </c>
      <c r="I82" s="380"/>
      <c r="M82" s="71"/>
      <c r="N82" s="71"/>
    </row>
    <row r="83" spans="1:14">
      <c r="A83" s="29" t="s">
        <v>68</v>
      </c>
      <c r="B83" s="39">
        <f>B74+B82</f>
        <v>121578507.96820998</v>
      </c>
      <c r="C83" s="39">
        <f>C74+C82</f>
        <v>4202305.9690326573</v>
      </c>
      <c r="D83" s="39">
        <f>D74+D82</f>
        <v>3681673.083007074</v>
      </c>
      <c r="E83" s="39">
        <f t="shared" si="7"/>
        <v>520632.88602558337</v>
      </c>
      <c r="F83" s="1292">
        <f>E83/D83</f>
        <v>0.1414120358563577</v>
      </c>
      <c r="I83" s="380"/>
      <c r="M83" s="71"/>
      <c r="N83" s="71"/>
    </row>
    <row r="84" spans="1:14">
      <c r="A84" s="31"/>
      <c r="B84" s="42"/>
      <c r="C84" s="42"/>
      <c r="D84" s="25"/>
      <c r="E84" s="42"/>
      <c r="F84" s="1302"/>
      <c r="I84" s="70"/>
      <c r="M84" s="71"/>
      <c r="N84" s="71"/>
    </row>
    <row r="85" spans="1:14">
      <c r="A85" s="31" t="s">
        <v>69</v>
      </c>
      <c r="B85" s="43"/>
      <c r="C85" s="43"/>
      <c r="D85" s="25"/>
      <c r="E85" s="43"/>
      <c r="F85" s="1303"/>
      <c r="I85" s="70"/>
      <c r="M85" s="71"/>
      <c r="N85" s="71"/>
    </row>
    <row r="86" spans="1:14">
      <c r="A86" s="27" t="s">
        <v>454</v>
      </c>
      <c r="B86" s="24">
        <f>'[37]Uganda Apr 2023'!$B$85</f>
        <v>5335163.3322800007</v>
      </c>
      <c r="C86" s="24">
        <f>B86/$C$62</f>
        <v>184407.50007284776</v>
      </c>
      <c r="D86" s="25">
        <f>[4]EBUL!$C86</f>
        <v>312801.09273912641</v>
      </c>
      <c r="E86" s="43">
        <f t="shared" si="7"/>
        <v>-128393.59266627865</v>
      </c>
      <c r="F86" s="1291">
        <f t="shared" ref="F86:F92" si="8">IFERROR(E86/D86,0)</f>
        <v>-0.41046401578065417</v>
      </c>
      <c r="G86" s="196" t="s">
        <v>298</v>
      </c>
      <c r="I86" s="70"/>
      <c r="M86" s="71">
        <f>K86*C62</f>
        <v>0</v>
      </c>
      <c r="N86" s="71"/>
    </row>
    <row r="87" spans="1:14">
      <c r="A87" s="27" t="s">
        <v>71</v>
      </c>
      <c r="B87" s="24">
        <f>'[37]Uganda Apr 2023'!$B$86</f>
        <v>25722494.930419996</v>
      </c>
      <c r="C87" s="24">
        <f t="shared" ref="C87:C92" si="9">B87/$C$62</f>
        <v>889086.36724494328</v>
      </c>
      <c r="D87" s="25">
        <f>[4]EBUL!$C87</f>
        <v>703911.96960555192</v>
      </c>
      <c r="E87" s="43">
        <f t="shared" si="7"/>
        <v>185174.39763939136</v>
      </c>
      <c r="F87" s="1291">
        <f t="shared" si="8"/>
        <v>0.26306470927487813</v>
      </c>
      <c r="G87" s="196" t="s">
        <v>299</v>
      </c>
      <c r="I87" s="70"/>
      <c r="M87" s="71"/>
      <c r="N87" s="71"/>
    </row>
    <row r="88" spans="1:14">
      <c r="A88" s="27" t="s">
        <v>72</v>
      </c>
      <c r="B88" s="24">
        <f>'[37]Uganda Apr 2023'!$B$87</f>
        <v>205240</v>
      </c>
      <c r="C88" s="24">
        <f t="shared" si="9"/>
        <v>7094.027484773721</v>
      </c>
      <c r="D88" s="25">
        <f>[4]EBUL!$C88</f>
        <v>2836.4491297258364</v>
      </c>
      <c r="E88" s="43">
        <f t="shared" si="7"/>
        <v>4257.5783550478845</v>
      </c>
      <c r="F88" s="1291">
        <f t="shared" si="8"/>
        <v>1.5010240481412795</v>
      </c>
      <c r="G88" s="196" t="s">
        <v>300</v>
      </c>
      <c r="I88" s="70"/>
      <c r="L88" s="311"/>
      <c r="M88" s="455"/>
      <c r="N88" s="455"/>
    </row>
    <row r="89" spans="1:14">
      <c r="A89" s="27" t="s">
        <v>73</v>
      </c>
      <c r="B89" s="24">
        <f>'[37]Uganda Apr 2023'!$B$88</f>
        <v>569216.43348000001</v>
      </c>
      <c r="C89" s="24">
        <f t="shared" si="9"/>
        <v>19674.707775735686</v>
      </c>
      <c r="D89" s="25">
        <f>[4]EBUL!$C89</f>
        <v>18149.317373554291</v>
      </c>
      <c r="E89" s="43">
        <f t="shared" si="7"/>
        <v>1525.3904021813942</v>
      </c>
      <c r="F89" s="1291">
        <f t="shared" si="8"/>
        <v>8.4046709349193977E-2</v>
      </c>
      <c r="G89" s="196"/>
      <c r="I89" s="70"/>
      <c r="M89" s="71"/>
      <c r="N89" s="71"/>
    </row>
    <row r="90" spans="1:14">
      <c r="A90" s="27" t="s">
        <v>74</v>
      </c>
      <c r="B90" s="24">
        <f>'[37]Uganda Apr 2023'!$B$89</f>
        <v>8512719.4853400011</v>
      </c>
      <c r="C90" s="24">
        <f t="shared" si="9"/>
        <v>294238.28687960812</v>
      </c>
      <c r="D90" s="25">
        <f>[4]EBUL!$C90</f>
        <v>240661.86541310538</v>
      </c>
      <c r="E90" s="43">
        <f t="shared" si="7"/>
        <v>53576.421466502739</v>
      </c>
      <c r="F90" s="1291">
        <f t="shared" si="8"/>
        <v>0.22262115094361437</v>
      </c>
      <c r="G90" s="196"/>
      <c r="I90" s="70"/>
      <c r="M90" s="71">
        <f>K90*C62</f>
        <v>0</v>
      </c>
      <c r="N90" s="71"/>
    </row>
    <row r="91" spans="1:14">
      <c r="A91" s="27" t="s">
        <v>75</v>
      </c>
      <c r="B91" s="24">
        <f>'[37]Uganda Apr 2023'!$B$90</f>
        <v>112772.74076</v>
      </c>
      <c r="C91" s="24">
        <f t="shared" si="9"/>
        <v>3897.9386205647129</v>
      </c>
      <c r="D91" s="25">
        <f>[4]EBUL!$C91</f>
        <v>3822.7970485760884</v>
      </c>
      <c r="E91" s="43">
        <f t="shared" si="7"/>
        <v>75.141571988624491</v>
      </c>
      <c r="F91" s="1291">
        <f t="shared" si="8"/>
        <v>1.965617610189721E-2</v>
      </c>
      <c r="G91" s="196"/>
      <c r="I91" s="70"/>
      <c r="M91" s="71"/>
      <c r="N91" s="71"/>
    </row>
    <row r="92" spans="1:14">
      <c r="A92" s="27" t="s">
        <v>76</v>
      </c>
      <c r="B92" s="24">
        <f>'[37]Uganda Apr 2023'!$B$91</f>
        <v>42274249.176169999</v>
      </c>
      <c r="C92" s="24">
        <f t="shared" si="9"/>
        <v>1461190.2433927245</v>
      </c>
      <c r="D92" s="25">
        <f>[4]EBUL!$C92</f>
        <v>848521.91557258018</v>
      </c>
      <c r="E92" s="43">
        <f t="shared" si="7"/>
        <v>612668.32782014436</v>
      </c>
      <c r="F92" s="1291">
        <f t="shared" si="8"/>
        <v>0.72204184308747932</v>
      </c>
      <c r="G92" s="196" t="s">
        <v>301</v>
      </c>
      <c r="I92" s="70"/>
      <c r="M92" s="71"/>
      <c r="N92" s="71"/>
    </row>
    <row r="93" spans="1:14">
      <c r="A93" s="29" t="s">
        <v>77</v>
      </c>
      <c r="B93" s="39">
        <f>SUM(B86:B92)</f>
        <v>82731856.098450005</v>
      </c>
      <c r="C93" s="39">
        <f>SUM(C86:C92)</f>
        <v>2859589.071471198</v>
      </c>
      <c r="D93" s="39">
        <f>SUM(D86:D92)</f>
        <v>2130705.4068822199</v>
      </c>
      <c r="E93" s="39">
        <f t="shared" si="7"/>
        <v>728883.66458897805</v>
      </c>
      <c r="F93" s="1292">
        <f>E93/D93</f>
        <v>0.34208561269646642</v>
      </c>
      <c r="I93" s="70"/>
      <c r="J93" s="403"/>
      <c r="M93" s="71"/>
      <c r="N93" s="71"/>
    </row>
    <row r="94" spans="1:14">
      <c r="A94" s="29" t="s">
        <v>78</v>
      </c>
      <c r="B94" s="39">
        <f>B83-B93</f>
        <v>38846651.869759977</v>
      </c>
      <c r="C94" s="39">
        <f>C83-C93</f>
        <v>1342716.8975614593</v>
      </c>
      <c r="D94" s="39">
        <f>D83-D93</f>
        <v>1550967.676124854</v>
      </c>
      <c r="E94" s="39">
        <f>(C94-D94)</f>
        <v>-208250.77856339468</v>
      </c>
      <c r="F94" s="1292">
        <f>E94/D94</f>
        <v>-0.13427151433852985</v>
      </c>
      <c r="I94" s="70"/>
      <c r="M94" s="71"/>
      <c r="N94" s="71"/>
    </row>
    <row r="95" spans="1:14">
      <c r="A95" s="27" t="s">
        <v>79</v>
      </c>
      <c r="B95" s="43">
        <v>0</v>
      </c>
      <c r="C95" s="43">
        <v>0</v>
      </c>
      <c r="D95" s="25">
        <f>[4]EBUL!$C95</f>
        <v>0</v>
      </c>
      <c r="E95" s="43">
        <f t="shared" si="7"/>
        <v>0</v>
      </c>
      <c r="F95" s="1303" t="s">
        <v>101</v>
      </c>
      <c r="M95" s="71"/>
      <c r="N95" s="71"/>
    </row>
    <row r="96" spans="1:14">
      <c r="A96" s="27" t="s">
        <v>80</v>
      </c>
      <c r="B96" s="43">
        <v>0</v>
      </c>
      <c r="C96" s="43">
        <v>0</v>
      </c>
      <c r="D96" s="25">
        <f>[4]EBUL!$C96</f>
        <v>0</v>
      </c>
      <c r="E96" s="43">
        <f>(C95-D96)</f>
        <v>0</v>
      </c>
      <c r="F96" s="1303" t="s">
        <v>101</v>
      </c>
      <c r="M96" s="71"/>
      <c r="N96" s="71"/>
    </row>
    <row r="97" spans="1:14" ht="22.5" customHeight="1">
      <c r="A97" s="29" t="s">
        <v>81</v>
      </c>
      <c r="B97" s="39">
        <f>B94</f>
        <v>38846651.869759977</v>
      </c>
      <c r="C97" s="39">
        <f>C94</f>
        <v>1342716.8975614593</v>
      </c>
      <c r="D97" s="39">
        <f>D94</f>
        <v>1550967.676124854</v>
      </c>
      <c r="E97" s="39">
        <f>C97-D97</f>
        <v>-208250.77856339468</v>
      </c>
      <c r="F97" s="1292">
        <f>E97/D97</f>
        <v>-0.13427151433852985</v>
      </c>
      <c r="G97" s="347" t="s">
        <v>297</v>
      </c>
      <c r="I97" s="639"/>
      <c r="J97" s="403"/>
      <c r="M97" s="71"/>
      <c r="N97" s="71"/>
    </row>
    <row r="98" spans="1:14">
      <c r="A98" s="27" t="s">
        <v>91</v>
      </c>
      <c r="B98" s="24">
        <f>-'[37]Uganda Apr 2023'!$B$96</f>
        <v>-6137370.4807399996</v>
      </c>
      <c r="C98" s="24">
        <f>B98/$C$62</f>
        <v>-212135.42620643374</v>
      </c>
      <c r="D98" s="25">
        <f>[4]EBUL!$C98</f>
        <v>-421108.28609265969</v>
      </c>
      <c r="E98" s="43">
        <f>C98-D98</f>
        <v>208972.85988622595</v>
      </c>
      <c r="F98" s="1291">
        <f>IFERROR(E98/D98,0)</f>
        <v>-0.49624494883542625</v>
      </c>
      <c r="H98" s="105" t="s">
        <v>644</v>
      </c>
      <c r="I98" s="1205">
        <f>-(C98+C99)/C97</f>
        <v>0.15798968985323564</v>
      </c>
      <c r="M98" s="71"/>
      <c r="N98" s="71"/>
    </row>
    <row r="99" spans="1:14">
      <c r="A99" s="159" t="s">
        <v>92</v>
      </c>
      <c r="B99" s="24">
        <f>'[37]Uganda Apr 2023'!$B$97</f>
        <v>0</v>
      </c>
      <c r="C99" s="24">
        <f>B99/$C$62</f>
        <v>0</v>
      </c>
      <c r="D99" s="25">
        <f>[4]EBUL!$C99</f>
        <v>0</v>
      </c>
      <c r="E99" s="43">
        <f>C99-D99</f>
        <v>0</v>
      </c>
      <c r="F99" s="1291">
        <f>IFERROR(E99/D99,0)</f>
        <v>0</v>
      </c>
      <c r="I99" s="1206">
        <v>0.27244940289420916</v>
      </c>
      <c r="M99" s="71"/>
      <c r="N99" s="71"/>
    </row>
    <row r="100" spans="1:14" ht="13.5" thickBot="1">
      <c r="A100" s="160" t="s">
        <v>93</v>
      </c>
      <c r="B100" s="94">
        <f>B97+B98+B99</f>
        <v>32709281.389019977</v>
      </c>
      <c r="C100" s="94">
        <f>C97+C98+C99</f>
        <v>1130581.4713550257</v>
      </c>
      <c r="D100" s="94">
        <f>D97+D98+D99</f>
        <v>1129859.3900321943</v>
      </c>
      <c r="E100" s="94">
        <f>C100-D100</f>
        <v>722.08132283133455</v>
      </c>
      <c r="F100" s="1295">
        <f>E100/D100</f>
        <v>6.390895444173451E-4</v>
      </c>
      <c r="I100" s="70"/>
      <c r="M100" s="71"/>
      <c r="N100" s="71"/>
    </row>
    <row r="101" spans="1:14">
      <c r="A101" s="102"/>
      <c r="B101" s="109"/>
      <c r="C101" s="388"/>
      <c r="D101" s="102"/>
      <c r="E101" s="102"/>
      <c r="F101" s="1352"/>
    </row>
    <row r="102" spans="1:14">
      <c r="A102" s="57" t="s">
        <v>150</v>
      </c>
      <c r="B102" s="601"/>
      <c r="C102" s="601"/>
      <c r="D102" s="601"/>
      <c r="E102" s="601"/>
      <c r="F102" s="1358"/>
    </row>
    <row r="103" spans="1:14">
      <c r="A103" s="83"/>
      <c r="B103" s="1208">
        <f>B3</f>
        <v>45046</v>
      </c>
      <c r="C103" s="1208">
        <f>B103</f>
        <v>45046</v>
      </c>
      <c r="D103" s="1208">
        <f>D3</f>
        <v>44681</v>
      </c>
      <c r="E103" s="1596" t="s">
        <v>151</v>
      </c>
      <c r="F103" s="1620" t="s">
        <v>152</v>
      </c>
    </row>
    <row r="104" spans="1:14">
      <c r="A104" s="83"/>
      <c r="B104" s="84" t="s">
        <v>407</v>
      </c>
      <c r="C104" s="84" t="s">
        <v>97</v>
      </c>
      <c r="D104" s="84" t="s">
        <v>97</v>
      </c>
      <c r="E104" s="1597"/>
      <c r="F104" s="1621"/>
    </row>
    <row r="105" spans="1:14">
      <c r="A105" s="83"/>
      <c r="B105" s="19" t="s">
        <v>614</v>
      </c>
      <c r="C105" s="19" t="s">
        <v>614</v>
      </c>
      <c r="D105" s="19" t="s">
        <v>614</v>
      </c>
      <c r="E105" s="85"/>
      <c r="F105" s="1359"/>
    </row>
    <row r="106" spans="1:14">
      <c r="A106" s="27"/>
      <c r="B106" s="268"/>
      <c r="C106" s="268"/>
      <c r="D106" s="268"/>
      <c r="E106" s="268"/>
      <c r="F106" s="1360"/>
    </row>
    <row r="107" spans="1:14" s="178" customFormat="1">
      <c r="A107" s="31" t="s">
        <v>864</v>
      </c>
      <c r="B107" s="788"/>
      <c r="C107" s="788"/>
      <c r="D107" s="794"/>
      <c r="E107" s="795"/>
      <c r="F107" s="1361"/>
      <c r="G107" s="701"/>
      <c r="J107" s="702"/>
      <c r="K107" s="702"/>
      <c r="L107" s="702"/>
    </row>
    <row r="108" spans="1:14" s="178" customFormat="1">
      <c r="A108" s="31" t="s">
        <v>115</v>
      </c>
      <c r="B108" s="792">
        <f>'[37]Uganda Apr 2023'!$B$104</f>
        <v>228500026.50479001</v>
      </c>
      <c r="C108" s="792">
        <f>'[6]30_March_2023'!$G$6</f>
        <v>7859508.0801767474</v>
      </c>
      <c r="D108" s="792">
        <f>[4]EBUL!$C$108</f>
        <v>4008708.567579974</v>
      </c>
      <c r="E108" s="793">
        <f t="shared" ref="E108:E114" si="10">C108-D108</f>
        <v>3850799.5125967734</v>
      </c>
      <c r="F108" s="1362">
        <f>IFERROR(E108/D108,0)</f>
        <v>0.96060849714537144</v>
      </c>
      <c r="G108" s="796" t="s">
        <v>296</v>
      </c>
      <c r="I108" s="178">
        <v>56</v>
      </c>
      <c r="J108" s="702"/>
      <c r="K108" s="702"/>
      <c r="L108" s="702"/>
    </row>
    <row r="109" spans="1:14">
      <c r="A109" s="27" t="s">
        <v>116</v>
      </c>
      <c r="B109" s="598">
        <f>'[37]Uganda Apr 2023'!$B$105</f>
        <v>42402012.948739998</v>
      </c>
      <c r="C109" s="598">
        <f>'[6]30_March_2023'!$G$7</f>
        <v>546408.00495547487</v>
      </c>
      <c r="D109" s="278">
        <f>[4]EBUL!$C$109</f>
        <v>504381.17124089703</v>
      </c>
      <c r="E109" s="452">
        <f t="shared" si="10"/>
        <v>42026.833714577835</v>
      </c>
      <c r="F109" s="1363">
        <f t="shared" ref="F109:F133" si="11">IFERROR(E109/D109,0)</f>
        <v>8.3323557878225069E-2</v>
      </c>
    </row>
    <row r="110" spans="1:14">
      <c r="A110" s="31" t="s">
        <v>117</v>
      </c>
      <c r="B110" s="788">
        <f>B108-B109</f>
        <v>186098013.55605</v>
      </c>
      <c r="C110" s="788">
        <f>C108-C109</f>
        <v>7313100.0752212722</v>
      </c>
      <c r="D110" s="788">
        <f>D108-D109</f>
        <v>3504327.396339077</v>
      </c>
      <c r="E110" s="793">
        <f t="shared" si="10"/>
        <v>3808772.6788821951</v>
      </c>
      <c r="F110" s="1362">
        <f t="shared" si="11"/>
        <v>1.086876951868472</v>
      </c>
      <c r="G110" s="597" t="s">
        <v>296</v>
      </c>
    </row>
    <row r="111" spans="1:14">
      <c r="A111" s="27" t="s">
        <v>118</v>
      </c>
      <c r="B111" s="598">
        <f>'[37]Uganda Apr 2023'!$B$107</f>
        <v>130190661.63291149</v>
      </c>
      <c r="C111" s="598">
        <f>'[6]30_March_2023'!$G$9</f>
        <v>4571174.3732583765</v>
      </c>
      <c r="D111" s="598">
        <f>[4]EBUL!$C$111</f>
        <v>1618049.1831206435</v>
      </c>
      <c r="E111" s="452">
        <f t="shared" si="10"/>
        <v>2953125.1901377328</v>
      </c>
      <c r="F111" s="1363">
        <v>1</v>
      </c>
    </row>
    <row r="112" spans="1:14" s="178" customFormat="1">
      <c r="A112" s="31" t="s">
        <v>119</v>
      </c>
      <c r="B112" s="788">
        <f>B110-B111</f>
        <v>55907351.923138514</v>
      </c>
      <c r="C112" s="788">
        <f>C110-C111</f>
        <v>2741925.7019628957</v>
      </c>
      <c r="D112" s="788">
        <f>D110-D111</f>
        <v>1886278.2132184335</v>
      </c>
      <c r="E112" s="793">
        <f t="shared" si="10"/>
        <v>855647.48874446214</v>
      </c>
      <c r="F112" s="1362">
        <f t="shared" si="11"/>
        <v>0.4536168009301908</v>
      </c>
      <c r="G112" s="701"/>
      <c r="J112" s="702"/>
      <c r="K112" s="702"/>
      <c r="L112" s="702"/>
    </row>
    <row r="113" spans="1:12">
      <c r="A113" s="27" t="s">
        <v>120</v>
      </c>
      <c r="B113" s="598">
        <f>'[37]Uganda Apr 2023'!$B$109</f>
        <v>0</v>
      </c>
      <c r="C113" s="598">
        <f>'[6]30_March_2023'!$G$11</f>
        <v>2741925.7019628957</v>
      </c>
      <c r="D113" s="598">
        <f>[4]EBUL!$C113</f>
        <v>0</v>
      </c>
      <c r="E113" s="452">
        <f t="shared" si="10"/>
        <v>2741925.7019628957</v>
      </c>
      <c r="F113" s="1363">
        <f t="shared" si="11"/>
        <v>0</v>
      </c>
    </row>
    <row r="114" spans="1:12">
      <c r="A114" s="47" t="s">
        <v>121</v>
      </c>
      <c r="B114" s="207">
        <f>B112-B113</f>
        <v>55907351.923138514</v>
      </c>
      <c r="C114" s="207">
        <f>C112-C113</f>
        <v>0</v>
      </c>
      <c r="D114" s="207">
        <f>D112</f>
        <v>1886278.2132184335</v>
      </c>
      <c r="E114" s="453">
        <f t="shared" si="10"/>
        <v>-1886278.2132184335</v>
      </c>
      <c r="F114" s="1364">
        <f t="shared" si="11"/>
        <v>-1</v>
      </c>
    </row>
    <row r="115" spans="1:12">
      <c r="A115" s="27"/>
      <c r="B115" s="598"/>
      <c r="C115" s="598"/>
      <c r="D115" s="598"/>
      <c r="E115" s="452"/>
      <c r="F115" s="1363"/>
    </row>
    <row r="116" spans="1:12" s="178" customFormat="1">
      <c r="A116" s="31" t="s">
        <v>122</v>
      </c>
      <c r="B116" s="792"/>
      <c r="C116" s="792"/>
      <c r="D116" s="792"/>
      <c r="E116" s="793"/>
      <c r="F116" s="1362"/>
      <c r="G116" s="701"/>
      <c r="J116" s="702"/>
      <c r="K116" s="702"/>
      <c r="L116" s="702"/>
    </row>
    <row r="117" spans="1:12">
      <c r="A117" s="27" t="s">
        <v>123</v>
      </c>
      <c r="B117" s="598">
        <f>'[37]Uganda Apr 2023'!$B$113</f>
        <v>0</v>
      </c>
      <c r="C117" s="598">
        <f t="shared" ref="C117:C133" si="12">B117/$C$7</f>
        <v>0</v>
      </c>
      <c r="D117" s="598">
        <f>[4]EBUL!$C$117</f>
        <v>440952.63329551375</v>
      </c>
      <c r="E117" s="452">
        <f>C117-D117</f>
        <v>-440952.63329551375</v>
      </c>
      <c r="F117" s="1363">
        <f>IFERROR(E117/D117,0)</f>
        <v>-1</v>
      </c>
      <c r="G117" s="243"/>
    </row>
    <row r="118" spans="1:12">
      <c r="A118" s="27" t="s">
        <v>124</v>
      </c>
      <c r="B118" s="598">
        <f>'[37]Uganda Apr 2023'!$B$114</f>
        <v>14392012.30102</v>
      </c>
      <c r="C118" s="598">
        <f t="shared" si="12"/>
        <v>523765.23657881562</v>
      </c>
      <c r="D118" s="598">
        <f>[4]EBUL!$C$118</f>
        <v>440952.63329551375</v>
      </c>
      <c r="E118" s="452">
        <f t="shared" ref="E118:E125" si="13">C118-D118</f>
        <v>82812.603283301869</v>
      </c>
      <c r="F118" s="1363">
        <f t="shared" si="11"/>
        <v>0.1878038524555159</v>
      </c>
    </row>
    <row r="119" spans="1:12" ht="12" customHeight="1">
      <c r="A119" s="47" t="s">
        <v>125</v>
      </c>
      <c r="B119" s="599">
        <f>SUM(B117:B118)</f>
        <v>14392012.30102</v>
      </c>
      <c r="C119" s="599">
        <f t="shared" si="12"/>
        <v>523765.23657881562</v>
      </c>
      <c r="D119" s="599">
        <f>D118</f>
        <v>440952.63329551375</v>
      </c>
      <c r="E119" s="453">
        <f t="shared" si="13"/>
        <v>82812.603283301869</v>
      </c>
      <c r="F119" s="1364">
        <f t="shared" si="11"/>
        <v>0.1878038524555159</v>
      </c>
    </row>
    <row r="120" spans="1:12">
      <c r="A120" s="27"/>
      <c r="B120" s="598"/>
      <c r="C120" s="598"/>
      <c r="D120" s="598"/>
      <c r="E120" s="452"/>
      <c r="F120" s="1363"/>
    </row>
    <row r="121" spans="1:12" s="178" customFormat="1">
      <c r="A121" s="31" t="s">
        <v>126</v>
      </c>
      <c r="B121" s="792"/>
      <c r="C121" s="792"/>
      <c r="D121" s="792"/>
      <c r="E121" s="793"/>
      <c r="F121" s="1362"/>
      <c r="G121" s="701"/>
      <c r="J121" s="702"/>
      <c r="K121" s="702"/>
      <c r="L121" s="702"/>
    </row>
    <row r="122" spans="1:12">
      <c r="A122" s="27" t="s">
        <v>127</v>
      </c>
      <c r="B122" s="598">
        <f>'[37]Uganda Apr 2023'!$B$118</f>
        <v>124225309.30964999</v>
      </c>
      <c r="C122" s="598">
        <f t="shared" si="12"/>
        <v>4520903.4816510025</v>
      </c>
      <c r="D122" s="598">
        <f>[4]EBUL!$C$122</f>
        <v>5065000.6504509095</v>
      </c>
      <c r="E122" s="452">
        <f t="shared" si="13"/>
        <v>-544097.16879990697</v>
      </c>
      <c r="F122" s="1363">
        <f t="shared" si="11"/>
        <v>-0.10742292180188939</v>
      </c>
    </row>
    <row r="123" spans="1:12">
      <c r="A123" s="27" t="s">
        <v>155</v>
      </c>
      <c r="B123" s="598">
        <v>0</v>
      </c>
      <c r="C123" s="598">
        <f t="shared" si="12"/>
        <v>0</v>
      </c>
      <c r="D123" s="598">
        <f>[4]EBUL!$C123</f>
        <v>0</v>
      </c>
      <c r="E123" s="452">
        <f t="shared" si="13"/>
        <v>0</v>
      </c>
      <c r="F123" s="1363">
        <f t="shared" si="11"/>
        <v>0</v>
      </c>
    </row>
    <row r="124" spans="1:12">
      <c r="A124" s="27" t="s">
        <v>156</v>
      </c>
      <c r="B124" s="598">
        <f>'[37]Uganda Apr 2023'!$B$119</f>
        <v>102401821.42359999</v>
      </c>
      <c r="C124" s="598">
        <f t="shared" si="12"/>
        <v>3726686.2411055788</v>
      </c>
      <c r="D124" s="598">
        <f>[4]EBUL!$C124</f>
        <v>1830251.9875975291</v>
      </c>
      <c r="E124" s="452">
        <f>C124-D124</f>
        <v>1896434.2535080498</v>
      </c>
      <c r="F124" s="1363">
        <f>IFERROR(E124/D124,0)</f>
        <v>1.0361601934372953</v>
      </c>
    </row>
    <row r="125" spans="1:12">
      <c r="A125" s="47" t="s">
        <v>129</v>
      </c>
      <c r="B125" s="599">
        <f>SUM(B122:B124)</f>
        <v>226627130.73324996</v>
      </c>
      <c r="C125" s="599">
        <f t="shared" si="12"/>
        <v>8247589.7227565804</v>
      </c>
      <c r="D125" s="599">
        <f>SUM(D122:D123)</f>
        <v>5065000.6504509095</v>
      </c>
      <c r="E125" s="453">
        <f t="shared" si="13"/>
        <v>3182589.0723056709</v>
      </c>
      <c r="F125" s="1364">
        <f t="shared" si="11"/>
        <v>0.62834919320737748</v>
      </c>
    </row>
    <row r="126" spans="1:12">
      <c r="A126" s="27"/>
      <c r="B126" s="598"/>
      <c r="C126" s="598"/>
      <c r="D126" s="598"/>
      <c r="E126" s="452"/>
      <c r="F126" s="1363"/>
    </row>
    <row r="127" spans="1:12" s="178" customFormat="1">
      <c r="A127" s="31" t="s">
        <v>130</v>
      </c>
      <c r="B127" s="792"/>
      <c r="C127" s="792"/>
      <c r="D127" s="792"/>
      <c r="E127" s="793"/>
      <c r="F127" s="1362"/>
      <c r="G127" s="701"/>
      <c r="J127" s="702"/>
      <c r="K127" s="702"/>
      <c r="L127" s="702"/>
    </row>
    <row r="128" spans="1:12" s="178" customFormat="1">
      <c r="A128" s="31" t="s">
        <v>131</v>
      </c>
      <c r="B128" s="792">
        <f>'[37]Uganda Apr 2023'!$B$123</f>
        <v>383761067.47957999</v>
      </c>
      <c r="C128" s="792">
        <f t="shared" si="12"/>
        <v>13966129.412211215</v>
      </c>
      <c r="D128" s="792">
        <f>[4]EBUL!$C128</f>
        <v>12904512.147782108</v>
      </c>
      <c r="E128" s="793">
        <f t="shared" ref="E128:E133" si="14">C128-D128</f>
        <v>1061617.2644291073</v>
      </c>
      <c r="F128" s="1362">
        <f t="shared" si="11"/>
        <v>8.2267136662858426E-2</v>
      </c>
      <c r="G128" s="701"/>
      <c r="J128" s="702"/>
      <c r="K128" s="702"/>
      <c r="L128" s="702"/>
    </row>
    <row r="129" spans="1:1021 1026:2047 2052:4093 4098:5119 5124:7165 7170:8191 8196:10237 10242:11263 11268:13309 13314:14335 14340:16375">
      <c r="A129" s="27" t="s">
        <v>132</v>
      </c>
      <c r="B129" s="278">
        <f>'[37]Uganda Apr 2023'!$B$124</f>
        <v>25000000</v>
      </c>
      <c r="C129" s="278">
        <f>D129</f>
        <v>706214.68926553673</v>
      </c>
      <c r="D129" s="598">
        <f>[4]EBUL!$C129</f>
        <v>706214.68926553673</v>
      </c>
      <c r="E129" s="452">
        <f>C129-D129</f>
        <v>0</v>
      </c>
      <c r="F129" s="1363">
        <f>IFERROR(E129/D129,0)</f>
        <v>0</v>
      </c>
      <c r="I129" s="55"/>
    </row>
    <row r="130" spans="1:1021 1026:2047 2052:4093 4098:5119 5124:7165 7170:8191 8196:10237 10242:11263 11268:13309 13314:14335 14340:16375" s="178" customFormat="1">
      <c r="A130" s="31" t="s">
        <v>509</v>
      </c>
      <c r="B130" s="792">
        <f>B128-B129</f>
        <v>358761067.47957999</v>
      </c>
      <c r="C130" s="792">
        <f t="shared" si="12"/>
        <v>13056310.087394325</v>
      </c>
      <c r="D130" s="792">
        <f>[4]EBUL!$C130</f>
        <v>12091768.324635165</v>
      </c>
      <c r="E130" s="793">
        <f t="shared" si="14"/>
        <v>964541.76275916025</v>
      </c>
      <c r="F130" s="1362">
        <f t="shared" si="11"/>
        <v>7.9768462053151565E-2</v>
      </c>
      <c r="G130" s="701"/>
      <c r="J130" s="702"/>
      <c r="K130" s="702"/>
      <c r="L130" s="702"/>
    </row>
    <row r="131" spans="1:1021 1026:2047 2052:4093 4098:5119 5124:7165 7170:8191 8196:10237 10242:11263 11268:13309 13314:14335 14340:16375" s="43" customFormat="1">
      <c r="A131" s="27" t="s">
        <v>134</v>
      </c>
      <c r="B131" s="598">
        <f>'[37]Uganda Apr 2023'!$B$126</f>
        <v>19732253.668074999</v>
      </c>
      <c r="C131" s="598">
        <f t="shared" si="12"/>
        <v>718111.4283761438</v>
      </c>
      <c r="D131" s="598">
        <f>[4]EBUL!$C131</f>
        <v>629395.44683728868</v>
      </c>
      <c r="E131" s="452">
        <f t="shared" si="14"/>
        <v>88715.981538855121</v>
      </c>
      <c r="F131" s="1363">
        <f t="shared" si="11"/>
        <v>0.14095427919704984</v>
      </c>
      <c r="G131" s="194"/>
      <c r="H131" s="52"/>
      <c r="I131" s="52"/>
      <c r="J131" s="70"/>
      <c r="K131" s="70"/>
      <c r="L131" s="70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D131" s="64"/>
      <c r="AE131" s="27"/>
      <c r="AJ131" s="64"/>
      <c r="AK131" s="27"/>
      <c r="AP131" s="64"/>
      <c r="AQ131" s="27"/>
      <c r="AV131" s="64"/>
      <c r="AW131" s="27"/>
      <c r="BB131" s="64"/>
      <c r="BC131" s="27"/>
      <c r="BH131" s="64"/>
      <c r="BI131" s="27"/>
      <c r="BN131" s="64"/>
      <c r="BO131" s="27"/>
      <c r="BT131" s="64"/>
      <c r="BU131" s="27"/>
      <c r="BZ131" s="64"/>
      <c r="CA131" s="27"/>
      <c r="CF131" s="64"/>
      <c r="CG131" s="27"/>
      <c r="CL131" s="64"/>
      <c r="CM131" s="27"/>
      <c r="CR131" s="64"/>
      <c r="CS131" s="27"/>
      <c r="CX131" s="64"/>
      <c r="CY131" s="27"/>
      <c r="DD131" s="64"/>
      <c r="DE131" s="27"/>
      <c r="DJ131" s="64"/>
      <c r="DK131" s="27"/>
      <c r="DP131" s="64"/>
      <c r="DQ131" s="27"/>
      <c r="DV131" s="64"/>
      <c r="DW131" s="27"/>
      <c r="EB131" s="64"/>
      <c r="EC131" s="27"/>
      <c r="EH131" s="64"/>
      <c r="EI131" s="27"/>
      <c r="EN131" s="64"/>
      <c r="EO131" s="27"/>
      <c r="ET131" s="64"/>
      <c r="EU131" s="27"/>
      <c r="EZ131" s="64"/>
      <c r="FA131" s="27"/>
      <c r="FF131" s="64"/>
      <c r="FG131" s="27"/>
      <c r="FL131" s="64"/>
      <c r="FM131" s="27"/>
      <c r="FR131" s="64"/>
      <c r="FS131" s="27"/>
      <c r="FX131" s="64"/>
      <c r="FY131" s="27"/>
      <c r="GD131" s="64"/>
      <c r="GE131" s="27"/>
      <c r="GJ131" s="64"/>
      <c r="GK131" s="27"/>
      <c r="GP131" s="64"/>
      <c r="GQ131" s="27"/>
      <c r="GV131" s="64"/>
      <c r="GW131" s="27"/>
      <c r="HB131" s="64"/>
      <c r="HC131" s="27"/>
      <c r="HH131" s="64"/>
      <c r="HI131" s="27"/>
      <c r="HN131" s="64"/>
      <c r="HO131" s="27"/>
      <c r="HT131" s="64"/>
      <c r="HU131" s="27"/>
      <c r="HZ131" s="64"/>
      <c r="IA131" s="27"/>
      <c r="IF131" s="64"/>
      <c r="IG131" s="27"/>
      <c r="IL131" s="64"/>
      <c r="IM131" s="27"/>
      <c r="IR131" s="64"/>
      <c r="IS131" s="27"/>
      <c r="IX131" s="64"/>
      <c r="IY131" s="27"/>
      <c r="JD131" s="64"/>
      <c r="JE131" s="27"/>
      <c r="JJ131" s="64"/>
      <c r="JK131" s="27"/>
      <c r="JP131" s="64"/>
      <c r="JQ131" s="27"/>
      <c r="JV131" s="64"/>
      <c r="JW131" s="27"/>
      <c r="KB131" s="64"/>
      <c r="KC131" s="27"/>
      <c r="KH131" s="64"/>
      <c r="KI131" s="27"/>
      <c r="KN131" s="64"/>
      <c r="KO131" s="27"/>
      <c r="KT131" s="64"/>
      <c r="KU131" s="27"/>
      <c r="KZ131" s="64"/>
      <c r="LA131" s="27"/>
      <c r="LF131" s="64"/>
      <c r="LG131" s="27"/>
      <c r="LL131" s="64"/>
      <c r="LM131" s="27"/>
      <c r="LR131" s="64"/>
      <c r="LS131" s="27"/>
      <c r="LX131" s="64"/>
      <c r="LY131" s="27"/>
      <c r="MD131" s="64"/>
      <c r="ME131" s="27"/>
      <c r="MJ131" s="64"/>
      <c r="MK131" s="27"/>
      <c r="MP131" s="64"/>
      <c r="MQ131" s="27"/>
      <c r="MV131" s="64"/>
      <c r="MW131" s="27"/>
      <c r="NB131" s="64"/>
      <c r="NC131" s="27"/>
      <c r="NH131" s="64"/>
      <c r="NI131" s="27"/>
      <c r="NN131" s="64"/>
      <c r="NO131" s="27"/>
      <c r="NT131" s="64"/>
      <c r="NU131" s="27"/>
      <c r="NZ131" s="64"/>
      <c r="OA131" s="27"/>
      <c r="OF131" s="64"/>
      <c r="OG131" s="27"/>
      <c r="OL131" s="64"/>
      <c r="OM131" s="27"/>
      <c r="OR131" s="64"/>
      <c r="OS131" s="27"/>
      <c r="OX131" s="64"/>
      <c r="OY131" s="27"/>
      <c r="PD131" s="64"/>
      <c r="PE131" s="27"/>
      <c r="PJ131" s="64"/>
      <c r="PK131" s="27"/>
      <c r="PP131" s="64"/>
      <c r="PQ131" s="27"/>
      <c r="PV131" s="64"/>
      <c r="PW131" s="27"/>
      <c r="QB131" s="64"/>
      <c r="QC131" s="27"/>
      <c r="QH131" s="64"/>
      <c r="QI131" s="27"/>
      <c r="QN131" s="64"/>
      <c r="QO131" s="27"/>
      <c r="QT131" s="64"/>
      <c r="QU131" s="27"/>
      <c r="QZ131" s="64"/>
      <c r="RA131" s="27"/>
      <c r="RF131" s="64"/>
      <c r="RG131" s="27"/>
      <c r="RL131" s="64"/>
      <c r="RM131" s="27"/>
      <c r="RR131" s="64"/>
      <c r="RS131" s="27"/>
      <c r="RX131" s="64"/>
      <c r="RY131" s="27"/>
      <c r="SD131" s="64"/>
      <c r="SE131" s="27"/>
      <c r="SJ131" s="64"/>
      <c r="SK131" s="27"/>
      <c r="SP131" s="64"/>
      <c r="SQ131" s="27"/>
      <c r="SV131" s="64"/>
      <c r="SW131" s="27"/>
      <c r="TB131" s="64"/>
      <c r="TC131" s="27"/>
      <c r="TH131" s="64"/>
      <c r="TI131" s="27"/>
      <c r="TN131" s="64"/>
      <c r="TO131" s="27"/>
      <c r="TT131" s="64"/>
      <c r="TU131" s="27"/>
      <c r="TZ131" s="64"/>
      <c r="UA131" s="27"/>
      <c r="UF131" s="64"/>
      <c r="UG131" s="27"/>
      <c r="UL131" s="64"/>
      <c r="UM131" s="27"/>
      <c r="UR131" s="64"/>
      <c r="US131" s="27"/>
      <c r="UX131" s="64"/>
      <c r="UY131" s="27"/>
      <c r="VD131" s="64"/>
      <c r="VE131" s="27"/>
      <c r="VJ131" s="64"/>
      <c r="VK131" s="27"/>
      <c r="VP131" s="64"/>
      <c r="VQ131" s="27"/>
      <c r="VV131" s="64"/>
      <c r="VW131" s="27"/>
      <c r="WB131" s="64"/>
      <c r="WC131" s="27"/>
      <c r="WH131" s="64"/>
      <c r="WI131" s="27"/>
      <c r="WN131" s="64"/>
      <c r="WO131" s="27"/>
      <c r="WT131" s="64"/>
      <c r="WU131" s="27"/>
      <c r="WZ131" s="64"/>
      <c r="XA131" s="27"/>
      <c r="XF131" s="64"/>
      <c r="XG131" s="27"/>
      <c r="XL131" s="64"/>
      <c r="XM131" s="27"/>
      <c r="XR131" s="64"/>
      <c r="XS131" s="27"/>
      <c r="XX131" s="64"/>
      <c r="XY131" s="27"/>
      <c r="YD131" s="64"/>
      <c r="YE131" s="27"/>
      <c r="YJ131" s="64"/>
      <c r="YK131" s="27"/>
      <c r="YP131" s="64"/>
      <c r="YQ131" s="27"/>
      <c r="YV131" s="64"/>
      <c r="YW131" s="27"/>
      <c r="ZB131" s="64"/>
      <c r="ZC131" s="27"/>
      <c r="ZH131" s="64"/>
      <c r="ZI131" s="27"/>
      <c r="ZN131" s="64"/>
      <c r="ZO131" s="27"/>
      <c r="ZT131" s="64"/>
      <c r="ZU131" s="27"/>
      <c r="ZZ131" s="64"/>
      <c r="AAA131" s="27"/>
      <c r="AAF131" s="64"/>
      <c r="AAG131" s="27"/>
      <c r="AAL131" s="64"/>
      <c r="AAM131" s="27"/>
      <c r="AAR131" s="64"/>
      <c r="AAS131" s="27"/>
      <c r="AAX131" s="64"/>
      <c r="AAY131" s="27"/>
      <c r="ABD131" s="64"/>
      <c r="ABE131" s="27"/>
      <c r="ABJ131" s="64"/>
      <c r="ABK131" s="27"/>
      <c r="ABP131" s="64"/>
      <c r="ABQ131" s="27"/>
      <c r="ABV131" s="64"/>
      <c r="ABW131" s="27"/>
      <c r="ACB131" s="64"/>
      <c r="ACC131" s="27"/>
      <c r="ACH131" s="64"/>
      <c r="ACI131" s="27"/>
      <c r="ACN131" s="64"/>
      <c r="ACO131" s="27"/>
      <c r="ACT131" s="64"/>
      <c r="ACU131" s="27"/>
      <c r="ACZ131" s="64"/>
      <c r="ADA131" s="27"/>
      <c r="ADF131" s="64"/>
      <c r="ADG131" s="27"/>
      <c r="ADL131" s="64"/>
      <c r="ADM131" s="27"/>
      <c r="ADR131" s="64"/>
      <c r="ADS131" s="27"/>
      <c r="ADX131" s="64"/>
      <c r="ADY131" s="27"/>
      <c r="AED131" s="64"/>
      <c r="AEE131" s="27"/>
      <c r="AEJ131" s="64"/>
      <c r="AEK131" s="27"/>
      <c r="AEP131" s="64"/>
      <c r="AEQ131" s="27"/>
      <c r="AEV131" s="64"/>
      <c r="AEW131" s="27"/>
      <c r="AFB131" s="64"/>
      <c r="AFC131" s="27"/>
      <c r="AFH131" s="64"/>
      <c r="AFI131" s="27"/>
      <c r="AFN131" s="64"/>
      <c r="AFO131" s="27"/>
      <c r="AFT131" s="64"/>
      <c r="AFU131" s="27"/>
      <c r="AFZ131" s="64"/>
      <c r="AGA131" s="27"/>
      <c r="AGF131" s="64"/>
      <c r="AGG131" s="27"/>
      <c r="AGL131" s="64"/>
      <c r="AGM131" s="27"/>
      <c r="AGR131" s="64"/>
      <c r="AGS131" s="27"/>
      <c r="AGX131" s="64"/>
      <c r="AGY131" s="27"/>
      <c r="AHD131" s="64"/>
      <c r="AHE131" s="27"/>
      <c r="AHJ131" s="64"/>
      <c r="AHK131" s="27"/>
      <c r="AHP131" s="64"/>
      <c r="AHQ131" s="27"/>
      <c r="AHV131" s="64"/>
      <c r="AHW131" s="27"/>
      <c r="AIB131" s="64"/>
      <c r="AIC131" s="27"/>
      <c r="AIH131" s="64"/>
      <c r="AII131" s="27"/>
      <c r="AIN131" s="64"/>
      <c r="AIO131" s="27"/>
      <c r="AIT131" s="64"/>
      <c r="AIU131" s="27"/>
      <c r="AIZ131" s="64"/>
      <c r="AJA131" s="27"/>
      <c r="AJF131" s="64"/>
      <c r="AJG131" s="27"/>
      <c r="AJL131" s="64"/>
      <c r="AJM131" s="27"/>
      <c r="AJR131" s="64"/>
      <c r="AJS131" s="27"/>
      <c r="AJX131" s="64"/>
      <c r="AJY131" s="27"/>
      <c r="AKD131" s="64"/>
      <c r="AKE131" s="27"/>
      <c r="AKJ131" s="64"/>
      <c r="AKK131" s="27"/>
      <c r="AKP131" s="64"/>
      <c r="AKQ131" s="27"/>
      <c r="AKV131" s="64"/>
      <c r="AKW131" s="27"/>
      <c r="ALB131" s="64"/>
      <c r="ALC131" s="27"/>
      <c r="ALH131" s="64"/>
      <c r="ALI131" s="27"/>
      <c r="ALN131" s="64"/>
      <c r="ALO131" s="27"/>
      <c r="ALT131" s="64"/>
      <c r="ALU131" s="27"/>
      <c r="ALZ131" s="64"/>
      <c r="AMA131" s="27"/>
      <c r="AMF131" s="64"/>
      <c r="AMG131" s="27"/>
      <c r="AML131" s="64"/>
      <c r="AMM131" s="27"/>
      <c r="AMR131" s="64"/>
      <c r="AMS131" s="27"/>
      <c r="AMX131" s="64"/>
      <c r="AMY131" s="27"/>
      <c r="AND131" s="64"/>
      <c r="ANE131" s="27"/>
      <c r="ANJ131" s="64"/>
      <c r="ANK131" s="27"/>
      <c r="ANP131" s="64"/>
      <c r="ANQ131" s="27"/>
      <c r="ANV131" s="64"/>
      <c r="ANW131" s="27"/>
      <c r="AOB131" s="64"/>
      <c r="AOC131" s="27"/>
      <c r="AOH131" s="64"/>
      <c r="AOI131" s="27"/>
      <c r="AON131" s="64"/>
      <c r="AOO131" s="27"/>
      <c r="AOT131" s="64"/>
      <c r="AOU131" s="27"/>
      <c r="AOZ131" s="64"/>
      <c r="APA131" s="27"/>
      <c r="APF131" s="64"/>
      <c r="APG131" s="27"/>
      <c r="APL131" s="64"/>
      <c r="APM131" s="27"/>
      <c r="APR131" s="64"/>
      <c r="APS131" s="27"/>
      <c r="APX131" s="64"/>
      <c r="APY131" s="27"/>
      <c r="AQD131" s="64"/>
      <c r="AQE131" s="27"/>
      <c r="AQJ131" s="64"/>
      <c r="AQK131" s="27"/>
      <c r="AQP131" s="64"/>
      <c r="AQQ131" s="27"/>
      <c r="AQV131" s="64"/>
      <c r="AQW131" s="27"/>
      <c r="ARB131" s="64"/>
      <c r="ARC131" s="27"/>
      <c r="ARH131" s="64"/>
      <c r="ARI131" s="27"/>
      <c r="ARN131" s="64"/>
      <c r="ARO131" s="27"/>
      <c r="ART131" s="64"/>
      <c r="ARU131" s="27"/>
      <c r="ARZ131" s="64"/>
      <c r="ASA131" s="27"/>
      <c r="ASF131" s="64"/>
      <c r="ASG131" s="27"/>
      <c r="ASL131" s="64"/>
      <c r="ASM131" s="27"/>
      <c r="ASR131" s="64"/>
      <c r="ASS131" s="27"/>
      <c r="ASX131" s="64"/>
      <c r="ASY131" s="27"/>
      <c r="ATD131" s="64"/>
      <c r="ATE131" s="27"/>
      <c r="ATJ131" s="64"/>
      <c r="ATK131" s="27"/>
      <c r="ATP131" s="64"/>
      <c r="ATQ131" s="27"/>
      <c r="ATV131" s="64"/>
      <c r="ATW131" s="27"/>
      <c r="AUB131" s="64"/>
      <c r="AUC131" s="27"/>
      <c r="AUH131" s="64"/>
      <c r="AUI131" s="27"/>
      <c r="AUN131" s="64"/>
      <c r="AUO131" s="27"/>
      <c r="AUT131" s="64"/>
      <c r="AUU131" s="27"/>
      <c r="AUZ131" s="64"/>
      <c r="AVA131" s="27"/>
      <c r="AVF131" s="64"/>
      <c r="AVG131" s="27"/>
      <c r="AVL131" s="64"/>
      <c r="AVM131" s="27"/>
      <c r="AVR131" s="64"/>
      <c r="AVS131" s="27"/>
      <c r="AVX131" s="64"/>
      <c r="AVY131" s="27"/>
      <c r="AWD131" s="64"/>
      <c r="AWE131" s="27"/>
      <c r="AWJ131" s="64"/>
      <c r="AWK131" s="27"/>
      <c r="AWP131" s="64"/>
      <c r="AWQ131" s="27"/>
      <c r="AWV131" s="64"/>
      <c r="AWW131" s="27"/>
      <c r="AXB131" s="64"/>
      <c r="AXC131" s="27"/>
      <c r="AXH131" s="64"/>
      <c r="AXI131" s="27"/>
      <c r="AXN131" s="64"/>
      <c r="AXO131" s="27"/>
      <c r="AXT131" s="64"/>
      <c r="AXU131" s="27"/>
      <c r="AXZ131" s="64"/>
      <c r="AYA131" s="27"/>
      <c r="AYF131" s="64"/>
      <c r="AYG131" s="27"/>
      <c r="AYL131" s="64"/>
      <c r="AYM131" s="27"/>
      <c r="AYR131" s="64"/>
      <c r="AYS131" s="27"/>
      <c r="AYX131" s="64"/>
      <c r="AYY131" s="27"/>
      <c r="AZD131" s="64"/>
      <c r="AZE131" s="27"/>
      <c r="AZJ131" s="64"/>
      <c r="AZK131" s="27"/>
      <c r="AZP131" s="64"/>
      <c r="AZQ131" s="27"/>
      <c r="AZV131" s="64"/>
      <c r="AZW131" s="27"/>
      <c r="BAB131" s="64"/>
      <c r="BAC131" s="27"/>
      <c r="BAH131" s="64"/>
      <c r="BAI131" s="27"/>
      <c r="BAN131" s="64"/>
      <c r="BAO131" s="27"/>
      <c r="BAT131" s="64"/>
      <c r="BAU131" s="27"/>
      <c r="BAZ131" s="64"/>
      <c r="BBA131" s="27"/>
      <c r="BBF131" s="64"/>
      <c r="BBG131" s="27"/>
      <c r="BBL131" s="64"/>
      <c r="BBM131" s="27"/>
      <c r="BBR131" s="64"/>
      <c r="BBS131" s="27"/>
      <c r="BBX131" s="64"/>
      <c r="BBY131" s="27"/>
      <c r="BCD131" s="64"/>
      <c r="BCE131" s="27"/>
      <c r="BCJ131" s="64"/>
      <c r="BCK131" s="27"/>
      <c r="BCP131" s="64"/>
      <c r="BCQ131" s="27"/>
      <c r="BCV131" s="64"/>
      <c r="BCW131" s="27"/>
      <c r="BDB131" s="64"/>
      <c r="BDC131" s="27"/>
      <c r="BDH131" s="64"/>
      <c r="BDI131" s="27"/>
      <c r="BDN131" s="64"/>
      <c r="BDO131" s="27"/>
      <c r="BDT131" s="64"/>
      <c r="BDU131" s="27"/>
      <c r="BDZ131" s="64"/>
      <c r="BEA131" s="27"/>
      <c r="BEF131" s="64"/>
      <c r="BEG131" s="27"/>
      <c r="BEL131" s="64"/>
      <c r="BEM131" s="27"/>
      <c r="BER131" s="64"/>
      <c r="BES131" s="27"/>
      <c r="BEX131" s="64"/>
      <c r="BEY131" s="27"/>
      <c r="BFD131" s="64"/>
      <c r="BFE131" s="27"/>
      <c r="BFJ131" s="64"/>
      <c r="BFK131" s="27"/>
      <c r="BFP131" s="64"/>
      <c r="BFQ131" s="27"/>
      <c r="BFV131" s="64"/>
      <c r="BFW131" s="27"/>
      <c r="BGB131" s="64"/>
      <c r="BGC131" s="27"/>
      <c r="BGH131" s="64"/>
      <c r="BGI131" s="27"/>
      <c r="BGN131" s="64"/>
      <c r="BGO131" s="27"/>
      <c r="BGT131" s="64"/>
      <c r="BGU131" s="27"/>
      <c r="BGZ131" s="64"/>
      <c r="BHA131" s="27"/>
      <c r="BHF131" s="64"/>
      <c r="BHG131" s="27"/>
      <c r="BHL131" s="64"/>
      <c r="BHM131" s="27"/>
      <c r="BHR131" s="64"/>
      <c r="BHS131" s="27"/>
      <c r="BHX131" s="64"/>
      <c r="BHY131" s="27"/>
      <c r="BID131" s="64"/>
      <c r="BIE131" s="27"/>
      <c r="BIJ131" s="64"/>
      <c r="BIK131" s="27"/>
      <c r="BIP131" s="64"/>
      <c r="BIQ131" s="27"/>
      <c r="BIV131" s="64"/>
      <c r="BIW131" s="27"/>
      <c r="BJB131" s="64"/>
      <c r="BJC131" s="27"/>
      <c r="BJH131" s="64"/>
      <c r="BJI131" s="27"/>
      <c r="BJN131" s="64"/>
      <c r="BJO131" s="27"/>
      <c r="BJT131" s="64"/>
      <c r="BJU131" s="27"/>
      <c r="BJZ131" s="64"/>
      <c r="BKA131" s="27"/>
      <c r="BKF131" s="64"/>
      <c r="BKG131" s="27"/>
      <c r="BKL131" s="64"/>
      <c r="BKM131" s="27"/>
      <c r="BKR131" s="64"/>
      <c r="BKS131" s="27"/>
      <c r="BKX131" s="64"/>
      <c r="BKY131" s="27"/>
      <c r="BLD131" s="64"/>
      <c r="BLE131" s="27"/>
      <c r="BLJ131" s="64"/>
      <c r="BLK131" s="27"/>
      <c r="BLP131" s="64"/>
      <c r="BLQ131" s="27"/>
      <c r="BLV131" s="64"/>
      <c r="BLW131" s="27"/>
      <c r="BMB131" s="64"/>
      <c r="BMC131" s="27"/>
      <c r="BMH131" s="64"/>
      <c r="BMI131" s="27"/>
      <c r="BMN131" s="64"/>
      <c r="BMO131" s="27"/>
      <c r="BMT131" s="64"/>
      <c r="BMU131" s="27"/>
      <c r="BMZ131" s="64"/>
      <c r="BNA131" s="27"/>
      <c r="BNF131" s="64"/>
      <c r="BNG131" s="27"/>
      <c r="BNL131" s="64"/>
      <c r="BNM131" s="27"/>
      <c r="BNR131" s="64"/>
      <c r="BNS131" s="27"/>
      <c r="BNX131" s="64"/>
      <c r="BNY131" s="27"/>
      <c r="BOD131" s="64"/>
      <c r="BOE131" s="27"/>
      <c r="BOJ131" s="64"/>
      <c r="BOK131" s="27"/>
      <c r="BOP131" s="64"/>
      <c r="BOQ131" s="27"/>
      <c r="BOV131" s="64"/>
      <c r="BOW131" s="27"/>
      <c r="BPB131" s="64"/>
      <c r="BPC131" s="27"/>
      <c r="BPH131" s="64"/>
      <c r="BPI131" s="27"/>
      <c r="BPN131" s="64"/>
      <c r="BPO131" s="27"/>
      <c r="BPT131" s="64"/>
      <c r="BPU131" s="27"/>
      <c r="BPZ131" s="64"/>
      <c r="BQA131" s="27"/>
      <c r="BQF131" s="64"/>
      <c r="BQG131" s="27"/>
      <c r="BQL131" s="64"/>
      <c r="BQM131" s="27"/>
      <c r="BQR131" s="64"/>
      <c r="BQS131" s="27"/>
      <c r="BQX131" s="64"/>
      <c r="BQY131" s="27"/>
      <c r="BRD131" s="64"/>
      <c r="BRE131" s="27"/>
      <c r="BRJ131" s="64"/>
      <c r="BRK131" s="27"/>
      <c r="BRP131" s="64"/>
      <c r="BRQ131" s="27"/>
      <c r="BRV131" s="64"/>
      <c r="BRW131" s="27"/>
      <c r="BSB131" s="64"/>
      <c r="BSC131" s="27"/>
      <c r="BSH131" s="64"/>
      <c r="BSI131" s="27"/>
      <c r="BSN131" s="64"/>
      <c r="BSO131" s="27"/>
      <c r="BST131" s="64"/>
      <c r="BSU131" s="27"/>
      <c r="BSZ131" s="64"/>
      <c r="BTA131" s="27"/>
      <c r="BTF131" s="64"/>
      <c r="BTG131" s="27"/>
      <c r="BTL131" s="64"/>
      <c r="BTM131" s="27"/>
      <c r="BTR131" s="64"/>
      <c r="BTS131" s="27"/>
      <c r="BTX131" s="64"/>
      <c r="BTY131" s="27"/>
      <c r="BUD131" s="64"/>
      <c r="BUE131" s="27"/>
      <c r="BUJ131" s="64"/>
      <c r="BUK131" s="27"/>
      <c r="BUP131" s="64"/>
      <c r="BUQ131" s="27"/>
      <c r="BUV131" s="64"/>
      <c r="BUW131" s="27"/>
      <c r="BVB131" s="64"/>
      <c r="BVC131" s="27"/>
      <c r="BVH131" s="64"/>
      <c r="BVI131" s="27"/>
      <c r="BVN131" s="64"/>
      <c r="BVO131" s="27"/>
      <c r="BVT131" s="64"/>
      <c r="BVU131" s="27"/>
      <c r="BVZ131" s="64"/>
      <c r="BWA131" s="27"/>
      <c r="BWF131" s="64"/>
      <c r="BWG131" s="27"/>
      <c r="BWL131" s="64"/>
      <c r="BWM131" s="27"/>
      <c r="BWR131" s="64"/>
      <c r="BWS131" s="27"/>
      <c r="BWX131" s="64"/>
      <c r="BWY131" s="27"/>
      <c r="BXD131" s="64"/>
      <c r="BXE131" s="27"/>
      <c r="BXJ131" s="64"/>
      <c r="BXK131" s="27"/>
      <c r="BXP131" s="64"/>
      <c r="BXQ131" s="27"/>
      <c r="BXV131" s="64"/>
      <c r="BXW131" s="27"/>
      <c r="BYB131" s="64"/>
      <c r="BYC131" s="27"/>
      <c r="BYH131" s="64"/>
      <c r="BYI131" s="27"/>
      <c r="BYN131" s="64"/>
      <c r="BYO131" s="27"/>
      <c r="BYT131" s="64"/>
      <c r="BYU131" s="27"/>
      <c r="BYZ131" s="64"/>
      <c r="BZA131" s="27"/>
      <c r="BZF131" s="64"/>
      <c r="BZG131" s="27"/>
      <c r="BZL131" s="64"/>
      <c r="BZM131" s="27"/>
      <c r="BZR131" s="64"/>
      <c r="BZS131" s="27"/>
      <c r="BZX131" s="64"/>
      <c r="BZY131" s="27"/>
      <c r="CAD131" s="64"/>
      <c r="CAE131" s="27"/>
      <c r="CAJ131" s="64"/>
      <c r="CAK131" s="27"/>
      <c r="CAP131" s="64"/>
      <c r="CAQ131" s="27"/>
      <c r="CAV131" s="64"/>
      <c r="CAW131" s="27"/>
      <c r="CBB131" s="64"/>
      <c r="CBC131" s="27"/>
      <c r="CBH131" s="64"/>
      <c r="CBI131" s="27"/>
      <c r="CBN131" s="64"/>
      <c r="CBO131" s="27"/>
      <c r="CBT131" s="64"/>
      <c r="CBU131" s="27"/>
      <c r="CBZ131" s="64"/>
      <c r="CCA131" s="27"/>
      <c r="CCF131" s="64"/>
      <c r="CCG131" s="27"/>
      <c r="CCL131" s="64"/>
      <c r="CCM131" s="27"/>
      <c r="CCR131" s="64"/>
      <c r="CCS131" s="27"/>
      <c r="CCX131" s="64"/>
      <c r="CCY131" s="27"/>
      <c r="CDD131" s="64"/>
      <c r="CDE131" s="27"/>
      <c r="CDJ131" s="64"/>
      <c r="CDK131" s="27"/>
      <c r="CDP131" s="64"/>
      <c r="CDQ131" s="27"/>
      <c r="CDV131" s="64"/>
      <c r="CDW131" s="27"/>
      <c r="CEB131" s="64"/>
      <c r="CEC131" s="27"/>
      <c r="CEH131" s="64"/>
      <c r="CEI131" s="27"/>
      <c r="CEN131" s="64"/>
      <c r="CEO131" s="27"/>
      <c r="CET131" s="64"/>
      <c r="CEU131" s="27"/>
      <c r="CEZ131" s="64"/>
      <c r="CFA131" s="27"/>
      <c r="CFF131" s="64"/>
      <c r="CFG131" s="27"/>
      <c r="CFL131" s="64"/>
      <c r="CFM131" s="27"/>
      <c r="CFR131" s="64"/>
      <c r="CFS131" s="27"/>
      <c r="CFX131" s="64"/>
      <c r="CFY131" s="27"/>
      <c r="CGD131" s="64"/>
      <c r="CGE131" s="27"/>
      <c r="CGJ131" s="64"/>
      <c r="CGK131" s="27"/>
      <c r="CGP131" s="64"/>
      <c r="CGQ131" s="27"/>
      <c r="CGV131" s="64"/>
      <c r="CGW131" s="27"/>
      <c r="CHB131" s="64"/>
      <c r="CHC131" s="27"/>
      <c r="CHH131" s="64"/>
      <c r="CHI131" s="27"/>
      <c r="CHN131" s="64"/>
      <c r="CHO131" s="27"/>
      <c r="CHT131" s="64"/>
      <c r="CHU131" s="27"/>
      <c r="CHZ131" s="64"/>
      <c r="CIA131" s="27"/>
      <c r="CIF131" s="64"/>
      <c r="CIG131" s="27"/>
      <c r="CIL131" s="64"/>
      <c r="CIM131" s="27"/>
      <c r="CIR131" s="64"/>
      <c r="CIS131" s="27"/>
      <c r="CIX131" s="64"/>
      <c r="CIY131" s="27"/>
      <c r="CJD131" s="64"/>
      <c r="CJE131" s="27"/>
      <c r="CJJ131" s="64"/>
      <c r="CJK131" s="27"/>
      <c r="CJP131" s="64"/>
      <c r="CJQ131" s="27"/>
      <c r="CJV131" s="64"/>
      <c r="CJW131" s="27"/>
      <c r="CKB131" s="64"/>
      <c r="CKC131" s="27"/>
      <c r="CKH131" s="64"/>
      <c r="CKI131" s="27"/>
      <c r="CKN131" s="64"/>
      <c r="CKO131" s="27"/>
      <c r="CKT131" s="64"/>
      <c r="CKU131" s="27"/>
      <c r="CKZ131" s="64"/>
      <c r="CLA131" s="27"/>
      <c r="CLF131" s="64"/>
      <c r="CLG131" s="27"/>
      <c r="CLL131" s="64"/>
      <c r="CLM131" s="27"/>
      <c r="CLR131" s="64"/>
      <c r="CLS131" s="27"/>
      <c r="CLX131" s="64"/>
      <c r="CLY131" s="27"/>
      <c r="CMD131" s="64"/>
      <c r="CME131" s="27"/>
      <c r="CMJ131" s="64"/>
      <c r="CMK131" s="27"/>
      <c r="CMP131" s="64"/>
      <c r="CMQ131" s="27"/>
      <c r="CMV131" s="64"/>
      <c r="CMW131" s="27"/>
      <c r="CNB131" s="64"/>
      <c r="CNC131" s="27"/>
      <c r="CNH131" s="64"/>
      <c r="CNI131" s="27"/>
      <c r="CNN131" s="64"/>
      <c r="CNO131" s="27"/>
      <c r="CNT131" s="64"/>
      <c r="CNU131" s="27"/>
      <c r="CNZ131" s="64"/>
      <c r="COA131" s="27"/>
      <c r="COF131" s="64"/>
      <c r="COG131" s="27"/>
      <c r="COL131" s="64"/>
      <c r="COM131" s="27"/>
      <c r="COR131" s="64"/>
      <c r="COS131" s="27"/>
      <c r="COX131" s="64"/>
      <c r="COY131" s="27"/>
      <c r="CPD131" s="64"/>
      <c r="CPE131" s="27"/>
      <c r="CPJ131" s="64"/>
      <c r="CPK131" s="27"/>
      <c r="CPP131" s="64"/>
      <c r="CPQ131" s="27"/>
      <c r="CPV131" s="64"/>
      <c r="CPW131" s="27"/>
      <c r="CQB131" s="64"/>
      <c r="CQC131" s="27"/>
      <c r="CQH131" s="64"/>
      <c r="CQI131" s="27"/>
      <c r="CQN131" s="64"/>
      <c r="CQO131" s="27"/>
      <c r="CQT131" s="64"/>
      <c r="CQU131" s="27"/>
      <c r="CQZ131" s="64"/>
      <c r="CRA131" s="27"/>
      <c r="CRF131" s="64"/>
      <c r="CRG131" s="27"/>
      <c r="CRL131" s="64"/>
      <c r="CRM131" s="27"/>
      <c r="CRR131" s="64"/>
      <c r="CRS131" s="27"/>
      <c r="CRX131" s="64"/>
      <c r="CRY131" s="27"/>
      <c r="CSD131" s="64"/>
      <c r="CSE131" s="27"/>
      <c r="CSJ131" s="64"/>
      <c r="CSK131" s="27"/>
      <c r="CSP131" s="64"/>
      <c r="CSQ131" s="27"/>
      <c r="CSV131" s="64"/>
      <c r="CSW131" s="27"/>
      <c r="CTB131" s="64"/>
      <c r="CTC131" s="27"/>
      <c r="CTH131" s="64"/>
      <c r="CTI131" s="27"/>
      <c r="CTN131" s="64"/>
      <c r="CTO131" s="27"/>
      <c r="CTT131" s="64"/>
      <c r="CTU131" s="27"/>
      <c r="CTZ131" s="64"/>
      <c r="CUA131" s="27"/>
      <c r="CUF131" s="64"/>
      <c r="CUG131" s="27"/>
      <c r="CUL131" s="64"/>
      <c r="CUM131" s="27"/>
      <c r="CUR131" s="64"/>
      <c r="CUS131" s="27"/>
      <c r="CUX131" s="64"/>
      <c r="CUY131" s="27"/>
      <c r="CVD131" s="64"/>
      <c r="CVE131" s="27"/>
      <c r="CVJ131" s="64"/>
      <c r="CVK131" s="27"/>
      <c r="CVP131" s="64"/>
      <c r="CVQ131" s="27"/>
      <c r="CVV131" s="64"/>
      <c r="CVW131" s="27"/>
      <c r="CWB131" s="64"/>
      <c r="CWC131" s="27"/>
      <c r="CWH131" s="64"/>
      <c r="CWI131" s="27"/>
      <c r="CWN131" s="64"/>
      <c r="CWO131" s="27"/>
      <c r="CWT131" s="64"/>
      <c r="CWU131" s="27"/>
      <c r="CWZ131" s="64"/>
      <c r="CXA131" s="27"/>
      <c r="CXF131" s="64"/>
      <c r="CXG131" s="27"/>
      <c r="CXL131" s="64"/>
      <c r="CXM131" s="27"/>
      <c r="CXR131" s="64"/>
      <c r="CXS131" s="27"/>
      <c r="CXX131" s="64"/>
      <c r="CXY131" s="27"/>
      <c r="CYD131" s="64"/>
      <c r="CYE131" s="27"/>
      <c r="CYJ131" s="64"/>
      <c r="CYK131" s="27"/>
      <c r="CYP131" s="64"/>
      <c r="CYQ131" s="27"/>
      <c r="CYV131" s="64"/>
      <c r="CYW131" s="27"/>
      <c r="CZB131" s="64"/>
      <c r="CZC131" s="27"/>
      <c r="CZH131" s="64"/>
      <c r="CZI131" s="27"/>
      <c r="CZN131" s="64"/>
      <c r="CZO131" s="27"/>
      <c r="CZT131" s="64"/>
      <c r="CZU131" s="27"/>
      <c r="CZZ131" s="64"/>
      <c r="DAA131" s="27"/>
      <c r="DAF131" s="64"/>
      <c r="DAG131" s="27"/>
      <c r="DAL131" s="64"/>
      <c r="DAM131" s="27"/>
      <c r="DAR131" s="64"/>
      <c r="DAS131" s="27"/>
      <c r="DAX131" s="64"/>
      <c r="DAY131" s="27"/>
      <c r="DBD131" s="64"/>
      <c r="DBE131" s="27"/>
      <c r="DBJ131" s="64"/>
      <c r="DBK131" s="27"/>
      <c r="DBP131" s="64"/>
      <c r="DBQ131" s="27"/>
      <c r="DBV131" s="64"/>
      <c r="DBW131" s="27"/>
      <c r="DCB131" s="64"/>
      <c r="DCC131" s="27"/>
      <c r="DCH131" s="64"/>
      <c r="DCI131" s="27"/>
      <c r="DCN131" s="64"/>
      <c r="DCO131" s="27"/>
      <c r="DCT131" s="64"/>
      <c r="DCU131" s="27"/>
      <c r="DCZ131" s="64"/>
      <c r="DDA131" s="27"/>
      <c r="DDF131" s="64"/>
      <c r="DDG131" s="27"/>
      <c r="DDL131" s="64"/>
      <c r="DDM131" s="27"/>
      <c r="DDR131" s="64"/>
      <c r="DDS131" s="27"/>
      <c r="DDX131" s="64"/>
      <c r="DDY131" s="27"/>
      <c r="DED131" s="64"/>
      <c r="DEE131" s="27"/>
      <c r="DEJ131" s="64"/>
      <c r="DEK131" s="27"/>
      <c r="DEP131" s="64"/>
      <c r="DEQ131" s="27"/>
      <c r="DEV131" s="64"/>
      <c r="DEW131" s="27"/>
      <c r="DFB131" s="64"/>
      <c r="DFC131" s="27"/>
      <c r="DFH131" s="64"/>
      <c r="DFI131" s="27"/>
      <c r="DFN131" s="64"/>
      <c r="DFO131" s="27"/>
      <c r="DFT131" s="64"/>
      <c r="DFU131" s="27"/>
      <c r="DFZ131" s="64"/>
      <c r="DGA131" s="27"/>
      <c r="DGF131" s="64"/>
      <c r="DGG131" s="27"/>
      <c r="DGL131" s="64"/>
      <c r="DGM131" s="27"/>
      <c r="DGR131" s="64"/>
      <c r="DGS131" s="27"/>
      <c r="DGX131" s="64"/>
      <c r="DGY131" s="27"/>
      <c r="DHD131" s="64"/>
      <c r="DHE131" s="27"/>
      <c r="DHJ131" s="64"/>
      <c r="DHK131" s="27"/>
      <c r="DHP131" s="64"/>
      <c r="DHQ131" s="27"/>
      <c r="DHV131" s="64"/>
      <c r="DHW131" s="27"/>
      <c r="DIB131" s="64"/>
      <c r="DIC131" s="27"/>
      <c r="DIH131" s="64"/>
      <c r="DII131" s="27"/>
      <c r="DIN131" s="64"/>
      <c r="DIO131" s="27"/>
      <c r="DIT131" s="64"/>
      <c r="DIU131" s="27"/>
      <c r="DIZ131" s="64"/>
      <c r="DJA131" s="27"/>
      <c r="DJF131" s="64"/>
      <c r="DJG131" s="27"/>
      <c r="DJL131" s="64"/>
      <c r="DJM131" s="27"/>
      <c r="DJR131" s="64"/>
      <c r="DJS131" s="27"/>
      <c r="DJX131" s="64"/>
      <c r="DJY131" s="27"/>
      <c r="DKD131" s="64"/>
      <c r="DKE131" s="27"/>
      <c r="DKJ131" s="64"/>
      <c r="DKK131" s="27"/>
      <c r="DKP131" s="64"/>
      <c r="DKQ131" s="27"/>
      <c r="DKV131" s="64"/>
      <c r="DKW131" s="27"/>
      <c r="DLB131" s="64"/>
      <c r="DLC131" s="27"/>
      <c r="DLH131" s="64"/>
      <c r="DLI131" s="27"/>
      <c r="DLN131" s="64"/>
      <c r="DLO131" s="27"/>
      <c r="DLT131" s="64"/>
      <c r="DLU131" s="27"/>
      <c r="DLZ131" s="64"/>
      <c r="DMA131" s="27"/>
      <c r="DMF131" s="64"/>
      <c r="DMG131" s="27"/>
      <c r="DML131" s="64"/>
      <c r="DMM131" s="27"/>
      <c r="DMR131" s="64"/>
      <c r="DMS131" s="27"/>
      <c r="DMX131" s="64"/>
      <c r="DMY131" s="27"/>
      <c r="DND131" s="64"/>
      <c r="DNE131" s="27"/>
      <c r="DNJ131" s="64"/>
      <c r="DNK131" s="27"/>
      <c r="DNP131" s="64"/>
      <c r="DNQ131" s="27"/>
      <c r="DNV131" s="64"/>
      <c r="DNW131" s="27"/>
      <c r="DOB131" s="64"/>
      <c r="DOC131" s="27"/>
      <c r="DOH131" s="64"/>
      <c r="DOI131" s="27"/>
      <c r="DON131" s="64"/>
      <c r="DOO131" s="27"/>
      <c r="DOT131" s="64"/>
      <c r="DOU131" s="27"/>
      <c r="DOZ131" s="64"/>
      <c r="DPA131" s="27"/>
      <c r="DPF131" s="64"/>
      <c r="DPG131" s="27"/>
      <c r="DPL131" s="64"/>
      <c r="DPM131" s="27"/>
      <c r="DPR131" s="64"/>
      <c r="DPS131" s="27"/>
      <c r="DPX131" s="64"/>
      <c r="DPY131" s="27"/>
      <c r="DQD131" s="64"/>
      <c r="DQE131" s="27"/>
      <c r="DQJ131" s="64"/>
      <c r="DQK131" s="27"/>
      <c r="DQP131" s="64"/>
      <c r="DQQ131" s="27"/>
      <c r="DQV131" s="64"/>
      <c r="DQW131" s="27"/>
      <c r="DRB131" s="64"/>
      <c r="DRC131" s="27"/>
      <c r="DRH131" s="64"/>
      <c r="DRI131" s="27"/>
      <c r="DRN131" s="64"/>
      <c r="DRO131" s="27"/>
      <c r="DRT131" s="64"/>
      <c r="DRU131" s="27"/>
      <c r="DRZ131" s="64"/>
      <c r="DSA131" s="27"/>
      <c r="DSF131" s="64"/>
      <c r="DSG131" s="27"/>
      <c r="DSL131" s="64"/>
      <c r="DSM131" s="27"/>
      <c r="DSR131" s="64"/>
      <c r="DSS131" s="27"/>
      <c r="DSX131" s="64"/>
      <c r="DSY131" s="27"/>
      <c r="DTD131" s="64"/>
      <c r="DTE131" s="27"/>
      <c r="DTJ131" s="64"/>
      <c r="DTK131" s="27"/>
      <c r="DTP131" s="64"/>
      <c r="DTQ131" s="27"/>
      <c r="DTV131" s="64"/>
      <c r="DTW131" s="27"/>
      <c r="DUB131" s="64"/>
      <c r="DUC131" s="27"/>
      <c r="DUH131" s="64"/>
      <c r="DUI131" s="27"/>
      <c r="DUN131" s="64"/>
      <c r="DUO131" s="27"/>
      <c r="DUT131" s="64"/>
      <c r="DUU131" s="27"/>
      <c r="DUZ131" s="64"/>
      <c r="DVA131" s="27"/>
      <c r="DVF131" s="64"/>
      <c r="DVG131" s="27"/>
      <c r="DVL131" s="64"/>
      <c r="DVM131" s="27"/>
      <c r="DVR131" s="64"/>
      <c r="DVS131" s="27"/>
      <c r="DVX131" s="64"/>
      <c r="DVY131" s="27"/>
      <c r="DWD131" s="64"/>
      <c r="DWE131" s="27"/>
      <c r="DWJ131" s="64"/>
      <c r="DWK131" s="27"/>
      <c r="DWP131" s="64"/>
      <c r="DWQ131" s="27"/>
      <c r="DWV131" s="64"/>
      <c r="DWW131" s="27"/>
      <c r="DXB131" s="64"/>
      <c r="DXC131" s="27"/>
      <c r="DXH131" s="64"/>
      <c r="DXI131" s="27"/>
      <c r="DXN131" s="64"/>
      <c r="DXO131" s="27"/>
      <c r="DXT131" s="64"/>
      <c r="DXU131" s="27"/>
      <c r="DXZ131" s="64"/>
      <c r="DYA131" s="27"/>
      <c r="DYF131" s="64"/>
      <c r="DYG131" s="27"/>
      <c r="DYL131" s="64"/>
      <c r="DYM131" s="27"/>
      <c r="DYR131" s="64"/>
      <c r="DYS131" s="27"/>
      <c r="DYX131" s="64"/>
      <c r="DYY131" s="27"/>
      <c r="DZD131" s="64"/>
      <c r="DZE131" s="27"/>
      <c r="DZJ131" s="64"/>
      <c r="DZK131" s="27"/>
      <c r="DZP131" s="64"/>
      <c r="DZQ131" s="27"/>
      <c r="DZV131" s="64"/>
      <c r="DZW131" s="27"/>
      <c r="EAB131" s="64"/>
      <c r="EAC131" s="27"/>
      <c r="EAH131" s="64"/>
      <c r="EAI131" s="27"/>
      <c r="EAN131" s="64"/>
      <c r="EAO131" s="27"/>
      <c r="EAT131" s="64"/>
      <c r="EAU131" s="27"/>
      <c r="EAZ131" s="64"/>
      <c r="EBA131" s="27"/>
      <c r="EBF131" s="64"/>
      <c r="EBG131" s="27"/>
      <c r="EBL131" s="64"/>
      <c r="EBM131" s="27"/>
      <c r="EBR131" s="64"/>
      <c r="EBS131" s="27"/>
      <c r="EBX131" s="64"/>
      <c r="EBY131" s="27"/>
      <c r="ECD131" s="64"/>
      <c r="ECE131" s="27"/>
      <c r="ECJ131" s="64"/>
      <c r="ECK131" s="27"/>
      <c r="ECP131" s="64"/>
      <c r="ECQ131" s="27"/>
      <c r="ECV131" s="64"/>
      <c r="ECW131" s="27"/>
      <c r="EDB131" s="64"/>
      <c r="EDC131" s="27"/>
      <c r="EDH131" s="64"/>
      <c r="EDI131" s="27"/>
      <c r="EDN131" s="64"/>
      <c r="EDO131" s="27"/>
      <c r="EDT131" s="64"/>
      <c r="EDU131" s="27"/>
      <c r="EDZ131" s="64"/>
      <c r="EEA131" s="27"/>
      <c r="EEF131" s="64"/>
      <c r="EEG131" s="27"/>
      <c r="EEL131" s="64"/>
      <c r="EEM131" s="27"/>
      <c r="EER131" s="64"/>
      <c r="EES131" s="27"/>
      <c r="EEX131" s="64"/>
      <c r="EEY131" s="27"/>
      <c r="EFD131" s="64"/>
      <c r="EFE131" s="27"/>
      <c r="EFJ131" s="64"/>
      <c r="EFK131" s="27"/>
      <c r="EFP131" s="64"/>
      <c r="EFQ131" s="27"/>
      <c r="EFV131" s="64"/>
      <c r="EFW131" s="27"/>
      <c r="EGB131" s="64"/>
      <c r="EGC131" s="27"/>
      <c r="EGH131" s="64"/>
      <c r="EGI131" s="27"/>
      <c r="EGN131" s="64"/>
      <c r="EGO131" s="27"/>
      <c r="EGT131" s="64"/>
      <c r="EGU131" s="27"/>
      <c r="EGZ131" s="64"/>
      <c r="EHA131" s="27"/>
      <c r="EHF131" s="64"/>
      <c r="EHG131" s="27"/>
      <c r="EHL131" s="64"/>
      <c r="EHM131" s="27"/>
      <c r="EHR131" s="64"/>
      <c r="EHS131" s="27"/>
      <c r="EHX131" s="64"/>
      <c r="EHY131" s="27"/>
      <c r="EID131" s="64"/>
      <c r="EIE131" s="27"/>
      <c r="EIJ131" s="64"/>
      <c r="EIK131" s="27"/>
      <c r="EIP131" s="64"/>
      <c r="EIQ131" s="27"/>
      <c r="EIV131" s="64"/>
      <c r="EIW131" s="27"/>
      <c r="EJB131" s="64"/>
      <c r="EJC131" s="27"/>
      <c r="EJH131" s="64"/>
      <c r="EJI131" s="27"/>
      <c r="EJN131" s="64"/>
      <c r="EJO131" s="27"/>
      <c r="EJT131" s="64"/>
      <c r="EJU131" s="27"/>
      <c r="EJZ131" s="64"/>
      <c r="EKA131" s="27"/>
      <c r="EKF131" s="64"/>
      <c r="EKG131" s="27"/>
      <c r="EKL131" s="64"/>
      <c r="EKM131" s="27"/>
      <c r="EKR131" s="64"/>
      <c r="EKS131" s="27"/>
      <c r="EKX131" s="64"/>
      <c r="EKY131" s="27"/>
      <c r="ELD131" s="64"/>
      <c r="ELE131" s="27"/>
      <c r="ELJ131" s="64"/>
      <c r="ELK131" s="27"/>
      <c r="ELP131" s="64"/>
      <c r="ELQ131" s="27"/>
      <c r="ELV131" s="64"/>
      <c r="ELW131" s="27"/>
      <c r="EMB131" s="64"/>
      <c r="EMC131" s="27"/>
      <c r="EMH131" s="64"/>
      <c r="EMI131" s="27"/>
      <c r="EMN131" s="64"/>
      <c r="EMO131" s="27"/>
      <c r="EMT131" s="64"/>
      <c r="EMU131" s="27"/>
      <c r="EMZ131" s="64"/>
      <c r="ENA131" s="27"/>
      <c r="ENF131" s="64"/>
      <c r="ENG131" s="27"/>
      <c r="ENL131" s="64"/>
      <c r="ENM131" s="27"/>
      <c r="ENR131" s="64"/>
      <c r="ENS131" s="27"/>
      <c r="ENX131" s="64"/>
      <c r="ENY131" s="27"/>
      <c r="EOD131" s="64"/>
      <c r="EOE131" s="27"/>
      <c r="EOJ131" s="64"/>
      <c r="EOK131" s="27"/>
      <c r="EOP131" s="64"/>
      <c r="EOQ131" s="27"/>
      <c r="EOV131" s="64"/>
      <c r="EOW131" s="27"/>
      <c r="EPB131" s="64"/>
      <c r="EPC131" s="27"/>
      <c r="EPH131" s="64"/>
      <c r="EPI131" s="27"/>
      <c r="EPN131" s="64"/>
      <c r="EPO131" s="27"/>
      <c r="EPT131" s="64"/>
      <c r="EPU131" s="27"/>
      <c r="EPZ131" s="64"/>
      <c r="EQA131" s="27"/>
      <c r="EQF131" s="64"/>
      <c r="EQG131" s="27"/>
      <c r="EQL131" s="64"/>
      <c r="EQM131" s="27"/>
      <c r="EQR131" s="64"/>
      <c r="EQS131" s="27"/>
      <c r="EQX131" s="64"/>
      <c r="EQY131" s="27"/>
      <c r="ERD131" s="64"/>
      <c r="ERE131" s="27"/>
      <c r="ERJ131" s="64"/>
      <c r="ERK131" s="27"/>
      <c r="ERP131" s="64"/>
      <c r="ERQ131" s="27"/>
      <c r="ERV131" s="64"/>
      <c r="ERW131" s="27"/>
      <c r="ESB131" s="64"/>
      <c r="ESC131" s="27"/>
      <c r="ESH131" s="64"/>
      <c r="ESI131" s="27"/>
      <c r="ESN131" s="64"/>
      <c r="ESO131" s="27"/>
      <c r="EST131" s="64"/>
      <c r="ESU131" s="27"/>
      <c r="ESZ131" s="64"/>
      <c r="ETA131" s="27"/>
      <c r="ETF131" s="64"/>
      <c r="ETG131" s="27"/>
      <c r="ETL131" s="64"/>
      <c r="ETM131" s="27"/>
      <c r="ETR131" s="64"/>
      <c r="ETS131" s="27"/>
      <c r="ETX131" s="64"/>
      <c r="ETY131" s="27"/>
      <c r="EUD131" s="64"/>
      <c r="EUE131" s="27"/>
      <c r="EUJ131" s="64"/>
      <c r="EUK131" s="27"/>
      <c r="EUP131" s="64"/>
      <c r="EUQ131" s="27"/>
      <c r="EUV131" s="64"/>
      <c r="EUW131" s="27"/>
      <c r="EVB131" s="64"/>
      <c r="EVC131" s="27"/>
      <c r="EVH131" s="64"/>
      <c r="EVI131" s="27"/>
      <c r="EVN131" s="64"/>
      <c r="EVO131" s="27"/>
      <c r="EVT131" s="64"/>
      <c r="EVU131" s="27"/>
      <c r="EVZ131" s="64"/>
      <c r="EWA131" s="27"/>
      <c r="EWF131" s="64"/>
      <c r="EWG131" s="27"/>
      <c r="EWL131" s="64"/>
      <c r="EWM131" s="27"/>
      <c r="EWR131" s="64"/>
      <c r="EWS131" s="27"/>
      <c r="EWX131" s="64"/>
      <c r="EWY131" s="27"/>
      <c r="EXD131" s="64"/>
      <c r="EXE131" s="27"/>
      <c r="EXJ131" s="64"/>
      <c r="EXK131" s="27"/>
      <c r="EXP131" s="64"/>
      <c r="EXQ131" s="27"/>
      <c r="EXV131" s="64"/>
      <c r="EXW131" s="27"/>
      <c r="EYB131" s="64"/>
      <c r="EYC131" s="27"/>
      <c r="EYH131" s="64"/>
      <c r="EYI131" s="27"/>
      <c r="EYN131" s="64"/>
      <c r="EYO131" s="27"/>
      <c r="EYT131" s="64"/>
      <c r="EYU131" s="27"/>
      <c r="EYZ131" s="64"/>
      <c r="EZA131" s="27"/>
      <c r="EZF131" s="64"/>
      <c r="EZG131" s="27"/>
      <c r="EZL131" s="64"/>
      <c r="EZM131" s="27"/>
      <c r="EZR131" s="64"/>
      <c r="EZS131" s="27"/>
      <c r="EZX131" s="64"/>
      <c r="EZY131" s="27"/>
      <c r="FAD131" s="64"/>
      <c r="FAE131" s="27"/>
      <c r="FAJ131" s="64"/>
      <c r="FAK131" s="27"/>
      <c r="FAP131" s="64"/>
      <c r="FAQ131" s="27"/>
      <c r="FAV131" s="64"/>
      <c r="FAW131" s="27"/>
      <c r="FBB131" s="64"/>
      <c r="FBC131" s="27"/>
      <c r="FBH131" s="64"/>
      <c r="FBI131" s="27"/>
      <c r="FBN131" s="64"/>
      <c r="FBO131" s="27"/>
      <c r="FBT131" s="64"/>
      <c r="FBU131" s="27"/>
      <c r="FBZ131" s="64"/>
      <c r="FCA131" s="27"/>
      <c r="FCF131" s="64"/>
      <c r="FCG131" s="27"/>
      <c r="FCL131" s="64"/>
      <c r="FCM131" s="27"/>
      <c r="FCR131" s="64"/>
      <c r="FCS131" s="27"/>
      <c r="FCX131" s="64"/>
      <c r="FCY131" s="27"/>
      <c r="FDD131" s="64"/>
      <c r="FDE131" s="27"/>
      <c r="FDJ131" s="64"/>
      <c r="FDK131" s="27"/>
      <c r="FDP131" s="64"/>
      <c r="FDQ131" s="27"/>
      <c r="FDV131" s="64"/>
      <c r="FDW131" s="27"/>
      <c r="FEB131" s="64"/>
      <c r="FEC131" s="27"/>
      <c r="FEH131" s="64"/>
      <c r="FEI131" s="27"/>
      <c r="FEN131" s="64"/>
      <c r="FEO131" s="27"/>
      <c r="FET131" s="64"/>
      <c r="FEU131" s="27"/>
      <c r="FEZ131" s="64"/>
      <c r="FFA131" s="27"/>
      <c r="FFF131" s="64"/>
      <c r="FFG131" s="27"/>
      <c r="FFL131" s="64"/>
      <c r="FFM131" s="27"/>
      <c r="FFR131" s="64"/>
      <c r="FFS131" s="27"/>
      <c r="FFX131" s="64"/>
      <c r="FFY131" s="27"/>
      <c r="FGD131" s="64"/>
      <c r="FGE131" s="27"/>
      <c r="FGJ131" s="64"/>
      <c r="FGK131" s="27"/>
      <c r="FGP131" s="64"/>
      <c r="FGQ131" s="27"/>
      <c r="FGV131" s="64"/>
      <c r="FGW131" s="27"/>
      <c r="FHB131" s="64"/>
      <c r="FHC131" s="27"/>
      <c r="FHH131" s="64"/>
      <c r="FHI131" s="27"/>
      <c r="FHN131" s="64"/>
      <c r="FHO131" s="27"/>
      <c r="FHT131" s="64"/>
      <c r="FHU131" s="27"/>
      <c r="FHZ131" s="64"/>
      <c r="FIA131" s="27"/>
      <c r="FIF131" s="64"/>
      <c r="FIG131" s="27"/>
      <c r="FIL131" s="64"/>
      <c r="FIM131" s="27"/>
      <c r="FIR131" s="64"/>
      <c r="FIS131" s="27"/>
      <c r="FIX131" s="64"/>
      <c r="FIY131" s="27"/>
      <c r="FJD131" s="64"/>
      <c r="FJE131" s="27"/>
      <c r="FJJ131" s="64"/>
      <c r="FJK131" s="27"/>
      <c r="FJP131" s="64"/>
      <c r="FJQ131" s="27"/>
      <c r="FJV131" s="64"/>
      <c r="FJW131" s="27"/>
      <c r="FKB131" s="64"/>
      <c r="FKC131" s="27"/>
      <c r="FKH131" s="64"/>
      <c r="FKI131" s="27"/>
      <c r="FKN131" s="64"/>
      <c r="FKO131" s="27"/>
      <c r="FKT131" s="64"/>
      <c r="FKU131" s="27"/>
      <c r="FKZ131" s="64"/>
      <c r="FLA131" s="27"/>
      <c r="FLF131" s="64"/>
      <c r="FLG131" s="27"/>
      <c r="FLL131" s="64"/>
      <c r="FLM131" s="27"/>
      <c r="FLR131" s="64"/>
      <c r="FLS131" s="27"/>
      <c r="FLX131" s="64"/>
      <c r="FLY131" s="27"/>
      <c r="FMD131" s="64"/>
      <c r="FME131" s="27"/>
      <c r="FMJ131" s="64"/>
      <c r="FMK131" s="27"/>
      <c r="FMP131" s="64"/>
      <c r="FMQ131" s="27"/>
      <c r="FMV131" s="64"/>
      <c r="FMW131" s="27"/>
      <c r="FNB131" s="64"/>
      <c r="FNC131" s="27"/>
      <c r="FNH131" s="64"/>
      <c r="FNI131" s="27"/>
      <c r="FNN131" s="64"/>
      <c r="FNO131" s="27"/>
      <c r="FNT131" s="64"/>
      <c r="FNU131" s="27"/>
      <c r="FNZ131" s="64"/>
      <c r="FOA131" s="27"/>
      <c r="FOF131" s="64"/>
      <c r="FOG131" s="27"/>
      <c r="FOL131" s="64"/>
      <c r="FOM131" s="27"/>
      <c r="FOR131" s="64"/>
      <c r="FOS131" s="27"/>
      <c r="FOX131" s="64"/>
      <c r="FOY131" s="27"/>
      <c r="FPD131" s="64"/>
      <c r="FPE131" s="27"/>
      <c r="FPJ131" s="64"/>
      <c r="FPK131" s="27"/>
      <c r="FPP131" s="64"/>
      <c r="FPQ131" s="27"/>
      <c r="FPV131" s="64"/>
      <c r="FPW131" s="27"/>
      <c r="FQB131" s="64"/>
      <c r="FQC131" s="27"/>
      <c r="FQH131" s="64"/>
      <c r="FQI131" s="27"/>
      <c r="FQN131" s="64"/>
      <c r="FQO131" s="27"/>
      <c r="FQT131" s="64"/>
      <c r="FQU131" s="27"/>
      <c r="FQZ131" s="64"/>
      <c r="FRA131" s="27"/>
      <c r="FRF131" s="64"/>
      <c r="FRG131" s="27"/>
      <c r="FRL131" s="64"/>
      <c r="FRM131" s="27"/>
      <c r="FRR131" s="64"/>
      <c r="FRS131" s="27"/>
      <c r="FRX131" s="64"/>
      <c r="FRY131" s="27"/>
      <c r="FSD131" s="64"/>
      <c r="FSE131" s="27"/>
      <c r="FSJ131" s="64"/>
      <c r="FSK131" s="27"/>
      <c r="FSP131" s="64"/>
      <c r="FSQ131" s="27"/>
      <c r="FSV131" s="64"/>
      <c r="FSW131" s="27"/>
      <c r="FTB131" s="64"/>
      <c r="FTC131" s="27"/>
      <c r="FTH131" s="64"/>
      <c r="FTI131" s="27"/>
      <c r="FTN131" s="64"/>
      <c r="FTO131" s="27"/>
      <c r="FTT131" s="64"/>
      <c r="FTU131" s="27"/>
      <c r="FTZ131" s="64"/>
      <c r="FUA131" s="27"/>
      <c r="FUF131" s="64"/>
      <c r="FUG131" s="27"/>
      <c r="FUL131" s="64"/>
      <c r="FUM131" s="27"/>
      <c r="FUR131" s="64"/>
      <c r="FUS131" s="27"/>
      <c r="FUX131" s="64"/>
      <c r="FUY131" s="27"/>
      <c r="FVD131" s="64"/>
      <c r="FVE131" s="27"/>
      <c r="FVJ131" s="64"/>
      <c r="FVK131" s="27"/>
      <c r="FVP131" s="64"/>
      <c r="FVQ131" s="27"/>
      <c r="FVV131" s="64"/>
      <c r="FVW131" s="27"/>
      <c r="FWB131" s="64"/>
      <c r="FWC131" s="27"/>
      <c r="FWH131" s="64"/>
      <c r="FWI131" s="27"/>
      <c r="FWN131" s="64"/>
      <c r="FWO131" s="27"/>
      <c r="FWT131" s="64"/>
      <c r="FWU131" s="27"/>
      <c r="FWZ131" s="64"/>
      <c r="FXA131" s="27"/>
      <c r="FXF131" s="64"/>
      <c r="FXG131" s="27"/>
      <c r="FXL131" s="64"/>
      <c r="FXM131" s="27"/>
      <c r="FXR131" s="64"/>
      <c r="FXS131" s="27"/>
      <c r="FXX131" s="64"/>
      <c r="FXY131" s="27"/>
      <c r="FYD131" s="64"/>
      <c r="FYE131" s="27"/>
      <c r="FYJ131" s="64"/>
      <c r="FYK131" s="27"/>
      <c r="FYP131" s="64"/>
      <c r="FYQ131" s="27"/>
      <c r="FYV131" s="64"/>
      <c r="FYW131" s="27"/>
      <c r="FZB131" s="64"/>
      <c r="FZC131" s="27"/>
      <c r="FZH131" s="64"/>
      <c r="FZI131" s="27"/>
      <c r="FZN131" s="64"/>
      <c r="FZO131" s="27"/>
      <c r="FZT131" s="64"/>
      <c r="FZU131" s="27"/>
      <c r="FZZ131" s="64"/>
      <c r="GAA131" s="27"/>
      <c r="GAF131" s="64"/>
      <c r="GAG131" s="27"/>
      <c r="GAL131" s="64"/>
      <c r="GAM131" s="27"/>
      <c r="GAR131" s="64"/>
      <c r="GAS131" s="27"/>
      <c r="GAX131" s="64"/>
      <c r="GAY131" s="27"/>
      <c r="GBD131" s="64"/>
      <c r="GBE131" s="27"/>
      <c r="GBJ131" s="64"/>
      <c r="GBK131" s="27"/>
      <c r="GBP131" s="64"/>
      <c r="GBQ131" s="27"/>
      <c r="GBV131" s="64"/>
      <c r="GBW131" s="27"/>
      <c r="GCB131" s="64"/>
      <c r="GCC131" s="27"/>
      <c r="GCH131" s="64"/>
      <c r="GCI131" s="27"/>
      <c r="GCN131" s="64"/>
      <c r="GCO131" s="27"/>
      <c r="GCT131" s="64"/>
      <c r="GCU131" s="27"/>
      <c r="GCZ131" s="64"/>
      <c r="GDA131" s="27"/>
      <c r="GDF131" s="64"/>
      <c r="GDG131" s="27"/>
      <c r="GDL131" s="64"/>
      <c r="GDM131" s="27"/>
      <c r="GDR131" s="64"/>
      <c r="GDS131" s="27"/>
      <c r="GDX131" s="64"/>
      <c r="GDY131" s="27"/>
      <c r="GED131" s="64"/>
      <c r="GEE131" s="27"/>
      <c r="GEJ131" s="64"/>
      <c r="GEK131" s="27"/>
      <c r="GEP131" s="64"/>
      <c r="GEQ131" s="27"/>
      <c r="GEV131" s="64"/>
      <c r="GEW131" s="27"/>
      <c r="GFB131" s="64"/>
      <c r="GFC131" s="27"/>
      <c r="GFH131" s="64"/>
      <c r="GFI131" s="27"/>
      <c r="GFN131" s="64"/>
      <c r="GFO131" s="27"/>
      <c r="GFT131" s="64"/>
      <c r="GFU131" s="27"/>
      <c r="GFZ131" s="64"/>
      <c r="GGA131" s="27"/>
      <c r="GGF131" s="64"/>
      <c r="GGG131" s="27"/>
      <c r="GGL131" s="64"/>
      <c r="GGM131" s="27"/>
      <c r="GGR131" s="64"/>
      <c r="GGS131" s="27"/>
      <c r="GGX131" s="64"/>
      <c r="GGY131" s="27"/>
      <c r="GHD131" s="64"/>
      <c r="GHE131" s="27"/>
      <c r="GHJ131" s="64"/>
      <c r="GHK131" s="27"/>
      <c r="GHP131" s="64"/>
      <c r="GHQ131" s="27"/>
      <c r="GHV131" s="64"/>
      <c r="GHW131" s="27"/>
      <c r="GIB131" s="64"/>
      <c r="GIC131" s="27"/>
      <c r="GIH131" s="64"/>
      <c r="GII131" s="27"/>
      <c r="GIN131" s="64"/>
      <c r="GIO131" s="27"/>
      <c r="GIT131" s="64"/>
      <c r="GIU131" s="27"/>
      <c r="GIZ131" s="64"/>
      <c r="GJA131" s="27"/>
      <c r="GJF131" s="64"/>
      <c r="GJG131" s="27"/>
      <c r="GJL131" s="64"/>
      <c r="GJM131" s="27"/>
      <c r="GJR131" s="64"/>
      <c r="GJS131" s="27"/>
      <c r="GJX131" s="64"/>
      <c r="GJY131" s="27"/>
      <c r="GKD131" s="64"/>
      <c r="GKE131" s="27"/>
      <c r="GKJ131" s="64"/>
      <c r="GKK131" s="27"/>
      <c r="GKP131" s="64"/>
      <c r="GKQ131" s="27"/>
      <c r="GKV131" s="64"/>
      <c r="GKW131" s="27"/>
      <c r="GLB131" s="64"/>
      <c r="GLC131" s="27"/>
      <c r="GLH131" s="64"/>
      <c r="GLI131" s="27"/>
      <c r="GLN131" s="64"/>
      <c r="GLO131" s="27"/>
      <c r="GLT131" s="64"/>
      <c r="GLU131" s="27"/>
      <c r="GLZ131" s="64"/>
      <c r="GMA131" s="27"/>
      <c r="GMF131" s="64"/>
      <c r="GMG131" s="27"/>
      <c r="GML131" s="64"/>
      <c r="GMM131" s="27"/>
      <c r="GMR131" s="64"/>
      <c r="GMS131" s="27"/>
      <c r="GMX131" s="64"/>
      <c r="GMY131" s="27"/>
      <c r="GND131" s="64"/>
      <c r="GNE131" s="27"/>
      <c r="GNJ131" s="64"/>
      <c r="GNK131" s="27"/>
      <c r="GNP131" s="64"/>
      <c r="GNQ131" s="27"/>
      <c r="GNV131" s="64"/>
      <c r="GNW131" s="27"/>
      <c r="GOB131" s="64"/>
      <c r="GOC131" s="27"/>
      <c r="GOH131" s="64"/>
      <c r="GOI131" s="27"/>
      <c r="GON131" s="64"/>
      <c r="GOO131" s="27"/>
      <c r="GOT131" s="64"/>
      <c r="GOU131" s="27"/>
      <c r="GOZ131" s="64"/>
      <c r="GPA131" s="27"/>
      <c r="GPF131" s="64"/>
      <c r="GPG131" s="27"/>
      <c r="GPL131" s="64"/>
      <c r="GPM131" s="27"/>
      <c r="GPR131" s="64"/>
      <c r="GPS131" s="27"/>
      <c r="GPX131" s="64"/>
      <c r="GPY131" s="27"/>
      <c r="GQD131" s="64"/>
      <c r="GQE131" s="27"/>
      <c r="GQJ131" s="64"/>
      <c r="GQK131" s="27"/>
      <c r="GQP131" s="64"/>
      <c r="GQQ131" s="27"/>
      <c r="GQV131" s="64"/>
      <c r="GQW131" s="27"/>
      <c r="GRB131" s="64"/>
      <c r="GRC131" s="27"/>
      <c r="GRH131" s="64"/>
      <c r="GRI131" s="27"/>
      <c r="GRN131" s="64"/>
      <c r="GRO131" s="27"/>
      <c r="GRT131" s="64"/>
      <c r="GRU131" s="27"/>
      <c r="GRZ131" s="64"/>
      <c r="GSA131" s="27"/>
      <c r="GSF131" s="64"/>
      <c r="GSG131" s="27"/>
      <c r="GSL131" s="64"/>
      <c r="GSM131" s="27"/>
      <c r="GSR131" s="64"/>
      <c r="GSS131" s="27"/>
      <c r="GSX131" s="64"/>
      <c r="GSY131" s="27"/>
      <c r="GTD131" s="64"/>
      <c r="GTE131" s="27"/>
      <c r="GTJ131" s="64"/>
      <c r="GTK131" s="27"/>
      <c r="GTP131" s="64"/>
      <c r="GTQ131" s="27"/>
      <c r="GTV131" s="64"/>
      <c r="GTW131" s="27"/>
      <c r="GUB131" s="64"/>
      <c r="GUC131" s="27"/>
      <c r="GUH131" s="64"/>
      <c r="GUI131" s="27"/>
      <c r="GUN131" s="64"/>
      <c r="GUO131" s="27"/>
      <c r="GUT131" s="64"/>
      <c r="GUU131" s="27"/>
      <c r="GUZ131" s="64"/>
      <c r="GVA131" s="27"/>
      <c r="GVF131" s="64"/>
      <c r="GVG131" s="27"/>
      <c r="GVL131" s="64"/>
      <c r="GVM131" s="27"/>
      <c r="GVR131" s="64"/>
      <c r="GVS131" s="27"/>
      <c r="GVX131" s="64"/>
      <c r="GVY131" s="27"/>
      <c r="GWD131" s="64"/>
      <c r="GWE131" s="27"/>
      <c r="GWJ131" s="64"/>
      <c r="GWK131" s="27"/>
      <c r="GWP131" s="64"/>
      <c r="GWQ131" s="27"/>
      <c r="GWV131" s="64"/>
      <c r="GWW131" s="27"/>
      <c r="GXB131" s="64"/>
      <c r="GXC131" s="27"/>
      <c r="GXH131" s="64"/>
      <c r="GXI131" s="27"/>
      <c r="GXN131" s="64"/>
      <c r="GXO131" s="27"/>
      <c r="GXT131" s="64"/>
      <c r="GXU131" s="27"/>
      <c r="GXZ131" s="64"/>
      <c r="GYA131" s="27"/>
      <c r="GYF131" s="64"/>
      <c r="GYG131" s="27"/>
      <c r="GYL131" s="64"/>
      <c r="GYM131" s="27"/>
      <c r="GYR131" s="64"/>
      <c r="GYS131" s="27"/>
      <c r="GYX131" s="64"/>
      <c r="GYY131" s="27"/>
      <c r="GZD131" s="64"/>
      <c r="GZE131" s="27"/>
      <c r="GZJ131" s="64"/>
      <c r="GZK131" s="27"/>
      <c r="GZP131" s="64"/>
      <c r="GZQ131" s="27"/>
      <c r="GZV131" s="64"/>
      <c r="GZW131" s="27"/>
      <c r="HAB131" s="64"/>
      <c r="HAC131" s="27"/>
      <c r="HAH131" s="64"/>
      <c r="HAI131" s="27"/>
      <c r="HAN131" s="64"/>
      <c r="HAO131" s="27"/>
      <c r="HAT131" s="64"/>
      <c r="HAU131" s="27"/>
      <c r="HAZ131" s="64"/>
      <c r="HBA131" s="27"/>
      <c r="HBF131" s="64"/>
      <c r="HBG131" s="27"/>
      <c r="HBL131" s="64"/>
      <c r="HBM131" s="27"/>
      <c r="HBR131" s="64"/>
      <c r="HBS131" s="27"/>
      <c r="HBX131" s="64"/>
      <c r="HBY131" s="27"/>
      <c r="HCD131" s="64"/>
      <c r="HCE131" s="27"/>
      <c r="HCJ131" s="64"/>
      <c r="HCK131" s="27"/>
      <c r="HCP131" s="64"/>
      <c r="HCQ131" s="27"/>
      <c r="HCV131" s="64"/>
      <c r="HCW131" s="27"/>
      <c r="HDB131" s="64"/>
      <c r="HDC131" s="27"/>
      <c r="HDH131" s="64"/>
      <c r="HDI131" s="27"/>
      <c r="HDN131" s="64"/>
      <c r="HDO131" s="27"/>
      <c r="HDT131" s="64"/>
      <c r="HDU131" s="27"/>
      <c r="HDZ131" s="64"/>
      <c r="HEA131" s="27"/>
      <c r="HEF131" s="64"/>
      <c r="HEG131" s="27"/>
      <c r="HEL131" s="64"/>
      <c r="HEM131" s="27"/>
      <c r="HER131" s="64"/>
      <c r="HES131" s="27"/>
      <c r="HEX131" s="64"/>
      <c r="HEY131" s="27"/>
      <c r="HFD131" s="64"/>
      <c r="HFE131" s="27"/>
      <c r="HFJ131" s="64"/>
      <c r="HFK131" s="27"/>
      <c r="HFP131" s="64"/>
      <c r="HFQ131" s="27"/>
      <c r="HFV131" s="64"/>
      <c r="HFW131" s="27"/>
      <c r="HGB131" s="64"/>
      <c r="HGC131" s="27"/>
      <c r="HGH131" s="64"/>
      <c r="HGI131" s="27"/>
      <c r="HGN131" s="64"/>
      <c r="HGO131" s="27"/>
      <c r="HGT131" s="64"/>
      <c r="HGU131" s="27"/>
      <c r="HGZ131" s="64"/>
      <c r="HHA131" s="27"/>
      <c r="HHF131" s="64"/>
      <c r="HHG131" s="27"/>
      <c r="HHL131" s="64"/>
      <c r="HHM131" s="27"/>
      <c r="HHR131" s="64"/>
      <c r="HHS131" s="27"/>
      <c r="HHX131" s="64"/>
      <c r="HHY131" s="27"/>
      <c r="HID131" s="64"/>
      <c r="HIE131" s="27"/>
      <c r="HIJ131" s="64"/>
      <c r="HIK131" s="27"/>
      <c r="HIP131" s="64"/>
      <c r="HIQ131" s="27"/>
      <c r="HIV131" s="64"/>
      <c r="HIW131" s="27"/>
      <c r="HJB131" s="64"/>
      <c r="HJC131" s="27"/>
      <c r="HJH131" s="64"/>
      <c r="HJI131" s="27"/>
      <c r="HJN131" s="64"/>
      <c r="HJO131" s="27"/>
      <c r="HJT131" s="64"/>
      <c r="HJU131" s="27"/>
      <c r="HJZ131" s="64"/>
      <c r="HKA131" s="27"/>
      <c r="HKF131" s="64"/>
      <c r="HKG131" s="27"/>
      <c r="HKL131" s="64"/>
      <c r="HKM131" s="27"/>
      <c r="HKR131" s="64"/>
      <c r="HKS131" s="27"/>
      <c r="HKX131" s="64"/>
      <c r="HKY131" s="27"/>
      <c r="HLD131" s="64"/>
      <c r="HLE131" s="27"/>
      <c r="HLJ131" s="64"/>
      <c r="HLK131" s="27"/>
      <c r="HLP131" s="64"/>
      <c r="HLQ131" s="27"/>
      <c r="HLV131" s="64"/>
      <c r="HLW131" s="27"/>
      <c r="HMB131" s="64"/>
      <c r="HMC131" s="27"/>
      <c r="HMH131" s="64"/>
      <c r="HMI131" s="27"/>
      <c r="HMN131" s="64"/>
      <c r="HMO131" s="27"/>
      <c r="HMT131" s="64"/>
      <c r="HMU131" s="27"/>
      <c r="HMZ131" s="64"/>
      <c r="HNA131" s="27"/>
      <c r="HNF131" s="64"/>
      <c r="HNG131" s="27"/>
      <c r="HNL131" s="64"/>
      <c r="HNM131" s="27"/>
      <c r="HNR131" s="64"/>
      <c r="HNS131" s="27"/>
      <c r="HNX131" s="64"/>
      <c r="HNY131" s="27"/>
      <c r="HOD131" s="64"/>
      <c r="HOE131" s="27"/>
      <c r="HOJ131" s="64"/>
      <c r="HOK131" s="27"/>
      <c r="HOP131" s="64"/>
      <c r="HOQ131" s="27"/>
      <c r="HOV131" s="64"/>
      <c r="HOW131" s="27"/>
      <c r="HPB131" s="64"/>
      <c r="HPC131" s="27"/>
      <c r="HPH131" s="64"/>
      <c r="HPI131" s="27"/>
      <c r="HPN131" s="64"/>
      <c r="HPO131" s="27"/>
      <c r="HPT131" s="64"/>
      <c r="HPU131" s="27"/>
      <c r="HPZ131" s="64"/>
      <c r="HQA131" s="27"/>
      <c r="HQF131" s="64"/>
      <c r="HQG131" s="27"/>
      <c r="HQL131" s="64"/>
      <c r="HQM131" s="27"/>
      <c r="HQR131" s="64"/>
      <c r="HQS131" s="27"/>
      <c r="HQX131" s="64"/>
      <c r="HQY131" s="27"/>
      <c r="HRD131" s="64"/>
      <c r="HRE131" s="27"/>
      <c r="HRJ131" s="64"/>
      <c r="HRK131" s="27"/>
      <c r="HRP131" s="64"/>
      <c r="HRQ131" s="27"/>
      <c r="HRV131" s="64"/>
      <c r="HRW131" s="27"/>
      <c r="HSB131" s="64"/>
      <c r="HSC131" s="27"/>
      <c r="HSH131" s="64"/>
      <c r="HSI131" s="27"/>
      <c r="HSN131" s="64"/>
      <c r="HSO131" s="27"/>
      <c r="HST131" s="64"/>
      <c r="HSU131" s="27"/>
      <c r="HSZ131" s="64"/>
      <c r="HTA131" s="27"/>
      <c r="HTF131" s="64"/>
      <c r="HTG131" s="27"/>
      <c r="HTL131" s="64"/>
      <c r="HTM131" s="27"/>
      <c r="HTR131" s="64"/>
      <c r="HTS131" s="27"/>
      <c r="HTX131" s="64"/>
      <c r="HTY131" s="27"/>
      <c r="HUD131" s="64"/>
      <c r="HUE131" s="27"/>
      <c r="HUJ131" s="64"/>
      <c r="HUK131" s="27"/>
      <c r="HUP131" s="64"/>
      <c r="HUQ131" s="27"/>
      <c r="HUV131" s="64"/>
      <c r="HUW131" s="27"/>
      <c r="HVB131" s="64"/>
      <c r="HVC131" s="27"/>
      <c r="HVH131" s="64"/>
      <c r="HVI131" s="27"/>
      <c r="HVN131" s="64"/>
      <c r="HVO131" s="27"/>
      <c r="HVT131" s="64"/>
      <c r="HVU131" s="27"/>
      <c r="HVZ131" s="64"/>
      <c r="HWA131" s="27"/>
      <c r="HWF131" s="64"/>
      <c r="HWG131" s="27"/>
      <c r="HWL131" s="64"/>
      <c r="HWM131" s="27"/>
      <c r="HWR131" s="64"/>
      <c r="HWS131" s="27"/>
      <c r="HWX131" s="64"/>
      <c r="HWY131" s="27"/>
      <c r="HXD131" s="64"/>
      <c r="HXE131" s="27"/>
      <c r="HXJ131" s="64"/>
      <c r="HXK131" s="27"/>
      <c r="HXP131" s="64"/>
      <c r="HXQ131" s="27"/>
      <c r="HXV131" s="64"/>
      <c r="HXW131" s="27"/>
      <c r="HYB131" s="64"/>
      <c r="HYC131" s="27"/>
      <c r="HYH131" s="64"/>
      <c r="HYI131" s="27"/>
      <c r="HYN131" s="64"/>
      <c r="HYO131" s="27"/>
      <c r="HYT131" s="64"/>
      <c r="HYU131" s="27"/>
      <c r="HYZ131" s="64"/>
      <c r="HZA131" s="27"/>
      <c r="HZF131" s="64"/>
      <c r="HZG131" s="27"/>
      <c r="HZL131" s="64"/>
      <c r="HZM131" s="27"/>
      <c r="HZR131" s="64"/>
      <c r="HZS131" s="27"/>
      <c r="HZX131" s="64"/>
      <c r="HZY131" s="27"/>
      <c r="IAD131" s="64"/>
      <c r="IAE131" s="27"/>
      <c r="IAJ131" s="64"/>
      <c r="IAK131" s="27"/>
      <c r="IAP131" s="64"/>
      <c r="IAQ131" s="27"/>
      <c r="IAV131" s="64"/>
      <c r="IAW131" s="27"/>
      <c r="IBB131" s="64"/>
      <c r="IBC131" s="27"/>
      <c r="IBH131" s="64"/>
      <c r="IBI131" s="27"/>
      <c r="IBN131" s="64"/>
      <c r="IBO131" s="27"/>
      <c r="IBT131" s="64"/>
      <c r="IBU131" s="27"/>
      <c r="IBZ131" s="64"/>
      <c r="ICA131" s="27"/>
      <c r="ICF131" s="64"/>
      <c r="ICG131" s="27"/>
      <c r="ICL131" s="64"/>
      <c r="ICM131" s="27"/>
      <c r="ICR131" s="64"/>
      <c r="ICS131" s="27"/>
      <c r="ICX131" s="64"/>
      <c r="ICY131" s="27"/>
      <c r="IDD131" s="64"/>
      <c r="IDE131" s="27"/>
      <c r="IDJ131" s="64"/>
      <c r="IDK131" s="27"/>
      <c r="IDP131" s="64"/>
      <c r="IDQ131" s="27"/>
      <c r="IDV131" s="64"/>
      <c r="IDW131" s="27"/>
      <c r="IEB131" s="64"/>
      <c r="IEC131" s="27"/>
      <c r="IEH131" s="64"/>
      <c r="IEI131" s="27"/>
      <c r="IEN131" s="64"/>
      <c r="IEO131" s="27"/>
      <c r="IET131" s="64"/>
      <c r="IEU131" s="27"/>
      <c r="IEZ131" s="64"/>
      <c r="IFA131" s="27"/>
      <c r="IFF131" s="64"/>
      <c r="IFG131" s="27"/>
      <c r="IFL131" s="64"/>
      <c r="IFM131" s="27"/>
      <c r="IFR131" s="64"/>
      <c r="IFS131" s="27"/>
      <c r="IFX131" s="64"/>
      <c r="IFY131" s="27"/>
      <c r="IGD131" s="64"/>
      <c r="IGE131" s="27"/>
      <c r="IGJ131" s="64"/>
      <c r="IGK131" s="27"/>
      <c r="IGP131" s="64"/>
      <c r="IGQ131" s="27"/>
      <c r="IGV131" s="64"/>
      <c r="IGW131" s="27"/>
      <c r="IHB131" s="64"/>
      <c r="IHC131" s="27"/>
      <c r="IHH131" s="64"/>
      <c r="IHI131" s="27"/>
      <c r="IHN131" s="64"/>
      <c r="IHO131" s="27"/>
      <c r="IHT131" s="64"/>
      <c r="IHU131" s="27"/>
      <c r="IHZ131" s="64"/>
      <c r="IIA131" s="27"/>
      <c r="IIF131" s="64"/>
      <c r="IIG131" s="27"/>
      <c r="IIL131" s="64"/>
      <c r="IIM131" s="27"/>
      <c r="IIR131" s="64"/>
      <c r="IIS131" s="27"/>
      <c r="IIX131" s="64"/>
      <c r="IIY131" s="27"/>
      <c r="IJD131" s="64"/>
      <c r="IJE131" s="27"/>
      <c r="IJJ131" s="64"/>
      <c r="IJK131" s="27"/>
      <c r="IJP131" s="64"/>
      <c r="IJQ131" s="27"/>
      <c r="IJV131" s="64"/>
      <c r="IJW131" s="27"/>
      <c r="IKB131" s="64"/>
      <c r="IKC131" s="27"/>
      <c r="IKH131" s="64"/>
      <c r="IKI131" s="27"/>
      <c r="IKN131" s="64"/>
      <c r="IKO131" s="27"/>
      <c r="IKT131" s="64"/>
      <c r="IKU131" s="27"/>
      <c r="IKZ131" s="64"/>
      <c r="ILA131" s="27"/>
      <c r="ILF131" s="64"/>
      <c r="ILG131" s="27"/>
      <c r="ILL131" s="64"/>
      <c r="ILM131" s="27"/>
      <c r="ILR131" s="64"/>
      <c r="ILS131" s="27"/>
      <c r="ILX131" s="64"/>
      <c r="ILY131" s="27"/>
      <c r="IMD131" s="64"/>
      <c r="IME131" s="27"/>
      <c r="IMJ131" s="64"/>
      <c r="IMK131" s="27"/>
      <c r="IMP131" s="64"/>
      <c r="IMQ131" s="27"/>
      <c r="IMV131" s="64"/>
      <c r="IMW131" s="27"/>
      <c r="INB131" s="64"/>
      <c r="INC131" s="27"/>
      <c r="INH131" s="64"/>
      <c r="INI131" s="27"/>
      <c r="INN131" s="64"/>
      <c r="INO131" s="27"/>
      <c r="INT131" s="64"/>
      <c r="INU131" s="27"/>
      <c r="INZ131" s="64"/>
      <c r="IOA131" s="27"/>
      <c r="IOF131" s="64"/>
      <c r="IOG131" s="27"/>
      <c r="IOL131" s="64"/>
      <c r="IOM131" s="27"/>
      <c r="IOR131" s="64"/>
      <c r="IOS131" s="27"/>
      <c r="IOX131" s="64"/>
      <c r="IOY131" s="27"/>
      <c r="IPD131" s="64"/>
      <c r="IPE131" s="27"/>
      <c r="IPJ131" s="64"/>
      <c r="IPK131" s="27"/>
      <c r="IPP131" s="64"/>
      <c r="IPQ131" s="27"/>
      <c r="IPV131" s="64"/>
      <c r="IPW131" s="27"/>
      <c r="IQB131" s="64"/>
      <c r="IQC131" s="27"/>
      <c r="IQH131" s="64"/>
      <c r="IQI131" s="27"/>
      <c r="IQN131" s="64"/>
      <c r="IQO131" s="27"/>
      <c r="IQT131" s="64"/>
      <c r="IQU131" s="27"/>
      <c r="IQZ131" s="64"/>
      <c r="IRA131" s="27"/>
      <c r="IRF131" s="64"/>
      <c r="IRG131" s="27"/>
      <c r="IRL131" s="64"/>
      <c r="IRM131" s="27"/>
      <c r="IRR131" s="64"/>
      <c r="IRS131" s="27"/>
      <c r="IRX131" s="64"/>
      <c r="IRY131" s="27"/>
      <c r="ISD131" s="64"/>
      <c r="ISE131" s="27"/>
      <c r="ISJ131" s="64"/>
      <c r="ISK131" s="27"/>
      <c r="ISP131" s="64"/>
      <c r="ISQ131" s="27"/>
      <c r="ISV131" s="64"/>
      <c r="ISW131" s="27"/>
      <c r="ITB131" s="64"/>
      <c r="ITC131" s="27"/>
      <c r="ITH131" s="64"/>
      <c r="ITI131" s="27"/>
      <c r="ITN131" s="64"/>
      <c r="ITO131" s="27"/>
      <c r="ITT131" s="64"/>
      <c r="ITU131" s="27"/>
      <c r="ITZ131" s="64"/>
      <c r="IUA131" s="27"/>
      <c r="IUF131" s="64"/>
      <c r="IUG131" s="27"/>
      <c r="IUL131" s="64"/>
      <c r="IUM131" s="27"/>
      <c r="IUR131" s="64"/>
      <c r="IUS131" s="27"/>
      <c r="IUX131" s="64"/>
      <c r="IUY131" s="27"/>
      <c r="IVD131" s="64"/>
      <c r="IVE131" s="27"/>
      <c r="IVJ131" s="64"/>
      <c r="IVK131" s="27"/>
      <c r="IVP131" s="64"/>
      <c r="IVQ131" s="27"/>
      <c r="IVV131" s="64"/>
      <c r="IVW131" s="27"/>
      <c r="IWB131" s="64"/>
      <c r="IWC131" s="27"/>
      <c r="IWH131" s="64"/>
      <c r="IWI131" s="27"/>
      <c r="IWN131" s="64"/>
      <c r="IWO131" s="27"/>
      <c r="IWT131" s="64"/>
      <c r="IWU131" s="27"/>
      <c r="IWZ131" s="64"/>
      <c r="IXA131" s="27"/>
      <c r="IXF131" s="64"/>
      <c r="IXG131" s="27"/>
      <c r="IXL131" s="64"/>
      <c r="IXM131" s="27"/>
      <c r="IXR131" s="64"/>
      <c r="IXS131" s="27"/>
      <c r="IXX131" s="64"/>
      <c r="IXY131" s="27"/>
      <c r="IYD131" s="64"/>
      <c r="IYE131" s="27"/>
      <c r="IYJ131" s="64"/>
      <c r="IYK131" s="27"/>
      <c r="IYP131" s="64"/>
      <c r="IYQ131" s="27"/>
      <c r="IYV131" s="64"/>
      <c r="IYW131" s="27"/>
      <c r="IZB131" s="64"/>
      <c r="IZC131" s="27"/>
      <c r="IZH131" s="64"/>
      <c r="IZI131" s="27"/>
      <c r="IZN131" s="64"/>
      <c r="IZO131" s="27"/>
      <c r="IZT131" s="64"/>
      <c r="IZU131" s="27"/>
      <c r="IZZ131" s="64"/>
      <c r="JAA131" s="27"/>
      <c r="JAF131" s="64"/>
      <c r="JAG131" s="27"/>
      <c r="JAL131" s="64"/>
      <c r="JAM131" s="27"/>
      <c r="JAR131" s="64"/>
      <c r="JAS131" s="27"/>
      <c r="JAX131" s="64"/>
      <c r="JAY131" s="27"/>
      <c r="JBD131" s="64"/>
      <c r="JBE131" s="27"/>
      <c r="JBJ131" s="64"/>
      <c r="JBK131" s="27"/>
      <c r="JBP131" s="64"/>
      <c r="JBQ131" s="27"/>
      <c r="JBV131" s="64"/>
      <c r="JBW131" s="27"/>
      <c r="JCB131" s="64"/>
      <c r="JCC131" s="27"/>
      <c r="JCH131" s="64"/>
      <c r="JCI131" s="27"/>
      <c r="JCN131" s="64"/>
      <c r="JCO131" s="27"/>
      <c r="JCT131" s="64"/>
      <c r="JCU131" s="27"/>
      <c r="JCZ131" s="64"/>
      <c r="JDA131" s="27"/>
      <c r="JDF131" s="64"/>
      <c r="JDG131" s="27"/>
      <c r="JDL131" s="64"/>
      <c r="JDM131" s="27"/>
      <c r="JDR131" s="64"/>
      <c r="JDS131" s="27"/>
      <c r="JDX131" s="64"/>
      <c r="JDY131" s="27"/>
      <c r="JED131" s="64"/>
      <c r="JEE131" s="27"/>
      <c r="JEJ131" s="64"/>
      <c r="JEK131" s="27"/>
      <c r="JEP131" s="64"/>
      <c r="JEQ131" s="27"/>
      <c r="JEV131" s="64"/>
      <c r="JEW131" s="27"/>
      <c r="JFB131" s="64"/>
      <c r="JFC131" s="27"/>
      <c r="JFH131" s="64"/>
      <c r="JFI131" s="27"/>
      <c r="JFN131" s="64"/>
      <c r="JFO131" s="27"/>
      <c r="JFT131" s="64"/>
      <c r="JFU131" s="27"/>
      <c r="JFZ131" s="64"/>
      <c r="JGA131" s="27"/>
      <c r="JGF131" s="64"/>
      <c r="JGG131" s="27"/>
      <c r="JGL131" s="64"/>
      <c r="JGM131" s="27"/>
      <c r="JGR131" s="64"/>
      <c r="JGS131" s="27"/>
      <c r="JGX131" s="64"/>
      <c r="JGY131" s="27"/>
      <c r="JHD131" s="64"/>
      <c r="JHE131" s="27"/>
      <c r="JHJ131" s="64"/>
      <c r="JHK131" s="27"/>
      <c r="JHP131" s="64"/>
      <c r="JHQ131" s="27"/>
      <c r="JHV131" s="64"/>
      <c r="JHW131" s="27"/>
      <c r="JIB131" s="64"/>
      <c r="JIC131" s="27"/>
      <c r="JIH131" s="64"/>
      <c r="JII131" s="27"/>
      <c r="JIN131" s="64"/>
      <c r="JIO131" s="27"/>
      <c r="JIT131" s="64"/>
      <c r="JIU131" s="27"/>
      <c r="JIZ131" s="64"/>
      <c r="JJA131" s="27"/>
      <c r="JJF131" s="64"/>
      <c r="JJG131" s="27"/>
      <c r="JJL131" s="64"/>
      <c r="JJM131" s="27"/>
      <c r="JJR131" s="64"/>
      <c r="JJS131" s="27"/>
      <c r="JJX131" s="64"/>
      <c r="JJY131" s="27"/>
      <c r="JKD131" s="64"/>
      <c r="JKE131" s="27"/>
      <c r="JKJ131" s="64"/>
      <c r="JKK131" s="27"/>
      <c r="JKP131" s="64"/>
      <c r="JKQ131" s="27"/>
      <c r="JKV131" s="64"/>
      <c r="JKW131" s="27"/>
      <c r="JLB131" s="64"/>
      <c r="JLC131" s="27"/>
      <c r="JLH131" s="64"/>
      <c r="JLI131" s="27"/>
      <c r="JLN131" s="64"/>
      <c r="JLO131" s="27"/>
      <c r="JLT131" s="64"/>
      <c r="JLU131" s="27"/>
      <c r="JLZ131" s="64"/>
      <c r="JMA131" s="27"/>
      <c r="JMF131" s="64"/>
      <c r="JMG131" s="27"/>
      <c r="JML131" s="64"/>
      <c r="JMM131" s="27"/>
      <c r="JMR131" s="64"/>
      <c r="JMS131" s="27"/>
      <c r="JMX131" s="64"/>
      <c r="JMY131" s="27"/>
      <c r="JND131" s="64"/>
      <c r="JNE131" s="27"/>
      <c r="JNJ131" s="64"/>
      <c r="JNK131" s="27"/>
      <c r="JNP131" s="64"/>
      <c r="JNQ131" s="27"/>
      <c r="JNV131" s="64"/>
      <c r="JNW131" s="27"/>
      <c r="JOB131" s="64"/>
      <c r="JOC131" s="27"/>
      <c r="JOH131" s="64"/>
      <c r="JOI131" s="27"/>
      <c r="JON131" s="64"/>
      <c r="JOO131" s="27"/>
      <c r="JOT131" s="64"/>
      <c r="JOU131" s="27"/>
      <c r="JOZ131" s="64"/>
      <c r="JPA131" s="27"/>
      <c r="JPF131" s="64"/>
      <c r="JPG131" s="27"/>
      <c r="JPL131" s="64"/>
      <c r="JPM131" s="27"/>
      <c r="JPR131" s="64"/>
      <c r="JPS131" s="27"/>
      <c r="JPX131" s="64"/>
      <c r="JPY131" s="27"/>
      <c r="JQD131" s="64"/>
      <c r="JQE131" s="27"/>
      <c r="JQJ131" s="64"/>
      <c r="JQK131" s="27"/>
      <c r="JQP131" s="64"/>
      <c r="JQQ131" s="27"/>
      <c r="JQV131" s="64"/>
      <c r="JQW131" s="27"/>
      <c r="JRB131" s="64"/>
      <c r="JRC131" s="27"/>
      <c r="JRH131" s="64"/>
      <c r="JRI131" s="27"/>
      <c r="JRN131" s="64"/>
      <c r="JRO131" s="27"/>
      <c r="JRT131" s="64"/>
      <c r="JRU131" s="27"/>
      <c r="JRZ131" s="64"/>
      <c r="JSA131" s="27"/>
      <c r="JSF131" s="64"/>
      <c r="JSG131" s="27"/>
      <c r="JSL131" s="64"/>
      <c r="JSM131" s="27"/>
      <c r="JSR131" s="64"/>
      <c r="JSS131" s="27"/>
      <c r="JSX131" s="64"/>
      <c r="JSY131" s="27"/>
      <c r="JTD131" s="64"/>
      <c r="JTE131" s="27"/>
      <c r="JTJ131" s="64"/>
      <c r="JTK131" s="27"/>
      <c r="JTP131" s="64"/>
      <c r="JTQ131" s="27"/>
      <c r="JTV131" s="64"/>
      <c r="JTW131" s="27"/>
      <c r="JUB131" s="64"/>
      <c r="JUC131" s="27"/>
      <c r="JUH131" s="64"/>
      <c r="JUI131" s="27"/>
      <c r="JUN131" s="64"/>
      <c r="JUO131" s="27"/>
      <c r="JUT131" s="64"/>
      <c r="JUU131" s="27"/>
      <c r="JUZ131" s="64"/>
      <c r="JVA131" s="27"/>
      <c r="JVF131" s="64"/>
      <c r="JVG131" s="27"/>
      <c r="JVL131" s="64"/>
      <c r="JVM131" s="27"/>
      <c r="JVR131" s="64"/>
      <c r="JVS131" s="27"/>
      <c r="JVX131" s="64"/>
      <c r="JVY131" s="27"/>
      <c r="JWD131" s="64"/>
      <c r="JWE131" s="27"/>
      <c r="JWJ131" s="64"/>
      <c r="JWK131" s="27"/>
      <c r="JWP131" s="64"/>
      <c r="JWQ131" s="27"/>
      <c r="JWV131" s="64"/>
      <c r="JWW131" s="27"/>
      <c r="JXB131" s="64"/>
      <c r="JXC131" s="27"/>
      <c r="JXH131" s="64"/>
      <c r="JXI131" s="27"/>
      <c r="JXN131" s="64"/>
      <c r="JXO131" s="27"/>
      <c r="JXT131" s="64"/>
      <c r="JXU131" s="27"/>
      <c r="JXZ131" s="64"/>
      <c r="JYA131" s="27"/>
      <c r="JYF131" s="64"/>
      <c r="JYG131" s="27"/>
      <c r="JYL131" s="64"/>
      <c r="JYM131" s="27"/>
      <c r="JYR131" s="64"/>
      <c r="JYS131" s="27"/>
      <c r="JYX131" s="64"/>
      <c r="JYY131" s="27"/>
      <c r="JZD131" s="64"/>
      <c r="JZE131" s="27"/>
      <c r="JZJ131" s="64"/>
      <c r="JZK131" s="27"/>
      <c r="JZP131" s="64"/>
      <c r="JZQ131" s="27"/>
      <c r="JZV131" s="64"/>
      <c r="JZW131" s="27"/>
      <c r="KAB131" s="64"/>
      <c r="KAC131" s="27"/>
      <c r="KAH131" s="64"/>
      <c r="KAI131" s="27"/>
      <c r="KAN131" s="64"/>
      <c r="KAO131" s="27"/>
      <c r="KAT131" s="64"/>
      <c r="KAU131" s="27"/>
      <c r="KAZ131" s="64"/>
      <c r="KBA131" s="27"/>
      <c r="KBF131" s="64"/>
      <c r="KBG131" s="27"/>
      <c r="KBL131" s="64"/>
      <c r="KBM131" s="27"/>
      <c r="KBR131" s="64"/>
      <c r="KBS131" s="27"/>
      <c r="KBX131" s="64"/>
      <c r="KBY131" s="27"/>
      <c r="KCD131" s="64"/>
      <c r="KCE131" s="27"/>
      <c r="KCJ131" s="64"/>
      <c r="KCK131" s="27"/>
      <c r="KCP131" s="64"/>
      <c r="KCQ131" s="27"/>
      <c r="KCV131" s="64"/>
      <c r="KCW131" s="27"/>
      <c r="KDB131" s="64"/>
      <c r="KDC131" s="27"/>
      <c r="KDH131" s="64"/>
      <c r="KDI131" s="27"/>
      <c r="KDN131" s="64"/>
      <c r="KDO131" s="27"/>
      <c r="KDT131" s="64"/>
      <c r="KDU131" s="27"/>
      <c r="KDZ131" s="64"/>
      <c r="KEA131" s="27"/>
      <c r="KEF131" s="64"/>
      <c r="KEG131" s="27"/>
      <c r="KEL131" s="64"/>
      <c r="KEM131" s="27"/>
      <c r="KER131" s="64"/>
      <c r="KES131" s="27"/>
      <c r="KEX131" s="64"/>
      <c r="KEY131" s="27"/>
      <c r="KFD131" s="64"/>
      <c r="KFE131" s="27"/>
      <c r="KFJ131" s="64"/>
      <c r="KFK131" s="27"/>
      <c r="KFP131" s="64"/>
      <c r="KFQ131" s="27"/>
      <c r="KFV131" s="64"/>
      <c r="KFW131" s="27"/>
      <c r="KGB131" s="64"/>
      <c r="KGC131" s="27"/>
      <c r="KGH131" s="64"/>
      <c r="KGI131" s="27"/>
      <c r="KGN131" s="64"/>
      <c r="KGO131" s="27"/>
      <c r="KGT131" s="64"/>
      <c r="KGU131" s="27"/>
      <c r="KGZ131" s="64"/>
      <c r="KHA131" s="27"/>
      <c r="KHF131" s="64"/>
      <c r="KHG131" s="27"/>
      <c r="KHL131" s="64"/>
      <c r="KHM131" s="27"/>
      <c r="KHR131" s="64"/>
      <c r="KHS131" s="27"/>
      <c r="KHX131" s="64"/>
      <c r="KHY131" s="27"/>
      <c r="KID131" s="64"/>
      <c r="KIE131" s="27"/>
      <c r="KIJ131" s="64"/>
      <c r="KIK131" s="27"/>
      <c r="KIP131" s="64"/>
      <c r="KIQ131" s="27"/>
      <c r="KIV131" s="64"/>
      <c r="KIW131" s="27"/>
      <c r="KJB131" s="64"/>
      <c r="KJC131" s="27"/>
      <c r="KJH131" s="64"/>
      <c r="KJI131" s="27"/>
      <c r="KJN131" s="64"/>
      <c r="KJO131" s="27"/>
      <c r="KJT131" s="64"/>
      <c r="KJU131" s="27"/>
      <c r="KJZ131" s="64"/>
      <c r="KKA131" s="27"/>
      <c r="KKF131" s="64"/>
      <c r="KKG131" s="27"/>
      <c r="KKL131" s="64"/>
      <c r="KKM131" s="27"/>
      <c r="KKR131" s="64"/>
      <c r="KKS131" s="27"/>
      <c r="KKX131" s="64"/>
      <c r="KKY131" s="27"/>
      <c r="KLD131" s="64"/>
      <c r="KLE131" s="27"/>
      <c r="KLJ131" s="64"/>
      <c r="KLK131" s="27"/>
      <c r="KLP131" s="64"/>
      <c r="KLQ131" s="27"/>
      <c r="KLV131" s="64"/>
      <c r="KLW131" s="27"/>
      <c r="KMB131" s="64"/>
      <c r="KMC131" s="27"/>
      <c r="KMH131" s="64"/>
      <c r="KMI131" s="27"/>
      <c r="KMN131" s="64"/>
      <c r="KMO131" s="27"/>
      <c r="KMT131" s="64"/>
      <c r="KMU131" s="27"/>
      <c r="KMZ131" s="64"/>
      <c r="KNA131" s="27"/>
      <c r="KNF131" s="64"/>
      <c r="KNG131" s="27"/>
      <c r="KNL131" s="64"/>
      <c r="KNM131" s="27"/>
      <c r="KNR131" s="64"/>
      <c r="KNS131" s="27"/>
      <c r="KNX131" s="64"/>
      <c r="KNY131" s="27"/>
      <c r="KOD131" s="64"/>
      <c r="KOE131" s="27"/>
      <c r="KOJ131" s="64"/>
      <c r="KOK131" s="27"/>
      <c r="KOP131" s="64"/>
      <c r="KOQ131" s="27"/>
      <c r="KOV131" s="64"/>
      <c r="KOW131" s="27"/>
      <c r="KPB131" s="64"/>
      <c r="KPC131" s="27"/>
      <c r="KPH131" s="64"/>
      <c r="KPI131" s="27"/>
      <c r="KPN131" s="64"/>
      <c r="KPO131" s="27"/>
      <c r="KPT131" s="64"/>
      <c r="KPU131" s="27"/>
      <c r="KPZ131" s="64"/>
      <c r="KQA131" s="27"/>
      <c r="KQF131" s="64"/>
      <c r="KQG131" s="27"/>
      <c r="KQL131" s="64"/>
      <c r="KQM131" s="27"/>
      <c r="KQR131" s="64"/>
      <c r="KQS131" s="27"/>
      <c r="KQX131" s="64"/>
      <c r="KQY131" s="27"/>
      <c r="KRD131" s="64"/>
      <c r="KRE131" s="27"/>
      <c r="KRJ131" s="64"/>
      <c r="KRK131" s="27"/>
      <c r="KRP131" s="64"/>
      <c r="KRQ131" s="27"/>
      <c r="KRV131" s="64"/>
      <c r="KRW131" s="27"/>
      <c r="KSB131" s="64"/>
      <c r="KSC131" s="27"/>
      <c r="KSH131" s="64"/>
      <c r="KSI131" s="27"/>
      <c r="KSN131" s="64"/>
      <c r="KSO131" s="27"/>
      <c r="KST131" s="64"/>
      <c r="KSU131" s="27"/>
      <c r="KSZ131" s="64"/>
      <c r="KTA131" s="27"/>
      <c r="KTF131" s="64"/>
      <c r="KTG131" s="27"/>
      <c r="KTL131" s="64"/>
      <c r="KTM131" s="27"/>
      <c r="KTR131" s="64"/>
      <c r="KTS131" s="27"/>
      <c r="KTX131" s="64"/>
      <c r="KTY131" s="27"/>
      <c r="KUD131" s="64"/>
      <c r="KUE131" s="27"/>
      <c r="KUJ131" s="64"/>
      <c r="KUK131" s="27"/>
      <c r="KUP131" s="64"/>
      <c r="KUQ131" s="27"/>
      <c r="KUV131" s="64"/>
      <c r="KUW131" s="27"/>
      <c r="KVB131" s="64"/>
      <c r="KVC131" s="27"/>
      <c r="KVH131" s="64"/>
      <c r="KVI131" s="27"/>
      <c r="KVN131" s="64"/>
      <c r="KVO131" s="27"/>
      <c r="KVT131" s="64"/>
      <c r="KVU131" s="27"/>
      <c r="KVZ131" s="64"/>
      <c r="KWA131" s="27"/>
      <c r="KWF131" s="64"/>
      <c r="KWG131" s="27"/>
      <c r="KWL131" s="64"/>
      <c r="KWM131" s="27"/>
      <c r="KWR131" s="64"/>
      <c r="KWS131" s="27"/>
      <c r="KWX131" s="64"/>
      <c r="KWY131" s="27"/>
      <c r="KXD131" s="64"/>
      <c r="KXE131" s="27"/>
      <c r="KXJ131" s="64"/>
      <c r="KXK131" s="27"/>
      <c r="KXP131" s="64"/>
      <c r="KXQ131" s="27"/>
      <c r="KXV131" s="64"/>
      <c r="KXW131" s="27"/>
      <c r="KYB131" s="64"/>
      <c r="KYC131" s="27"/>
      <c r="KYH131" s="64"/>
      <c r="KYI131" s="27"/>
      <c r="KYN131" s="64"/>
      <c r="KYO131" s="27"/>
      <c r="KYT131" s="64"/>
      <c r="KYU131" s="27"/>
      <c r="KYZ131" s="64"/>
      <c r="KZA131" s="27"/>
      <c r="KZF131" s="64"/>
      <c r="KZG131" s="27"/>
      <c r="KZL131" s="64"/>
      <c r="KZM131" s="27"/>
      <c r="KZR131" s="64"/>
      <c r="KZS131" s="27"/>
      <c r="KZX131" s="64"/>
      <c r="KZY131" s="27"/>
      <c r="LAD131" s="64"/>
      <c r="LAE131" s="27"/>
      <c r="LAJ131" s="64"/>
      <c r="LAK131" s="27"/>
      <c r="LAP131" s="64"/>
      <c r="LAQ131" s="27"/>
      <c r="LAV131" s="64"/>
      <c r="LAW131" s="27"/>
      <c r="LBB131" s="64"/>
      <c r="LBC131" s="27"/>
      <c r="LBH131" s="64"/>
      <c r="LBI131" s="27"/>
      <c r="LBN131" s="64"/>
      <c r="LBO131" s="27"/>
      <c r="LBT131" s="64"/>
      <c r="LBU131" s="27"/>
      <c r="LBZ131" s="64"/>
      <c r="LCA131" s="27"/>
      <c r="LCF131" s="64"/>
      <c r="LCG131" s="27"/>
      <c r="LCL131" s="64"/>
      <c r="LCM131" s="27"/>
      <c r="LCR131" s="64"/>
      <c r="LCS131" s="27"/>
      <c r="LCX131" s="64"/>
      <c r="LCY131" s="27"/>
      <c r="LDD131" s="64"/>
      <c r="LDE131" s="27"/>
      <c r="LDJ131" s="64"/>
      <c r="LDK131" s="27"/>
      <c r="LDP131" s="64"/>
      <c r="LDQ131" s="27"/>
      <c r="LDV131" s="64"/>
      <c r="LDW131" s="27"/>
      <c r="LEB131" s="64"/>
      <c r="LEC131" s="27"/>
      <c r="LEH131" s="64"/>
      <c r="LEI131" s="27"/>
      <c r="LEN131" s="64"/>
      <c r="LEO131" s="27"/>
      <c r="LET131" s="64"/>
      <c r="LEU131" s="27"/>
      <c r="LEZ131" s="64"/>
      <c r="LFA131" s="27"/>
      <c r="LFF131" s="64"/>
      <c r="LFG131" s="27"/>
      <c r="LFL131" s="64"/>
      <c r="LFM131" s="27"/>
      <c r="LFR131" s="64"/>
      <c r="LFS131" s="27"/>
      <c r="LFX131" s="64"/>
      <c r="LFY131" s="27"/>
      <c r="LGD131" s="64"/>
      <c r="LGE131" s="27"/>
      <c r="LGJ131" s="64"/>
      <c r="LGK131" s="27"/>
      <c r="LGP131" s="64"/>
      <c r="LGQ131" s="27"/>
      <c r="LGV131" s="64"/>
      <c r="LGW131" s="27"/>
      <c r="LHB131" s="64"/>
      <c r="LHC131" s="27"/>
      <c r="LHH131" s="64"/>
      <c r="LHI131" s="27"/>
      <c r="LHN131" s="64"/>
      <c r="LHO131" s="27"/>
      <c r="LHT131" s="64"/>
      <c r="LHU131" s="27"/>
      <c r="LHZ131" s="64"/>
      <c r="LIA131" s="27"/>
      <c r="LIF131" s="64"/>
      <c r="LIG131" s="27"/>
      <c r="LIL131" s="64"/>
      <c r="LIM131" s="27"/>
      <c r="LIR131" s="64"/>
      <c r="LIS131" s="27"/>
      <c r="LIX131" s="64"/>
      <c r="LIY131" s="27"/>
      <c r="LJD131" s="64"/>
      <c r="LJE131" s="27"/>
      <c r="LJJ131" s="64"/>
      <c r="LJK131" s="27"/>
      <c r="LJP131" s="64"/>
      <c r="LJQ131" s="27"/>
      <c r="LJV131" s="64"/>
      <c r="LJW131" s="27"/>
      <c r="LKB131" s="64"/>
      <c r="LKC131" s="27"/>
      <c r="LKH131" s="64"/>
      <c r="LKI131" s="27"/>
      <c r="LKN131" s="64"/>
      <c r="LKO131" s="27"/>
      <c r="LKT131" s="64"/>
      <c r="LKU131" s="27"/>
      <c r="LKZ131" s="64"/>
      <c r="LLA131" s="27"/>
      <c r="LLF131" s="64"/>
      <c r="LLG131" s="27"/>
      <c r="LLL131" s="64"/>
      <c r="LLM131" s="27"/>
      <c r="LLR131" s="64"/>
      <c r="LLS131" s="27"/>
      <c r="LLX131" s="64"/>
      <c r="LLY131" s="27"/>
      <c r="LMD131" s="64"/>
      <c r="LME131" s="27"/>
      <c r="LMJ131" s="64"/>
      <c r="LMK131" s="27"/>
      <c r="LMP131" s="64"/>
      <c r="LMQ131" s="27"/>
      <c r="LMV131" s="64"/>
      <c r="LMW131" s="27"/>
      <c r="LNB131" s="64"/>
      <c r="LNC131" s="27"/>
      <c r="LNH131" s="64"/>
      <c r="LNI131" s="27"/>
      <c r="LNN131" s="64"/>
      <c r="LNO131" s="27"/>
      <c r="LNT131" s="64"/>
      <c r="LNU131" s="27"/>
      <c r="LNZ131" s="64"/>
      <c r="LOA131" s="27"/>
      <c r="LOF131" s="64"/>
      <c r="LOG131" s="27"/>
      <c r="LOL131" s="64"/>
      <c r="LOM131" s="27"/>
      <c r="LOR131" s="64"/>
      <c r="LOS131" s="27"/>
      <c r="LOX131" s="64"/>
      <c r="LOY131" s="27"/>
      <c r="LPD131" s="64"/>
      <c r="LPE131" s="27"/>
      <c r="LPJ131" s="64"/>
      <c r="LPK131" s="27"/>
      <c r="LPP131" s="64"/>
      <c r="LPQ131" s="27"/>
      <c r="LPV131" s="64"/>
      <c r="LPW131" s="27"/>
      <c r="LQB131" s="64"/>
      <c r="LQC131" s="27"/>
      <c r="LQH131" s="64"/>
      <c r="LQI131" s="27"/>
      <c r="LQN131" s="64"/>
      <c r="LQO131" s="27"/>
      <c r="LQT131" s="64"/>
      <c r="LQU131" s="27"/>
      <c r="LQZ131" s="64"/>
      <c r="LRA131" s="27"/>
      <c r="LRF131" s="64"/>
      <c r="LRG131" s="27"/>
      <c r="LRL131" s="64"/>
      <c r="LRM131" s="27"/>
      <c r="LRR131" s="64"/>
      <c r="LRS131" s="27"/>
      <c r="LRX131" s="64"/>
      <c r="LRY131" s="27"/>
      <c r="LSD131" s="64"/>
      <c r="LSE131" s="27"/>
      <c r="LSJ131" s="64"/>
      <c r="LSK131" s="27"/>
      <c r="LSP131" s="64"/>
      <c r="LSQ131" s="27"/>
      <c r="LSV131" s="64"/>
      <c r="LSW131" s="27"/>
      <c r="LTB131" s="64"/>
      <c r="LTC131" s="27"/>
      <c r="LTH131" s="64"/>
      <c r="LTI131" s="27"/>
      <c r="LTN131" s="64"/>
      <c r="LTO131" s="27"/>
      <c r="LTT131" s="64"/>
      <c r="LTU131" s="27"/>
      <c r="LTZ131" s="64"/>
      <c r="LUA131" s="27"/>
      <c r="LUF131" s="64"/>
      <c r="LUG131" s="27"/>
      <c r="LUL131" s="64"/>
      <c r="LUM131" s="27"/>
      <c r="LUR131" s="64"/>
      <c r="LUS131" s="27"/>
      <c r="LUX131" s="64"/>
      <c r="LUY131" s="27"/>
      <c r="LVD131" s="64"/>
      <c r="LVE131" s="27"/>
      <c r="LVJ131" s="64"/>
      <c r="LVK131" s="27"/>
      <c r="LVP131" s="64"/>
      <c r="LVQ131" s="27"/>
      <c r="LVV131" s="64"/>
      <c r="LVW131" s="27"/>
      <c r="LWB131" s="64"/>
      <c r="LWC131" s="27"/>
      <c r="LWH131" s="64"/>
      <c r="LWI131" s="27"/>
      <c r="LWN131" s="64"/>
      <c r="LWO131" s="27"/>
      <c r="LWT131" s="64"/>
      <c r="LWU131" s="27"/>
      <c r="LWZ131" s="64"/>
      <c r="LXA131" s="27"/>
      <c r="LXF131" s="64"/>
      <c r="LXG131" s="27"/>
      <c r="LXL131" s="64"/>
      <c r="LXM131" s="27"/>
      <c r="LXR131" s="64"/>
      <c r="LXS131" s="27"/>
      <c r="LXX131" s="64"/>
      <c r="LXY131" s="27"/>
      <c r="LYD131" s="64"/>
      <c r="LYE131" s="27"/>
      <c r="LYJ131" s="64"/>
      <c r="LYK131" s="27"/>
      <c r="LYP131" s="64"/>
      <c r="LYQ131" s="27"/>
      <c r="LYV131" s="64"/>
      <c r="LYW131" s="27"/>
      <c r="LZB131" s="64"/>
      <c r="LZC131" s="27"/>
      <c r="LZH131" s="64"/>
      <c r="LZI131" s="27"/>
      <c r="LZN131" s="64"/>
      <c r="LZO131" s="27"/>
      <c r="LZT131" s="64"/>
      <c r="LZU131" s="27"/>
      <c r="LZZ131" s="64"/>
      <c r="MAA131" s="27"/>
      <c r="MAF131" s="64"/>
      <c r="MAG131" s="27"/>
      <c r="MAL131" s="64"/>
      <c r="MAM131" s="27"/>
      <c r="MAR131" s="64"/>
      <c r="MAS131" s="27"/>
      <c r="MAX131" s="64"/>
      <c r="MAY131" s="27"/>
      <c r="MBD131" s="64"/>
      <c r="MBE131" s="27"/>
      <c r="MBJ131" s="64"/>
      <c r="MBK131" s="27"/>
      <c r="MBP131" s="64"/>
      <c r="MBQ131" s="27"/>
      <c r="MBV131" s="64"/>
      <c r="MBW131" s="27"/>
      <c r="MCB131" s="64"/>
      <c r="MCC131" s="27"/>
      <c r="MCH131" s="64"/>
      <c r="MCI131" s="27"/>
      <c r="MCN131" s="64"/>
      <c r="MCO131" s="27"/>
      <c r="MCT131" s="64"/>
      <c r="MCU131" s="27"/>
      <c r="MCZ131" s="64"/>
      <c r="MDA131" s="27"/>
      <c r="MDF131" s="64"/>
      <c r="MDG131" s="27"/>
      <c r="MDL131" s="64"/>
      <c r="MDM131" s="27"/>
      <c r="MDR131" s="64"/>
      <c r="MDS131" s="27"/>
      <c r="MDX131" s="64"/>
      <c r="MDY131" s="27"/>
      <c r="MED131" s="64"/>
      <c r="MEE131" s="27"/>
      <c r="MEJ131" s="64"/>
      <c r="MEK131" s="27"/>
      <c r="MEP131" s="64"/>
      <c r="MEQ131" s="27"/>
      <c r="MEV131" s="64"/>
      <c r="MEW131" s="27"/>
      <c r="MFB131" s="64"/>
      <c r="MFC131" s="27"/>
      <c r="MFH131" s="64"/>
      <c r="MFI131" s="27"/>
      <c r="MFN131" s="64"/>
      <c r="MFO131" s="27"/>
      <c r="MFT131" s="64"/>
      <c r="MFU131" s="27"/>
      <c r="MFZ131" s="64"/>
      <c r="MGA131" s="27"/>
      <c r="MGF131" s="64"/>
      <c r="MGG131" s="27"/>
      <c r="MGL131" s="64"/>
      <c r="MGM131" s="27"/>
      <c r="MGR131" s="64"/>
      <c r="MGS131" s="27"/>
      <c r="MGX131" s="64"/>
      <c r="MGY131" s="27"/>
      <c r="MHD131" s="64"/>
      <c r="MHE131" s="27"/>
      <c r="MHJ131" s="64"/>
      <c r="MHK131" s="27"/>
      <c r="MHP131" s="64"/>
      <c r="MHQ131" s="27"/>
      <c r="MHV131" s="64"/>
      <c r="MHW131" s="27"/>
      <c r="MIB131" s="64"/>
      <c r="MIC131" s="27"/>
      <c r="MIH131" s="64"/>
      <c r="MII131" s="27"/>
      <c r="MIN131" s="64"/>
      <c r="MIO131" s="27"/>
      <c r="MIT131" s="64"/>
      <c r="MIU131" s="27"/>
      <c r="MIZ131" s="64"/>
      <c r="MJA131" s="27"/>
      <c r="MJF131" s="64"/>
      <c r="MJG131" s="27"/>
      <c r="MJL131" s="64"/>
      <c r="MJM131" s="27"/>
      <c r="MJR131" s="64"/>
      <c r="MJS131" s="27"/>
      <c r="MJX131" s="64"/>
      <c r="MJY131" s="27"/>
      <c r="MKD131" s="64"/>
      <c r="MKE131" s="27"/>
      <c r="MKJ131" s="64"/>
      <c r="MKK131" s="27"/>
      <c r="MKP131" s="64"/>
      <c r="MKQ131" s="27"/>
      <c r="MKV131" s="64"/>
      <c r="MKW131" s="27"/>
      <c r="MLB131" s="64"/>
      <c r="MLC131" s="27"/>
      <c r="MLH131" s="64"/>
      <c r="MLI131" s="27"/>
      <c r="MLN131" s="64"/>
      <c r="MLO131" s="27"/>
      <c r="MLT131" s="64"/>
      <c r="MLU131" s="27"/>
      <c r="MLZ131" s="64"/>
      <c r="MMA131" s="27"/>
      <c r="MMF131" s="64"/>
      <c r="MMG131" s="27"/>
      <c r="MML131" s="64"/>
      <c r="MMM131" s="27"/>
      <c r="MMR131" s="64"/>
      <c r="MMS131" s="27"/>
      <c r="MMX131" s="64"/>
      <c r="MMY131" s="27"/>
      <c r="MND131" s="64"/>
      <c r="MNE131" s="27"/>
      <c r="MNJ131" s="64"/>
      <c r="MNK131" s="27"/>
      <c r="MNP131" s="64"/>
      <c r="MNQ131" s="27"/>
      <c r="MNV131" s="64"/>
      <c r="MNW131" s="27"/>
      <c r="MOB131" s="64"/>
      <c r="MOC131" s="27"/>
      <c r="MOH131" s="64"/>
      <c r="MOI131" s="27"/>
      <c r="MON131" s="64"/>
      <c r="MOO131" s="27"/>
      <c r="MOT131" s="64"/>
      <c r="MOU131" s="27"/>
      <c r="MOZ131" s="64"/>
      <c r="MPA131" s="27"/>
      <c r="MPF131" s="64"/>
      <c r="MPG131" s="27"/>
      <c r="MPL131" s="64"/>
      <c r="MPM131" s="27"/>
      <c r="MPR131" s="64"/>
      <c r="MPS131" s="27"/>
      <c r="MPX131" s="64"/>
      <c r="MPY131" s="27"/>
      <c r="MQD131" s="64"/>
      <c r="MQE131" s="27"/>
      <c r="MQJ131" s="64"/>
      <c r="MQK131" s="27"/>
      <c r="MQP131" s="64"/>
      <c r="MQQ131" s="27"/>
      <c r="MQV131" s="64"/>
      <c r="MQW131" s="27"/>
      <c r="MRB131" s="64"/>
      <c r="MRC131" s="27"/>
      <c r="MRH131" s="64"/>
      <c r="MRI131" s="27"/>
      <c r="MRN131" s="64"/>
      <c r="MRO131" s="27"/>
      <c r="MRT131" s="64"/>
      <c r="MRU131" s="27"/>
      <c r="MRZ131" s="64"/>
      <c r="MSA131" s="27"/>
      <c r="MSF131" s="64"/>
      <c r="MSG131" s="27"/>
      <c r="MSL131" s="64"/>
      <c r="MSM131" s="27"/>
      <c r="MSR131" s="64"/>
      <c r="MSS131" s="27"/>
      <c r="MSX131" s="64"/>
      <c r="MSY131" s="27"/>
      <c r="MTD131" s="64"/>
      <c r="MTE131" s="27"/>
      <c r="MTJ131" s="64"/>
      <c r="MTK131" s="27"/>
      <c r="MTP131" s="64"/>
      <c r="MTQ131" s="27"/>
      <c r="MTV131" s="64"/>
      <c r="MTW131" s="27"/>
      <c r="MUB131" s="64"/>
      <c r="MUC131" s="27"/>
      <c r="MUH131" s="64"/>
      <c r="MUI131" s="27"/>
      <c r="MUN131" s="64"/>
      <c r="MUO131" s="27"/>
      <c r="MUT131" s="64"/>
      <c r="MUU131" s="27"/>
      <c r="MUZ131" s="64"/>
      <c r="MVA131" s="27"/>
      <c r="MVF131" s="64"/>
      <c r="MVG131" s="27"/>
      <c r="MVL131" s="64"/>
      <c r="MVM131" s="27"/>
      <c r="MVR131" s="64"/>
      <c r="MVS131" s="27"/>
      <c r="MVX131" s="64"/>
      <c r="MVY131" s="27"/>
      <c r="MWD131" s="64"/>
      <c r="MWE131" s="27"/>
      <c r="MWJ131" s="64"/>
      <c r="MWK131" s="27"/>
      <c r="MWP131" s="64"/>
      <c r="MWQ131" s="27"/>
      <c r="MWV131" s="64"/>
      <c r="MWW131" s="27"/>
      <c r="MXB131" s="64"/>
      <c r="MXC131" s="27"/>
      <c r="MXH131" s="64"/>
      <c r="MXI131" s="27"/>
      <c r="MXN131" s="64"/>
      <c r="MXO131" s="27"/>
      <c r="MXT131" s="64"/>
      <c r="MXU131" s="27"/>
      <c r="MXZ131" s="64"/>
      <c r="MYA131" s="27"/>
      <c r="MYF131" s="64"/>
      <c r="MYG131" s="27"/>
      <c r="MYL131" s="64"/>
      <c r="MYM131" s="27"/>
      <c r="MYR131" s="64"/>
      <c r="MYS131" s="27"/>
      <c r="MYX131" s="64"/>
      <c r="MYY131" s="27"/>
      <c r="MZD131" s="64"/>
      <c r="MZE131" s="27"/>
      <c r="MZJ131" s="64"/>
      <c r="MZK131" s="27"/>
      <c r="MZP131" s="64"/>
      <c r="MZQ131" s="27"/>
      <c r="MZV131" s="64"/>
      <c r="MZW131" s="27"/>
      <c r="NAB131" s="64"/>
      <c r="NAC131" s="27"/>
      <c r="NAH131" s="64"/>
      <c r="NAI131" s="27"/>
      <c r="NAN131" s="64"/>
      <c r="NAO131" s="27"/>
      <c r="NAT131" s="64"/>
      <c r="NAU131" s="27"/>
      <c r="NAZ131" s="64"/>
      <c r="NBA131" s="27"/>
      <c r="NBF131" s="64"/>
      <c r="NBG131" s="27"/>
      <c r="NBL131" s="64"/>
      <c r="NBM131" s="27"/>
      <c r="NBR131" s="64"/>
      <c r="NBS131" s="27"/>
      <c r="NBX131" s="64"/>
      <c r="NBY131" s="27"/>
      <c r="NCD131" s="64"/>
      <c r="NCE131" s="27"/>
      <c r="NCJ131" s="64"/>
      <c r="NCK131" s="27"/>
      <c r="NCP131" s="64"/>
      <c r="NCQ131" s="27"/>
      <c r="NCV131" s="64"/>
      <c r="NCW131" s="27"/>
      <c r="NDB131" s="64"/>
      <c r="NDC131" s="27"/>
      <c r="NDH131" s="64"/>
      <c r="NDI131" s="27"/>
      <c r="NDN131" s="64"/>
      <c r="NDO131" s="27"/>
      <c r="NDT131" s="64"/>
      <c r="NDU131" s="27"/>
      <c r="NDZ131" s="64"/>
      <c r="NEA131" s="27"/>
      <c r="NEF131" s="64"/>
      <c r="NEG131" s="27"/>
      <c r="NEL131" s="64"/>
      <c r="NEM131" s="27"/>
      <c r="NER131" s="64"/>
      <c r="NES131" s="27"/>
      <c r="NEX131" s="64"/>
      <c r="NEY131" s="27"/>
      <c r="NFD131" s="64"/>
      <c r="NFE131" s="27"/>
      <c r="NFJ131" s="64"/>
      <c r="NFK131" s="27"/>
      <c r="NFP131" s="64"/>
      <c r="NFQ131" s="27"/>
      <c r="NFV131" s="64"/>
      <c r="NFW131" s="27"/>
      <c r="NGB131" s="64"/>
      <c r="NGC131" s="27"/>
      <c r="NGH131" s="64"/>
      <c r="NGI131" s="27"/>
      <c r="NGN131" s="64"/>
      <c r="NGO131" s="27"/>
      <c r="NGT131" s="64"/>
      <c r="NGU131" s="27"/>
      <c r="NGZ131" s="64"/>
      <c r="NHA131" s="27"/>
      <c r="NHF131" s="64"/>
      <c r="NHG131" s="27"/>
      <c r="NHL131" s="64"/>
      <c r="NHM131" s="27"/>
      <c r="NHR131" s="64"/>
      <c r="NHS131" s="27"/>
      <c r="NHX131" s="64"/>
      <c r="NHY131" s="27"/>
      <c r="NID131" s="64"/>
      <c r="NIE131" s="27"/>
      <c r="NIJ131" s="64"/>
      <c r="NIK131" s="27"/>
      <c r="NIP131" s="64"/>
      <c r="NIQ131" s="27"/>
      <c r="NIV131" s="64"/>
      <c r="NIW131" s="27"/>
      <c r="NJB131" s="64"/>
      <c r="NJC131" s="27"/>
      <c r="NJH131" s="64"/>
      <c r="NJI131" s="27"/>
      <c r="NJN131" s="64"/>
      <c r="NJO131" s="27"/>
      <c r="NJT131" s="64"/>
      <c r="NJU131" s="27"/>
      <c r="NJZ131" s="64"/>
      <c r="NKA131" s="27"/>
      <c r="NKF131" s="64"/>
      <c r="NKG131" s="27"/>
      <c r="NKL131" s="64"/>
      <c r="NKM131" s="27"/>
      <c r="NKR131" s="64"/>
      <c r="NKS131" s="27"/>
      <c r="NKX131" s="64"/>
      <c r="NKY131" s="27"/>
      <c r="NLD131" s="64"/>
      <c r="NLE131" s="27"/>
      <c r="NLJ131" s="64"/>
      <c r="NLK131" s="27"/>
      <c r="NLP131" s="64"/>
      <c r="NLQ131" s="27"/>
      <c r="NLV131" s="64"/>
      <c r="NLW131" s="27"/>
      <c r="NMB131" s="64"/>
      <c r="NMC131" s="27"/>
      <c r="NMH131" s="64"/>
      <c r="NMI131" s="27"/>
      <c r="NMN131" s="64"/>
      <c r="NMO131" s="27"/>
      <c r="NMT131" s="64"/>
      <c r="NMU131" s="27"/>
      <c r="NMZ131" s="64"/>
      <c r="NNA131" s="27"/>
      <c r="NNF131" s="64"/>
      <c r="NNG131" s="27"/>
      <c r="NNL131" s="64"/>
      <c r="NNM131" s="27"/>
      <c r="NNR131" s="64"/>
      <c r="NNS131" s="27"/>
      <c r="NNX131" s="64"/>
      <c r="NNY131" s="27"/>
      <c r="NOD131" s="64"/>
      <c r="NOE131" s="27"/>
      <c r="NOJ131" s="64"/>
      <c r="NOK131" s="27"/>
      <c r="NOP131" s="64"/>
      <c r="NOQ131" s="27"/>
      <c r="NOV131" s="64"/>
      <c r="NOW131" s="27"/>
      <c r="NPB131" s="64"/>
      <c r="NPC131" s="27"/>
      <c r="NPH131" s="64"/>
      <c r="NPI131" s="27"/>
      <c r="NPN131" s="64"/>
      <c r="NPO131" s="27"/>
      <c r="NPT131" s="64"/>
      <c r="NPU131" s="27"/>
      <c r="NPZ131" s="64"/>
      <c r="NQA131" s="27"/>
      <c r="NQF131" s="64"/>
      <c r="NQG131" s="27"/>
      <c r="NQL131" s="64"/>
      <c r="NQM131" s="27"/>
      <c r="NQR131" s="64"/>
      <c r="NQS131" s="27"/>
      <c r="NQX131" s="64"/>
      <c r="NQY131" s="27"/>
      <c r="NRD131" s="64"/>
      <c r="NRE131" s="27"/>
      <c r="NRJ131" s="64"/>
      <c r="NRK131" s="27"/>
      <c r="NRP131" s="64"/>
      <c r="NRQ131" s="27"/>
      <c r="NRV131" s="64"/>
      <c r="NRW131" s="27"/>
      <c r="NSB131" s="64"/>
      <c r="NSC131" s="27"/>
      <c r="NSH131" s="64"/>
      <c r="NSI131" s="27"/>
      <c r="NSN131" s="64"/>
      <c r="NSO131" s="27"/>
      <c r="NST131" s="64"/>
      <c r="NSU131" s="27"/>
      <c r="NSZ131" s="64"/>
      <c r="NTA131" s="27"/>
      <c r="NTF131" s="64"/>
      <c r="NTG131" s="27"/>
      <c r="NTL131" s="64"/>
      <c r="NTM131" s="27"/>
      <c r="NTR131" s="64"/>
      <c r="NTS131" s="27"/>
      <c r="NTX131" s="64"/>
      <c r="NTY131" s="27"/>
      <c r="NUD131" s="64"/>
      <c r="NUE131" s="27"/>
      <c r="NUJ131" s="64"/>
      <c r="NUK131" s="27"/>
      <c r="NUP131" s="64"/>
      <c r="NUQ131" s="27"/>
      <c r="NUV131" s="64"/>
      <c r="NUW131" s="27"/>
      <c r="NVB131" s="64"/>
      <c r="NVC131" s="27"/>
      <c r="NVH131" s="64"/>
      <c r="NVI131" s="27"/>
      <c r="NVN131" s="64"/>
      <c r="NVO131" s="27"/>
      <c r="NVT131" s="64"/>
      <c r="NVU131" s="27"/>
      <c r="NVZ131" s="64"/>
      <c r="NWA131" s="27"/>
      <c r="NWF131" s="64"/>
      <c r="NWG131" s="27"/>
      <c r="NWL131" s="64"/>
      <c r="NWM131" s="27"/>
      <c r="NWR131" s="64"/>
      <c r="NWS131" s="27"/>
      <c r="NWX131" s="64"/>
      <c r="NWY131" s="27"/>
      <c r="NXD131" s="64"/>
      <c r="NXE131" s="27"/>
      <c r="NXJ131" s="64"/>
      <c r="NXK131" s="27"/>
      <c r="NXP131" s="64"/>
      <c r="NXQ131" s="27"/>
      <c r="NXV131" s="64"/>
      <c r="NXW131" s="27"/>
      <c r="NYB131" s="64"/>
      <c r="NYC131" s="27"/>
      <c r="NYH131" s="64"/>
      <c r="NYI131" s="27"/>
      <c r="NYN131" s="64"/>
      <c r="NYO131" s="27"/>
      <c r="NYT131" s="64"/>
      <c r="NYU131" s="27"/>
      <c r="NYZ131" s="64"/>
      <c r="NZA131" s="27"/>
      <c r="NZF131" s="64"/>
      <c r="NZG131" s="27"/>
      <c r="NZL131" s="64"/>
      <c r="NZM131" s="27"/>
      <c r="NZR131" s="64"/>
      <c r="NZS131" s="27"/>
      <c r="NZX131" s="64"/>
      <c r="NZY131" s="27"/>
      <c r="OAD131" s="64"/>
      <c r="OAE131" s="27"/>
      <c r="OAJ131" s="64"/>
      <c r="OAK131" s="27"/>
      <c r="OAP131" s="64"/>
      <c r="OAQ131" s="27"/>
      <c r="OAV131" s="64"/>
      <c r="OAW131" s="27"/>
      <c r="OBB131" s="64"/>
      <c r="OBC131" s="27"/>
      <c r="OBH131" s="64"/>
      <c r="OBI131" s="27"/>
      <c r="OBN131" s="64"/>
      <c r="OBO131" s="27"/>
      <c r="OBT131" s="64"/>
      <c r="OBU131" s="27"/>
      <c r="OBZ131" s="64"/>
      <c r="OCA131" s="27"/>
      <c r="OCF131" s="64"/>
      <c r="OCG131" s="27"/>
      <c r="OCL131" s="64"/>
      <c r="OCM131" s="27"/>
      <c r="OCR131" s="64"/>
      <c r="OCS131" s="27"/>
      <c r="OCX131" s="64"/>
      <c r="OCY131" s="27"/>
      <c r="ODD131" s="64"/>
      <c r="ODE131" s="27"/>
      <c r="ODJ131" s="64"/>
      <c r="ODK131" s="27"/>
      <c r="ODP131" s="64"/>
      <c r="ODQ131" s="27"/>
      <c r="ODV131" s="64"/>
      <c r="ODW131" s="27"/>
      <c r="OEB131" s="64"/>
      <c r="OEC131" s="27"/>
      <c r="OEH131" s="64"/>
      <c r="OEI131" s="27"/>
      <c r="OEN131" s="64"/>
      <c r="OEO131" s="27"/>
      <c r="OET131" s="64"/>
      <c r="OEU131" s="27"/>
      <c r="OEZ131" s="64"/>
      <c r="OFA131" s="27"/>
      <c r="OFF131" s="64"/>
      <c r="OFG131" s="27"/>
      <c r="OFL131" s="64"/>
      <c r="OFM131" s="27"/>
      <c r="OFR131" s="64"/>
      <c r="OFS131" s="27"/>
      <c r="OFX131" s="64"/>
      <c r="OFY131" s="27"/>
      <c r="OGD131" s="64"/>
      <c r="OGE131" s="27"/>
      <c r="OGJ131" s="64"/>
      <c r="OGK131" s="27"/>
      <c r="OGP131" s="64"/>
      <c r="OGQ131" s="27"/>
      <c r="OGV131" s="64"/>
      <c r="OGW131" s="27"/>
      <c r="OHB131" s="64"/>
      <c r="OHC131" s="27"/>
      <c r="OHH131" s="64"/>
      <c r="OHI131" s="27"/>
      <c r="OHN131" s="64"/>
      <c r="OHO131" s="27"/>
      <c r="OHT131" s="64"/>
      <c r="OHU131" s="27"/>
      <c r="OHZ131" s="64"/>
      <c r="OIA131" s="27"/>
      <c r="OIF131" s="64"/>
      <c r="OIG131" s="27"/>
      <c r="OIL131" s="64"/>
      <c r="OIM131" s="27"/>
      <c r="OIR131" s="64"/>
      <c r="OIS131" s="27"/>
      <c r="OIX131" s="64"/>
      <c r="OIY131" s="27"/>
      <c r="OJD131" s="64"/>
      <c r="OJE131" s="27"/>
      <c r="OJJ131" s="64"/>
      <c r="OJK131" s="27"/>
      <c r="OJP131" s="64"/>
      <c r="OJQ131" s="27"/>
      <c r="OJV131" s="64"/>
      <c r="OJW131" s="27"/>
      <c r="OKB131" s="64"/>
      <c r="OKC131" s="27"/>
      <c r="OKH131" s="64"/>
      <c r="OKI131" s="27"/>
      <c r="OKN131" s="64"/>
      <c r="OKO131" s="27"/>
      <c r="OKT131" s="64"/>
      <c r="OKU131" s="27"/>
      <c r="OKZ131" s="64"/>
      <c r="OLA131" s="27"/>
      <c r="OLF131" s="64"/>
      <c r="OLG131" s="27"/>
      <c r="OLL131" s="64"/>
      <c r="OLM131" s="27"/>
      <c r="OLR131" s="64"/>
      <c r="OLS131" s="27"/>
      <c r="OLX131" s="64"/>
      <c r="OLY131" s="27"/>
      <c r="OMD131" s="64"/>
      <c r="OME131" s="27"/>
      <c r="OMJ131" s="64"/>
      <c r="OMK131" s="27"/>
      <c r="OMP131" s="64"/>
      <c r="OMQ131" s="27"/>
      <c r="OMV131" s="64"/>
      <c r="OMW131" s="27"/>
      <c r="ONB131" s="64"/>
      <c r="ONC131" s="27"/>
      <c r="ONH131" s="64"/>
      <c r="ONI131" s="27"/>
      <c r="ONN131" s="64"/>
      <c r="ONO131" s="27"/>
      <c r="ONT131" s="64"/>
      <c r="ONU131" s="27"/>
      <c r="ONZ131" s="64"/>
      <c r="OOA131" s="27"/>
      <c r="OOF131" s="64"/>
      <c r="OOG131" s="27"/>
      <c r="OOL131" s="64"/>
      <c r="OOM131" s="27"/>
      <c r="OOR131" s="64"/>
      <c r="OOS131" s="27"/>
      <c r="OOX131" s="64"/>
      <c r="OOY131" s="27"/>
      <c r="OPD131" s="64"/>
      <c r="OPE131" s="27"/>
      <c r="OPJ131" s="64"/>
      <c r="OPK131" s="27"/>
      <c r="OPP131" s="64"/>
      <c r="OPQ131" s="27"/>
      <c r="OPV131" s="64"/>
      <c r="OPW131" s="27"/>
      <c r="OQB131" s="64"/>
      <c r="OQC131" s="27"/>
      <c r="OQH131" s="64"/>
      <c r="OQI131" s="27"/>
      <c r="OQN131" s="64"/>
      <c r="OQO131" s="27"/>
      <c r="OQT131" s="64"/>
      <c r="OQU131" s="27"/>
      <c r="OQZ131" s="64"/>
      <c r="ORA131" s="27"/>
      <c r="ORF131" s="64"/>
      <c r="ORG131" s="27"/>
      <c r="ORL131" s="64"/>
      <c r="ORM131" s="27"/>
      <c r="ORR131" s="64"/>
      <c r="ORS131" s="27"/>
      <c r="ORX131" s="64"/>
      <c r="ORY131" s="27"/>
      <c r="OSD131" s="64"/>
      <c r="OSE131" s="27"/>
      <c r="OSJ131" s="64"/>
      <c r="OSK131" s="27"/>
      <c r="OSP131" s="64"/>
      <c r="OSQ131" s="27"/>
      <c r="OSV131" s="64"/>
      <c r="OSW131" s="27"/>
      <c r="OTB131" s="64"/>
      <c r="OTC131" s="27"/>
      <c r="OTH131" s="64"/>
      <c r="OTI131" s="27"/>
      <c r="OTN131" s="64"/>
      <c r="OTO131" s="27"/>
      <c r="OTT131" s="64"/>
      <c r="OTU131" s="27"/>
      <c r="OTZ131" s="64"/>
      <c r="OUA131" s="27"/>
      <c r="OUF131" s="64"/>
      <c r="OUG131" s="27"/>
      <c r="OUL131" s="64"/>
      <c r="OUM131" s="27"/>
      <c r="OUR131" s="64"/>
      <c r="OUS131" s="27"/>
      <c r="OUX131" s="64"/>
      <c r="OUY131" s="27"/>
      <c r="OVD131" s="64"/>
      <c r="OVE131" s="27"/>
      <c r="OVJ131" s="64"/>
      <c r="OVK131" s="27"/>
      <c r="OVP131" s="64"/>
      <c r="OVQ131" s="27"/>
      <c r="OVV131" s="64"/>
      <c r="OVW131" s="27"/>
      <c r="OWB131" s="64"/>
      <c r="OWC131" s="27"/>
      <c r="OWH131" s="64"/>
      <c r="OWI131" s="27"/>
      <c r="OWN131" s="64"/>
      <c r="OWO131" s="27"/>
      <c r="OWT131" s="64"/>
      <c r="OWU131" s="27"/>
      <c r="OWZ131" s="64"/>
      <c r="OXA131" s="27"/>
      <c r="OXF131" s="64"/>
      <c r="OXG131" s="27"/>
      <c r="OXL131" s="64"/>
      <c r="OXM131" s="27"/>
      <c r="OXR131" s="64"/>
      <c r="OXS131" s="27"/>
      <c r="OXX131" s="64"/>
      <c r="OXY131" s="27"/>
      <c r="OYD131" s="64"/>
      <c r="OYE131" s="27"/>
      <c r="OYJ131" s="64"/>
      <c r="OYK131" s="27"/>
      <c r="OYP131" s="64"/>
      <c r="OYQ131" s="27"/>
      <c r="OYV131" s="64"/>
      <c r="OYW131" s="27"/>
      <c r="OZB131" s="64"/>
      <c r="OZC131" s="27"/>
      <c r="OZH131" s="64"/>
      <c r="OZI131" s="27"/>
      <c r="OZN131" s="64"/>
      <c r="OZO131" s="27"/>
      <c r="OZT131" s="64"/>
      <c r="OZU131" s="27"/>
      <c r="OZZ131" s="64"/>
      <c r="PAA131" s="27"/>
      <c r="PAF131" s="64"/>
      <c r="PAG131" s="27"/>
      <c r="PAL131" s="64"/>
      <c r="PAM131" s="27"/>
      <c r="PAR131" s="64"/>
      <c r="PAS131" s="27"/>
      <c r="PAX131" s="64"/>
      <c r="PAY131" s="27"/>
      <c r="PBD131" s="64"/>
      <c r="PBE131" s="27"/>
      <c r="PBJ131" s="64"/>
      <c r="PBK131" s="27"/>
      <c r="PBP131" s="64"/>
      <c r="PBQ131" s="27"/>
      <c r="PBV131" s="64"/>
      <c r="PBW131" s="27"/>
      <c r="PCB131" s="64"/>
      <c r="PCC131" s="27"/>
      <c r="PCH131" s="64"/>
      <c r="PCI131" s="27"/>
      <c r="PCN131" s="64"/>
      <c r="PCO131" s="27"/>
      <c r="PCT131" s="64"/>
      <c r="PCU131" s="27"/>
      <c r="PCZ131" s="64"/>
      <c r="PDA131" s="27"/>
      <c r="PDF131" s="64"/>
      <c r="PDG131" s="27"/>
      <c r="PDL131" s="64"/>
      <c r="PDM131" s="27"/>
      <c r="PDR131" s="64"/>
      <c r="PDS131" s="27"/>
      <c r="PDX131" s="64"/>
      <c r="PDY131" s="27"/>
      <c r="PED131" s="64"/>
      <c r="PEE131" s="27"/>
      <c r="PEJ131" s="64"/>
      <c r="PEK131" s="27"/>
      <c r="PEP131" s="64"/>
      <c r="PEQ131" s="27"/>
      <c r="PEV131" s="64"/>
      <c r="PEW131" s="27"/>
      <c r="PFB131" s="64"/>
      <c r="PFC131" s="27"/>
      <c r="PFH131" s="64"/>
      <c r="PFI131" s="27"/>
      <c r="PFN131" s="64"/>
      <c r="PFO131" s="27"/>
      <c r="PFT131" s="64"/>
      <c r="PFU131" s="27"/>
      <c r="PFZ131" s="64"/>
      <c r="PGA131" s="27"/>
      <c r="PGF131" s="64"/>
      <c r="PGG131" s="27"/>
      <c r="PGL131" s="64"/>
      <c r="PGM131" s="27"/>
      <c r="PGR131" s="64"/>
      <c r="PGS131" s="27"/>
      <c r="PGX131" s="64"/>
      <c r="PGY131" s="27"/>
      <c r="PHD131" s="64"/>
      <c r="PHE131" s="27"/>
      <c r="PHJ131" s="64"/>
      <c r="PHK131" s="27"/>
      <c r="PHP131" s="64"/>
      <c r="PHQ131" s="27"/>
      <c r="PHV131" s="64"/>
      <c r="PHW131" s="27"/>
      <c r="PIB131" s="64"/>
      <c r="PIC131" s="27"/>
      <c r="PIH131" s="64"/>
      <c r="PII131" s="27"/>
      <c r="PIN131" s="64"/>
      <c r="PIO131" s="27"/>
      <c r="PIT131" s="64"/>
      <c r="PIU131" s="27"/>
      <c r="PIZ131" s="64"/>
      <c r="PJA131" s="27"/>
      <c r="PJF131" s="64"/>
      <c r="PJG131" s="27"/>
      <c r="PJL131" s="64"/>
      <c r="PJM131" s="27"/>
      <c r="PJR131" s="64"/>
      <c r="PJS131" s="27"/>
      <c r="PJX131" s="64"/>
      <c r="PJY131" s="27"/>
      <c r="PKD131" s="64"/>
      <c r="PKE131" s="27"/>
      <c r="PKJ131" s="64"/>
      <c r="PKK131" s="27"/>
      <c r="PKP131" s="64"/>
      <c r="PKQ131" s="27"/>
      <c r="PKV131" s="64"/>
      <c r="PKW131" s="27"/>
      <c r="PLB131" s="64"/>
      <c r="PLC131" s="27"/>
      <c r="PLH131" s="64"/>
      <c r="PLI131" s="27"/>
      <c r="PLN131" s="64"/>
      <c r="PLO131" s="27"/>
      <c r="PLT131" s="64"/>
      <c r="PLU131" s="27"/>
      <c r="PLZ131" s="64"/>
      <c r="PMA131" s="27"/>
      <c r="PMF131" s="64"/>
      <c r="PMG131" s="27"/>
      <c r="PML131" s="64"/>
      <c r="PMM131" s="27"/>
      <c r="PMR131" s="64"/>
      <c r="PMS131" s="27"/>
      <c r="PMX131" s="64"/>
      <c r="PMY131" s="27"/>
      <c r="PND131" s="64"/>
      <c r="PNE131" s="27"/>
      <c r="PNJ131" s="64"/>
      <c r="PNK131" s="27"/>
      <c r="PNP131" s="64"/>
      <c r="PNQ131" s="27"/>
      <c r="PNV131" s="64"/>
      <c r="PNW131" s="27"/>
      <c r="POB131" s="64"/>
      <c r="POC131" s="27"/>
      <c r="POH131" s="64"/>
      <c r="POI131" s="27"/>
      <c r="PON131" s="64"/>
      <c r="POO131" s="27"/>
      <c r="POT131" s="64"/>
      <c r="POU131" s="27"/>
      <c r="POZ131" s="64"/>
      <c r="PPA131" s="27"/>
      <c r="PPF131" s="64"/>
      <c r="PPG131" s="27"/>
      <c r="PPL131" s="64"/>
      <c r="PPM131" s="27"/>
      <c r="PPR131" s="64"/>
      <c r="PPS131" s="27"/>
      <c r="PPX131" s="64"/>
      <c r="PPY131" s="27"/>
      <c r="PQD131" s="64"/>
      <c r="PQE131" s="27"/>
      <c r="PQJ131" s="64"/>
      <c r="PQK131" s="27"/>
      <c r="PQP131" s="64"/>
      <c r="PQQ131" s="27"/>
      <c r="PQV131" s="64"/>
      <c r="PQW131" s="27"/>
      <c r="PRB131" s="64"/>
      <c r="PRC131" s="27"/>
      <c r="PRH131" s="64"/>
      <c r="PRI131" s="27"/>
      <c r="PRN131" s="64"/>
      <c r="PRO131" s="27"/>
      <c r="PRT131" s="64"/>
      <c r="PRU131" s="27"/>
      <c r="PRZ131" s="64"/>
      <c r="PSA131" s="27"/>
      <c r="PSF131" s="64"/>
      <c r="PSG131" s="27"/>
      <c r="PSL131" s="64"/>
      <c r="PSM131" s="27"/>
      <c r="PSR131" s="64"/>
      <c r="PSS131" s="27"/>
      <c r="PSX131" s="64"/>
      <c r="PSY131" s="27"/>
      <c r="PTD131" s="64"/>
      <c r="PTE131" s="27"/>
      <c r="PTJ131" s="64"/>
      <c r="PTK131" s="27"/>
      <c r="PTP131" s="64"/>
      <c r="PTQ131" s="27"/>
      <c r="PTV131" s="64"/>
      <c r="PTW131" s="27"/>
      <c r="PUB131" s="64"/>
      <c r="PUC131" s="27"/>
      <c r="PUH131" s="64"/>
      <c r="PUI131" s="27"/>
      <c r="PUN131" s="64"/>
      <c r="PUO131" s="27"/>
      <c r="PUT131" s="64"/>
      <c r="PUU131" s="27"/>
      <c r="PUZ131" s="64"/>
      <c r="PVA131" s="27"/>
      <c r="PVF131" s="64"/>
      <c r="PVG131" s="27"/>
      <c r="PVL131" s="64"/>
      <c r="PVM131" s="27"/>
      <c r="PVR131" s="64"/>
      <c r="PVS131" s="27"/>
      <c r="PVX131" s="64"/>
      <c r="PVY131" s="27"/>
      <c r="PWD131" s="64"/>
      <c r="PWE131" s="27"/>
      <c r="PWJ131" s="64"/>
      <c r="PWK131" s="27"/>
      <c r="PWP131" s="64"/>
      <c r="PWQ131" s="27"/>
      <c r="PWV131" s="64"/>
      <c r="PWW131" s="27"/>
      <c r="PXB131" s="64"/>
      <c r="PXC131" s="27"/>
      <c r="PXH131" s="64"/>
      <c r="PXI131" s="27"/>
      <c r="PXN131" s="64"/>
      <c r="PXO131" s="27"/>
      <c r="PXT131" s="64"/>
      <c r="PXU131" s="27"/>
      <c r="PXZ131" s="64"/>
      <c r="PYA131" s="27"/>
      <c r="PYF131" s="64"/>
      <c r="PYG131" s="27"/>
      <c r="PYL131" s="64"/>
      <c r="PYM131" s="27"/>
      <c r="PYR131" s="64"/>
      <c r="PYS131" s="27"/>
      <c r="PYX131" s="64"/>
      <c r="PYY131" s="27"/>
      <c r="PZD131" s="64"/>
      <c r="PZE131" s="27"/>
      <c r="PZJ131" s="64"/>
      <c r="PZK131" s="27"/>
      <c r="PZP131" s="64"/>
      <c r="PZQ131" s="27"/>
      <c r="PZV131" s="64"/>
      <c r="PZW131" s="27"/>
      <c r="QAB131" s="64"/>
      <c r="QAC131" s="27"/>
      <c r="QAH131" s="64"/>
      <c r="QAI131" s="27"/>
      <c r="QAN131" s="64"/>
      <c r="QAO131" s="27"/>
      <c r="QAT131" s="64"/>
      <c r="QAU131" s="27"/>
      <c r="QAZ131" s="64"/>
      <c r="QBA131" s="27"/>
      <c r="QBF131" s="64"/>
      <c r="QBG131" s="27"/>
      <c r="QBL131" s="64"/>
      <c r="QBM131" s="27"/>
      <c r="QBR131" s="64"/>
      <c r="QBS131" s="27"/>
      <c r="QBX131" s="64"/>
      <c r="QBY131" s="27"/>
      <c r="QCD131" s="64"/>
      <c r="QCE131" s="27"/>
      <c r="QCJ131" s="64"/>
      <c r="QCK131" s="27"/>
      <c r="QCP131" s="64"/>
      <c r="QCQ131" s="27"/>
      <c r="QCV131" s="64"/>
      <c r="QCW131" s="27"/>
      <c r="QDB131" s="64"/>
      <c r="QDC131" s="27"/>
      <c r="QDH131" s="64"/>
      <c r="QDI131" s="27"/>
      <c r="QDN131" s="64"/>
      <c r="QDO131" s="27"/>
      <c r="QDT131" s="64"/>
      <c r="QDU131" s="27"/>
      <c r="QDZ131" s="64"/>
      <c r="QEA131" s="27"/>
      <c r="QEF131" s="64"/>
      <c r="QEG131" s="27"/>
      <c r="QEL131" s="64"/>
      <c r="QEM131" s="27"/>
      <c r="QER131" s="64"/>
      <c r="QES131" s="27"/>
      <c r="QEX131" s="64"/>
      <c r="QEY131" s="27"/>
      <c r="QFD131" s="64"/>
      <c r="QFE131" s="27"/>
      <c r="QFJ131" s="64"/>
      <c r="QFK131" s="27"/>
      <c r="QFP131" s="64"/>
      <c r="QFQ131" s="27"/>
      <c r="QFV131" s="64"/>
      <c r="QFW131" s="27"/>
      <c r="QGB131" s="64"/>
      <c r="QGC131" s="27"/>
      <c r="QGH131" s="64"/>
      <c r="QGI131" s="27"/>
      <c r="QGN131" s="64"/>
      <c r="QGO131" s="27"/>
      <c r="QGT131" s="64"/>
      <c r="QGU131" s="27"/>
      <c r="QGZ131" s="64"/>
      <c r="QHA131" s="27"/>
      <c r="QHF131" s="64"/>
      <c r="QHG131" s="27"/>
      <c r="QHL131" s="64"/>
      <c r="QHM131" s="27"/>
      <c r="QHR131" s="64"/>
      <c r="QHS131" s="27"/>
      <c r="QHX131" s="64"/>
      <c r="QHY131" s="27"/>
      <c r="QID131" s="64"/>
      <c r="QIE131" s="27"/>
      <c r="QIJ131" s="64"/>
      <c r="QIK131" s="27"/>
      <c r="QIP131" s="64"/>
      <c r="QIQ131" s="27"/>
      <c r="QIV131" s="64"/>
      <c r="QIW131" s="27"/>
      <c r="QJB131" s="64"/>
      <c r="QJC131" s="27"/>
      <c r="QJH131" s="64"/>
      <c r="QJI131" s="27"/>
      <c r="QJN131" s="64"/>
      <c r="QJO131" s="27"/>
      <c r="QJT131" s="64"/>
      <c r="QJU131" s="27"/>
      <c r="QJZ131" s="64"/>
      <c r="QKA131" s="27"/>
      <c r="QKF131" s="64"/>
      <c r="QKG131" s="27"/>
      <c r="QKL131" s="64"/>
      <c r="QKM131" s="27"/>
      <c r="QKR131" s="64"/>
      <c r="QKS131" s="27"/>
      <c r="QKX131" s="64"/>
      <c r="QKY131" s="27"/>
      <c r="QLD131" s="64"/>
      <c r="QLE131" s="27"/>
      <c r="QLJ131" s="64"/>
      <c r="QLK131" s="27"/>
      <c r="QLP131" s="64"/>
      <c r="QLQ131" s="27"/>
      <c r="QLV131" s="64"/>
      <c r="QLW131" s="27"/>
      <c r="QMB131" s="64"/>
      <c r="QMC131" s="27"/>
      <c r="QMH131" s="64"/>
      <c r="QMI131" s="27"/>
      <c r="QMN131" s="64"/>
      <c r="QMO131" s="27"/>
      <c r="QMT131" s="64"/>
      <c r="QMU131" s="27"/>
      <c r="QMZ131" s="64"/>
      <c r="QNA131" s="27"/>
      <c r="QNF131" s="64"/>
      <c r="QNG131" s="27"/>
      <c r="QNL131" s="64"/>
      <c r="QNM131" s="27"/>
      <c r="QNR131" s="64"/>
      <c r="QNS131" s="27"/>
      <c r="QNX131" s="64"/>
      <c r="QNY131" s="27"/>
      <c r="QOD131" s="64"/>
      <c r="QOE131" s="27"/>
      <c r="QOJ131" s="64"/>
      <c r="QOK131" s="27"/>
      <c r="QOP131" s="64"/>
      <c r="QOQ131" s="27"/>
      <c r="QOV131" s="64"/>
      <c r="QOW131" s="27"/>
      <c r="QPB131" s="64"/>
      <c r="QPC131" s="27"/>
      <c r="QPH131" s="64"/>
      <c r="QPI131" s="27"/>
      <c r="QPN131" s="64"/>
      <c r="QPO131" s="27"/>
      <c r="QPT131" s="64"/>
      <c r="QPU131" s="27"/>
      <c r="QPZ131" s="64"/>
      <c r="QQA131" s="27"/>
      <c r="QQF131" s="64"/>
      <c r="QQG131" s="27"/>
      <c r="QQL131" s="64"/>
      <c r="QQM131" s="27"/>
      <c r="QQR131" s="64"/>
      <c r="QQS131" s="27"/>
      <c r="QQX131" s="64"/>
      <c r="QQY131" s="27"/>
      <c r="QRD131" s="64"/>
      <c r="QRE131" s="27"/>
      <c r="QRJ131" s="64"/>
      <c r="QRK131" s="27"/>
      <c r="QRP131" s="64"/>
      <c r="QRQ131" s="27"/>
      <c r="QRV131" s="64"/>
      <c r="QRW131" s="27"/>
      <c r="QSB131" s="64"/>
      <c r="QSC131" s="27"/>
      <c r="QSH131" s="64"/>
      <c r="QSI131" s="27"/>
      <c r="QSN131" s="64"/>
      <c r="QSO131" s="27"/>
      <c r="QST131" s="64"/>
      <c r="QSU131" s="27"/>
      <c r="QSZ131" s="64"/>
      <c r="QTA131" s="27"/>
      <c r="QTF131" s="64"/>
      <c r="QTG131" s="27"/>
      <c r="QTL131" s="64"/>
      <c r="QTM131" s="27"/>
      <c r="QTR131" s="64"/>
      <c r="QTS131" s="27"/>
      <c r="QTX131" s="64"/>
      <c r="QTY131" s="27"/>
      <c r="QUD131" s="64"/>
      <c r="QUE131" s="27"/>
      <c r="QUJ131" s="64"/>
      <c r="QUK131" s="27"/>
      <c r="QUP131" s="64"/>
      <c r="QUQ131" s="27"/>
      <c r="QUV131" s="64"/>
      <c r="QUW131" s="27"/>
      <c r="QVB131" s="64"/>
      <c r="QVC131" s="27"/>
      <c r="QVH131" s="64"/>
      <c r="QVI131" s="27"/>
      <c r="QVN131" s="64"/>
      <c r="QVO131" s="27"/>
      <c r="QVT131" s="64"/>
      <c r="QVU131" s="27"/>
      <c r="QVZ131" s="64"/>
      <c r="QWA131" s="27"/>
      <c r="QWF131" s="64"/>
      <c r="QWG131" s="27"/>
      <c r="QWL131" s="64"/>
      <c r="QWM131" s="27"/>
      <c r="QWR131" s="64"/>
      <c r="QWS131" s="27"/>
      <c r="QWX131" s="64"/>
      <c r="QWY131" s="27"/>
      <c r="QXD131" s="64"/>
      <c r="QXE131" s="27"/>
      <c r="QXJ131" s="64"/>
      <c r="QXK131" s="27"/>
      <c r="QXP131" s="64"/>
      <c r="QXQ131" s="27"/>
      <c r="QXV131" s="64"/>
      <c r="QXW131" s="27"/>
      <c r="QYB131" s="64"/>
      <c r="QYC131" s="27"/>
      <c r="QYH131" s="64"/>
      <c r="QYI131" s="27"/>
      <c r="QYN131" s="64"/>
      <c r="QYO131" s="27"/>
      <c r="QYT131" s="64"/>
      <c r="QYU131" s="27"/>
      <c r="QYZ131" s="64"/>
      <c r="QZA131" s="27"/>
      <c r="QZF131" s="64"/>
      <c r="QZG131" s="27"/>
      <c r="QZL131" s="64"/>
      <c r="QZM131" s="27"/>
      <c r="QZR131" s="64"/>
      <c r="QZS131" s="27"/>
      <c r="QZX131" s="64"/>
      <c r="QZY131" s="27"/>
      <c r="RAD131" s="64"/>
      <c r="RAE131" s="27"/>
      <c r="RAJ131" s="64"/>
      <c r="RAK131" s="27"/>
      <c r="RAP131" s="64"/>
      <c r="RAQ131" s="27"/>
      <c r="RAV131" s="64"/>
      <c r="RAW131" s="27"/>
      <c r="RBB131" s="64"/>
      <c r="RBC131" s="27"/>
      <c r="RBH131" s="64"/>
      <c r="RBI131" s="27"/>
      <c r="RBN131" s="64"/>
      <c r="RBO131" s="27"/>
      <c r="RBT131" s="64"/>
      <c r="RBU131" s="27"/>
      <c r="RBZ131" s="64"/>
      <c r="RCA131" s="27"/>
      <c r="RCF131" s="64"/>
      <c r="RCG131" s="27"/>
      <c r="RCL131" s="64"/>
      <c r="RCM131" s="27"/>
      <c r="RCR131" s="64"/>
      <c r="RCS131" s="27"/>
      <c r="RCX131" s="64"/>
      <c r="RCY131" s="27"/>
      <c r="RDD131" s="64"/>
      <c r="RDE131" s="27"/>
      <c r="RDJ131" s="64"/>
      <c r="RDK131" s="27"/>
      <c r="RDP131" s="64"/>
      <c r="RDQ131" s="27"/>
      <c r="RDV131" s="64"/>
      <c r="RDW131" s="27"/>
      <c r="REB131" s="64"/>
      <c r="REC131" s="27"/>
      <c r="REH131" s="64"/>
      <c r="REI131" s="27"/>
      <c r="REN131" s="64"/>
      <c r="REO131" s="27"/>
      <c r="RET131" s="64"/>
      <c r="REU131" s="27"/>
      <c r="REZ131" s="64"/>
      <c r="RFA131" s="27"/>
      <c r="RFF131" s="64"/>
      <c r="RFG131" s="27"/>
      <c r="RFL131" s="64"/>
      <c r="RFM131" s="27"/>
      <c r="RFR131" s="64"/>
      <c r="RFS131" s="27"/>
      <c r="RFX131" s="64"/>
      <c r="RFY131" s="27"/>
      <c r="RGD131" s="64"/>
      <c r="RGE131" s="27"/>
      <c r="RGJ131" s="64"/>
      <c r="RGK131" s="27"/>
      <c r="RGP131" s="64"/>
      <c r="RGQ131" s="27"/>
      <c r="RGV131" s="64"/>
      <c r="RGW131" s="27"/>
      <c r="RHB131" s="64"/>
      <c r="RHC131" s="27"/>
      <c r="RHH131" s="64"/>
      <c r="RHI131" s="27"/>
      <c r="RHN131" s="64"/>
      <c r="RHO131" s="27"/>
      <c r="RHT131" s="64"/>
      <c r="RHU131" s="27"/>
      <c r="RHZ131" s="64"/>
      <c r="RIA131" s="27"/>
      <c r="RIF131" s="64"/>
      <c r="RIG131" s="27"/>
      <c r="RIL131" s="64"/>
      <c r="RIM131" s="27"/>
      <c r="RIR131" s="64"/>
      <c r="RIS131" s="27"/>
      <c r="RIX131" s="64"/>
      <c r="RIY131" s="27"/>
      <c r="RJD131" s="64"/>
      <c r="RJE131" s="27"/>
      <c r="RJJ131" s="64"/>
      <c r="RJK131" s="27"/>
      <c r="RJP131" s="64"/>
      <c r="RJQ131" s="27"/>
      <c r="RJV131" s="64"/>
      <c r="RJW131" s="27"/>
      <c r="RKB131" s="64"/>
      <c r="RKC131" s="27"/>
      <c r="RKH131" s="64"/>
      <c r="RKI131" s="27"/>
      <c r="RKN131" s="64"/>
      <c r="RKO131" s="27"/>
      <c r="RKT131" s="64"/>
      <c r="RKU131" s="27"/>
      <c r="RKZ131" s="64"/>
      <c r="RLA131" s="27"/>
      <c r="RLF131" s="64"/>
      <c r="RLG131" s="27"/>
      <c r="RLL131" s="64"/>
      <c r="RLM131" s="27"/>
      <c r="RLR131" s="64"/>
      <c r="RLS131" s="27"/>
      <c r="RLX131" s="64"/>
      <c r="RLY131" s="27"/>
      <c r="RMD131" s="64"/>
      <c r="RME131" s="27"/>
      <c r="RMJ131" s="64"/>
      <c r="RMK131" s="27"/>
      <c r="RMP131" s="64"/>
      <c r="RMQ131" s="27"/>
      <c r="RMV131" s="64"/>
      <c r="RMW131" s="27"/>
      <c r="RNB131" s="64"/>
      <c r="RNC131" s="27"/>
      <c r="RNH131" s="64"/>
      <c r="RNI131" s="27"/>
      <c r="RNN131" s="64"/>
      <c r="RNO131" s="27"/>
      <c r="RNT131" s="64"/>
      <c r="RNU131" s="27"/>
      <c r="RNZ131" s="64"/>
      <c r="ROA131" s="27"/>
      <c r="ROF131" s="64"/>
      <c r="ROG131" s="27"/>
      <c r="ROL131" s="64"/>
      <c r="ROM131" s="27"/>
      <c r="ROR131" s="64"/>
      <c r="ROS131" s="27"/>
      <c r="ROX131" s="64"/>
      <c r="ROY131" s="27"/>
      <c r="RPD131" s="64"/>
      <c r="RPE131" s="27"/>
      <c r="RPJ131" s="64"/>
      <c r="RPK131" s="27"/>
      <c r="RPP131" s="64"/>
      <c r="RPQ131" s="27"/>
      <c r="RPV131" s="64"/>
      <c r="RPW131" s="27"/>
      <c r="RQB131" s="64"/>
      <c r="RQC131" s="27"/>
      <c r="RQH131" s="64"/>
      <c r="RQI131" s="27"/>
      <c r="RQN131" s="64"/>
      <c r="RQO131" s="27"/>
      <c r="RQT131" s="64"/>
      <c r="RQU131" s="27"/>
      <c r="RQZ131" s="64"/>
      <c r="RRA131" s="27"/>
      <c r="RRF131" s="64"/>
      <c r="RRG131" s="27"/>
      <c r="RRL131" s="64"/>
      <c r="RRM131" s="27"/>
      <c r="RRR131" s="64"/>
      <c r="RRS131" s="27"/>
      <c r="RRX131" s="64"/>
      <c r="RRY131" s="27"/>
      <c r="RSD131" s="64"/>
      <c r="RSE131" s="27"/>
      <c r="RSJ131" s="64"/>
      <c r="RSK131" s="27"/>
      <c r="RSP131" s="64"/>
      <c r="RSQ131" s="27"/>
      <c r="RSV131" s="64"/>
      <c r="RSW131" s="27"/>
      <c r="RTB131" s="64"/>
      <c r="RTC131" s="27"/>
      <c r="RTH131" s="64"/>
      <c r="RTI131" s="27"/>
      <c r="RTN131" s="64"/>
      <c r="RTO131" s="27"/>
      <c r="RTT131" s="64"/>
      <c r="RTU131" s="27"/>
      <c r="RTZ131" s="64"/>
      <c r="RUA131" s="27"/>
      <c r="RUF131" s="64"/>
      <c r="RUG131" s="27"/>
      <c r="RUL131" s="64"/>
      <c r="RUM131" s="27"/>
      <c r="RUR131" s="64"/>
      <c r="RUS131" s="27"/>
      <c r="RUX131" s="64"/>
      <c r="RUY131" s="27"/>
      <c r="RVD131" s="64"/>
      <c r="RVE131" s="27"/>
      <c r="RVJ131" s="64"/>
      <c r="RVK131" s="27"/>
      <c r="RVP131" s="64"/>
      <c r="RVQ131" s="27"/>
      <c r="RVV131" s="64"/>
      <c r="RVW131" s="27"/>
      <c r="RWB131" s="64"/>
      <c r="RWC131" s="27"/>
      <c r="RWH131" s="64"/>
      <c r="RWI131" s="27"/>
      <c r="RWN131" s="64"/>
      <c r="RWO131" s="27"/>
      <c r="RWT131" s="64"/>
      <c r="RWU131" s="27"/>
      <c r="RWZ131" s="64"/>
      <c r="RXA131" s="27"/>
      <c r="RXF131" s="64"/>
      <c r="RXG131" s="27"/>
      <c r="RXL131" s="64"/>
      <c r="RXM131" s="27"/>
      <c r="RXR131" s="64"/>
      <c r="RXS131" s="27"/>
      <c r="RXX131" s="64"/>
      <c r="RXY131" s="27"/>
      <c r="RYD131" s="64"/>
      <c r="RYE131" s="27"/>
      <c r="RYJ131" s="64"/>
      <c r="RYK131" s="27"/>
      <c r="RYP131" s="64"/>
      <c r="RYQ131" s="27"/>
      <c r="RYV131" s="64"/>
      <c r="RYW131" s="27"/>
      <c r="RZB131" s="64"/>
      <c r="RZC131" s="27"/>
      <c r="RZH131" s="64"/>
      <c r="RZI131" s="27"/>
      <c r="RZN131" s="64"/>
      <c r="RZO131" s="27"/>
      <c r="RZT131" s="64"/>
      <c r="RZU131" s="27"/>
      <c r="RZZ131" s="64"/>
      <c r="SAA131" s="27"/>
      <c r="SAF131" s="64"/>
      <c r="SAG131" s="27"/>
      <c r="SAL131" s="64"/>
      <c r="SAM131" s="27"/>
      <c r="SAR131" s="64"/>
      <c r="SAS131" s="27"/>
      <c r="SAX131" s="64"/>
      <c r="SAY131" s="27"/>
      <c r="SBD131" s="64"/>
      <c r="SBE131" s="27"/>
      <c r="SBJ131" s="64"/>
      <c r="SBK131" s="27"/>
      <c r="SBP131" s="64"/>
      <c r="SBQ131" s="27"/>
      <c r="SBV131" s="64"/>
      <c r="SBW131" s="27"/>
      <c r="SCB131" s="64"/>
      <c r="SCC131" s="27"/>
      <c r="SCH131" s="64"/>
      <c r="SCI131" s="27"/>
      <c r="SCN131" s="64"/>
      <c r="SCO131" s="27"/>
      <c r="SCT131" s="64"/>
      <c r="SCU131" s="27"/>
      <c r="SCZ131" s="64"/>
      <c r="SDA131" s="27"/>
      <c r="SDF131" s="64"/>
      <c r="SDG131" s="27"/>
      <c r="SDL131" s="64"/>
      <c r="SDM131" s="27"/>
      <c r="SDR131" s="64"/>
      <c r="SDS131" s="27"/>
      <c r="SDX131" s="64"/>
      <c r="SDY131" s="27"/>
      <c r="SED131" s="64"/>
      <c r="SEE131" s="27"/>
      <c r="SEJ131" s="64"/>
      <c r="SEK131" s="27"/>
      <c r="SEP131" s="64"/>
      <c r="SEQ131" s="27"/>
      <c r="SEV131" s="64"/>
      <c r="SEW131" s="27"/>
      <c r="SFB131" s="64"/>
      <c r="SFC131" s="27"/>
      <c r="SFH131" s="64"/>
      <c r="SFI131" s="27"/>
      <c r="SFN131" s="64"/>
      <c r="SFO131" s="27"/>
      <c r="SFT131" s="64"/>
      <c r="SFU131" s="27"/>
      <c r="SFZ131" s="64"/>
      <c r="SGA131" s="27"/>
      <c r="SGF131" s="64"/>
      <c r="SGG131" s="27"/>
      <c r="SGL131" s="64"/>
      <c r="SGM131" s="27"/>
      <c r="SGR131" s="64"/>
      <c r="SGS131" s="27"/>
      <c r="SGX131" s="64"/>
      <c r="SGY131" s="27"/>
      <c r="SHD131" s="64"/>
      <c r="SHE131" s="27"/>
      <c r="SHJ131" s="64"/>
      <c r="SHK131" s="27"/>
      <c r="SHP131" s="64"/>
      <c r="SHQ131" s="27"/>
      <c r="SHV131" s="64"/>
      <c r="SHW131" s="27"/>
      <c r="SIB131" s="64"/>
      <c r="SIC131" s="27"/>
      <c r="SIH131" s="64"/>
      <c r="SII131" s="27"/>
      <c r="SIN131" s="64"/>
      <c r="SIO131" s="27"/>
      <c r="SIT131" s="64"/>
      <c r="SIU131" s="27"/>
      <c r="SIZ131" s="64"/>
      <c r="SJA131" s="27"/>
      <c r="SJF131" s="64"/>
      <c r="SJG131" s="27"/>
      <c r="SJL131" s="64"/>
      <c r="SJM131" s="27"/>
      <c r="SJR131" s="64"/>
      <c r="SJS131" s="27"/>
      <c r="SJX131" s="64"/>
      <c r="SJY131" s="27"/>
      <c r="SKD131" s="64"/>
      <c r="SKE131" s="27"/>
      <c r="SKJ131" s="64"/>
      <c r="SKK131" s="27"/>
      <c r="SKP131" s="64"/>
      <c r="SKQ131" s="27"/>
      <c r="SKV131" s="64"/>
      <c r="SKW131" s="27"/>
      <c r="SLB131" s="64"/>
      <c r="SLC131" s="27"/>
      <c r="SLH131" s="64"/>
      <c r="SLI131" s="27"/>
      <c r="SLN131" s="64"/>
      <c r="SLO131" s="27"/>
      <c r="SLT131" s="64"/>
      <c r="SLU131" s="27"/>
      <c r="SLZ131" s="64"/>
      <c r="SMA131" s="27"/>
      <c r="SMF131" s="64"/>
      <c r="SMG131" s="27"/>
      <c r="SML131" s="64"/>
      <c r="SMM131" s="27"/>
      <c r="SMR131" s="64"/>
      <c r="SMS131" s="27"/>
      <c r="SMX131" s="64"/>
      <c r="SMY131" s="27"/>
      <c r="SND131" s="64"/>
      <c r="SNE131" s="27"/>
      <c r="SNJ131" s="64"/>
      <c r="SNK131" s="27"/>
      <c r="SNP131" s="64"/>
      <c r="SNQ131" s="27"/>
      <c r="SNV131" s="64"/>
      <c r="SNW131" s="27"/>
      <c r="SOB131" s="64"/>
      <c r="SOC131" s="27"/>
      <c r="SOH131" s="64"/>
      <c r="SOI131" s="27"/>
      <c r="SON131" s="64"/>
      <c r="SOO131" s="27"/>
      <c r="SOT131" s="64"/>
      <c r="SOU131" s="27"/>
      <c r="SOZ131" s="64"/>
      <c r="SPA131" s="27"/>
      <c r="SPF131" s="64"/>
      <c r="SPG131" s="27"/>
      <c r="SPL131" s="64"/>
      <c r="SPM131" s="27"/>
      <c r="SPR131" s="64"/>
      <c r="SPS131" s="27"/>
      <c r="SPX131" s="64"/>
      <c r="SPY131" s="27"/>
      <c r="SQD131" s="64"/>
      <c r="SQE131" s="27"/>
      <c r="SQJ131" s="64"/>
      <c r="SQK131" s="27"/>
      <c r="SQP131" s="64"/>
      <c r="SQQ131" s="27"/>
      <c r="SQV131" s="64"/>
      <c r="SQW131" s="27"/>
      <c r="SRB131" s="64"/>
      <c r="SRC131" s="27"/>
      <c r="SRH131" s="64"/>
      <c r="SRI131" s="27"/>
      <c r="SRN131" s="64"/>
      <c r="SRO131" s="27"/>
      <c r="SRT131" s="64"/>
      <c r="SRU131" s="27"/>
      <c r="SRZ131" s="64"/>
      <c r="SSA131" s="27"/>
      <c r="SSF131" s="64"/>
      <c r="SSG131" s="27"/>
      <c r="SSL131" s="64"/>
      <c r="SSM131" s="27"/>
      <c r="SSR131" s="64"/>
      <c r="SSS131" s="27"/>
      <c r="SSX131" s="64"/>
      <c r="SSY131" s="27"/>
      <c r="STD131" s="64"/>
      <c r="STE131" s="27"/>
      <c r="STJ131" s="64"/>
      <c r="STK131" s="27"/>
      <c r="STP131" s="64"/>
      <c r="STQ131" s="27"/>
      <c r="STV131" s="64"/>
      <c r="STW131" s="27"/>
      <c r="SUB131" s="64"/>
      <c r="SUC131" s="27"/>
      <c r="SUH131" s="64"/>
      <c r="SUI131" s="27"/>
      <c r="SUN131" s="64"/>
      <c r="SUO131" s="27"/>
      <c r="SUT131" s="64"/>
      <c r="SUU131" s="27"/>
      <c r="SUZ131" s="64"/>
      <c r="SVA131" s="27"/>
      <c r="SVF131" s="64"/>
      <c r="SVG131" s="27"/>
      <c r="SVL131" s="64"/>
      <c r="SVM131" s="27"/>
      <c r="SVR131" s="64"/>
      <c r="SVS131" s="27"/>
      <c r="SVX131" s="64"/>
      <c r="SVY131" s="27"/>
      <c r="SWD131" s="64"/>
      <c r="SWE131" s="27"/>
      <c r="SWJ131" s="64"/>
      <c r="SWK131" s="27"/>
      <c r="SWP131" s="64"/>
      <c r="SWQ131" s="27"/>
      <c r="SWV131" s="64"/>
      <c r="SWW131" s="27"/>
      <c r="SXB131" s="64"/>
      <c r="SXC131" s="27"/>
      <c r="SXH131" s="64"/>
      <c r="SXI131" s="27"/>
      <c r="SXN131" s="64"/>
      <c r="SXO131" s="27"/>
      <c r="SXT131" s="64"/>
      <c r="SXU131" s="27"/>
      <c r="SXZ131" s="64"/>
      <c r="SYA131" s="27"/>
      <c r="SYF131" s="64"/>
      <c r="SYG131" s="27"/>
      <c r="SYL131" s="64"/>
      <c r="SYM131" s="27"/>
      <c r="SYR131" s="64"/>
      <c r="SYS131" s="27"/>
      <c r="SYX131" s="64"/>
      <c r="SYY131" s="27"/>
      <c r="SZD131" s="64"/>
      <c r="SZE131" s="27"/>
      <c r="SZJ131" s="64"/>
      <c r="SZK131" s="27"/>
      <c r="SZP131" s="64"/>
      <c r="SZQ131" s="27"/>
      <c r="SZV131" s="64"/>
      <c r="SZW131" s="27"/>
      <c r="TAB131" s="64"/>
      <c r="TAC131" s="27"/>
      <c r="TAH131" s="64"/>
      <c r="TAI131" s="27"/>
      <c r="TAN131" s="64"/>
      <c r="TAO131" s="27"/>
      <c r="TAT131" s="64"/>
      <c r="TAU131" s="27"/>
      <c r="TAZ131" s="64"/>
      <c r="TBA131" s="27"/>
      <c r="TBF131" s="64"/>
      <c r="TBG131" s="27"/>
      <c r="TBL131" s="64"/>
      <c r="TBM131" s="27"/>
      <c r="TBR131" s="64"/>
      <c r="TBS131" s="27"/>
      <c r="TBX131" s="64"/>
      <c r="TBY131" s="27"/>
      <c r="TCD131" s="64"/>
      <c r="TCE131" s="27"/>
      <c r="TCJ131" s="64"/>
      <c r="TCK131" s="27"/>
      <c r="TCP131" s="64"/>
      <c r="TCQ131" s="27"/>
      <c r="TCV131" s="64"/>
      <c r="TCW131" s="27"/>
      <c r="TDB131" s="64"/>
      <c r="TDC131" s="27"/>
      <c r="TDH131" s="64"/>
      <c r="TDI131" s="27"/>
      <c r="TDN131" s="64"/>
      <c r="TDO131" s="27"/>
      <c r="TDT131" s="64"/>
      <c r="TDU131" s="27"/>
      <c r="TDZ131" s="64"/>
      <c r="TEA131" s="27"/>
      <c r="TEF131" s="64"/>
      <c r="TEG131" s="27"/>
      <c r="TEL131" s="64"/>
      <c r="TEM131" s="27"/>
      <c r="TER131" s="64"/>
      <c r="TES131" s="27"/>
      <c r="TEX131" s="64"/>
      <c r="TEY131" s="27"/>
      <c r="TFD131" s="64"/>
      <c r="TFE131" s="27"/>
      <c r="TFJ131" s="64"/>
      <c r="TFK131" s="27"/>
      <c r="TFP131" s="64"/>
      <c r="TFQ131" s="27"/>
      <c r="TFV131" s="64"/>
      <c r="TFW131" s="27"/>
      <c r="TGB131" s="64"/>
      <c r="TGC131" s="27"/>
      <c r="TGH131" s="64"/>
      <c r="TGI131" s="27"/>
      <c r="TGN131" s="64"/>
      <c r="TGO131" s="27"/>
      <c r="TGT131" s="64"/>
      <c r="TGU131" s="27"/>
      <c r="TGZ131" s="64"/>
      <c r="THA131" s="27"/>
      <c r="THF131" s="64"/>
      <c r="THG131" s="27"/>
      <c r="THL131" s="64"/>
      <c r="THM131" s="27"/>
      <c r="THR131" s="64"/>
      <c r="THS131" s="27"/>
      <c r="THX131" s="64"/>
      <c r="THY131" s="27"/>
      <c r="TID131" s="64"/>
      <c r="TIE131" s="27"/>
      <c r="TIJ131" s="64"/>
      <c r="TIK131" s="27"/>
      <c r="TIP131" s="64"/>
      <c r="TIQ131" s="27"/>
      <c r="TIV131" s="64"/>
      <c r="TIW131" s="27"/>
      <c r="TJB131" s="64"/>
      <c r="TJC131" s="27"/>
      <c r="TJH131" s="64"/>
      <c r="TJI131" s="27"/>
      <c r="TJN131" s="64"/>
      <c r="TJO131" s="27"/>
      <c r="TJT131" s="64"/>
      <c r="TJU131" s="27"/>
      <c r="TJZ131" s="64"/>
      <c r="TKA131" s="27"/>
      <c r="TKF131" s="64"/>
      <c r="TKG131" s="27"/>
      <c r="TKL131" s="64"/>
      <c r="TKM131" s="27"/>
      <c r="TKR131" s="64"/>
      <c r="TKS131" s="27"/>
      <c r="TKX131" s="64"/>
      <c r="TKY131" s="27"/>
      <c r="TLD131" s="64"/>
      <c r="TLE131" s="27"/>
      <c r="TLJ131" s="64"/>
      <c r="TLK131" s="27"/>
      <c r="TLP131" s="64"/>
      <c r="TLQ131" s="27"/>
      <c r="TLV131" s="64"/>
      <c r="TLW131" s="27"/>
      <c r="TMB131" s="64"/>
      <c r="TMC131" s="27"/>
      <c r="TMH131" s="64"/>
      <c r="TMI131" s="27"/>
      <c r="TMN131" s="64"/>
      <c r="TMO131" s="27"/>
      <c r="TMT131" s="64"/>
      <c r="TMU131" s="27"/>
      <c r="TMZ131" s="64"/>
      <c r="TNA131" s="27"/>
      <c r="TNF131" s="64"/>
      <c r="TNG131" s="27"/>
      <c r="TNL131" s="64"/>
      <c r="TNM131" s="27"/>
      <c r="TNR131" s="64"/>
      <c r="TNS131" s="27"/>
      <c r="TNX131" s="64"/>
      <c r="TNY131" s="27"/>
      <c r="TOD131" s="64"/>
      <c r="TOE131" s="27"/>
      <c r="TOJ131" s="64"/>
      <c r="TOK131" s="27"/>
      <c r="TOP131" s="64"/>
      <c r="TOQ131" s="27"/>
      <c r="TOV131" s="64"/>
      <c r="TOW131" s="27"/>
      <c r="TPB131" s="64"/>
      <c r="TPC131" s="27"/>
      <c r="TPH131" s="64"/>
      <c r="TPI131" s="27"/>
      <c r="TPN131" s="64"/>
      <c r="TPO131" s="27"/>
      <c r="TPT131" s="64"/>
      <c r="TPU131" s="27"/>
      <c r="TPZ131" s="64"/>
      <c r="TQA131" s="27"/>
      <c r="TQF131" s="64"/>
      <c r="TQG131" s="27"/>
      <c r="TQL131" s="64"/>
      <c r="TQM131" s="27"/>
      <c r="TQR131" s="64"/>
      <c r="TQS131" s="27"/>
      <c r="TQX131" s="64"/>
      <c r="TQY131" s="27"/>
      <c r="TRD131" s="64"/>
      <c r="TRE131" s="27"/>
      <c r="TRJ131" s="64"/>
      <c r="TRK131" s="27"/>
      <c r="TRP131" s="64"/>
      <c r="TRQ131" s="27"/>
      <c r="TRV131" s="64"/>
      <c r="TRW131" s="27"/>
      <c r="TSB131" s="64"/>
      <c r="TSC131" s="27"/>
      <c r="TSH131" s="64"/>
      <c r="TSI131" s="27"/>
      <c r="TSN131" s="64"/>
      <c r="TSO131" s="27"/>
      <c r="TST131" s="64"/>
      <c r="TSU131" s="27"/>
      <c r="TSZ131" s="64"/>
      <c r="TTA131" s="27"/>
      <c r="TTF131" s="64"/>
      <c r="TTG131" s="27"/>
      <c r="TTL131" s="64"/>
      <c r="TTM131" s="27"/>
      <c r="TTR131" s="64"/>
      <c r="TTS131" s="27"/>
      <c r="TTX131" s="64"/>
      <c r="TTY131" s="27"/>
      <c r="TUD131" s="64"/>
      <c r="TUE131" s="27"/>
      <c r="TUJ131" s="64"/>
      <c r="TUK131" s="27"/>
      <c r="TUP131" s="64"/>
      <c r="TUQ131" s="27"/>
      <c r="TUV131" s="64"/>
      <c r="TUW131" s="27"/>
      <c r="TVB131" s="64"/>
      <c r="TVC131" s="27"/>
      <c r="TVH131" s="64"/>
      <c r="TVI131" s="27"/>
      <c r="TVN131" s="64"/>
      <c r="TVO131" s="27"/>
      <c r="TVT131" s="64"/>
      <c r="TVU131" s="27"/>
      <c r="TVZ131" s="64"/>
      <c r="TWA131" s="27"/>
      <c r="TWF131" s="64"/>
      <c r="TWG131" s="27"/>
      <c r="TWL131" s="64"/>
      <c r="TWM131" s="27"/>
      <c r="TWR131" s="64"/>
      <c r="TWS131" s="27"/>
      <c r="TWX131" s="64"/>
      <c r="TWY131" s="27"/>
      <c r="TXD131" s="64"/>
      <c r="TXE131" s="27"/>
      <c r="TXJ131" s="64"/>
      <c r="TXK131" s="27"/>
      <c r="TXP131" s="64"/>
      <c r="TXQ131" s="27"/>
      <c r="TXV131" s="64"/>
      <c r="TXW131" s="27"/>
      <c r="TYB131" s="64"/>
      <c r="TYC131" s="27"/>
      <c r="TYH131" s="64"/>
      <c r="TYI131" s="27"/>
      <c r="TYN131" s="64"/>
      <c r="TYO131" s="27"/>
      <c r="TYT131" s="64"/>
      <c r="TYU131" s="27"/>
      <c r="TYZ131" s="64"/>
      <c r="TZA131" s="27"/>
      <c r="TZF131" s="64"/>
      <c r="TZG131" s="27"/>
      <c r="TZL131" s="64"/>
      <c r="TZM131" s="27"/>
      <c r="TZR131" s="64"/>
      <c r="TZS131" s="27"/>
      <c r="TZX131" s="64"/>
      <c r="TZY131" s="27"/>
      <c r="UAD131" s="64"/>
      <c r="UAE131" s="27"/>
      <c r="UAJ131" s="64"/>
      <c r="UAK131" s="27"/>
      <c r="UAP131" s="64"/>
      <c r="UAQ131" s="27"/>
      <c r="UAV131" s="64"/>
      <c r="UAW131" s="27"/>
      <c r="UBB131" s="64"/>
      <c r="UBC131" s="27"/>
      <c r="UBH131" s="64"/>
      <c r="UBI131" s="27"/>
      <c r="UBN131" s="64"/>
      <c r="UBO131" s="27"/>
      <c r="UBT131" s="64"/>
      <c r="UBU131" s="27"/>
      <c r="UBZ131" s="64"/>
      <c r="UCA131" s="27"/>
      <c r="UCF131" s="64"/>
      <c r="UCG131" s="27"/>
      <c r="UCL131" s="64"/>
      <c r="UCM131" s="27"/>
      <c r="UCR131" s="64"/>
      <c r="UCS131" s="27"/>
      <c r="UCX131" s="64"/>
      <c r="UCY131" s="27"/>
      <c r="UDD131" s="64"/>
      <c r="UDE131" s="27"/>
      <c r="UDJ131" s="64"/>
      <c r="UDK131" s="27"/>
      <c r="UDP131" s="64"/>
      <c r="UDQ131" s="27"/>
      <c r="UDV131" s="64"/>
      <c r="UDW131" s="27"/>
      <c r="UEB131" s="64"/>
      <c r="UEC131" s="27"/>
      <c r="UEH131" s="64"/>
      <c r="UEI131" s="27"/>
      <c r="UEN131" s="64"/>
      <c r="UEO131" s="27"/>
      <c r="UET131" s="64"/>
      <c r="UEU131" s="27"/>
      <c r="UEZ131" s="64"/>
      <c r="UFA131" s="27"/>
      <c r="UFF131" s="64"/>
      <c r="UFG131" s="27"/>
      <c r="UFL131" s="64"/>
      <c r="UFM131" s="27"/>
      <c r="UFR131" s="64"/>
      <c r="UFS131" s="27"/>
      <c r="UFX131" s="64"/>
      <c r="UFY131" s="27"/>
      <c r="UGD131" s="64"/>
      <c r="UGE131" s="27"/>
      <c r="UGJ131" s="64"/>
      <c r="UGK131" s="27"/>
      <c r="UGP131" s="64"/>
      <c r="UGQ131" s="27"/>
      <c r="UGV131" s="64"/>
      <c r="UGW131" s="27"/>
      <c r="UHB131" s="64"/>
      <c r="UHC131" s="27"/>
      <c r="UHH131" s="64"/>
      <c r="UHI131" s="27"/>
      <c r="UHN131" s="64"/>
      <c r="UHO131" s="27"/>
      <c r="UHT131" s="64"/>
      <c r="UHU131" s="27"/>
      <c r="UHZ131" s="64"/>
      <c r="UIA131" s="27"/>
      <c r="UIF131" s="64"/>
      <c r="UIG131" s="27"/>
      <c r="UIL131" s="64"/>
      <c r="UIM131" s="27"/>
      <c r="UIR131" s="64"/>
      <c r="UIS131" s="27"/>
      <c r="UIX131" s="64"/>
      <c r="UIY131" s="27"/>
      <c r="UJD131" s="64"/>
      <c r="UJE131" s="27"/>
      <c r="UJJ131" s="64"/>
      <c r="UJK131" s="27"/>
      <c r="UJP131" s="64"/>
      <c r="UJQ131" s="27"/>
      <c r="UJV131" s="64"/>
      <c r="UJW131" s="27"/>
      <c r="UKB131" s="64"/>
      <c r="UKC131" s="27"/>
      <c r="UKH131" s="64"/>
      <c r="UKI131" s="27"/>
      <c r="UKN131" s="64"/>
      <c r="UKO131" s="27"/>
      <c r="UKT131" s="64"/>
      <c r="UKU131" s="27"/>
      <c r="UKZ131" s="64"/>
      <c r="ULA131" s="27"/>
      <c r="ULF131" s="64"/>
      <c r="ULG131" s="27"/>
      <c r="ULL131" s="64"/>
      <c r="ULM131" s="27"/>
      <c r="ULR131" s="64"/>
      <c r="ULS131" s="27"/>
      <c r="ULX131" s="64"/>
      <c r="ULY131" s="27"/>
      <c r="UMD131" s="64"/>
      <c r="UME131" s="27"/>
      <c r="UMJ131" s="64"/>
      <c r="UMK131" s="27"/>
      <c r="UMP131" s="64"/>
      <c r="UMQ131" s="27"/>
      <c r="UMV131" s="64"/>
      <c r="UMW131" s="27"/>
      <c r="UNB131" s="64"/>
      <c r="UNC131" s="27"/>
      <c r="UNH131" s="64"/>
      <c r="UNI131" s="27"/>
      <c r="UNN131" s="64"/>
      <c r="UNO131" s="27"/>
      <c r="UNT131" s="64"/>
      <c r="UNU131" s="27"/>
      <c r="UNZ131" s="64"/>
      <c r="UOA131" s="27"/>
      <c r="UOF131" s="64"/>
      <c r="UOG131" s="27"/>
      <c r="UOL131" s="64"/>
      <c r="UOM131" s="27"/>
      <c r="UOR131" s="64"/>
      <c r="UOS131" s="27"/>
      <c r="UOX131" s="64"/>
      <c r="UOY131" s="27"/>
      <c r="UPD131" s="64"/>
      <c r="UPE131" s="27"/>
      <c r="UPJ131" s="64"/>
      <c r="UPK131" s="27"/>
      <c r="UPP131" s="64"/>
      <c r="UPQ131" s="27"/>
      <c r="UPV131" s="64"/>
      <c r="UPW131" s="27"/>
      <c r="UQB131" s="64"/>
      <c r="UQC131" s="27"/>
      <c r="UQH131" s="64"/>
      <c r="UQI131" s="27"/>
      <c r="UQN131" s="64"/>
      <c r="UQO131" s="27"/>
      <c r="UQT131" s="64"/>
      <c r="UQU131" s="27"/>
      <c r="UQZ131" s="64"/>
      <c r="URA131" s="27"/>
      <c r="URF131" s="64"/>
      <c r="URG131" s="27"/>
      <c r="URL131" s="64"/>
      <c r="URM131" s="27"/>
      <c r="URR131" s="64"/>
      <c r="URS131" s="27"/>
      <c r="URX131" s="64"/>
      <c r="URY131" s="27"/>
      <c r="USD131" s="64"/>
      <c r="USE131" s="27"/>
      <c r="USJ131" s="64"/>
      <c r="USK131" s="27"/>
      <c r="USP131" s="64"/>
      <c r="USQ131" s="27"/>
      <c r="USV131" s="64"/>
      <c r="USW131" s="27"/>
      <c r="UTB131" s="64"/>
      <c r="UTC131" s="27"/>
      <c r="UTH131" s="64"/>
      <c r="UTI131" s="27"/>
      <c r="UTN131" s="64"/>
      <c r="UTO131" s="27"/>
      <c r="UTT131" s="64"/>
      <c r="UTU131" s="27"/>
      <c r="UTZ131" s="64"/>
      <c r="UUA131" s="27"/>
      <c r="UUF131" s="64"/>
      <c r="UUG131" s="27"/>
      <c r="UUL131" s="64"/>
      <c r="UUM131" s="27"/>
      <c r="UUR131" s="64"/>
      <c r="UUS131" s="27"/>
      <c r="UUX131" s="64"/>
      <c r="UUY131" s="27"/>
      <c r="UVD131" s="64"/>
      <c r="UVE131" s="27"/>
      <c r="UVJ131" s="64"/>
      <c r="UVK131" s="27"/>
      <c r="UVP131" s="64"/>
      <c r="UVQ131" s="27"/>
      <c r="UVV131" s="64"/>
      <c r="UVW131" s="27"/>
      <c r="UWB131" s="64"/>
      <c r="UWC131" s="27"/>
      <c r="UWH131" s="64"/>
      <c r="UWI131" s="27"/>
      <c r="UWN131" s="64"/>
      <c r="UWO131" s="27"/>
      <c r="UWT131" s="64"/>
      <c r="UWU131" s="27"/>
      <c r="UWZ131" s="64"/>
      <c r="UXA131" s="27"/>
      <c r="UXF131" s="64"/>
      <c r="UXG131" s="27"/>
      <c r="UXL131" s="64"/>
      <c r="UXM131" s="27"/>
      <c r="UXR131" s="64"/>
      <c r="UXS131" s="27"/>
      <c r="UXX131" s="64"/>
      <c r="UXY131" s="27"/>
      <c r="UYD131" s="64"/>
      <c r="UYE131" s="27"/>
      <c r="UYJ131" s="64"/>
      <c r="UYK131" s="27"/>
      <c r="UYP131" s="64"/>
      <c r="UYQ131" s="27"/>
      <c r="UYV131" s="64"/>
      <c r="UYW131" s="27"/>
      <c r="UZB131" s="64"/>
      <c r="UZC131" s="27"/>
      <c r="UZH131" s="64"/>
      <c r="UZI131" s="27"/>
      <c r="UZN131" s="64"/>
      <c r="UZO131" s="27"/>
      <c r="UZT131" s="64"/>
      <c r="UZU131" s="27"/>
      <c r="UZZ131" s="64"/>
      <c r="VAA131" s="27"/>
      <c r="VAF131" s="64"/>
      <c r="VAG131" s="27"/>
      <c r="VAL131" s="64"/>
      <c r="VAM131" s="27"/>
      <c r="VAR131" s="64"/>
      <c r="VAS131" s="27"/>
      <c r="VAX131" s="64"/>
      <c r="VAY131" s="27"/>
      <c r="VBD131" s="64"/>
      <c r="VBE131" s="27"/>
      <c r="VBJ131" s="64"/>
      <c r="VBK131" s="27"/>
      <c r="VBP131" s="64"/>
      <c r="VBQ131" s="27"/>
      <c r="VBV131" s="64"/>
      <c r="VBW131" s="27"/>
      <c r="VCB131" s="64"/>
      <c r="VCC131" s="27"/>
      <c r="VCH131" s="64"/>
      <c r="VCI131" s="27"/>
      <c r="VCN131" s="64"/>
      <c r="VCO131" s="27"/>
      <c r="VCT131" s="64"/>
      <c r="VCU131" s="27"/>
      <c r="VCZ131" s="64"/>
      <c r="VDA131" s="27"/>
      <c r="VDF131" s="64"/>
      <c r="VDG131" s="27"/>
      <c r="VDL131" s="64"/>
      <c r="VDM131" s="27"/>
      <c r="VDR131" s="64"/>
      <c r="VDS131" s="27"/>
      <c r="VDX131" s="64"/>
      <c r="VDY131" s="27"/>
      <c r="VED131" s="64"/>
      <c r="VEE131" s="27"/>
      <c r="VEJ131" s="64"/>
      <c r="VEK131" s="27"/>
      <c r="VEP131" s="64"/>
      <c r="VEQ131" s="27"/>
      <c r="VEV131" s="64"/>
      <c r="VEW131" s="27"/>
      <c r="VFB131" s="64"/>
      <c r="VFC131" s="27"/>
      <c r="VFH131" s="64"/>
      <c r="VFI131" s="27"/>
      <c r="VFN131" s="64"/>
      <c r="VFO131" s="27"/>
      <c r="VFT131" s="64"/>
      <c r="VFU131" s="27"/>
      <c r="VFZ131" s="64"/>
      <c r="VGA131" s="27"/>
      <c r="VGF131" s="64"/>
      <c r="VGG131" s="27"/>
      <c r="VGL131" s="64"/>
      <c r="VGM131" s="27"/>
      <c r="VGR131" s="64"/>
      <c r="VGS131" s="27"/>
      <c r="VGX131" s="64"/>
      <c r="VGY131" s="27"/>
      <c r="VHD131" s="64"/>
      <c r="VHE131" s="27"/>
      <c r="VHJ131" s="64"/>
      <c r="VHK131" s="27"/>
      <c r="VHP131" s="64"/>
      <c r="VHQ131" s="27"/>
      <c r="VHV131" s="64"/>
      <c r="VHW131" s="27"/>
      <c r="VIB131" s="64"/>
      <c r="VIC131" s="27"/>
      <c r="VIH131" s="64"/>
      <c r="VII131" s="27"/>
      <c r="VIN131" s="64"/>
      <c r="VIO131" s="27"/>
      <c r="VIT131" s="64"/>
      <c r="VIU131" s="27"/>
      <c r="VIZ131" s="64"/>
      <c r="VJA131" s="27"/>
      <c r="VJF131" s="64"/>
      <c r="VJG131" s="27"/>
      <c r="VJL131" s="64"/>
      <c r="VJM131" s="27"/>
      <c r="VJR131" s="64"/>
      <c r="VJS131" s="27"/>
      <c r="VJX131" s="64"/>
      <c r="VJY131" s="27"/>
      <c r="VKD131" s="64"/>
      <c r="VKE131" s="27"/>
      <c r="VKJ131" s="64"/>
      <c r="VKK131" s="27"/>
      <c r="VKP131" s="64"/>
      <c r="VKQ131" s="27"/>
      <c r="VKV131" s="64"/>
      <c r="VKW131" s="27"/>
      <c r="VLB131" s="64"/>
      <c r="VLC131" s="27"/>
      <c r="VLH131" s="64"/>
      <c r="VLI131" s="27"/>
      <c r="VLN131" s="64"/>
      <c r="VLO131" s="27"/>
      <c r="VLT131" s="64"/>
      <c r="VLU131" s="27"/>
      <c r="VLZ131" s="64"/>
      <c r="VMA131" s="27"/>
      <c r="VMF131" s="64"/>
      <c r="VMG131" s="27"/>
      <c r="VML131" s="64"/>
      <c r="VMM131" s="27"/>
      <c r="VMR131" s="64"/>
      <c r="VMS131" s="27"/>
      <c r="VMX131" s="64"/>
      <c r="VMY131" s="27"/>
      <c r="VND131" s="64"/>
      <c r="VNE131" s="27"/>
      <c r="VNJ131" s="64"/>
      <c r="VNK131" s="27"/>
      <c r="VNP131" s="64"/>
      <c r="VNQ131" s="27"/>
      <c r="VNV131" s="64"/>
      <c r="VNW131" s="27"/>
      <c r="VOB131" s="64"/>
      <c r="VOC131" s="27"/>
      <c r="VOH131" s="64"/>
      <c r="VOI131" s="27"/>
      <c r="VON131" s="64"/>
      <c r="VOO131" s="27"/>
      <c r="VOT131" s="64"/>
      <c r="VOU131" s="27"/>
      <c r="VOZ131" s="64"/>
      <c r="VPA131" s="27"/>
      <c r="VPF131" s="64"/>
      <c r="VPG131" s="27"/>
      <c r="VPL131" s="64"/>
      <c r="VPM131" s="27"/>
      <c r="VPR131" s="64"/>
      <c r="VPS131" s="27"/>
      <c r="VPX131" s="64"/>
      <c r="VPY131" s="27"/>
      <c r="VQD131" s="64"/>
      <c r="VQE131" s="27"/>
      <c r="VQJ131" s="64"/>
      <c r="VQK131" s="27"/>
      <c r="VQP131" s="64"/>
      <c r="VQQ131" s="27"/>
      <c r="VQV131" s="64"/>
      <c r="VQW131" s="27"/>
      <c r="VRB131" s="64"/>
      <c r="VRC131" s="27"/>
      <c r="VRH131" s="64"/>
      <c r="VRI131" s="27"/>
      <c r="VRN131" s="64"/>
      <c r="VRO131" s="27"/>
      <c r="VRT131" s="64"/>
      <c r="VRU131" s="27"/>
      <c r="VRZ131" s="64"/>
      <c r="VSA131" s="27"/>
      <c r="VSF131" s="64"/>
      <c r="VSG131" s="27"/>
      <c r="VSL131" s="64"/>
      <c r="VSM131" s="27"/>
      <c r="VSR131" s="64"/>
      <c r="VSS131" s="27"/>
      <c r="VSX131" s="64"/>
      <c r="VSY131" s="27"/>
      <c r="VTD131" s="64"/>
      <c r="VTE131" s="27"/>
      <c r="VTJ131" s="64"/>
      <c r="VTK131" s="27"/>
      <c r="VTP131" s="64"/>
      <c r="VTQ131" s="27"/>
      <c r="VTV131" s="64"/>
      <c r="VTW131" s="27"/>
      <c r="VUB131" s="64"/>
      <c r="VUC131" s="27"/>
      <c r="VUH131" s="64"/>
      <c r="VUI131" s="27"/>
      <c r="VUN131" s="64"/>
      <c r="VUO131" s="27"/>
      <c r="VUT131" s="64"/>
      <c r="VUU131" s="27"/>
      <c r="VUZ131" s="64"/>
      <c r="VVA131" s="27"/>
      <c r="VVF131" s="64"/>
      <c r="VVG131" s="27"/>
      <c r="VVL131" s="64"/>
      <c r="VVM131" s="27"/>
      <c r="VVR131" s="64"/>
      <c r="VVS131" s="27"/>
      <c r="VVX131" s="64"/>
      <c r="VVY131" s="27"/>
      <c r="VWD131" s="64"/>
      <c r="VWE131" s="27"/>
      <c r="VWJ131" s="64"/>
      <c r="VWK131" s="27"/>
      <c r="VWP131" s="64"/>
      <c r="VWQ131" s="27"/>
      <c r="VWV131" s="64"/>
      <c r="VWW131" s="27"/>
      <c r="VXB131" s="64"/>
      <c r="VXC131" s="27"/>
      <c r="VXH131" s="64"/>
      <c r="VXI131" s="27"/>
      <c r="VXN131" s="64"/>
      <c r="VXO131" s="27"/>
      <c r="VXT131" s="64"/>
      <c r="VXU131" s="27"/>
      <c r="VXZ131" s="64"/>
      <c r="VYA131" s="27"/>
      <c r="VYF131" s="64"/>
      <c r="VYG131" s="27"/>
      <c r="VYL131" s="64"/>
      <c r="VYM131" s="27"/>
      <c r="VYR131" s="64"/>
      <c r="VYS131" s="27"/>
      <c r="VYX131" s="64"/>
      <c r="VYY131" s="27"/>
      <c r="VZD131" s="64"/>
      <c r="VZE131" s="27"/>
      <c r="VZJ131" s="64"/>
      <c r="VZK131" s="27"/>
      <c r="VZP131" s="64"/>
      <c r="VZQ131" s="27"/>
      <c r="VZV131" s="64"/>
      <c r="VZW131" s="27"/>
      <c r="WAB131" s="64"/>
      <c r="WAC131" s="27"/>
      <c r="WAH131" s="64"/>
      <c r="WAI131" s="27"/>
      <c r="WAN131" s="64"/>
      <c r="WAO131" s="27"/>
      <c r="WAT131" s="64"/>
      <c r="WAU131" s="27"/>
      <c r="WAZ131" s="64"/>
      <c r="WBA131" s="27"/>
      <c r="WBF131" s="64"/>
      <c r="WBG131" s="27"/>
      <c r="WBL131" s="64"/>
      <c r="WBM131" s="27"/>
      <c r="WBR131" s="64"/>
      <c r="WBS131" s="27"/>
      <c r="WBX131" s="64"/>
      <c r="WBY131" s="27"/>
      <c r="WCD131" s="64"/>
      <c r="WCE131" s="27"/>
      <c r="WCJ131" s="64"/>
      <c r="WCK131" s="27"/>
      <c r="WCP131" s="64"/>
      <c r="WCQ131" s="27"/>
      <c r="WCV131" s="64"/>
      <c r="WCW131" s="27"/>
      <c r="WDB131" s="64"/>
      <c r="WDC131" s="27"/>
      <c r="WDH131" s="64"/>
      <c r="WDI131" s="27"/>
      <c r="WDN131" s="64"/>
      <c r="WDO131" s="27"/>
      <c r="WDT131" s="64"/>
      <c r="WDU131" s="27"/>
      <c r="WDZ131" s="64"/>
      <c r="WEA131" s="27"/>
      <c r="WEF131" s="64"/>
      <c r="WEG131" s="27"/>
      <c r="WEL131" s="64"/>
      <c r="WEM131" s="27"/>
      <c r="WER131" s="64"/>
      <c r="WES131" s="27"/>
      <c r="WEX131" s="64"/>
      <c r="WEY131" s="27"/>
      <c r="WFD131" s="64"/>
      <c r="WFE131" s="27"/>
      <c r="WFJ131" s="64"/>
      <c r="WFK131" s="27"/>
      <c r="WFP131" s="64"/>
      <c r="WFQ131" s="27"/>
      <c r="WFV131" s="64"/>
      <c r="WFW131" s="27"/>
      <c r="WGB131" s="64"/>
      <c r="WGC131" s="27"/>
      <c r="WGH131" s="64"/>
      <c r="WGI131" s="27"/>
      <c r="WGN131" s="64"/>
      <c r="WGO131" s="27"/>
      <c r="WGT131" s="64"/>
      <c r="WGU131" s="27"/>
      <c r="WGZ131" s="64"/>
      <c r="WHA131" s="27"/>
      <c r="WHF131" s="64"/>
      <c r="WHG131" s="27"/>
      <c r="WHL131" s="64"/>
      <c r="WHM131" s="27"/>
      <c r="WHR131" s="64"/>
      <c r="WHS131" s="27"/>
      <c r="WHX131" s="64"/>
      <c r="WHY131" s="27"/>
      <c r="WID131" s="64"/>
      <c r="WIE131" s="27"/>
      <c r="WIJ131" s="64"/>
      <c r="WIK131" s="27"/>
      <c r="WIP131" s="64"/>
      <c r="WIQ131" s="27"/>
      <c r="WIV131" s="64"/>
      <c r="WIW131" s="27"/>
      <c r="WJB131" s="64"/>
      <c r="WJC131" s="27"/>
      <c r="WJH131" s="64"/>
      <c r="WJI131" s="27"/>
      <c r="WJN131" s="64"/>
      <c r="WJO131" s="27"/>
      <c r="WJT131" s="64"/>
      <c r="WJU131" s="27"/>
      <c r="WJZ131" s="64"/>
      <c r="WKA131" s="27"/>
      <c r="WKF131" s="64"/>
      <c r="WKG131" s="27"/>
      <c r="WKL131" s="64"/>
      <c r="WKM131" s="27"/>
      <c r="WKR131" s="64"/>
      <c r="WKS131" s="27"/>
      <c r="WKX131" s="64"/>
      <c r="WKY131" s="27"/>
      <c r="WLD131" s="64"/>
      <c r="WLE131" s="27"/>
      <c r="WLJ131" s="64"/>
      <c r="WLK131" s="27"/>
      <c r="WLP131" s="64"/>
      <c r="WLQ131" s="27"/>
      <c r="WLV131" s="64"/>
      <c r="WLW131" s="27"/>
      <c r="WMB131" s="64"/>
      <c r="WMC131" s="27"/>
      <c r="WMH131" s="64"/>
      <c r="WMI131" s="27"/>
      <c r="WMN131" s="64"/>
      <c r="WMO131" s="27"/>
      <c r="WMT131" s="64"/>
      <c r="WMU131" s="27"/>
      <c r="WMZ131" s="64"/>
      <c r="WNA131" s="27"/>
      <c r="WNF131" s="64"/>
      <c r="WNG131" s="27"/>
      <c r="WNL131" s="64"/>
      <c r="WNM131" s="27"/>
      <c r="WNR131" s="64"/>
      <c r="WNS131" s="27"/>
      <c r="WNX131" s="64"/>
      <c r="WNY131" s="27"/>
      <c r="WOD131" s="64"/>
      <c r="WOE131" s="27"/>
      <c r="WOJ131" s="64"/>
      <c r="WOK131" s="27"/>
      <c r="WOP131" s="64"/>
      <c r="WOQ131" s="27"/>
      <c r="WOV131" s="64"/>
      <c r="WOW131" s="27"/>
      <c r="WPB131" s="64"/>
      <c r="WPC131" s="27"/>
      <c r="WPH131" s="64"/>
      <c r="WPI131" s="27"/>
      <c r="WPN131" s="64"/>
      <c r="WPO131" s="27"/>
      <c r="WPT131" s="64"/>
      <c r="WPU131" s="27"/>
      <c r="WPZ131" s="64"/>
      <c r="WQA131" s="27"/>
      <c r="WQF131" s="64"/>
      <c r="WQG131" s="27"/>
      <c r="WQL131" s="64"/>
      <c r="WQM131" s="27"/>
      <c r="WQR131" s="64"/>
      <c r="WQS131" s="27"/>
      <c r="WQX131" s="64"/>
      <c r="WQY131" s="27"/>
      <c r="WRD131" s="64"/>
      <c r="WRE131" s="27"/>
      <c r="WRJ131" s="64"/>
      <c r="WRK131" s="27"/>
      <c r="WRP131" s="64"/>
      <c r="WRQ131" s="27"/>
      <c r="WRV131" s="64"/>
      <c r="WRW131" s="27"/>
      <c r="WSB131" s="64"/>
      <c r="WSC131" s="27"/>
      <c r="WSH131" s="64"/>
      <c r="WSI131" s="27"/>
      <c r="WSN131" s="64"/>
      <c r="WSO131" s="27"/>
      <c r="WST131" s="64"/>
      <c r="WSU131" s="27"/>
      <c r="WSZ131" s="64"/>
      <c r="WTA131" s="27"/>
      <c r="WTF131" s="64"/>
      <c r="WTG131" s="27"/>
      <c r="WTL131" s="64"/>
      <c r="WTM131" s="27"/>
      <c r="WTR131" s="64"/>
      <c r="WTS131" s="27"/>
      <c r="WTX131" s="64"/>
      <c r="WTY131" s="27"/>
      <c r="WUD131" s="64"/>
      <c r="WUE131" s="27"/>
      <c r="WUJ131" s="64"/>
      <c r="WUK131" s="27"/>
      <c r="WUP131" s="64"/>
      <c r="WUQ131" s="27"/>
      <c r="WUV131" s="64"/>
      <c r="WUW131" s="27"/>
      <c r="WVB131" s="64"/>
      <c r="WVC131" s="27"/>
      <c r="WVH131" s="64"/>
      <c r="WVI131" s="27"/>
      <c r="WVN131" s="64"/>
      <c r="WVO131" s="27"/>
      <c r="WVT131" s="64"/>
      <c r="WVU131" s="27"/>
      <c r="WVZ131" s="64"/>
      <c r="WWA131" s="27"/>
      <c r="WWF131" s="64"/>
      <c r="WWG131" s="27"/>
      <c r="WWL131" s="64"/>
      <c r="WWM131" s="27"/>
      <c r="WWR131" s="64"/>
      <c r="WWS131" s="27"/>
      <c r="WWX131" s="64"/>
      <c r="WWY131" s="27"/>
      <c r="WXD131" s="64"/>
      <c r="WXE131" s="27"/>
      <c r="WXJ131" s="64"/>
      <c r="WXK131" s="27"/>
      <c r="WXP131" s="64"/>
      <c r="WXQ131" s="27"/>
      <c r="WXV131" s="64"/>
      <c r="WXW131" s="27"/>
      <c r="WYB131" s="64"/>
      <c r="WYC131" s="27"/>
      <c r="WYH131" s="64"/>
      <c r="WYI131" s="27"/>
      <c r="WYN131" s="64"/>
      <c r="WYO131" s="27"/>
      <c r="WYT131" s="64"/>
      <c r="WYU131" s="27"/>
      <c r="WYZ131" s="64"/>
      <c r="WZA131" s="27"/>
      <c r="WZF131" s="64"/>
      <c r="WZG131" s="27"/>
      <c r="WZL131" s="64"/>
      <c r="WZM131" s="27"/>
      <c r="WZR131" s="64"/>
      <c r="WZS131" s="27"/>
      <c r="WZX131" s="64"/>
      <c r="WZY131" s="27"/>
      <c r="XAD131" s="64"/>
      <c r="XAE131" s="27"/>
      <c r="XAJ131" s="64"/>
      <c r="XAK131" s="27"/>
      <c r="XAP131" s="64"/>
      <c r="XAQ131" s="27"/>
      <c r="XAV131" s="64"/>
      <c r="XAW131" s="27"/>
      <c r="XBB131" s="64"/>
      <c r="XBC131" s="27"/>
      <c r="XBH131" s="64"/>
      <c r="XBI131" s="27"/>
      <c r="XBN131" s="64"/>
      <c r="XBO131" s="27"/>
      <c r="XBT131" s="64"/>
      <c r="XBU131" s="27"/>
      <c r="XBZ131" s="64"/>
      <c r="XCA131" s="27"/>
      <c r="XCF131" s="64"/>
      <c r="XCG131" s="27"/>
      <c r="XCL131" s="64"/>
      <c r="XCM131" s="27"/>
      <c r="XCR131" s="64"/>
      <c r="XCS131" s="27"/>
      <c r="XCX131" s="64"/>
      <c r="XCY131" s="27"/>
      <c r="XDD131" s="64"/>
      <c r="XDE131" s="27"/>
      <c r="XDJ131" s="64"/>
      <c r="XDK131" s="27"/>
      <c r="XDP131" s="64"/>
      <c r="XDQ131" s="27"/>
      <c r="XDV131" s="64"/>
      <c r="XDW131" s="27"/>
      <c r="XEB131" s="64"/>
      <c r="XEC131" s="27"/>
      <c r="XEH131" s="64"/>
      <c r="XEI131" s="27"/>
      <c r="XEN131" s="64"/>
      <c r="XEO131" s="27"/>
      <c r="XET131" s="64"/>
      <c r="XEU131" s="27"/>
    </row>
    <row r="132" spans="1:1021 1026:2047 2052:4093 4098:5119 5124:7165 7170:8191 8196:10237 10242:11263 11268:13309 13314:14335 14340:16375" s="43" customFormat="1">
      <c r="A132" s="47" t="s">
        <v>135</v>
      </c>
      <c r="B132" s="599">
        <f>B128+B131</f>
        <v>403493321.14765501</v>
      </c>
      <c r="C132" s="599">
        <f t="shared" si="12"/>
        <v>14684240.840587361</v>
      </c>
      <c r="D132" s="599">
        <f>D128+D131</f>
        <v>13533907.594619397</v>
      </c>
      <c r="E132" s="453">
        <f t="shared" si="14"/>
        <v>1150333.2459679637</v>
      </c>
      <c r="F132" s="1364">
        <f t="shared" si="11"/>
        <v>8.4996386884250305E-2</v>
      </c>
      <c r="G132" s="194"/>
      <c r="H132" s="52"/>
      <c r="I132" s="52"/>
      <c r="J132" s="70"/>
      <c r="K132" s="70"/>
      <c r="L132" s="70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D132" s="64"/>
      <c r="AE132" s="27"/>
      <c r="AJ132" s="64"/>
      <c r="AK132" s="27"/>
      <c r="AP132" s="64"/>
      <c r="AQ132" s="27"/>
      <c r="AV132" s="64"/>
      <c r="AW132" s="27"/>
      <c r="BB132" s="64"/>
      <c r="BC132" s="27"/>
      <c r="BH132" s="64"/>
      <c r="BI132" s="27"/>
      <c r="BN132" s="64"/>
      <c r="BO132" s="27"/>
      <c r="BT132" s="64"/>
      <c r="BU132" s="27"/>
      <c r="BZ132" s="64"/>
      <c r="CA132" s="27"/>
      <c r="CF132" s="64"/>
      <c r="CG132" s="27"/>
      <c r="CL132" s="64"/>
      <c r="CM132" s="27"/>
      <c r="CR132" s="64"/>
      <c r="CS132" s="27"/>
      <c r="CX132" s="64"/>
      <c r="CY132" s="27"/>
      <c r="DD132" s="64"/>
      <c r="DE132" s="27"/>
      <c r="DJ132" s="64"/>
      <c r="DK132" s="27"/>
      <c r="DP132" s="64"/>
      <c r="DQ132" s="27"/>
      <c r="DV132" s="64"/>
      <c r="DW132" s="27"/>
      <c r="EB132" s="64"/>
      <c r="EC132" s="27"/>
      <c r="EH132" s="64"/>
      <c r="EI132" s="27"/>
      <c r="EN132" s="64"/>
      <c r="EO132" s="27"/>
      <c r="ET132" s="64"/>
      <c r="EU132" s="27"/>
      <c r="EZ132" s="64"/>
      <c r="FA132" s="27"/>
      <c r="FF132" s="64"/>
      <c r="FG132" s="27"/>
      <c r="FL132" s="64"/>
      <c r="FM132" s="27"/>
      <c r="FR132" s="64"/>
      <c r="FS132" s="27"/>
      <c r="FX132" s="64"/>
      <c r="FY132" s="27"/>
      <c r="GD132" s="64"/>
      <c r="GE132" s="27"/>
      <c r="GJ132" s="64"/>
      <c r="GK132" s="27"/>
      <c r="GP132" s="64"/>
      <c r="GQ132" s="27"/>
      <c r="GV132" s="64"/>
      <c r="GW132" s="27"/>
      <c r="HB132" s="64"/>
      <c r="HC132" s="27"/>
      <c r="HH132" s="64"/>
      <c r="HI132" s="27"/>
      <c r="HN132" s="64"/>
      <c r="HO132" s="27"/>
      <c r="HT132" s="64"/>
      <c r="HU132" s="27"/>
      <c r="HZ132" s="64"/>
      <c r="IA132" s="27"/>
      <c r="IF132" s="64"/>
      <c r="IG132" s="27"/>
      <c r="IL132" s="64"/>
      <c r="IM132" s="27"/>
      <c r="IR132" s="64"/>
      <c r="IS132" s="27"/>
      <c r="IX132" s="64"/>
      <c r="IY132" s="27"/>
      <c r="JD132" s="64"/>
      <c r="JE132" s="27"/>
      <c r="JJ132" s="64"/>
      <c r="JK132" s="27"/>
      <c r="JP132" s="64"/>
      <c r="JQ132" s="27"/>
      <c r="JV132" s="64"/>
      <c r="JW132" s="27"/>
      <c r="KB132" s="64"/>
      <c r="KC132" s="27"/>
      <c r="KH132" s="64"/>
      <c r="KI132" s="27"/>
      <c r="KN132" s="64"/>
      <c r="KO132" s="27"/>
      <c r="KT132" s="64"/>
      <c r="KU132" s="27"/>
      <c r="KZ132" s="64"/>
      <c r="LA132" s="27"/>
      <c r="LF132" s="64"/>
      <c r="LG132" s="27"/>
      <c r="LL132" s="64"/>
      <c r="LM132" s="27"/>
      <c r="LR132" s="64"/>
      <c r="LS132" s="27"/>
      <c r="LX132" s="64"/>
      <c r="LY132" s="27"/>
      <c r="MD132" s="64"/>
      <c r="ME132" s="27"/>
      <c r="MJ132" s="64"/>
      <c r="MK132" s="27"/>
      <c r="MP132" s="64"/>
      <c r="MQ132" s="27"/>
      <c r="MV132" s="64"/>
      <c r="MW132" s="27"/>
      <c r="NB132" s="64"/>
      <c r="NC132" s="27"/>
      <c r="NH132" s="64"/>
      <c r="NI132" s="27"/>
      <c r="NN132" s="64"/>
      <c r="NO132" s="27"/>
      <c r="NT132" s="64"/>
      <c r="NU132" s="27"/>
      <c r="NZ132" s="64"/>
      <c r="OA132" s="27"/>
      <c r="OF132" s="64"/>
      <c r="OG132" s="27"/>
      <c r="OL132" s="64"/>
      <c r="OM132" s="27"/>
      <c r="OR132" s="64"/>
      <c r="OS132" s="27"/>
      <c r="OX132" s="64"/>
      <c r="OY132" s="27"/>
      <c r="PD132" s="64"/>
      <c r="PE132" s="27"/>
      <c r="PJ132" s="64"/>
      <c r="PK132" s="27"/>
      <c r="PP132" s="64"/>
      <c r="PQ132" s="27"/>
      <c r="PV132" s="64"/>
      <c r="PW132" s="27"/>
      <c r="QB132" s="64"/>
      <c r="QC132" s="27"/>
      <c r="QH132" s="64"/>
      <c r="QI132" s="27"/>
      <c r="QN132" s="64"/>
      <c r="QO132" s="27"/>
      <c r="QT132" s="64"/>
      <c r="QU132" s="27"/>
      <c r="QZ132" s="64"/>
      <c r="RA132" s="27"/>
      <c r="RF132" s="64"/>
      <c r="RG132" s="27"/>
      <c r="RL132" s="64"/>
      <c r="RM132" s="27"/>
      <c r="RR132" s="64"/>
      <c r="RS132" s="27"/>
      <c r="RX132" s="64"/>
      <c r="RY132" s="27"/>
      <c r="SD132" s="64"/>
      <c r="SE132" s="27"/>
      <c r="SJ132" s="64"/>
      <c r="SK132" s="27"/>
      <c r="SP132" s="64"/>
      <c r="SQ132" s="27"/>
      <c r="SV132" s="64"/>
      <c r="SW132" s="27"/>
      <c r="TB132" s="64"/>
      <c r="TC132" s="27"/>
      <c r="TH132" s="64"/>
      <c r="TI132" s="27"/>
      <c r="TN132" s="64"/>
      <c r="TO132" s="27"/>
      <c r="TT132" s="64"/>
      <c r="TU132" s="27"/>
      <c r="TZ132" s="64"/>
      <c r="UA132" s="27"/>
      <c r="UF132" s="64"/>
      <c r="UG132" s="27"/>
      <c r="UL132" s="64"/>
      <c r="UM132" s="27"/>
      <c r="UR132" s="64"/>
      <c r="US132" s="27"/>
      <c r="UX132" s="64"/>
      <c r="UY132" s="27"/>
      <c r="VD132" s="64"/>
      <c r="VE132" s="27"/>
      <c r="VJ132" s="64"/>
      <c r="VK132" s="27"/>
      <c r="VP132" s="64"/>
      <c r="VQ132" s="27"/>
      <c r="VV132" s="64"/>
      <c r="VW132" s="27"/>
      <c r="WB132" s="64"/>
      <c r="WC132" s="27"/>
      <c r="WH132" s="64"/>
      <c r="WI132" s="27"/>
      <c r="WN132" s="64"/>
      <c r="WO132" s="27"/>
      <c r="WT132" s="64"/>
      <c r="WU132" s="27"/>
      <c r="WZ132" s="64"/>
      <c r="XA132" s="27"/>
      <c r="XF132" s="64"/>
      <c r="XG132" s="27"/>
      <c r="XL132" s="64"/>
      <c r="XM132" s="27"/>
      <c r="XR132" s="64"/>
      <c r="XS132" s="27"/>
      <c r="XX132" s="64"/>
      <c r="XY132" s="27"/>
      <c r="YD132" s="64"/>
      <c r="YE132" s="27"/>
      <c r="YJ132" s="64"/>
      <c r="YK132" s="27"/>
      <c r="YP132" s="64"/>
      <c r="YQ132" s="27"/>
      <c r="YV132" s="64"/>
      <c r="YW132" s="27"/>
      <c r="ZB132" s="64"/>
      <c r="ZC132" s="27"/>
      <c r="ZH132" s="64"/>
      <c r="ZI132" s="27"/>
      <c r="ZN132" s="64"/>
      <c r="ZO132" s="27"/>
      <c r="ZT132" s="64"/>
      <c r="ZU132" s="27"/>
      <c r="ZZ132" s="64"/>
      <c r="AAA132" s="27"/>
      <c r="AAF132" s="64"/>
      <c r="AAG132" s="27"/>
      <c r="AAL132" s="64"/>
      <c r="AAM132" s="27"/>
      <c r="AAR132" s="64"/>
      <c r="AAS132" s="27"/>
      <c r="AAX132" s="64"/>
      <c r="AAY132" s="27"/>
      <c r="ABD132" s="64"/>
      <c r="ABE132" s="27"/>
      <c r="ABJ132" s="64"/>
      <c r="ABK132" s="27"/>
      <c r="ABP132" s="64"/>
      <c r="ABQ132" s="27"/>
      <c r="ABV132" s="64"/>
      <c r="ABW132" s="27"/>
      <c r="ACB132" s="64"/>
      <c r="ACC132" s="27"/>
      <c r="ACH132" s="64"/>
      <c r="ACI132" s="27"/>
      <c r="ACN132" s="64"/>
      <c r="ACO132" s="27"/>
      <c r="ACT132" s="64"/>
      <c r="ACU132" s="27"/>
      <c r="ACZ132" s="64"/>
      <c r="ADA132" s="27"/>
      <c r="ADF132" s="64"/>
      <c r="ADG132" s="27"/>
      <c r="ADL132" s="64"/>
      <c r="ADM132" s="27"/>
      <c r="ADR132" s="64"/>
      <c r="ADS132" s="27"/>
      <c r="ADX132" s="64"/>
      <c r="ADY132" s="27"/>
      <c r="AED132" s="64"/>
      <c r="AEE132" s="27"/>
      <c r="AEJ132" s="64"/>
      <c r="AEK132" s="27"/>
      <c r="AEP132" s="64"/>
      <c r="AEQ132" s="27"/>
      <c r="AEV132" s="64"/>
      <c r="AEW132" s="27"/>
      <c r="AFB132" s="64"/>
      <c r="AFC132" s="27"/>
      <c r="AFH132" s="64"/>
      <c r="AFI132" s="27"/>
      <c r="AFN132" s="64"/>
      <c r="AFO132" s="27"/>
      <c r="AFT132" s="64"/>
      <c r="AFU132" s="27"/>
      <c r="AFZ132" s="64"/>
      <c r="AGA132" s="27"/>
      <c r="AGF132" s="64"/>
      <c r="AGG132" s="27"/>
      <c r="AGL132" s="64"/>
      <c r="AGM132" s="27"/>
      <c r="AGR132" s="64"/>
      <c r="AGS132" s="27"/>
      <c r="AGX132" s="64"/>
      <c r="AGY132" s="27"/>
      <c r="AHD132" s="64"/>
      <c r="AHE132" s="27"/>
      <c r="AHJ132" s="64"/>
      <c r="AHK132" s="27"/>
      <c r="AHP132" s="64"/>
      <c r="AHQ132" s="27"/>
      <c r="AHV132" s="64"/>
      <c r="AHW132" s="27"/>
      <c r="AIB132" s="64"/>
      <c r="AIC132" s="27"/>
      <c r="AIH132" s="64"/>
      <c r="AII132" s="27"/>
      <c r="AIN132" s="64"/>
      <c r="AIO132" s="27"/>
      <c r="AIT132" s="64"/>
      <c r="AIU132" s="27"/>
      <c r="AIZ132" s="64"/>
      <c r="AJA132" s="27"/>
      <c r="AJF132" s="64"/>
      <c r="AJG132" s="27"/>
      <c r="AJL132" s="64"/>
      <c r="AJM132" s="27"/>
      <c r="AJR132" s="64"/>
      <c r="AJS132" s="27"/>
      <c r="AJX132" s="64"/>
      <c r="AJY132" s="27"/>
      <c r="AKD132" s="64"/>
      <c r="AKE132" s="27"/>
      <c r="AKJ132" s="64"/>
      <c r="AKK132" s="27"/>
      <c r="AKP132" s="64"/>
      <c r="AKQ132" s="27"/>
      <c r="AKV132" s="64"/>
      <c r="AKW132" s="27"/>
      <c r="ALB132" s="64"/>
      <c r="ALC132" s="27"/>
      <c r="ALH132" s="64"/>
      <c r="ALI132" s="27"/>
      <c r="ALN132" s="64"/>
      <c r="ALO132" s="27"/>
      <c r="ALT132" s="64"/>
      <c r="ALU132" s="27"/>
      <c r="ALZ132" s="64"/>
      <c r="AMA132" s="27"/>
      <c r="AMF132" s="64"/>
      <c r="AMG132" s="27"/>
      <c r="AML132" s="64"/>
      <c r="AMM132" s="27"/>
      <c r="AMR132" s="64"/>
      <c r="AMS132" s="27"/>
      <c r="AMX132" s="64"/>
      <c r="AMY132" s="27"/>
      <c r="AND132" s="64"/>
      <c r="ANE132" s="27"/>
      <c r="ANJ132" s="64"/>
      <c r="ANK132" s="27"/>
      <c r="ANP132" s="64"/>
      <c r="ANQ132" s="27"/>
      <c r="ANV132" s="64"/>
      <c r="ANW132" s="27"/>
      <c r="AOB132" s="64"/>
      <c r="AOC132" s="27"/>
      <c r="AOH132" s="64"/>
      <c r="AOI132" s="27"/>
      <c r="AON132" s="64"/>
      <c r="AOO132" s="27"/>
      <c r="AOT132" s="64"/>
      <c r="AOU132" s="27"/>
      <c r="AOZ132" s="64"/>
      <c r="APA132" s="27"/>
      <c r="APF132" s="64"/>
      <c r="APG132" s="27"/>
      <c r="APL132" s="64"/>
      <c r="APM132" s="27"/>
      <c r="APR132" s="64"/>
      <c r="APS132" s="27"/>
      <c r="APX132" s="64"/>
      <c r="APY132" s="27"/>
      <c r="AQD132" s="64"/>
      <c r="AQE132" s="27"/>
      <c r="AQJ132" s="64"/>
      <c r="AQK132" s="27"/>
      <c r="AQP132" s="64"/>
      <c r="AQQ132" s="27"/>
      <c r="AQV132" s="64"/>
      <c r="AQW132" s="27"/>
      <c r="ARB132" s="64"/>
      <c r="ARC132" s="27"/>
      <c r="ARH132" s="64"/>
      <c r="ARI132" s="27"/>
      <c r="ARN132" s="64"/>
      <c r="ARO132" s="27"/>
      <c r="ART132" s="64"/>
      <c r="ARU132" s="27"/>
      <c r="ARZ132" s="64"/>
      <c r="ASA132" s="27"/>
      <c r="ASF132" s="64"/>
      <c r="ASG132" s="27"/>
      <c r="ASL132" s="64"/>
      <c r="ASM132" s="27"/>
      <c r="ASR132" s="64"/>
      <c r="ASS132" s="27"/>
      <c r="ASX132" s="64"/>
      <c r="ASY132" s="27"/>
      <c r="ATD132" s="64"/>
      <c r="ATE132" s="27"/>
      <c r="ATJ132" s="64"/>
      <c r="ATK132" s="27"/>
      <c r="ATP132" s="64"/>
      <c r="ATQ132" s="27"/>
      <c r="ATV132" s="64"/>
      <c r="ATW132" s="27"/>
      <c r="AUB132" s="64"/>
      <c r="AUC132" s="27"/>
      <c r="AUH132" s="64"/>
      <c r="AUI132" s="27"/>
      <c r="AUN132" s="64"/>
      <c r="AUO132" s="27"/>
      <c r="AUT132" s="64"/>
      <c r="AUU132" s="27"/>
      <c r="AUZ132" s="64"/>
      <c r="AVA132" s="27"/>
      <c r="AVF132" s="64"/>
      <c r="AVG132" s="27"/>
      <c r="AVL132" s="64"/>
      <c r="AVM132" s="27"/>
      <c r="AVR132" s="64"/>
      <c r="AVS132" s="27"/>
      <c r="AVX132" s="64"/>
      <c r="AVY132" s="27"/>
      <c r="AWD132" s="64"/>
      <c r="AWE132" s="27"/>
      <c r="AWJ132" s="64"/>
      <c r="AWK132" s="27"/>
      <c r="AWP132" s="64"/>
      <c r="AWQ132" s="27"/>
      <c r="AWV132" s="64"/>
      <c r="AWW132" s="27"/>
      <c r="AXB132" s="64"/>
      <c r="AXC132" s="27"/>
      <c r="AXH132" s="64"/>
      <c r="AXI132" s="27"/>
      <c r="AXN132" s="64"/>
      <c r="AXO132" s="27"/>
      <c r="AXT132" s="64"/>
      <c r="AXU132" s="27"/>
      <c r="AXZ132" s="64"/>
      <c r="AYA132" s="27"/>
      <c r="AYF132" s="64"/>
      <c r="AYG132" s="27"/>
      <c r="AYL132" s="64"/>
      <c r="AYM132" s="27"/>
      <c r="AYR132" s="64"/>
      <c r="AYS132" s="27"/>
      <c r="AYX132" s="64"/>
      <c r="AYY132" s="27"/>
      <c r="AZD132" s="64"/>
      <c r="AZE132" s="27"/>
      <c r="AZJ132" s="64"/>
      <c r="AZK132" s="27"/>
      <c r="AZP132" s="64"/>
      <c r="AZQ132" s="27"/>
      <c r="AZV132" s="64"/>
      <c r="AZW132" s="27"/>
      <c r="BAB132" s="64"/>
      <c r="BAC132" s="27"/>
      <c r="BAH132" s="64"/>
      <c r="BAI132" s="27"/>
      <c r="BAN132" s="64"/>
      <c r="BAO132" s="27"/>
      <c r="BAT132" s="64"/>
      <c r="BAU132" s="27"/>
      <c r="BAZ132" s="64"/>
      <c r="BBA132" s="27"/>
      <c r="BBF132" s="64"/>
      <c r="BBG132" s="27"/>
      <c r="BBL132" s="64"/>
      <c r="BBM132" s="27"/>
      <c r="BBR132" s="64"/>
      <c r="BBS132" s="27"/>
      <c r="BBX132" s="64"/>
      <c r="BBY132" s="27"/>
      <c r="BCD132" s="64"/>
      <c r="BCE132" s="27"/>
      <c r="BCJ132" s="64"/>
      <c r="BCK132" s="27"/>
      <c r="BCP132" s="64"/>
      <c r="BCQ132" s="27"/>
      <c r="BCV132" s="64"/>
      <c r="BCW132" s="27"/>
      <c r="BDB132" s="64"/>
      <c r="BDC132" s="27"/>
      <c r="BDH132" s="64"/>
      <c r="BDI132" s="27"/>
      <c r="BDN132" s="64"/>
      <c r="BDO132" s="27"/>
      <c r="BDT132" s="64"/>
      <c r="BDU132" s="27"/>
      <c r="BDZ132" s="64"/>
      <c r="BEA132" s="27"/>
      <c r="BEF132" s="64"/>
      <c r="BEG132" s="27"/>
      <c r="BEL132" s="64"/>
      <c r="BEM132" s="27"/>
      <c r="BER132" s="64"/>
      <c r="BES132" s="27"/>
      <c r="BEX132" s="64"/>
      <c r="BEY132" s="27"/>
      <c r="BFD132" s="64"/>
      <c r="BFE132" s="27"/>
      <c r="BFJ132" s="64"/>
      <c r="BFK132" s="27"/>
      <c r="BFP132" s="64"/>
      <c r="BFQ132" s="27"/>
      <c r="BFV132" s="64"/>
      <c r="BFW132" s="27"/>
      <c r="BGB132" s="64"/>
      <c r="BGC132" s="27"/>
      <c r="BGH132" s="64"/>
      <c r="BGI132" s="27"/>
      <c r="BGN132" s="64"/>
      <c r="BGO132" s="27"/>
      <c r="BGT132" s="64"/>
      <c r="BGU132" s="27"/>
      <c r="BGZ132" s="64"/>
      <c r="BHA132" s="27"/>
      <c r="BHF132" s="64"/>
      <c r="BHG132" s="27"/>
      <c r="BHL132" s="64"/>
      <c r="BHM132" s="27"/>
      <c r="BHR132" s="64"/>
      <c r="BHS132" s="27"/>
      <c r="BHX132" s="64"/>
      <c r="BHY132" s="27"/>
      <c r="BID132" s="64"/>
      <c r="BIE132" s="27"/>
      <c r="BIJ132" s="64"/>
      <c r="BIK132" s="27"/>
      <c r="BIP132" s="64"/>
      <c r="BIQ132" s="27"/>
      <c r="BIV132" s="64"/>
      <c r="BIW132" s="27"/>
      <c r="BJB132" s="64"/>
      <c r="BJC132" s="27"/>
      <c r="BJH132" s="64"/>
      <c r="BJI132" s="27"/>
      <c r="BJN132" s="64"/>
      <c r="BJO132" s="27"/>
      <c r="BJT132" s="64"/>
      <c r="BJU132" s="27"/>
      <c r="BJZ132" s="64"/>
      <c r="BKA132" s="27"/>
      <c r="BKF132" s="64"/>
      <c r="BKG132" s="27"/>
      <c r="BKL132" s="64"/>
      <c r="BKM132" s="27"/>
      <c r="BKR132" s="64"/>
      <c r="BKS132" s="27"/>
      <c r="BKX132" s="64"/>
      <c r="BKY132" s="27"/>
      <c r="BLD132" s="64"/>
      <c r="BLE132" s="27"/>
      <c r="BLJ132" s="64"/>
      <c r="BLK132" s="27"/>
      <c r="BLP132" s="64"/>
      <c r="BLQ132" s="27"/>
      <c r="BLV132" s="64"/>
      <c r="BLW132" s="27"/>
      <c r="BMB132" s="64"/>
      <c r="BMC132" s="27"/>
      <c r="BMH132" s="64"/>
      <c r="BMI132" s="27"/>
      <c r="BMN132" s="64"/>
      <c r="BMO132" s="27"/>
      <c r="BMT132" s="64"/>
      <c r="BMU132" s="27"/>
      <c r="BMZ132" s="64"/>
      <c r="BNA132" s="27"/>
      <c r="BNF132" s="64"/>
      <c r="BNG132" s="27"/>
      <c r="BNL132" s="64"/>
      <c r="BNM132" s="27"/>
      <c r="BNR132" s="64"/>
      <c r="BNS132" s="27"/>
      <c r="BNX132" s="64"/>
      <c r="BNY132" s="27"/>
      <c r="BOD132" s="64"/>
      <c r="BOE132" s="27"/>
      <c r="BOJ132" s="64"/>
      <c r="BOK132" s="27"/>
      <c r="BOP132" s="64"/>
      <c r="BOQ132" s="27"/>
      <c r="BOV132" s="64"/>
      <c r="BOW132" s="27"/>
      <c r="BPB132" s="64"/>
      <c r="BPC132" s="27"/>
      <c r="BPH132" s="64"/>
      <c r="BPI132" s="27"/>
      <c r="BPN132" s="64"/>
      <c r="BPO132" s="27"/>
      <c r="BPT132" s="64"/>
      <c r="BPU132" s="27"/>
      <c r="BPZ132" s="64"/>
      <c r="BQA132" s="27"/>
      <c r="BQF132" s="64"/>
      <c r="BQG132" s="27"/>
      <c r="BQL132" s="64"/>
      <c r="BQM132" s="27"/>
      <c r="BQR132" s="64"/>
      <c r="BQS132" s="27"/>
      <c r="BQX132" s="64"/>
      <c r="BQY132" s="27"/>
      <c r="BRD132" s="64"/>
      <c r="BRE132" s="27"/>
      <c r="BRJ132" s="64"/>
      <c r="BRK132" s="27"/>
      <c r="BRP132" s="64"/>
      <c r="BRQ132" s="27"/>
      <c r="BRV132" s="64"/>
      <c r="BRW132" s="27"/>
      <c r="BSB132" s="64"/>
      <c r="BSC132" s="27"/>
      <c r="BSH132" s="64"/>
      <c r="BSI132" s="27"/>
      <c r="BSN132" s="64"/>
      <c r="BSO132" s="27"/>
      <c r="BST132" s="64"/>
      <c r="BSU132" s="27"/>
      <c r="BSZ132" s="64"/>
      <c r="BTA132" s="27"/>
      <c r="BTF132" s="64"/>
      <c r="BTG132" s="27"/>
      <c r="BTL132" s="64"/>
      <c r="BTM132" s="27"/>
      <c r="BTR132" s="64"/>
      <c r="BTS132" s="27"/>
      <c r="BTX132" s="64"/>
      <c r="BTY132" s="27"/>
      <c r="BUD132" s="64"/>
      <c r="BUE132" s="27"/>
      <c r="BUJ132" s="64"/>
      <c r="BUK132" s="27"/>
      <c r="BUP132" s="64"/>
      <c r="BUQ132" s="27"/>
      <c r="BUV132" s="64"/>
      <c r="BUW132" s="27"/>
      <c r="BVB132" s="64"/>
      <c r="BVC132" s="27"/>
      <c r="BVH132" s="64"/>
      <c r="BVI132" s="27"/>
      <c r="BVN132" s="64"/>
      <c r="BVO132" s="27"/>
      <c r="BVT132" s="64"/>
      <c r="BVU132" s="27"/>
      <c r="BVZ132" s="64"/>
      <c r="BWA132" s="27"/>
      <c r="BWF132" s="64"/>
      <c r="BWG132" s="27"/>
      <c r="BWL132" s="64"/>
      <c r="BWM132" s="27"/>
      <c r="BWR132" s="64"/>
      <c r="BWS132" s="27"/>
      <c r="BWX132" s="64"/>
      <c r="BWY132" s="27"/>
      <c r="BXD132" s="64"/>
      <c r="BXE132" s="27"/>
      <c r="BXJ132" s="64"/>
      <c r="BXK132" s="27"/>
      <c r="BXP132" s="64"/>
      <c r="BXQ132" s="27"/>
      <c r="BXV132" s="64"/>
      <c r="BXW132" s="27"/>
      <c r="BYB132" s="64"/>
      <c r="BYC132" s="27"/>
      <c r="BYH132" s="64"/>
      <c r="BYI132" s="27"/>
      <c r="BYN132" s="64"/>
      <c r="BYO132" s="27"/>
      <c r="BYT132" s="64"/>
      <c r="BYU132" s="27"/>
      <c r="BYZ132" s="64"/>
      <c r="BZA132" s="27"/>
      <c r="BZF132" s="64"/>
      <c r="BZG132" s="27"/>
      <c r="BZL132" s="64"/>
      <c r="BZM132" s="27"/>
      <c r="BZR132" s="64"/>
      <c r="BZS132" s="27"/>
      <c r="BZX132" s="64"/>
      <c r="BZY132" s="27"/>
      <c r="CAD132" s="64"/>
      <c r="CAE132" s="27"/>
      <c r="CAJ132" s="64"/>
      <c r="CAK132" s="27"/>
      <c r="CAP132" s="64"/>
      <c r="CAQ132" s="27"/>
      <c r="CAV132" s="64"/>
      <c r="CAW132" s="27"/>
      <c r="CBB132" s="64"/>
      <c r="CBC132" s="27"/>
      <c r="CBH132" s="64"/>
      <c r="CBI132" s="27"/>
      <c r="CBN132" s="64"/>
      <c r="CBO132" s="27"/>
      <c r="CBT132" s="64"/>
      <c r="CBU132" s="27"/>
      <c r="CBZ132" s="64"/>
      <c r="CCA132" s="27"/>
      <c r="CCF132" s="64"/>
      <c r="CCG132" s="27"/>
      <c r="CCL132" s="64"/>
      <c r="CCM132" s="27"/>
      <c r="CCR132" s="64"/>
      <c r="CCS132" s="27"/>
      <c r="CCX132" s="64"/>
      <c r="CCY132" s="27"/>
      <c r="CDD132" s="64"/>
      <c r="CDE132" s="27"/>
      <c r="CDJ132" s="64"/>
      <c r="CDK132" s="27"/>
      <c r="CDP132" s="64"/>
      <c r="CDQ132" s="27"/>
      <c r="CDV132" s="64"/>
      <c r="CDW132" s="27"/>
      <c r="CEB132" s="64"/>
      <c r="CEC132" s="27"/>
      <c r="CEH132" s="64"/>
      <c r="CEI132" s="27"/>
      <c r="CEN132" s="64"/>
      <c r="CEO132" s="27"/>
      <c r="CET132" s="64"/>
      <c r="CEU132" s="27"/>
      <c r="CEZ132" s="64"/>
      <c r="CFA132" s="27"/>
      <c r="CFF132" s="64"/>
      <c r="CFG132" s="27"/>
      <c r="CFL132" s="64"/>
      <c r="CFM132" s="27"/>
      <c r="CFR132" s="64"/>
      <c r="CFS132" s="27"/>
      <c r="CFX132" s="64"/>
      <c r="CFY132" s="27"/>
      <c r="CGD132" s="64"/>
      <c r="CGE132" s="27"/>
      <c r="CGJ132" s="64"/>
      <c r="CGK132" s="27"/>
      <c r="CGP132" s="64"/>
      <c r="CGQ132" s="27"/>
      <c r="CGV132" s="64"/>
      <c r="CGW132" s="27"/>
      <c r="CHB132" s="64"/>
      <c r="CHC132" s="27"/>
      <c r="CHH132" s="64"/>
      <c r="CHI132" s="27"/>
      <c r="CHN132" s="64"/>
      <c r="CHO132" s="27"/>
      <c r="CHT132" s="64"/>
      <c r="CHU132" s="27"/>
      <c r="CHZ132" s="64"/>
      <c r="CIA132" s="27"/>
      <c r="CIF132" s="64"/>
      <c r="CIG132" s="27"/>
      <c r="CIL132" s="64"/>
      <c r="CIM132" s="27"/>
      <c r="CIR132" s="64"/>
      <c r="CIS132" s="27"/>
      <c r="CIX132" s="64"/>
      <c r="CIY132" s="27"/>
      <c r="CJD132" s="64"/>
      <c r="CJE132" s="27"/>
      <c r="CJJ132" s="64"/>
      <c r="CJK132" s="27"/>
      <c r="CJP132" s="64"/>
      <c r="CJQ132" s="27"/>
      <c r="CJV132" s="64"/>
      <c r="CJW132" s="27"/>
      <c r="CKB132" s="64"/>
      <c r="CKC132" s="27"/>
      <c r="CKH132" s="64"/>
      <c r="CKI132" s="27"/>
      <c r="CKN132" s="64"/>
      <c r="CKO132" s="27"/>
      <c r="CKT132" s="64"/>
      <c r="CKU132" s="27"/>
      <c r="CKZ132" s="64"/>
      <c r="CLA132" s="27"/>
      <c r="CLF132" s="64"/>
      <c r="CLG132" s="27"/>
      <c r="CLL132" s="64"/>
      <c r="CLM132" s="27"/>
      <c r="CLR132" s="64"/>
      <c r="CLS132" s="27"/>
      <c r="CLX132" s="64"/>
      <c r="CLY132" s="27"/>
      <c r="CMD132" s="64"/>
      <c r="CME132" s="27"/>
      <c r="CMJ132" s="64"/>
      <c r="CMK132" s="27"/>
      <c r="CMP132" s="64"/>
      <c r="CMQ132" s="27"/>
      <c r="CMV132" s="64"/>
      <c r="CMW132" s="27"/>
      <c r="CNB132" s="64"/>
      <c r="CNC132" s="27"/>
      <c r="CNH132" s="64"/>
      <c r="CNI132" s="27"/>
      <c r="CNN132" s="64"/>
      <c r="CNO132" s="27"/>
      <c r="CNT132" s="64"/>
      <c r="CNU132" s="27"/>
      <c r="CNZ132" s="64"/>
      <c r="COA132" s="27"/>
      <c r="COF132" s="64"/>
      <c r="COG132" s="27"/>
      <c r="COL132" s="64"/>
      <c r="COM132" s="27"/>
      <c r="COR132" s="64"/>
      <c r="COS132" s="27"/>
      <c r="COX132" s="64"/>
      <c r="COY132" s="27"/>
      <c r="CPD132" s="64"/>
      <c r="CPE132" s="27"/>
      <c r="CPJ132" s="64"/>
      <c r="CPK132" s="27"/>
      <c r="CPP132" s="64"/>
      <c r="CPQ132" s="27"/>
      <c r="CPV132" s="64"/>
      <c r="CPW132" s="27"/>
      <c r="CQB132" s="64"/>
      <c r="CQC132" s="27"/>
      <c r="CQH132" s="64"/>
      <c r="CQI132" s="27"/>
      <c r="CQN132" s="64"/>
      <c r="CQO132" s="27"/>
      <c r="CQT132" s="64"/>
      <c r="CQU132" s="27"/>
      <c r="CQZ132" s="64"/>
      <c r="CRA132" s="27"/>
      <c r="CRF132" s="64"/>
      <c r="CRG132" s="27"/>
      <c r="CRL132" s="64"/>
      <c r="CRM132" s="27"/>
      <c r="CRR132" s="64"/>
      <c r="CRS132" s="27"/>
      <c r="CRX132" s="64"/>
      <c r="CRY132" s="27"/>
      <c r="CSD132" s="64"/>
      <c r="CSE132" s="27"/>
      <c r="CSJ132" s="64"/>
      <c r="CSK132" s="27"/>
      <c r="CSP132" s="64"/>
      <c r="CSQ132" s="27"/>
      <c r="CSV132" s="64"/>
      <c r="CSW132" s="27"/>
      <c r="CTB132" s="64"/>
      <c r="CTC132" s="27"/>
      <c r="CTH132" s="64"/>
      <c r="CTI132" s="27"/>
      <c r="CTN132" s="64"/>
      <c r="CTO132" s="27"/>
      <c r="CTT132" s="64"/>
      <c r="CTU132" s="27"/>
      <c r="CTZ132" s="64"/>
      <c r="CUA132" s="27"/>
      <c r="CUF132" s="64"/>
      <c r="CUG132" s="27"/>
      <c r="CUL132" s="64"/>
      <c r="CUM132" s="27"/>
      <c r="CUR132" s="64"/>
      <c r="CUS132" s="27"/>
      <c r="CUX132" s="64"/>
      <c r="CUY132" s="27"/>
      <c r="CVD132" s="64"/>
      <c r="CVE132" s="27"/>
      <c r="CVJ132" s="64"/>
      <c r="CVK132" s="27"/>
      <c r="CVP132" s="64"/>
      <c r="CVQ132" s="27"/>
      <c r="CVV132" s="64"/>
      <c r="CVW132" s="27"/>
      <c r="CWB132" s="64"/>
      <c r="CWC132" s="27"/>
      <c r="CWH132" s="64"/>
      <c r="CWI132" s="27"/>
      <c r="CWN132" s="64"/>
      <c r="CWO132" s="27"/>
      <c r="CWT132" s="64"/>
      <c r="CWU132" s="27"/>
      <c r="CWZ132" s="64"/>
      <c r="CXA132" s="27"/>
      <c r="CXF132" s="64"/>
      <c r="CXG132" s="27"/>
      <c r="CXL132" s="64"/>
      <c r="CXM132" s="27"/>
      <c r="CXR132" s="64"/>
      <c r="CXS132" s="27"/>
      <c r="CXX132" s="64"/>
      <c r="CXY132" s="27"/>
      <c r="CYD132" s="64"/>
      <c r="CYE132" s="27"/>
      <c r="CYJ132" s="64"/>
      <c r="CYK132" s="27"/>
      <c r="CYP132" s="64"/>
      <c r="CYQ132" s="27"/>
      <c r="CYV132" s="64"/>
      <c r="CYW132" s="27"/>
      <c r="CZB132" s="64"/>
      <c r="CZC132" s="27"/>
      <c r="CZH132" s="64"/>
      <c r="CZI132" s="27"/>
      <c r="CZN132" s="64"/>
      <c r="CZO132" s="27"/>
      <c r="CZT132" s="64"/>
      <c r="CZU132" s="27"/>
      <c r="CZZ132" s="64"/>
      <c r="DAA132" s="27"/>
      <c r="DAF132" s="64"/>
      <c r="DAG132" s="27"/>
      <c r="DAL132" s="64"/>
      <c r="DAM132" s="27"/>
      <c r="DAR132" s="64"/>
      <c r="DAS132" s="27"/>
      <c r="DAX132" s="64"/>
      <c r="DAY132" s="27"/>
      <c r="DBD132" s="64"/>
      <c r="DBE132" s="27"/>
      <c r="DBJ132" s="64"/>
      <c r="DBK132" s="27"/>
      <c r="DBP132" s="64"/>
      <c r="DBQ132" s="27"/>
      <c r="DBV132" s="64"/>
      <c r="DBW132" s="27"/>
      <c r="DCB132" s="64"/>
      <c r="DCC132" s="27"/>
      <c r="DCH132" s="64"/>
      <c r="DCI132" s="27"/>
      <c r="DCN132" s="64"/>
      <c r="DCO132" s="27"/>
      <c r="DCT132" s="64"/>
      <c r="DCU132" s="27"/>
      <c r="DCZ132" s="64"/>
      <c r="DDA132" s="27"/>
      <c r="DDF132" s="64"/>
      <c r="DDG132" s="27"/>
      <c r="DDL132" s="64"/>
      <c r="DDM132" s="27"/>
      <c r="DDR132" s="64"/>
      <c r="DDS132" s="27"/>
      <c r="DDX132" s="64"/>
      <c r="DDY132" s="27"/>
      <c r="DED132" s="64"/>
      <c r="DEE132" s="27"/>
      <c r="DEJ132" s="64"/>
      <c r="DEK132" s="27"/>
      <c r="DEP132" s="64"/>
      <c r="DEQ132" s="27"/>
      <c r="DEV132" s="64"/>
      <c r="DEW132" s="27"/>
      <c r="DFB132" s="64"/>
      <c r="DFC132" s="27"/>
      <c r="DFH132" s="64"/>
      <c r="DFI132" s="27"/>
      <c r="DFN132" s="64"/>
      <c r="DFO132" s="27"/>
      <c r="DFT132" s="64"/>
      <c r="DFU132" s="27"/>
      <c r="DFZ132" s="64"/>
      <c r="DGA132" s="27"/>
      <c r="DGF132" s="64"/>
      <c r="DGG132" s="27"/>
      <c r="DGL132" s="64"/>
      <c r="DGM132" s="27"/>
      <c r="DGR132" s="64"/>
      <c r="DGS132" s="27"/>
      <c r="DGX132" s="64"/>
      <c r="DGY132" s="27"/>
      <c r="DHD132" s="64"/>
      <c r="DHE132" s="27"/>
      <c r="DHJ132" s="64"/>
      <c r="DHK132" s="27"/>
      <c r="DHP132" s="64"/>
      <c r="DHQ132" s="27"/>
      <c r="DHV132" s="64"/>
      <c r="DHW132" s="27"/>
      <c r="DIB132" s="64"/>
      <c r="DIC132" s="27"/>
      <c r="DIH132" s="64"/>
      <c r="DII132" s="27"/>
      <c r="DIN132" s="64"/>
      <c r="DIO132" s="27"/>
      <c r="DIT132" s="64"/>
      <c r="DIU132" s="27"/>
      <c r="DIZ132" s="64"/>
      <c r="DJA132" s="27"/>
      <c r="DJF132" s="64"/>
      <c r="DJG132" s="27"/>
      <c r="DJL132" s="64"/>
      <c r="DJM132" s="27"/>
      <c r="DJR132" s="64"/>
      <c r="DJS132" s="27"/>
      <c r="DJX132" s="64"/>
      <c r="DJY132" s="27"/>
      <c r="DKD132" s="64"/>
      <c r="DKE132" s="27"/>
      <c r="DKJ132" s="64"/>
      <c r="DKK132" s="27"/>
      <c r="DKP132" s="64"/>
      <c r="DKQ132" s="27"/>
      <c r="DKV132" s="64"/>
      <c r="DKW132" s="27"/>
      <c r="DLB132" s="64"/>
      <c r="DLC132" s="27"/>
      <c r="DLH132" s="64"/>
      <c r="DLI132" s="27"/>
      <c r="DLN132" s="64"/>
      <c r="DLO132" s="27"/>
      <c r="DLT132" s="64"/>
      <c r="DLU132" s="27"/>
      <c r="DLZ132" s="64"/>
      <c r="DMA132" s="27"/>
      <c r="DMF132" s="64"/>
      <c r="DMG132" s="27"/>
      <c r="DML132" s="64"/>
      <c r="DMM132" s="27"/>
      <c r="DMR132" s="64"/>
      <c r="DMS132" s="27"/>
      <c r="DMX132" s="64"/>
      <c r="DMY132" s="27"/>
      <c r="DND132" s="64"/>
      <c r="DNE132" s="27"/>
      <c r="DNJ132" s="64"/>
      <c r="DNK132" s="27"/>
      <c r="DNP132" s="64"/>
      <c r="DNQ132" s="27"/>
      <c r="DNV132" s="64"/>
      <c r="DNW132" s="27"/>
      <c r="DOB132" s="64"/>
      <c r="DOC132" s="27"/>
      <c r="DOH132" s="64"/>
      <c r="DOI132" s="27"/>
      <c r="DON132" s="64"/>
      <c r="DOO132" s="27"/>
      <c r="DOT132" s="64"/>
      <c r="DOU132" s="27"/>
      <c r="DOZ132" s="64"/>
      <c r="DPA132" s="27"/>
      <c r="DPF132" s="64"/>
      <c r="DPG132" s="27"/>
      <c r="DPL132" s="64"/>
      <c r="DPM132" s="27"/>
      <c r="DPR132" s="64"/>
      <c r="DPS132" s="27"/>
      <c r="DPX132" s="64"/>
      <c r="DPY132" s="27"/>
      <c r="DQD132" s="64"/>
      <c r="DQE132" s="27"/>
      <c r="DQJ132" s="64"/>
      <c r="DQK132" s="27"/>
      <c r="DQP132" s="64"/>
      <c r="DQQ132" s="27"/>
      <c r="DQV132" s="64"/>
      <c r="DQW132" s="27"/>
      <c r="DRB132" s="64"/>
      <c r="DRC132" s="27"/>
      <c r="DRH132" s="64"/>
      <c r="DRI132" s="27"/>
      <c r="DRN132" s="64"/>
      <c r="DRO132" s="27"/>
      <c r="DRT132" s="64"/>
      <c r="DRU132" s="27"/>
      <c r="DRZ132" s="64"/>
      <c r="DSA132" s="27"/>
      <c r="DSF132" s="64"/>
      <c r="DSG132" s="27"/>
      <c r="DSL132" s="64"/>
      <c r="DSM132" s="27"/>
      <c r="DSR132" s="64"/>
      <c r="DSS132" s="27"/>
      <c r="DSX132" s="64"/>
      <c r="DSY132" s="27"/>
      <c r="DTD132" s="64"/>
      <c r="DTE132" s="27"/>
      <c r="DTJ132" s="64"/>
      <c r="DTK132" s="27"/>
      <c r="DTP132" s="64"/>
      <c r="DTQ132" s="27"/>
      <c r="DTV132" s="64"/>
      <c r="DTW132" s="27"/>
      <c r="DUB132" s="64"/>
      <c r="DUC132" s="27"/>
      <c r="DUH132" s="64"/>
      <c r="DUI132" s="27"/>
      <c r="DUN132" s="64"/>
      <c r="DUO132" s="27"/>
      <c r="DUT132" s="64"/>
      <c r="DUU132" s="27"/>
      <c r="DUZ132" s="64"/>
      <c r="DVA132" s="27"/>
      <c r="DVF132" s="64"/>
      <c r="DVG132" s="27"/>
      <c r="DVL132" s="64"/>
      <c r="DVM132" s="27"/>
      <c r="DVR132" s="64"/>
      <c r="DVS132" s="27"/>
      <c r="DVX132" s="64"/>
      <c r="DVY132" s="27"/>
      <c r="DWD132" s="64"/>
      <c r="DWE132" s="27"/>
      <c r="DWJ132" s="64"/>
      <c r="DWK132" s="27"/>
      <c r="DWP132" s="64"/>
      <c r="DWQ132" s="27"/>
      <c r="DWV132" s="64"/>
      <c r="DWW132" s="27"/>
      <c r="DXB132" s="64"/>
      <c r="DXC132" s="27"/>
      <c r="DXH132" s="64"/>
      <c r="DXI132" s="27"/>
      <c r="DXN132" s="64"/>
      <c r="DXO132" s="27"/>
      <c r="DXT132" s="64"/>
      <c r="DXU132" s="27"/>
      <c r="DXZ132" s="64"/>
      <c r="DYA132" s="27"/>
      <c r="DYF132" s="64"/>
      <c r="DYG132" s="27"/>
      <c r="DYL132" s="64"/>
      <c r="DYM132" s="27"/>
      <c r="DYR132" s="64"/>
      <c r="DYS132" s="27"/>
      <c r="DYX132" s="64"/>
      <c r="DYY132" s="27"/>
      <c r="DZD132" s="64"/>
      <c r="DZE132" s="27"/>
      <c r="DZJ132" s="64"/>
      <c r="DZK132" s="27"/>
      <c r="DZP132" s="64"/>
      <c r="DZQ132" s="27"/>
      <c r="DZV132" s="64"/>
      <c r="DZW132" s="27"/>
      <c r="EAB132" s="64"/>
      <c r="EAC132" s="27"/>
      <c r="EAH132" s="64"/>
      <c r="EAI132" s="27"/>
      <c r="EAN132" s="64"/>
      <c r="EAO132" s="27"/>
      <c r="EAT132" s="64"/>
      <c r="EAU132" s="27"/>
      <c r="EAZ132" s="64"/>
      <c r="EBA132" s="27"/>
      <c r="EBF132" s="64"/>
      <c r="EBG132" s="27"/>
      <c r="EBL132" s="64"/>
      <c r="EBM132" s="27"/>
      <c r="EBR132" s="64"/>
      <c r="EBS132" s="27"/>
      <c r="EBX132" s="64"/>
      <c r="EBY132" s="27"/>
      <c r="ECD132" s="64"/>
      <c r="ECE132" s="27"/>
      <c r="ECJ132" s="64"/>
      <c r="ECK132" s="27"/>
      <c r="ECP132" s="64"/>
      <c r="ECQ132" s="27"/>
      <c r="ECV132" s="64"/>
      <c r="ECW132" s="27"/>
      <c r="EDB132" s="64"/>
      <c r="EDC132" s="27"/>
      <c r="EDH132" s="64"/>
      <c r="EDI132" s="27"/>
      <c r="EDN132" s="64"/>
      <c r="EDO132" s="27"/>
      <c r="EDT132" s="64"/>
      <c r="EDU132" s="27"/>
      <c r="EDZ132" s="64"/>
      <c r="EEA132" s="27"/>
      <c r="EEF132" s="64"/>
      <c r="EEG132" s="27"/>
      <c r="EEL132" s="64"/>
      <c r="EEM132" s="27"/>
      <c r="EER132" s="64"/>
      <c r="EES132" s="27"/>
      <c r="EEX132" s="64"/>
      <c r="EEY132" s="27"/>
      <c r="EFD132" s="64"/>
      <c r="EFE132" s="27"/>
      <c r="EFJ132" s="64"/>
      <c r="EFK132" s="27"/>
      <c r="EFP132" s="64"/>
      <c r="EFQ132" s="27"/>
      <c r="EFV132" s="64"/>
      <c r="EFW132" s="27"/>
      <c r="EGB132" s="64"/>
      <c r="EGC132" s="27"/>
      <c r="EGH132" s="64"/>
      <c r="EGI132" s="27"/>
      <c r="EGN132" s="64"/>
      <c r="EGO132" s="27"/>
      <c r="EGT132" s="64"/>
      <c r="EGU132" s="27"/>
      <c r="EGZ132" s="64"/>
      <c r="EHA132" s="27"/>
      <c r="EHF132" s="64"/>
      <c r="EHG132" s="27"/>
      <c r="EHL132" s="64"/>
      <c r="EHM132" s="27"/>
      <c r="EHR132" s="64"/>
      <c r="EHS132" s="27"/>
      <c r="EHX132" s="64"/>
      <c r="EHY132" s="27"/>
      <c r="EID132" s="64"/>
      <c r="EIE132" s="27"/>
      <c r="EIJ132" s="64"/>
      <c r="EIK132" s="27"/>
      <c r="EIP132" s="64"/>
      <c r="EIQ132" s="27"/>
      <c r="EIV132" s="64"/>
      <c r="EIW132" s="27"/>
      <c r="EJB132" s="64"/>
      <c r="EJC132" s="27"/>
      <c r="EJH132" s="64"/>
      <c r="EJI132" s="27"/>
      <c r="EJN132" s="64"/>
      <c r="EJO132" s="27"/>
      <c r="EJT132" s="64"/>
      <c r="EJU132" s="27"/>
      <c r="EJZ132" s="64"/>
      <c r="EKA132" s="27"/>
      <c r="EKF132" s="64"/>
      <c r="EKG132" s="27"/>
      <c r="EKL132" s="64"/>
      <c r="EKM132" s="27"/>
      <c r="EKR132" s="64"/>
      <c r="EKS132" s="27"/>
      <c r="EKX132" s="64"/>
      <c r="EKY132" s="27"/>
      <c r="ELD132" s="64"/>
      <c r="ELE132" s="27"/>
      <c r="ELJ132" s="64"/>
      <c r="ELK132" s="27"/>
      <c r="ELP132" s="64"/>
      <c r="ELQ132" s="27"/>
      <c r="ELV132" s="64"/>
      <c r="ELW132" s="27"/>
      <c r="EMB132" s="64"/>
      <c r="EMC132" s="27"/>
      <c r="EMH132" s="64"/>
      <c r="EMI132" s="27"/>
      <c r="EMN132" s="64"/>
      <c r="EMO132" s="27"/>
      <c r="EMT132" s="64"/>
      <c r="EMU132" s="27"/>
      <c r="EMZ132" s="64"/>
      <c r="ENA132" s="27"/>
      <c r="ENF132" s="64"/>
      <c r="ENG132" s="27"/>
      <c r="ENL132" s="64"/>
      <c r="ENM132" s="27"/>
      <c r="ENR132" s="64"/>
      <c r="ENS132" s="27"/>
      <c r="ENX132" s="64"/>
      <c r="ENY132" s="27"/>
      <c r="EOD132" s="64"/>
      <c r="EOE132" s="27"/>
      <c r="EOJ132" s="64"/>
      <c r="EOK132" s="27"/>
      <c r="EOP132" s="64"/>
      <c r="EOQ132" s="27"/>
      <c r="EOV132" s="64"/>
      <c r="EOW132" s="27"/>
      <c r="EPB132" s="64"/>
      <c r="EPC132" s="27"/>
      <c r="EPH132" s="64"/>
      <c r="EPI132" s="27"/>
      <c r="EPN132" s="64"/>
      <c r="EPO132" s="27"/>
      <c r="EPT132" s="64"/>
      <c r="EPU132" s="27"/>
      <c r="EPZ132" s="64"/>
      <c r="EQA132" s="27"/>
      <c r="EQF132" s="64"/>
      <c r="EQG132" s="27"/>
      <c r="EQL132" s="64"/>
      <c r="EQM132" s="27"/>
      <c r="EQR132" s="64"/>
      <c r="EQS132" s="27"/>
      <c r="EQX132" s="64"/>
      <c r="EQY132" s="27"/>
      <c r="ERD132" s="64"/>
      <c r="ERE132" s="27"/>
      <c r="ERJ132" s="64"/>
      <c r="ERK132" s="27"/>
      <c r="ERP132" s="64"/>
      <c r="ERQ132" s="27"/>
      <c r="ERV132" s="64"/>
      <c r="ERW132" s="27"/>
      <c r="ESB132" s="64"/>
      <c r="ESC132" s="27"/>
      <c r="ESH132" s="64"/>
      <c r="ESI132" s="27"/>
      <c r="ESN132" s="64"/>
      <c r="ESO132" s="27"/>
      <c r="EST132" s="64"/>
      <c r="ESU132" s="27"/>
      <c r="ESZ132" s="64"/>
      <c r="ETA132" s="27"/>
      <c r="ETF132" s="64"/>
      <c r="ETG132" s="27"/>
      <c r="ETL132" s="64"/>
      <c r="ETM132" s="27"/>
      <c r="ETR132" s="64"/>
      <c r="ETS132" s="27"/>
      <c r="ETX132" s="64"/>
      <c r="ETY132" s="27"/>
      <c r="EUD132" s="64"/>
      <c r="EUE132" s="27"/>
      <c r="EUJ132" s="64"/>
      <c r="EUK132" s="27"/>
      <c r="EUP132" s="64"/>
      <c r="EUQ132" s="27"/>
      <c r="EUV132" s="64"/>
      <c r="EUW132" s="27"/>
      <c r="EVB132" s="64"/>
      <c r="EVC132" s="27"/>
      <c r="EVH132" s="64"/>
      <c r="EVI132" s="27"/>
      <c r="EVN132" s="64"/>
      <c r="EVO132" s="27"/>
      <c r="EVT132" s="64"/>
      <c r="EVU132" s="27"/>
      <c r="EVZ132" s="64"/>
      <c r="EWA132" s="27"/>
      <c r="EWF132" s="64"/>
      <c r="EWG132" s="27"/>
      <c r="EWL132" s="64"/>
      <c r="EWM132" s="27"/>
      <c r="EWR132" s="64"/>
      <c r="EWS132" s="27"/>
      <c r="EWX132" s="64"/>
      <c r="EWY132" s="27"/>
      <c r="EXD132" s="64"/>
      <c r="EXE132" s="27"/>
      <c r="EXJ132" s="64"/>
      <c r="EXK132" s="27"/>
      <c r="EXP132" s="64"/>
      <c r="EXQ132" s="27"/>
      <c r="EXV132" s="64"/>
      <c r="EXW132" s="27"/>
      <c r="EYB132" s="64"/>
      <c r="EYC132" s="27"/>
      <c r="EYH132" s="64"/>
      <c r="EYI132" s="27"/>
      <c r="EYN132" s="64"/>
      <c r="EYO132" s="27"/>
      <c r="EYT132" s="64"/>
      <c r="EYU132" s="27"/>
      <c r="EYZ132" s="64"/>
      <c r="EZA132" s="27"/>
      <c r="EZF132" s="64"/>
      <c r="EZG132" s="27"/>
      <c r="EZL132" s="64"/>
      <c r="EZM132" s="27"/>
      <c r="EZR132" s="64"/>
      <c r="EZS132" s="27"/>
      <c r="EZX132" s="64"/>
      <c r="EZY132" s="27"/>
      <c r="FAD132" s="64"/>
      <c r="FAE132" s="27"/>
      <c r="FAJ132" s="64"/>
      <c r="FAK132" s="27"/>
      <c r="FAP132" s="64"/>
      <c r="FAQ132" s="27"/>
      <c r="FAV132" s="64"/>
      <c r="FAW132" s="27"/>
      <c r="FBB132" s="64"/>
      <c r="FBC132" s="27"/>
      <c r="FBH132" s="64"/>
      <c r="FBI132" s="27"/>
      <c r="FBN132" s="64"/>
      <c r="FBO132" s="27"/>
      <c r="FBT132" s="64"/>
      <c r="FBU132" s="27"/>
      <c r="FBZ132" s="64"/>
      <c r="FCA132" s="27"/>
      <c r="FCF132" s="64"/>
      <c r="FCG132" s="27"/>
      <c r="FCL132" s="64"/>
      <c r="FCM132" s="27"/>
      <c r="FCR132" s="64"/>
      <c r="FCS132" s="27"/>
      <c r="FCX132" s="64"/>
      <c r="FCY132" s="27"/>
      <c r="FDD132" s="64"/>
      <c r="FDE132" s="27"/>
      <c r="FDJ132" s="64"/>
      <c r="FDK132" s="27"/>
      <c r="FDP132" s="64"/>
      <c r="FDQ132" s="27"/>
      <c r="FDV132" s="64"/>
      <c r="FDW132" s="27"/>
      <c r="FEB132" s="64"/>
      <c r="FEC132" s="27"/>
      <c r="FEH132" s="64"/>
      <c r="FEI132" s="27"/>
      <c r="FEN132" s="64"/>
      <c r="FEO132" s="27"/>
      <c r="FET132" s="64"/>
      <c r="FEU132" s="27"/>
      <c r="FEZ132" s="64"/>
      <c r="FFA132" s="27"/>
      <c r="FFF132" s="64"/>
      <c r="FFG132" s="27"/>
      <c r="FFL132" s="64"/>
      <c r="FFM132" s="27"/>
      <c r="FFR132" s="64"/>
      <c r="FFS132" s="27"/>
      <c r="FFX132" s="64"/>
      <c r="FFY132" s="27"/>
      <c r="FGD132" s="64"/>
      <c r="FGE132" s="27"/>
      <c r="FGJ132" s="64"/>
      <c r="FGK132" s="27"/>
      <c r="FGP132" s="64"/>
      <c r="FGQ132" s="27"/>
      <c r="FGV132" s="64"/>
      <c r="FGW132" s="27"/>
      <c r="FHB132" s="64"/>
      <c r="FHC132" s="27"/>
      <c r="FHH132" s="64"/>
      <c r="FHI132" s="27"/>
      <c r="FHN132" s="64"/>
      <c r="FHO132" s="27"/>
      <c r="FHT132" s="64"/>
      <c r="FHU132" s="27"/>
      <c r="FHZ132" s="64"/>
      <c r="FIA132" s="27"/>
      <c r="FIF132" s="64"/>
      <c r="FIG132" s="27"/>
      <c r="FIL132" s="64"/>
      <c r="FIM132" s="27"/>
      <c r="FIR132" s="64"/>
      <c r="FIS132" s="27"/>
      <c r="FIX132" s="64"/>
      <c r="FIY132" s="27"/>
      <c r="FJD132" s="64"/>
      <c r="FJE132" s="27"/>
      <c r="FJJ132" s="64"/>
      <c r="FJK132" s="27"/>
      <c r="FJP132" s="64"/>
      <c r="FJQ132" s="27"/>
      <c r="FJV132" s="64"/>
      <c r="FJW132" s="27"/>
      <c r="FKB132" s="64"/>
      <c r="FKC132" s="27"/>
      <c r="FKH132" s="64"/>
      <c r="FKI132" s="27"/>
      <c r="FKN132" s="64"/>
      <c r="FKO132" s="27"/>
      <c r="FKT132" s="64"/>
      <c r="FKU132" s="27"/>
      <c r="FKZ132" s="64"/>
      <c r="FLA132" s="27"/>
      <c r="FLF132" s="64"/>
      <c r="FLG132" s="27"/>
      <c r="FLL132" s="64"/>
      <c r="FLM132" s="27"/>
      <c r="FLR132" s="64"/>
      <c r="FLS132" s="27"/>
      <c r="FLX132" s="64"/>
      <c r="FLY132" s="27"/>
      <c r="FMD132" s="64"/>
      <c r="FME132" s="27"/>
      <c r="FMJ132" s="64"/>
      <c r="FMK132" s="27"/>
      <c r="FMP132" s="64"/>
      <c r="FMQ132" s="27"/>
      <c r="FMV132" s="64"/>
      <c r="FMW132" s="27"/>
      <c r="FNB132" s="64"/>
      <c r="FNC132" s="27"/>
      <c r="FNH132" s="64"/>
      <c r="FNI132" s="27"/>
      <c r="FNN132" s="64"/>
      <c r="FNO132" s="27"/>
      <c r="FNT132" s="64"/>
      <c r="FNU132" s="27"/>
      <c r="FNZ132" s="64"/>
      <c r="FOA132" s="27"/>
      <c r="FOF132" s="64"/>
      <c r="FOG132" s="27"/>
      <c r="FOL132" s="64"/>
      <c r="FOM132" s="27"/>
      <c r="FOR132" s="64"/>
      <c r="FOS132" s="27"/>
      <c r="FOX132" s="64"/>
      <c r="FOY132" s="27"/>
      <c r="FPD132" s="64"/>
      <c r="FPE132" s="27"/>
      <c r="FPJ132" s="64"/>
      <c r="FPK132" s="27"/>
      <c r="FPP132" s="64"/>
      <c r="FPQ132" s="27"/>
      <c r="FPV132" s="64"/>
      <c r="FPW132" s="27"/>
      <c r="FQB132" s="64"/>
      <c r="FQC132" s="27"/>
      <c r="FQH132" s="64"/>
      <c r="FQI132" s="27"/>
      <c r="FQN132" s="64"/>
      <c r="FQO132" s="27"/>
      <c r="FQT132" s="64"/>
      <c r="FQU132" s="27"/>
      <c r="FQZ132" s="64"/>
      <c r="FRA132" s="27"/>
      <c r="FRF132" s="64"/>
      <c r="FRG132" s="27"/>
      <c r="FRL132" s="64"/>
      <c r="FRM132" s="27"/>
      <c r="FRR132" s="64"/>
      <c r="FRS132" s="27"/>
      <c r="FRX132" s="64"/>
      <c r="FRY132" s="27"/>
      <c r="FSD132" s="64"/>
      <c r="FSE132" s="27"/>
      <c r="FSJ132" s="64"/>
      <c r="FSK132" s="27"/>
      <c r="FSP132" s="64"/>
      <c r="FSQ132" s="27"/>
      <c r="FSV132" s="64"/>
      <c r="FSW132" s="27"/>
      <c r="FTB132" s="64"/>
      <c r="FTC132" s="27"/>
      <c r="FTH132" s="64"/>
      <c r="FTI132" s="27"/>
      <c r="FTN132" s="64"/>
      <c r="FTO132" s="27"/>
      <c r="FTT132" s="64"/>
      <c r="FTU132" s="27"/>
      <c r="FTZ132" s="64"/>
      <c r="FUA132" s="27"/>
      <c r="FUF132" s="64"/>
      <c r="FUG132" s="27"/>
      <c r="FUL132" s="64"/>
      <c r="FUM132" s="27"/>
      <c r="FUR132" s="64"/>
      <c r="FUS132" s="27"/>
      <c r="FUX132" s="64"/>
      <c r="FUY132" s="27"/>
      <c r="FVD132" s="64"/>
      <c r="FVE132" s="27"/>
      <c r="FVJ132" s="64"/>
      <c r="FVK132" s="27"/>
      <c r="FVP132" s="64"/>
      <c r="FVQ132" s="27"/>
      <c r="FVV132" s="64"/>
      <c r="FVW132" s="27"/>
      <c r="FWB132" s="64"/>
      <c r="FWC132" s="27"/>
      <c r="FWH132" s="64"/>
      <c r="FWI132" s="27"/>
      <c r="FWN132" s="64"/>
      <c r="FWO132" s="27"/>
      <c r="FWT132" s="64"/>
      <c r="FWU132" s="27"/>
      <c r="FWZ132" s="64"/>
      <c r="FXA132" s="27"/>
      <c r="FXF132" s="64"/>
      <c r="FXG132" s="27"/>
      <c r="FXL132" s="64"/>
      <c r="FXM132" s="27"/>
      <c r="FXR132" s="64"/>
      <c r="FXS132" s="27"/>
      <c r="FXX132" s="64"/>
      <c r="FXY132" s="27"/>
      <c r="FYD132" s="64"/>
      <c r="FYE132" s="27"/>
      <c r="FYJ132" s="64"/>
      <c r="FYK132" s="27"/>
      <c r="FYP132" s="64"/>
      <c r="FYQ132" s="27"/>
      <c r="FYV132" s="64"/>
      <c r="FYW132" s="27"/>
      <c r="FZB132" s="64"/>
      <c r="FZC132" s="27"/>
      <c r="FZH132" s="64"/>
      <c r="FZI132" s="27"/>
      <c r="FZN132" s="64"/>
      <c r="FZO132" s="27"/>
      <c r="FZT132" s="64"/>
      <c r="FZU132" s="27"/>
      <c r="FZZ132" s="64"/>
      <c r="GAA132" s="27"/>
      <c r="GAF132" s="64"/>
      <c r="GAG132" s="27"/>
      <c r="GAL132" s="64"/>
      <c r="GAM132" s="27"/>
      <c r="GAR132" s="64"/>
      <c r="GAS132" s="27"/>
      <c r="GAX132" s="64"/>
      <c r="GAY132" s="27"/>
      <c r="GBD132" s="64"/>
      <c r="GBE132" s="27"/>
      <c r="GBJ132" s="64"/>
      <c r="GBK132" s="27"/>
      <c r="GBP132" s="64"/>
      <c r="GBQ132" s="27"/>
      <c r="GBV132" s="64"/>
      <c r="GBW132" s="27"/>
      <c r="GCB132" s="64"/>
      <c r="GCC132" s="27"/>
      <c r="GCH132" s="64"/>
      <c r="GCI132" s="27"/>
      <c r="GCN132" s="64"/>
      <c r="GCO132" s="27"/>
      <c r="GCT132" s="64"/>
      <c r="GCU132" s="27"/>
      <c r="GCZ132" s="64"/>
      <c r="GDA132" s="27"/>
      <c r="GDF132" s="64"/>
      <c r="GDG132" s="27"/>
      <c r="GDL132" s="64"/>
      <c r="GDM132" s="27"/>
      <c r="GDR132" s="64"/>
      <c r="GDS132" s="27"/>
      <c r="GDX132" s="64"/>
      <c r="GDY132" s="27"/>
      <c r="GED132" s="64"/>
      <c r="GEE132" s="27"/>
      <c r="GEJ132" s="64"/>
      <c r="GEK132" s="27"/>
      <c r="GEP132" s="64"/>
      <c r="GEQ132" s="27"/>
      <c r="GEV132" s="64"/>
      <c r="GEW132" s="27"/>
      <c r="GFB132" s="64"/>
      <c r="GFC132" s="27"/>
      <c r="GFH132" s="64"/>
      <c r="GFI132" s="27"/>
      <c r="GFN132" s="64"/>
      <c r="GFO132" s="27"/>
      <c r="GFT132" s="64"/>
      <c r="GFU132" s="27"/>
      <c r="GFZ132" s="64"/>
      <c r="GGA132" s="27"/>
      <c r="GGF132" s="64"/>
      <c r="GGG132" s="27"/>
      <c r="GGL132" s="64"/>
      <c r="GGM132" s="27"/>
      <c r="GGR132" s="64"/>
      <c r="GGS132" s="27"/>
      <c r="GGX132" s="64"/>
      <c r="GGY132" s="27"/>
      <c r="GHD132" s="64"/>
      <c r="GHE132" s="27"/>
      <c r="GHJ132" s="64"/>
      <c r="GHK132" s="27"/>
      <c r="GHP132" s="64"/>
      <c r="GHQ132" s="27"/>
      <c r="GHV132" s="64"/>
      <c r="GHW132" s="27"/>
      <c r="GIB132" s="64"/>
      <c r="GIC132" s="27"/>
      <c r="GIH132" s="64"/>
      <c r="GII132" s="27"/>
      <c r="GIN132" s="64"/>
      <c r="GIO132" s="27"/>
      <c r="GIT132" s="64"/>
      <c r="GIU132" s="27"/>
      <c r="GIZ132" s="64"/>
      <c r="GJA132" s="27"/>
      <c r="GJF132" s="64"/>
      <c r="GJG132" s="27"/>
      <c r="GJL132" s="64"/>
      <c r="GJM132" s="27"/>
      <c r="GJR132" s="64"/>
      <c r="GJS132" s="27"/>
      <c r="GJX132" s="64"/>
      <c r="GJY132" s="27"/>
      <c r="GKD132" s="64"/>
      <c r="GKE132" s="27"/>
      <c r="GKJ132" s="64"/>
      <c r="GKK132" s="27"/>
      <c r="GKP132" s="64"/>
      <c r="GKQ132" s="27"/>
      <c r="GKV132" s="64"/>
      <c r="GKW132" s="27"/>
      <c r="GLB132" s="64"/>
      <c r="GLC132" s="27"/>
      <c r="GLH132" s="64"/>
      <c r="GLI132" s="27"/>
      <c r="GLN132" s="64"/>
      <c r="GLO132" s="27"/>
      <c r="GLT132" s="64"/>
      <c r="GLU132" s="27"/>
      <c r="GLZ132" s="64"/>
      <c r="GMA132" s="27"/>
      <c r="GMF132" s="64"/>
      <c r="GMG132" s="27"/>
      <c r="GML132" s="64"/>
      <c r="GMM132" s="27"/>
      <c r="GMR132" s="64"/>
      <c r="GMS132" s="27"/>
      <c r="GMX132" s="64"/>
      <c r="GMY132" s="27"/>
      <c r="GND132" s="64"/>
      <c r="GNE132" s="27"/>
      <c r="GNJ132" s="64"/>
      <c r="GNK132" s="27"/>
      <c r="GNP132" s="64"/>
      <c r="GNQ132" s="27"/>
      <c r="GNV132" s="64"/>
      <c r="GNW132" s="27"/>
      <c r="GOB132" s="64"/>
      <c r="GOC132" s="27"/>
      <c r="GOH132" s="64"/>
      <c r="GOI132" s="27"/>
      <c r="GON132" s="64"/>
      <c r="GOO132" s="27"/>
      <c r="GOT132" s="64"/>
      <c r="GOU132" s="27"/>
      <c r="GOZ132" s="64"/>
      <c r="GPA132" s="27"/>
      <c r="GPF132" s="64"/>
      <c r="GPG132" s="27"/>
      <c r="GPL132" s="64"/>
      <c r="GPM132" s="27"/>
      <c r="GPR132" s="64"/>
      <c r="GPS132" s="27"/>
      <c r="GPX132" s="64"/>
      <c r="GPY132" s="27"/>
      <c r="GQD132" s="64"/>
      <c r="GQE132" s="27"/>
      <c r="GQJ132" s="64"/>
      <c r="GQK132" s="27"/>
      <c r="GQP132" s="64"/>
      <c r="GQQ132" s="27"/>
      <c r="GQV132" s="64"/>
      <c r="GQW132" s="27"/>
      <c r="GRB132" s="64"/>
      <c r="GRC132" s="27"/>
      <c r="GRH132" s="64"/>
      <c r="GRI132" s="27"/>
      <c r="GRN132" s="64"/>
      <c r="GRO132" s="27"/>
      <c r="GRT132" s="64"/>
      <c r="GRU132" s="27"/>
      <c r="GRZ132" s="64"/>
      <c r="GSA132" s="27"/>
      <c r="GSF132" s="64"/>
      <c r="GSG132" s="27"/>
      <c r="GSL132" s="64"/>
      <c r="GSM132" s="27"/>
      <c r="GSR132" s="64"/>
      <c r="GSS132" s="27"/>
      <c r="GSX132" s="64"/>
      <c r="GSY132" s="27"/>
      <c r="GTD132" s="64"/>
      <c r="GTE132" s="27"/>
      <c r="GTJ132" s="64"/>
      <c r="GTK132" s="27"/>
      <c r="GTP132" s="64"/>
      <c r="GTQ132" s="27"/>
      <c r="GTV132" s="64"/>
      <c r="GTW132" s="27"/>
      <c r="GUB132" s="64"/>
      <c r="GUC132" s="27"/>
      <c r="GUH132" s="64"/>
      <c r="GUI132" s="27"/>
      <c r="GUN132" s="64"/>
      <c r="GUO132" s="27"/>
      <c r="GUT132" s="64"/>
      <c r="GUU132" s="27"/>
      <c r="GUZ132" s="64"/>
      <c r="GVA132" s="27"/>
      <c r="GVF132" s="64"/>
      <c r="GVG132" s="27"/>
      <c r="GVL132" s="64"/>
      <c r="GVM132" s="27"/>
      <c r="GVR132" s="64"/>
      <c r="GVS132" s="27"/>
      <c r="GVX132" s="64"/>
      <c r="GVY132" s="27"/>
      <c r="GWD132" s="64"/>
      <c r="GWE132" s="27"/>
      <c r="GWJ132" s="64"/>
      <c r="GWK132" s="27"/>
      <c r="GWP132" s="64"/>
      <c r="GWQ132" s="27"/>
      <c r="GWV132" s="64"/>
      <c r="GWW132" s="27"/>
      <c r="GXB132" s="64"/>
      <c r="GXC132" s="27"/>
      <c r="GXH132" s="64"/>
      <c r="GXI132" s="27"/>
      <c r="GXN132" s="64"/>
      <c r="GXO132" s="27"/>
      <c r="GXT132" s="64"/>
      <c r="GXU132" s="27"/>
      <c r="GXZ132" s="64"/>
      <c r="GYA132" s="27"/>
      <c r="GYF132" s="64"/>
      <c r="GYG132" s="27"/>
      <c r="GYL132" s="64"/>
      <c r="GYM132" s="27"/>
      <c r="GYR132" s="64"/>
      <c r="GYS132" s="27"/>
      <c r="GYX132" s="64"/>
      <c r="GYY132" s="27"/>
      <c r="GZD132" s="64"/>
      <c r="GZE132" s="27"/>
      <c r="GZJ132" s="64"/>
      <c r="GZK132" s="27"/>
      <c r="GZP132" s="64"/>
      <c r="GZQ132" s="27"/>
      <c r="GZV132" s="64"/>
      <c r="GZW132" s="27"/>
      <c r="HAB132" s="64"/>
      <c r="HAC132" s="27"/>
      <c r="HAH132" s="64"/>
      <c r="HAI132" s="27"/>
      <c r="HAN132" s="64"/>
      <c r="HAO132" s="27"/>
      <c r="HAT132" s="64"/>
      <c r="HAU132" s="27"/>
      <c r="HAZ132" s="64"/>
      <c r="HBA132" s="27"/>
      <c r="HBF132" s="64"/>
      <c r="HBG132" s="27"/>
      <c r="HBL132" s="64"/>
      <c r="HBM132" s="27"/>
      <c r="HBR132" s="64"/>
      <c r="HBS132" s="27"/>
      <c r="HBX132" s="64"/>
      <c r="HBY132" s="27"/>
      <c r="HCD132" s="64"/>
      <c r="HCE132" s="27"/>
      <c r="HCJ132" s="64"/>
      <c r="HCK132" s="27"/>
      <c r="HCP132" s="64"/>
      <c r="HCQ132" s="27"/>
      <c r="HCV132" s="64"/>
      <c r="HCW132" s="27"/>
      <c r="HDB132" s="64"/>
      <c r="HDC132" s="27"/>
      <c r="HDH132" s="64"/>
      <c r="HDI132" s="27"/>
      <c r="HDN132" s="64"/>
      <c r="HDO132" s="27"/>
      <c r="HDT132" s="64"/>
      <c r="HDU132" s="27"/>
      <c r="HDZ132" s="64"/>
      <c r="HEA132" s="27"/>
      <c r="HEF132" s="64"/>
      <c r="HEG132" s="27"/>
      <c r="HEL132" s="64"/>
      <c r="HEM132" s="27"/>
      <c r="HER132" s="64"/>
      <c r="HES132" s="27"/>
      <c r="HEX132" s="64"/>
      <c r="HEY132" s="27"/>
      <c r="HFD132" s="64"/>
      <c r="HFE132" s="27"/>
      <c r="HFJ132" s="64"/>
      <c r="HFK132" s="27"/>
      <c r="HFP132" s="64"/>
      <c r="HFQ132" s="27"/>
      <c r="HFV132" s="64"/>
      <c r="HFW132" s="27"/>
      <c r="HGB132" s="64"/>
      <c r="HGC132" s="27"/>
      <c r="HGH132" s="64"/>
      <c r="HGI132" s="27"/>
      <c r="HGN132" s="64"/>
      <c r="HGO132" s="27"/>
      <c r="HGT132" s="64"/>
      <c r="HGU132" s="27"/>
      <c r="HGZ132" s="64"/>
      <c r="HHA132" s="27"/>
      <c r="HHF132" s="64"/>
      <c r="HHG132" s="27"/>
      <c r="HHL132" s="64"/>
      <c r="HHM132" s="27"/>
      <c r="HHR132" s="64"/>
      <c r="HHS132" s="27"/>
      <c r="HHX132" s="64"/>
      <c r="HHY132" s="27"/>
      <c r="HID132" s="64"/>
      <c r="HIE132" s="27"/>
      <c r="HIJ132" s="64"/>
      <c r="HIK132" s="27"/>
      <c r="HIP132" s="64"/>
      <c r="HIQ132" s="27"/>
      <c r="HIV132" s="64"/>
      <c r="HIW132" s="27"/>
      <c r="HJB132" s="64"/>
      <c r="HJC132" s="27"/>
      <c r="HJH132" s="64"/>
      <c r="HJI132" s="27"/>
      <c r="HJN132" s="64"/>
      <c r="HJO132" s="27"/>
      <c r="HJT132" s="64"/>
      <c r="HJU132" s="27"/>
      <c r="HJZ132" s="64"/>
      <c r="HKA132" s="27"/>
      <c r="HKF132" s="64"/>
      <c r="HKG132" s="27"/>
      <c r="HKL132" s="64"/>
      <c r="HKM132" s="27"/>
      <c r="HKR132" s="64"/>
      <c r="HKS132" s="27"/>
      <c r="HKX132" s="64"/>
      <c r="HKY132" s="27"/>
      <c r="HLD132" s="64"/>
      <c r="HLE132" s="27"/>
      <c r="HLJ132" s="64"/>
      <c r="HLK132" s="27"/>
      <c r="HLP132" s="64"/>
      <c r="HLQ132" s="27"/>
      <c r="HLV132" s="64"/>
      <c r="HLW132" s="27"/>
      <c r="HMB132" s="64"/>
      <c r="HMC132" s="27"/>
      <c r="HMH132" s="64"/>
      <c r="HMI132" s="27"/>
      <c r="HMN132" s="64"/>
      <c r="HMO132" s="27"/>
      <c r="HMT132" s="64"/>
      <c r="HMU132" s="27"/>
      <c r="HMZ132" s="64"/>
      <c r="HNA132" s="27"/>
      <c r="HNF132" s="64"/>
      <c r="HNG132" s="27"/>
      <c r="HNL132" s="64"/>
      <c r="HNM132" s="27"/>
      <c r="HNR132" s="64"/>
      <c r="HNS132" s="27"/>
      <c r="HNX132" s="64"/>
      <c r="HNY132" s="27"/>
      <c r="HOD132" s="64"/>
      <c r="HOE132" s="27"/>
      <c r="HOJ132" s="64"/>
      <c r="HOK132" s="27"/>
      <c r="HOP132" s="64"/>
      <c r="HOQ132" s="27"/>
      <c r="HOV132" s="64"/>
      <c r="HOW132" s="27"/>
      <c r="HPB132" s="64"/>
      <c r="HPC132" s="27"/>
      <c r="HPH132" s="64"/>
      <c r="HPI132" s="27"/>
      <c r="HPN132" s="64"/>
      <c r="HPO132" s="27"/>
      <c r="HPT132" s="64"/>
      <c r="HPU132" s="27"/>
      <c r="HPZ132" s="64"/>
      <c r="HQA132" s="27"/>
      <c r="HQF132" s="64"/>
      <c r="HQG132" s="27"/>
      <c r="HQL132" s="64"/>
      <c r="HQM132" s="27"/>
      <c r="HQR132" s="64"/>
      <c r="HQS132" s="27"/>
      <c r="HQX132" s="64"/>
      <c r="HQY132" s="27"/>
      <c r="HRD132" s="64"/>
      <c r="HRE132" s="27"/>
      <c r="HRJ132" s="64"/>
      <c r="HRK132" s="27"/>
      <c r="HRP132" s="64"/>
      <c r="HRQ132" s="27"/>
      <c r="HRV132" s="64"/>
      <c r="HRW132" s="27"/>
      <c r="HSB132" s="64"/>
      <c r="HSC132" s="27"/>
      <c r="HSH132" s="64"/>
      <c r="HSI132" s="27"/>
      <c r="HSN132" s="64"/>
      <c r="HSO132" s="27"/>
      <c r="HST132" s="64"/>
      <c r="HSU132" s="27"/>
      <c r="HSZ132" s="64"/>
      <c r="HTA132" s="27"/>
      <c r="HTF132" s="64"/>
      <c r="HTG132" s="27"/>
      <c r="HTL132" s="64"/>
      <c r="HTM132" s="27"/>
      <c r="HTR132" s="64"/>
      <c r="HTS132" s="27"/>
      <c r="HTX132" s="64"/>
      <c r="HTY132" s="27"/>
      <c r="HUD132" s="64"/>
      <c r="HUE132" s="27"/>
      <c r="HUJ132" s="64"/>
      <c r="HUK132" s="27"/>
      <c r="HUP132" s="64"/>
      <c r="HUQ132" s="27"/>
      <c r="HUV132" s="64"/>
      <c r="HUW132" s="27"/>
      <c r="HVB132" s="64"/>
      <c r="HVC132" s="27"/>
      <c r="HVH132" s="64"/>
      <c r="HVI132" s="27"/>
      <c r="HVN132" s="64"/>
      <c r="HVO132" s="27"/>
      <c r="HVT132" s="64"/>
      <c r="HVU132" s="27"/>
      <c r="HVZ132" s="64"/>
      <c r="HWA132" s="27"/>
      <c r="HWF132" s="64"/>
      <c r="HWG132" s="27"/>
      <c r="HWL132" s="64"/>
      <c r="HWM132" s="27"/>
      <c r="HWR132" s="64"/>
      <c r="HWS132" s="27"/>
      <c r="HWX132" s="64"/>
      <c r="HWY132" s="27"/>
      <c r="HXD132" s="64"/>
      <c r="HXE132" s="27"/>
      <c r="HXJ132" s="64"/>
      <c r="HXK132" s="27"/>
      <c r="HXP132" s="64"/>
      <c r="HXQ132" s="27"/>
      <c r="HXV132" s="64"/>
      <c r="HXW132" s="27"/>
      <c r="HYB132" s="64"/>
      <c r="HYC132" s="27"/>
      <c r="HYH132" s="64"/>
      <c r="HYI132" s="27"/>
      <c r="HYN132" s="64"/>
      <c r="HYO132" s="27"/>
      <c r="HYT132" s="64"/>
      <c r="HYU132" s="27"/>
      <c r="HYZ132" s="64"/>
      <c r="HZA132" s="27"/>
      <c r="HZF132" s="64"/>
      <c r="HZG132" s="27"/>
      <c r="HZL132" s="64"/>
      <c r="HZM132" s="27"/>
      <c r="HZR132" s="64"/>
      <c r="HZS132" s="27"/>
      <c r="HZX132" s="64"/>
      <c r="HZY132" s="27"/>
      <c r="IAD132" s="64"/>
      <c r="IAE132" s="27"/>
      <c r="IAJ132" s="64"/>
      <c r="IAK132" s="27"/>
      <c r="IAP132" s="64"/>
      <c r="IAQ132" s="27"/>
      <c r="IAV132" s="64"/>
      <c r="IAW132" s="27"/>
      <c r="IBB132" s="64"/>
      <c r="IBC132" s="27"/>
      <c r="IBH132" s="64"/>
      <c r="IBI132" s="27"/>
      <c r="IBN132" s="64"/>
      <c r="IBO132" s="27"/>
      <c r="IBT132" s="64"/>
      <c r="IBU132" s="27"/>
      <c r="IBZ132" s="64"/>
      <c r="ICA132" s="27"/>
      <c r="ICF132" s="64"/>
      <c r="ICG132" s="27"/>
      <c r="ICL132" s="64"/>
      <c r="ICM132" s="27"/>
      <c r="ICR132" s="64"/>
      <c r="ICS132" s="27"/>
      <c r="ICX132" s="64"/>
      <c r="ICY132" s="27"/>
      <c r="IDD132" s="64"/>
      <c r="IDE132" s="27"/>
      <c r="IDJ132" s="64"/>
      <c r="IDK132" s="27"/>
      <c r="IDP132" s="64"/>
      <c r="IDQ132" s="27"/>
      <c r="IDV132" s="64"/>
      <c r="IDW132" s="27"/>
      <c r="IEB132" s="64"/>
      <c r="IEC132" s="27"/>
      <c r="IEH132" s="64"/>
      <c r="IEI132" s="27"/>
      <c r="IEN132" s="64"/>
      <c r="IEO132" s="27"/>
      <c r="IET132" s="64"/>
      <c r="IEU132" s="27"/>
      <c r="IEZ132" s="64"/>
      <c r="IFA132" s="27"/>
      <c r="IFF132" s="64"/>
      <c r="IFG132" s="27"/>
      <c r="IFL132" s="64"/>
      <c r="IFM132" s="27"/>
      <c r="IFR132" s="64"/>
      <c r="IFS132" s="27"/>
      <c r="IFX132" s="64"/>
      <c r="IFY132" s="27"/>
      <c r="IGD132" s="64"/>
      <c r="IGE132" s="27"/>
      <c r="IGJ132" s="64"/>
      <c r="IGK132" s="27"/>
      <c r="IGP132" s="64"/>
      <c r="IGQ132" s="27"/>
      <c r="IGV132" s="64"/>
      <c r="IGW132" s="27"/>
      <c r="IHB132" s="64"/>
      <c r="IHC132" s="27"/>
      <c r="IHH132" s="64"/>
      <c r="IHI132" s="27"/>
      <c r="IHN132" s="64"/>
      <c r="IHO132" s="27"/>
      <c r="IHT132" s="64"/>
      <c r="IHU132" s="27"/>
      <c r="IHZ132" s="64"/>
      <c r="IIA132" s="27"/>
      <c r="IIF132" s="64"/>
      <c r="IIG132" s="27"/>
      <c r="IIL132" s="64"/>
      <c r="IIM132" s="27"/>
      <c r="IIR132" s="64"/>
      <c r="IIS132" s="27"/>
      <c r="IIX132" s="64"/>
      <c r="IIY132" s="27"/>
      <c r="IJD132" s="64"/>
      <c r="IJE132" s="27"/>
      <c r="IJJ132" s="64"/>
      <c r="IJK132" s="27"/>
      <c r="IJP132" s="64"/>
      <c r="IJQ132" s="27"/>
      <c r="IJV132" s="64"/>
      <c r="IJW132" s="27"/>
      <c r="IKB132" s="64"/>
      <c r="IKC132" s="27"/>
      <c r="IKH132" s="64"/>
      <c r="IKI132" s="27"/>
      <c r="IKN132" s="64"/>
      <c r="IKO132" s="27"/>
      <c r="IKT132" s="64"/>
      <c r="IKU132" s="27"/>
      <c r="IKZ132" s="64"/>
      <c r="ILA132" s="27"/>
      <c r="ILF132" s="64"/>
      <c r="ILG132" s="27"/>
      <c r="ILL132" s="64"/>
      <c r="ILM132" s="27"/>
      <c r="ILR132" s="64"/>
      <c r="ILS132" s="27"/>
      <c r="ILX132" s="64"/>
      <c r="ILY132" s="27"/>
      <c r="IMD132" s="64"/>
      <c r="IME132" s="27"/>
      <c r="IMJ132" s="64"/>
      <c r="IMK132" s="27"/>
      <c r="IMP132" s="64"/>
      <c r="IMQ132" s="27"/>
      <c r="IMV132" s="64"/>
      <c r="IMW132" s="27"/>
      <c r="INB132" s="64"/>
      <c r="INC132" s="27"/>
      <c r="INH132" s="64"/>
      <c r="INI132" s="27"/>
      <c r="INN132" s="64"/>
      <c r="INO132" s="27"/>
      <c r="INT132" s="64"/>
      <c r="INU132" s="27"/>
      <c r="INZ132" s="64"/>
      <c r="IOA132" s="27"/>
      <c r="IOF132" s="64"/>
      <c r="IOG132" s="27"/>
      <c r="IOL132" s="64"/>
      <c r="IOM132" s="27"/>
      <c r="IOR132" s="64"/>
      <c r="IOS132" s="27"/>
      <c r="IOX132" s="64"/>
      <c r="IOY132" s="27"/>
      <c r="IPD132" s="64"/>
      <c r="IPE132" s="27"/>
      <c r="IPJ132" s="64"/>
      <c r="IPK132" s="27"/>
      <c r="IPP132" s="64"/>
      <c r="IPQ132" s="27"/>
      <c r="IPV132" s="64"/>
      <c r="IPW132" s="27"/>
      <c r="IQB132" s="64"/>
      <c r="IQC132" s="27"/>
      <c r="IQH132" s="64"/>
      <c r="IQI132" s="27"/>
      <c r="IQN132" s="64"/>
      <c r="IQO132" s="27"/>
      <c r="IQT132" s="64"/>
      <c r="IQU132" s="27"/>
      <c r="IQZ132" s="64"/>
      <c r="IRA132" s="27"/>
      <c r="IRF132" s="64"/>
      <c r="IRG132" s="27"/>
      <c r="IRL132" s="64"/>
      <c r="IRM132" s="27"/>
      <c r="IRR132" s="64"/>
      <c r="IRS132" s="27"/>
      <c r="IRX132" s="64"/>
      <c r="IRY132" s="27"/>
      <c r="ISD132" s="64"/>
      <c r="ISE132" s="27"/>
      <c r="ISJ132" s="64"/>
      <c r="ISK132" s="27"/>
      <c r="ISP132" s="64"/>
      <c r="ISQ132" s="27"/>
      <c r="ISV132" s="64"/>
      <c r="ISW132" s="27"/>
      <c r="ITB132" s="64"/>
      <c r="ITC132" s="27"/>
      <c r="ITH132" s="64"/>
      <c r="ITI132" s="27"/>
      <c r="ITN132" s="64"/>
      <c r="ITO132" s="27"/>
      <c r="ITT132" s="64"/>
      <c r="ITU132" s="27"/>
      <c r="ITZ132" s="64"/>
      <c r="IUA132" s="27"/>
      <c r="IUF132" s="64"/>
      <c r="IUG132" s="27"/>
      <c r="IUL132" s="64"/>
      <c r="IUM132" s="27"/>
      <c r="IUR132" s="64"/>
      <c r="IUS132" s="27"/>
      <c r="IUX132" s="64"/>
      <c r="IUY132" s="27"/>
      <c r="IVD132" s="64"/>
      <c r="IVE132" s="27"/>
      <c r="IVJ132" s="64"/>
      <c r="IVK132" s="27"/>
      <c r="IVP132" s="64"/>
      <c r="IVQ132" s="27"/>
      <c r="IVV132" s="64"/>
      <c r="IVW132" s="27"/>
      <c r="IWB132" s="64"/>
      <c r="IWC132" s="27"/>
      <c r="IWH132" s="64"/>
      <c r="IWI132" s="27"/>
      <c r="IWN132" s="64"/>
      <c r="IWO132" s="27"/>
      <c r="IWT132" s="64"/>
      <c r="IWU132" s="27"/>
      <c r="IWZ132" s="64"/>
      <c r="IXA132" s="27"/>
      <c r="IXF132" s="64"/>
      <c r="IXG132" s="27"/>
      <c r="IXL132" s="64"/>
      <c r="IXM132" s="27"/>
      <c r="IXR132" s="64"/>
      <c r="IXS132" s="27"/>
      <c r="IXX132" s="64"/>
      <c r="IXY132" s="27"/>
      <c r="IYD132" s="64"/>
      <c r="IYE132" s="27"/>
      <c r="IYJ132" s="64"/>
      <c r="IYK132" s="27"/>
      <c r="IYP132" s="64"/>
      <c r="IYQ132" s="27"/>
      <c r="IYV132" s="64"/>
      <c r="IYW132" s="27"/>
      <c r="IZB132" s="64"/>
      <c r="IZC132" s="27"/>
      <c r="IZH132" s="64"/>
      <c r="IZI132" s="27"/>
      <c r="IZN132" s="64"/>
      <c r="IZO132" s="27"/>
      <c r="IZT132" s="64"/>
      <c r="IZU132" s="27"/>
      <c r="IZZ132" s="64"/>
      <c r="JAA132" s="27"/>
      <c r="JAF132" s="64"/>
      <c r="JAG132" s="27"/>
      <c r="JAL132" s="64"/>
      <c r="JAM132" s="27"/>
      <c r="JAR132" s="64"/>
      <c r="JAS132" s="27"/>
      <c r="JAX132" s="64"/>
      <c r="JAY132" s="27"/>
      <c r="JBD132" s="64"/>
      <c r="JBE132" s="27"/>
      <c r="JBJ132" s="64"/>
      <c r="JBK132" s="27"/>
      <c r="JBP132" s="64"/>
      <c r="JBQ132" s="27"/>
      <c r="JBV132" s="64"/>
      <c r="JBW132" s="27"/>
      <c r="JCB132" s="64"/>
      <c r="JCC132" s="27"/>
      <c r="JCH132" s="64"/>
      <c r="JCI132" s="27"/>
      <c r="JCN132" s="64"/>
      <c r="JCO132" s="27"/>
      <c r="JCT132" s="64"/>
      <c r="JCU132" s="27"/>
      <c r="JCZ132" s="64"/>
      <c r="JDA132" s="27"/>
      <c r="JDF132" s="64"/>
      <c r="JDG132" s="27"/>
      <c r="JDL132" s="64"/>
      <c r="JDM132" s="27"/>
      <c r="JDR132" s="64"/>
      <c r="JDS132" s="27"/>
      <c r="JDX132" s="64"/>
      <c r="JDY132" s="27"/>
      <c r="JED132" s="64"/>
      <c r="JEE132" s="27"/>
      <c r="JEJ132" s="64"/>
      <c r="JEK132" s="27"/>
      <c r="JEP132" s="64"/>
      <c r="JEQ132" s="27"/>
      <c r="JEV132" s="64"/>
      <c r="JEW132" s="27"/>
      <c r="JFB132" s="64"/>
      <c r="JFC132" s="27"/>
      <c r="JFH132" s="64"/>
      <c r="JFI132" s="27"/>
      <c r="JFN132" s="64"/>
      <c r="JFO132" s="27"/>
      <c r="JFT132" s="64"/>
      <c r="JFU132" s="27"/>
      <c r="JFZ132" s="64"/>
      <c r="JGA132" s="27"/>
      <c r="JGF132" s="64"/>
      <c r="JGG132" s="27"/>
      <c r="JGL132" s="64"/>
      <c r="JGM132" s="27"/>
      <c r="JGR132" s="64"/>
      <c r="JGS132" s="27"/>
      <c r="JGX132" s="64"/>
      <c r="JGY132" s="27"/>
      <c r="JHD132" s="64"/>
      <c r="JHE132" s="27"/>
      <c r="JHJ132" s="64"/>
      <c r="JHK132" s="27"/>
      <c r="JHP132" s="64"/>
      <c r="JHQ132" s="27"/>
      <c r="JHV132" s="64"/>
      <c r="JHW132" s="27"/>
      <c r="JIB132" s="64"/>
      <c r="JIC132" s="27"/>
      <c r="JIH132" s="64"/>
      <c r="JII132" s="27"/>
      <c r="JIN132" s="64"/>
      <c r="JIO132" s="27"/>
      <c r="JIT132" s="64"/>
      <c r="JIU132" s="27"/>
      <c r="JIZ132" s="64"/>
      <c r="JJA132" s="27"/>
      <c r="JJF132" s="64"/>
      <c r="JJG132" s="27"/>
      <c r="JJL132" s="64"/>
      <c r="JJM132" s="27"/>
      <c r="JJR132" s="64"/>
      <c r="JJS132" s="27"/>
      <c r="JJX132" s="64"/>
      <c r="JJY132" s="27"/>
      <c r="JKD132" s="64"/>
      <c r="JKE132" s="27"/>
      <c r="JKJ132" s="64"/>
      <c r="JKK132" s="27"/>
      <c r="JKP132" s="64"/>
      <c r="JKQ132" s="27"/>
      <c r="JKV132" s="64"/>
      <c r="JKW132" s="27"/>
      <c r="JLB132" s="64"/>
      <c r="JLC132" s="27"/>
      <c r="JLH132" s="64"/>
      <c r="JLI132" s="27"/>
      <c r="JLN132" s="64"/>
      <c r="JLO132" s="27"/>
      <c r="JLT132" s="64"/>
      <c r="JLU132" s="27"/>
      <c r="JLZ132" s="64"/>
      <c r="JMA132" s="27"/>
      <c r="JMF132" s="64"/>
      <c r="JMG132" s="27"/>
      <c r="JML132" s="64"/>
      <c r="JMM132" s="27"/>
      <c r="JMR132" s="64"/>
      <c r="JMS132" s="27"/>
      <c r="JMX132" s="64"/>
      <c r="JMY132" s="27"/>
      <c r="JND132" s="64"/>
      <c r="JNE132" s="27"/>
      <c r="JNJ132" s="64"/>
      <c r="JNK132" s="27"/>
      <c r="JNP132" s="64"/>
      <c r="JNQ132" s="27"/>
      <c r="JNV132" s="64"/>
      <c r="JNW132" s="27"/>
      <c r="JOB132" s="64"/>
      <c r="JOC132" s="27"/>
      <c r="JOH132" s="64"/>
      <c r="JOI132" s="27"/>
      <c r="JON132" s="64"/>
      <c r="JOO132" s="27"/>
      <c r="JOT132" s="64"/>
      <c r="JOU132" s="27"/>
      <c r="JOZ132" s="64"/>
      <c r="JPA132" s="27"/>
      <c r="JPF132" s="64"/>
      <c r="JPG132" s="27"/>
      <c r="JPL132" s="64"/>
      <c r="JPM132" s="27"/>
      <c r="JPR132" s="64"/>
      <c r="JPS132" s="27"/>
      <c r="JPX132" s="64"/>
      <c r="JPY132" s="27"/>
      <c r="JQD132" s="64"/>
      <c r="JQE132" s="27"/>
      <c r="JQJ132" s="64"/>
      <c r="JQK132" s="27"/>
      <c r="JQP132" s="64"/>
      <c r="JQQ132" s="27"/>
      <c r="JQV132" s="64"/>
      <c r="JQW132" s="27"/>
      <c r="JRB132" s="64"/>
      <c r="JRC132" s="27"/>
      <c r="JRH132" s="64"/>
      <c r="JRI132" s="27"/>
      <c r="JRN132" s="64"/>
      <c r="JRO132" s="27"/>
      <c r="JRT132" s="64"/>
      <c r="JRU132" s="27"/>
      <c r="JRZ132" s="64"/>
      <c r="JSA132" s="27"/>
      <c r="JSF132" s="64"/>
      <c r="JSG132" s="27"/>
      <c r="JSL132" s="64"/>
      <c r="JSM132" s="27"/>
      <c r="JSR132" s="64"/>
      <c r="JSS132" s="27"/>
      <c r="JSX132" s="64"/>
      <c r="JSY132" s="27"/>
      <c r="JTD132" s="64"/>
      <c r="JTE132" s="27"/>
      <c r="JTJ132" s="64"/>
      <c r="JTK132" s="27"/>
      <c r="JTP132" s="64"/>
      <c r="JTQ132" s="27"/>
      <c r="JTV132" s="64"/>
      <c r="JTW132" s="27"/>
      <c r="JUB132" s="64"/>
      <c r="JUC132" s="27"/>
      <c r="JUH132" s="64"/>
      <c r="JUI132" s="27"/>
      <c r="JUN132" s="64"/>
      <c r="JUO132" s="27"/>
      <c r="JUT132" s="64"/>
      <c r="JUU132" s="27"/>
      <c r="JUZ132" s="64"/>
      <c r="JVA132" s="27"/>
      <c r="JVF132" s="64"/>
      <c r="JVG132" s="27"/>
      <c r="JVL132" s="64"/>
      <c r="JVM132" s="27"/>
      <c r="JVR132" s="64"/>
      <c r="JVS132" s="27"/>
      <c r="JVX132" s="64"/>
      <c r="JVY132" s="27"/>
      <c r="JWD132" s="64"/>
      <c r="JWE132" s="27"/>
      <c r="JWJ132" s="64"/>
      <c r="JWK132" s="27"/>
      <c r="JWP132" s="64"/>
      <c r="JWQ132" s="27"/>
      <c r="JWV132" s="64"/>
      <c r="JWW132" s="27"/>
      <c r="JXB132" s="64"/>
      <c r="JXC132" s="27"/>
      <c r="JXH132" s="64"/>
      <c r="JXI132" s="27"/>
      <c r="JXN132" s="64"/>
      <c r="JXO132" s="27"/>
      <c r="JXT132" s="64"/>
      <c r="JXU132" s="27"/>
      <c r="JXZ132" s="64"/>
      <c r="JYA132" s="27"/>
      <c r="JYF132" s="64"/>
      <c r="JYG132" s="27"/>
      <c r="JYL132" s="64"/>
      <c r="JYM132" s="27"/>
      <c r="JYR132" s="64"/>
      <c r="JYS132" s="27"/>
      <c r="JYX132" s="64"/>
      <c r="JYY132" s="27"/>
      <c r="JZD132" s="64"/>
      <c r="JZE132" s="27"/>
      <c r="JZJ132" s="64"/>
      <c r="JZK132" s="27"/>
      <c r="JZP132" s="64"/>
      <c r="JZQ132" s="27"/>
      <c r="JZV132" s="64"/>
      <c r="JZW132" s="27"/>
      <c r="KAB132" s="64"/>
      <c r="KAC132" s="27"/>
      <c r="KAH132" s="64"/>
      <c r="KAI132" s="27"/>
      <c r="KAN132" s="64"/>
      <c r="KAO132" s="27"/>
      <c r="KAT132" s="64"/>
      <c r="KAU132" s="27"/>
      <c r="KAZ132" s="64"/>
      <c r="KBA132" s="27"/>
      <c r="KBF132" s="64"/>
      <c r="KBG132" s="27"/>
      <c r="KBL132" s="64"/>
      <c r="KBM132" s="27"/>
      <c r="KBR132" s="64"/>
      <c r="KBS132" s="27"/>
      <c r="KBX132" s="64"/>
      <c r="KBY132" s="27"/>
      <c r="KCD132" s="64"/>
      <c r="KCE132" s="27"/>
      <c r="KCJ132" s="64"/>
      <c r="KCK132" s="27"/>
      <c r="KCP132" s="64"/>
      <c r="KCQ132" s="27"/>
      <c r="KCV132" s="64"/>
      <c r="KCW132" s="27"/>
      <c r="KDB132" s="64"/>
      <c r="KDC132" s="27"/>
      <c r="KDH132" s="64"/>
      <c r="KDI132" s="27"/>
      <c r="KDN132" s="64"/>
      <c r="KDO132" s="27"/>
      <c r="KDT132" s="64"/>
      <c r="KDU132" s="27"/>
      <c r="KDZ132" s="64"/>
      <c r="KEA132" s="27"/>
      <c r="KEF132" s="64"/>
      <c r="KEG132" s="27"/>
      <c r="KEL132" s="64"/>
      <c r="KEM132" s="27"/>
      <c r="KER132" s="64"/>
      <c r="KES132" s="27"/>
      <c r="KEX132" s="64"/>
      <c r="KEY132" s="27"/>
      <c r="KFD132" s="64"/>
      <c r="KFE132" s="27"/>
      <c r="KFJ132" s="64"/>
      <c r="KFK132" s="27"/>
      <c r="KFP132" s="64"/>
      <c r="KFQ132" s="27"/>
      <c r="KFV132" s="64"/>
      <c r="KFW132" s="27"/>
      <c r="KGB132" s="64"/>
      <c r="KGC132" s="27"/>
      <c r="KGH132" s="64"/>
      <c r="KGI132" s="27"/>
      <c r="KGN132" s="64"/>
      <c r="KGO132" s="27"/>
      <c r="KGT132" s="64"/>
      <c r="KGU132" s="27"/>
      <c r="KGZ132" s="64"/>
      <c r="KHA132" s="27"/>
      <c r="KHF132" s="64"/>
      <c r="KHG132" s="27"/>
      <c r="KHL132" s="64"/>
      <c r="KHM132" s="27"/>
      <c r="KHR132" s="64"/>
      <c r="KHS132" s="27"/>
      <c r="KHX132" s="64"/>
      <c r="KHY132" s="27"/>
      <c r="KID132" s="64"/>
      <c r="KIE132" s="27"/>
      <c r="KIJ132" s="64"/>
      <c r="KIK132" s="27"/>
      <c r="KIP132" s="64"/>
      <c r="KIQ132" s="27"/>
      <c r="KIV132" s="64"/>
      <c r="KIW132" s="27"/>
      <c r="KJB132" s="64"/>
      <c r="KJC132" s="27"/>
      <c r="KJH132" s="64"/>
      <c r="KJI132" s="27"/>
      <c r="KJN132" s="64"/>
      <c r="KJO132" s="27"/>
      <c r="KJT132" s="64"/>
      <c r="KJU132" s="27"/>
      <c r="KJZ132" s="64"/>
      <c r="KKA132" s="27"/>
      <c r="KKF132" s="64"/>
      <c r="KKG132" s="27"/>
      <c r="KKL132" s="64"/>
      <c r="KKM132" s="27"/>
      <c r="KKR132" s="64"/>
      <c r="KKS132" s="27"/>
      <c r="KKX132" s="64"/>
      <c r="KKY132" s="27"/>
      <c r="KLD132" s="64"/>
      <c r="KLE132" s="27"/>
      <c r="KLJ132" s="64"/>
      <c r="KLK132" s="27"/>
      <c r="KLP132" s="64"/>
      <c r="KLQ132" s="27"/>
      <c r="KLV132" s="64"/>
      <c r="KLW132" s="27"/>
      <c r="KMB132" s="64"/>
      <c r="KMC132" s="27"/>
      <c r="KMH132" s="64"/>
      <c r="KMI132" s="27"/>
      <c r="KMN132" s="64"/>
      <c r="KMO132" s="27"/>
      <c r="KMT132" s="64"/>
      <c r="KMU132" s="27"/>
      <c r="KMZ132" s="64"/>
      <c r="KNA132" s="27"/>
      <c r="KNF132" s="64"/>
      <c r="KNG132" s="27"/>
      <c r="KNL132" s="64"/>
      <c r="KNM132" s="27"/>
      <c r="KNR132" s="64"/>
      <c r="KNS132" s="27"/>
      <c r="KNX132" s="64"/>
      <c r="KNY132" s="27"/>
      <c r="KOD132" s="64"/>
      <c r="KOE132" s="27"/>
      <c r="KOJ132" s="64"/>
      <c r="KOK132" s="27"/>
      <c r="KOP132" s="64"/>
      <c r="KOQ132" s="27"/>
      <c r="KOV132" s="64"/>
      <c r="KOW132" s="27"/>
      <c r="KPB132" s="64"/>
      <c r="KPC132" s="27"/>
      <c r="KPH132" s="64"/>
      <c r="KPI132" s="27"/>
      <c r="KPN132" s="64"/>
      <c r="KPO132" s="27"/>
      <c r="KPT132" s="64"/>
      <c r="KPU132" s="27"/>
      <c r="KPZ132" s="64"/>
      <c r="KQA132" s="27"/>
      <c r="KQF132" s="64"/>
      <c r="KQG132" s="27"/>
      <c r="KQL132" s="64"/>
      <c r="KQM132" s="27"/>
      <c r="KQR132" s="64"/>
      <c r="KQS132" s="27"/>
      <c r="KQX132" s="64"/>
      <c r="KQY132" s="27"/>
      <c r="KRD132" s="64"/>
      <c r="KRE132" s="27"/>
      <c r="KRJ132" s="64"/>
      <c r="KRK132" s="27"/>
      <c r="KRP132" s="64"/>
      <c r="KRQ132" s="27"/>
      <c r="KRV132" s="64"/>
      <c r="KRW132" s="27"/>
      <c r="KSB132" s="64"/>
      <c r="KSC132" s="27"/>
      <c r="KSH132" s="64"/>
      <c r="KSI132" s="27"/>
      <c r="KSN132" s="64"/>
      <c r="KSO132" s="27"/>
      <c r="KST132" s="64"/>
      <c r="KSU132" s="27"/>
      <c r="KSZ132" s="64"/>
      <c r="KTA132" s="27"/>
      <c r="KTF132" s="64"/>
      <c r="KTG132" s="27"/>
      <c r="KTL132" s="64"/>
      <c r="KTM132" s="27"/>
      <c r="KTR132" s="64"/>
      <c r="KTS132" s="27"/>
      <c r="KTX132" s="64"/>
      <c r="KTY132" s="27"/>
      <c r="KUD132" s="64"/>
      <c r="KUE132" s="27"/>
      <c r="KUJ132" s="64"/>
      <c r="KUK132" s="27"/>
      <c r="KUP132" s="64"/>
      <c r="KUQ132" s="27"/>
      <c r="KUV132" s="64"/>
      <c r="KUW132" s="27"/>
      <c r="KVB132" s="64"/>
      <c r="KVC132" s="27"/>
      <c r="KVH132" s="64"/>
      <c r="KVI132" s="27"/>
      <c r="KVN132" s="64"/>
      <c r="KVO132" s="27"/>
      <c r="KVT132" s="64"/>
      <c r="KVU132" s="27"/>
      <c r="KVZ132" s="64"/>
      <c r="KWA132" s="27"/>
      <c r="KWF132" s="64"/>
      <c r="KWG132" s="27"/>
      <c r="KWL132" s="64"/>
      <c r="KWM132" s="27"/>
      <c r="KWR132" s="64"/>
      <c r="KWS132" s="27"/>
      <c r="KWX132" s="64"/>
      <c r="KWY132" s="27"/>
      <c r="KXD132" s="64"/>
      <c r="KXE132" s="27"/>
      <c r="KXJ132" s="64"/>
      <c r="KXK132" s="27"/>
      <c r="KXP132" s="64"/>
      <c r="KXQ132" s="27"/>
      <c r="KXV132" s="64"/>
      <c r="KXW132" s="27"/>
      <c r="KYB132" s="64"/>
      <c r="KYC132" s="27"/>
      <c r="KYH132" s="64"/>
      <c r="KYI132" s="27"/>
      <c r="KYN132" s="64"/>
      <c r="KYO132" s="27"/>
      <c r="KYT132" s="64"/>
      <c r="KYU132" s="27"/>
      <c r="KYZ132" s="64"/>
      <c r="KZA132" s="27"/>
      <c r="KZF132" s="64"/>
      <c r="KZG132" s="27"/>
      <c r="KZL132" s="64"/>
      <c r="KZM132" s="27"/>
      <c r="KZR132" s="64"/>
      <c r="KZS132" s="27"/>
      <c r="KZX132" s="64"/>
      <c r="KZY132" s="27"/>
      <c r="LAD132" s="64"/>
      <c r="LAE132" s="27"/>
      <c r="LAJ132" s="64"/>
      <c r="LAK132" s="27"/>
      <c r="LAP132" s="64"/>
      <c r="LAQ132" s="27"/>
      <c r="LAV132" s="64"/>
      <c r="LAW132" s="27"/>
      <c r="LBB132" s="64"/>
      <c r="LBC132" s="27"/>
      <c r="LBH132" s="64"/>
      <c r="LBI132" s="27"/>
      <c r="LBN132" s="64"/>
      <c r="LBO132" s="27"/>
      <c r="LBT132" s="64"/>
      <c r="LBU132" s="27"/>
      <c r="LBZ132" s="64"/>
      <c r="LCA132" s="27"/>
      <c r="LCF132" s="64"/>
      <c r="LCG132" s="27"/>
      <c r="LCL132" s="64"/>
      <c r="LCM132" s="27"/>
      <c r="LCR132" s="64"/>
      <c r="LCS132" s="27"/>
      <c r="LCX132" s="64"/>
      <c r="LCY132" s="27"/>
      <c r="LDD132" s="64"/>
      <c r="LDE132" s="27"/>
      <c r="LDJ132" s="64"/>
      <c r="LDK132" s="27"/>
      <c r="LDP132" s="64"/>
      <c r="LDQ132" s="27"/>
      <c r="LDV132" s="64"/>
      <c r="LDW132" s="27"/>
      <c r="LEB132" s="64"/>
      <c r="LEC132" s="27"/>
      <c r="LEH132" s="64"/>
      <c r="LEI132" s="27"/>
      <c r="LEN132" s="64"/>
      <c r="LEO132" s="27"/>
      <c r="LET132" s="64"/>
      <c r="LEU132" s="27"/>
      <c r="LEZ132" s="64"/>
      <c r="LFA132" s="27"/>
      <c r="LFF132" s="64"/>
      <c r="LFG132" s="27"/>
      <c r="LFL132" s="64"/>
      <c r="LFM132" s="27"/>
      <c r="LFR132" s="64"/>
      <c r="LFS132" s="27"/>
      <c r="LFX132" s="64"/>
      <c r="LFY132" s="27"/>
      <c r="LGD132" s="64"/>
      <c r="LGE132" s="27"/>
      <c r="LGJ132" s="64"/>
      <c r="LGK132" s="27"/>
      <c r="LGP132" s="64"/>
      <c r="LGQ132" s="27"/>
      <c r="LGV132" s="64"/>
      <c r="LGW132" s="27"/>
      <c r="LHB132" s="64"/>
      <c r="LHC132" s="27"/>
      <c r="LHH132" s="64"/>
      <c r="LHI132" s="27"/>
      <c r="LHN132" s="64"/>
      <c r="LHO132" s="27"/>
      <c r="LHT132" s="64"/>
      <c r="LHU132" s="27"/>
      <c r="LHZ132" s="64"/>
      <c r="LIA132" s="27"/>
      <c r="LIF132" s="64"/>
      <c r="LIG132" s="27"/>
      <c r="LIL132" s="64"/>
      <c r="LIM132" s="27"/>
      <c r="LIR132" s="64"/>
      <c r="LIS132" s="27"/>
      <c r="LIX132" s="64"/>
      <c r="LIY132" s="27"/>
      <c r="LJD132" s="64"/>
      <c r="LJE132" s="27"/>
      <c r="LJJ132" s="64"/>
      <c r="LJK132" s="27"/>
      <c r="LJP132" s="64"/>
      <c r="LJQ132" s="27"/>
      <c r="LJV132" s="64"/>
      <c r="LJW132" s="27"/>
      <c r="LKB132" s="64"/>
      <c r="LKC132" s="27"/>
      <c r="LKH132" s="64"/>
      <c r="LKI132" s="27"/>
      <c r="LKN132" s="64"/>
      <c r="LKO132" s="27"/>
      <c r="LKT132" s="64"/>
      <c r="LKU132" s="27"/>
      <c r="LKZ132" s="64"/>
      <c r="LLA132" s="27"/>
      <c r="LLF132" s="64"/>
      <c r="LLG132" s="27"/>
      <c r="LLL132" s="64"/>
      <c r="LLM132" s="27"/>
      <c r="LLR132" s="64"/>
      <c r="LLS132" s="27"/>
      <c r="LLX132" s="64"/>
      <c r="LLY132" s="27"/>
      <c r="LMD132" s="64"/>
      <c r="LME132" s="27"/>
      <c r="LMJ132" s="64"/>
      <c r="LMK132" s="27"/>
      <c r="LMP132" s="64"/>
      <c r="LMQ132" s="27"/>
      <c r="LMV132" s="64"/>
      <c r="LMW132" s="27"/>
      <c r="LNB132" s="64"/>
      <c r="LNC132" s="27"/>
      <c r="LNH132" s="64"/>
      <c r="LNI132" s="27"/>
      <c r="LNN132" s="64"/>
      <c r="LNO132" s="27"/>
      <c r="LNT132" s="64"/>
      <c r="LNU132" s="27"/>
      <c r="LNZ132" s="64"/>
      <c r="LOA132" s="27"/>
      <c r="LOF132" s="64"/>
      <c r="LOG132" s="27"/>
      <c r="LOL132" s="64"/>
      <c r="LOM132" s="27"/>
      <c r="LOR132" s="64"/>
      <c r="LOS132" s="27"/>
      <c r="LOX132" s="64"/>
      <c r="LOY132" s="27"/>
      <c r="LPD132" s="64"/>
      <c r="LPE132" s="27"/>
      <c r="LPJ132" s="64"/>
      <c r="LPK132" s="27"/>
      <c r="LPP132" s="64"/>
      <c r="LPQ132" s="27"/>
      <c r="LPV132" s="64"/>
      <c r="LPW132" s="27"/>
      <c r="LQB132" s="64"/>
      <c r="LQC132" s="27"/>
      <c r="LQH132" s="64"/>
      <c r="LQI132" s="27"/>
      <c r="LQN132" s="64"/>
      <c r="LQO132" s="27"/>
      <c r="LQT132" s="64"/>
      <c r="LQU132" s="27"/>
      <c r="LQZ132" s="64"/>
      <c r="LRA132" s="27"/>
      <c r="LRF132" s="64"/>
      <c r="LRG132" s="27"/>
      <c r="LRL132" s="64"/>
      <c r="LRM132" s="27"/>
      <c r="LRR132" s="64"/>
      <c r="LRS132" s="27"/>
      <c r="LRX132" s="64"/>
      <c r="LRY132" s="27"/>
      <c r="LSD132" s="64"/>
      <c r="LSE132" s="27"/>
      <c r="LSJ132" s="64"/>
      <c r="LSK132" s="27"/>
      <c r="LSP132" s="64"/>
      <c r="LSQ132" s="27"/>
      <c r="LSV132" s="64"/>
      <c r="LSW132" s="27"/>
      <c r="LTB132" s="64"/>
      <c r="LTC132" s="27"/>
      <c r="LTH132" s="64"/>
      <c r="LTI132" s="27"/>
      <c r="LTN132" s="64"/>
      <c r="LTO132" s="27"/>
      <c r="LTT132" s="64"/>
      <c r="LTU132" s="27"/>
      <c r="LTZ132" s="64"/>
      <c r="LUA132" s="27"/>
      <c r="LUF132" s="64"/>
      <c r="LUG132" s="27"/>
      <c r="LUL132" s="64"/>
      <c r="LUM132" s="27"/>
      <c r="LUR132" s="64"/>
      <c r="LUS132" s="27"/>
      <c r="LUX132" s="64"/>
      <c r="LUY132" s="27"/>
      <c r="LVD132" s="64"/>
      <c r="LVE132" s="27"/>
      <c r="LVJ132" s="64"/>
      <c r="LVK132" s="27"/>
      <c r="LVP132" s="64"/>
      <c r="LVQ132" s="27"/>
      <c r="LVV132" s="64"/>
      <c r="LVW132" s="27"/>
      <c r="LWB132" s="64"/>
      <c r="LWC132" s="27"/>
      <c r="LWH132" s="64"/>
      <c r="LWI132" s="27"/>
      <c r="LWN132" s="64"/>
      <c r="LWO132" s="27"/>
      <c r="LWT132" s="64"/>
      <c r="LWU132" s="27"/>
      <c r="LWZ132" s="64"/>
      <c r="LXA132" s="27"/>
      <c r="LXF132" s="64"/>
      <c r="LXG132" s="27"/>
      <c r="LXL132" s="64"/>
      <c r="LXM132" s="27"/>
      <c r="LXR132" s="64"/>
      <c r="LXS132" s="27"/>
      <c r="LXX132" s="64"/>
      <c r="LXY132" s="27"/>
      <c r="LYD132" s="64"/>
      <c r="LYE132" s="27"/>
      <c r="LYJ132" s="64"/>
      <c r="LYK132" s="27"/>
      <c r="LYP132" s="64"/>
      <c r="LYQ132" s="27"/>
      <c r="LYV132" s="64"/>
      <c r="LYW132" s="27"/>
      <c r="LZB132" s="64"/>
      <c r="LZC132" s="27"/>
      <c r="LZH132" s="64"/>
      <c r="LZI132" s="27"/>
      <c r="LZN132" s="64"/>
      <c r="LZO132" s="27"/>
      <c r="LZT132" s="64"/>
      <c r="LZU132" s="27"/>
      <c r="LZZ132" s="64"/>
      <c r="MAA132" s="27"/>
      <c r="MAF132" s="64"/>
      <c r="MAG132" s="27"/>
      <c r="MAL132" s="64"/>
      <c r="MAM132" s="27"/>
      <c r="MAR132" s="64"/>
      <c r="MAS132" s="27"/>
      <c r="MAX132" s="64"/>
      <c r="MAY132" s="27"/>
      <c r="MBD132" s="64"/>
      <c r="MBE132" s="27"/>
      <c r="MBJ132" s="64"/>
      <c r="MBK132" s="27"/>
      <c r="MBP132" s="64"/>
      <c r="MBQ132" s="27"/>
      <c r="MBV132" s="64"/>
      <c r="MBW132" s="27"/>
      <c r="MCB132" s="64"/>
      <c r="MCC132" s="27"/>
      <c r="MCH132" s="64"/>
      <c r="MCI132" s="27"/>
      <c r="MCN132" s="64"/>
      <c r="MCO132" s="27"/>
      <c r="MCT132" s="64"/>
      <c r="MCU132" s="27"/>
      <c r="MCZ132" s="64"/>
      <c r="MDA132" s="27"/>
      <c r="MDF132" s="64"/>
      <c r="MDG132" s="27"/>
      <c r="MDL132" s="64"/>
      <c r="MDM132" s="27"/>
      <c r="MDR132" s="64"/>
      <c r="MDS132" s="27"/>
      <c r="MDX132" s="64"/>
      <c r="MDY132" s="27"/>
      <c r="MED132" s="64"/>
      <c r="MEE132" s="27"/>
      <c r="MEJ132" s="64"/>
      <c r="MEK132" s="27"/>
      <c r="MEP132" s="64"/>
      <c r="MEQ132" s="27"/>
      <c r="MEV132" s="64"/>
      <c r="MEW132" s="27"/>
      <c r="MFB132" s="64"/>
      <c r="MFC132" s="27"/>
      <c r="MFH132" s="64"/>
      <c r="MFI132" s="27"/>
      <c r="MFN132" s="64"/>
      <c r="MFO132" s="27"/>
      <c r="MFT132" s="64"/>
      <c r="MFU132" s="27"/>
      <c r="MFZ132" s="64"/>
      <c r="MGA132" s="27"/>
      <c r="MGF132" s="64"/>
      <c r="MGG132" s="27"/>
      <c r="MGL132" s="64"/>
      <c r="MGM132" s="27"/>
      <c r="MGR132" s="64"/>
      <c r="MGS132" s="27"/>
      <c r="MGX132" s="64"/>
      <c r="MGY132" s="27"/>
      <c r="MHD132" s="64"/>
      <c r="MHE132" s="27"/>
      <c r="MHJ132" s="64"/>
      <c r="MHK132" s="27"/>
      <c r="MHP132" s="64"/>
      <c r="MHQ132" s="27"/>
      <c r="MHV132" s="64"/>
      <c r="MHW132" s="27"/>
      <c r="MIB132" s="64"/>
      <c r="MIC132" s="27"/>
      <c r="MIH132" s="64"/>
      <c r="MII132" s="27"/>
      <c r="MIN132" s="64"/>
      <c r="MIO132" s="27"/>
      <c r="MIT132" s="64"/>
      <c r="MIU132" s="27"/>
      <c r="MIZ132" s="64"/>
      <c r="MJA132" s="27"/>
      <c r="MJF132" s="64"/>
      <c r="MJG132" s="27"/>
      <c r="MJL132" s="64"/>
      <c r="MJM132" s="27"/>
      <c r="MJR132" s="64"/>
      <c r="MJS132" s="27"/>
      <c r="MJX132" s="64"/>
      <c r="MJY132" s="27"/>
      <c r="MKD132" s="64"/>
      <c r="MKE132" s="27"/>
      <c r="MKJ132" s="64"/>
      <c r="MKK132" s="27"/>
      <c r="MKP132" s="64"/>
      <c r="MKQ132" s="27"/>
      <c r="MKV132" s="64"/>
      <c r="MKW132" s="27"/>
      <c r="MLB132" s="64"/>
      <c r="MLC132" s="27"/>
      <c r="MLH132" s="64"/>
      <c r="MLI132" s="27"/>
      <c r="MLN132" s="64"/>
      <c r="MLO132" s="27"/>
      <c r="MLT132" s="64"/>
      <c r="MLU132" s="27"/>
      <c r="MLZ132" s="64"/>
      <c r="MMA132" s="27"/>
      <c r="MMF132" s="64"/>
      <c r="MMG132" s="27"/>
      <c r="MML132" s="64"/>
      <c r="MMM132" s="27"/>
      <c r="MMR132" s="64"/>
      <c r="MMS132" s="27"/>
      <c r="MMX132" s="64"/>
      <c r="MMY132" s="27"/>
      <c r="MND132" s="64"/>
      <c r="MNE132" s="27"/>
      <c r="MNJ132" s="64"/>
      <c r="MNK132" s="27"/>
      <c r="MNP132" s="64"/>
      <c r="MNQ132" s="27"/>
      <c r="MNV132" s="64"/>
      <c r="MNW132" s="27"/>
      <c r="MOB132" s="64"/>
      <c r="MOC132" s="27"/>
      <c r="MOH132" s="64"/>
      <c r="MOI132" s="27"/>
      <c r="MON132" s="64"/>
      <c r="MOO132" s="27"/>
      <c r="MOT132" s="64"/>
      <c r="MOU132" s="27"/>
      <c r="MOZ132" s="64"/>
      <c r="MPA132" s="27"/>
      <c r="MPF132" s="64"/>
      <c r="MPG132" s="27"/>
      <c r="MPL132" s="64"/>
      <c r="MPM132" s="27"/>
      <c r="MPR132" s="64"/>
      <c r="MPS132" s="27"/>
      <c r="MPX132" s="64"/>
      <c r="MPY132" s="27"/>
      <c r="MQD132" s="64"/>
      <c r="MQE132" s="27"/>
      <c r="MQJ132" s="64"/>
      <c r="MQK132" s="27"/>
      <c r="MQP132" s="64"/>
      <c r="MQQ132" s="27"/>
      <c r="MQV132" s="64"/>
      <c r="MQW132" s="27"/>
      <c r="MRB132" s="64"/>
      <c r="MRC132" s="27"/>
      <c r="MRH132" s="64"/>
      <c r="MRI132" s="27"/>
      <c r="MRN132" s="64"/>
      <c r="MRO132" s="27"/>
      <c r="MRT132" s="64"/>
      <c r="MRU132" s="27"/>
      <c r="MRZ132" s="64"/>
      <c r="MSA132" s="27"/>
      <c r="MSF132" s="64"/>
      <c r="MSG132" s="27"/>
      <c r="MSL132" s="64"/>
      <c r="MSM132" s="27"/>
      <c r="MSR132" s="64"/>
      <c r="MSS132" s="27"/>
      <c r="MSX132" s="64"/>
      <c r="MSY132" s="27"/>
      <c r="MTD132" s="64"/>
      <c r="MTE132" s="27"/>
      <c r="MTJ132" s="64"/>
      <c r="MTK132" s="27"/>
      <c r="MTP132" s="64"/>
      <c r="MTQ132" s="27"/>
      <c r="MTV132" s="64"/>
      <c r="MTW132" s="27"/>
      <c r="MUB132" s="64"/>
      <c r="MUC132" s="27"/>
      <c r="MUH132" s="64"/>
      <c r="MUI132" s="27"/>
      <c r="MUN132" s="64"/>
      <c r="MUO132" s="27"/>
      <c r="MUT132" s="64"/>
      <c r="MUU132" s="27"/>
      <c r="MUZ132" s="64"/>
      <c r="MVA132" s="27"/>
      <c r="MVF132" s="64"/>
      <c r="MVG132" s="27"/>
      <c r="MVL132" s="64"/>
      <c r="MVM132" s="27"/>
      <c r="MVR132" s="64"/>
      <c r="MVS132" s="27"/>
      <c r="MVX132" s="64"/>
      <c r="MVY132" s="27"/>
      <c r="MWD132" s="64"/>
      <c r="MWE132" s="27"/>
      <c r="MWJ132" s="64"/>
      <c r="MWK132" s="27"/>
      <c r="MWP132" s="64"/>
      <c r="MWQ132" s="27"/>
      <c r="MWV132" s="64"/>
      <c r="MWW132" s="27"/>
      <c r="MXB132" s="64"/>
      <c r="MXC132" s="27"/>
      <c r="MXH132" s="64"/>
      <c r="MXI132" s="27"/>
      <c r="MXN132" s="64"/>
      <c r="MXO132" s="27"/>
      <c r="MXT132" s="64"/>
      <c r="MXU132" s="27"/>
      <c r="MXZ132" s="64"/>
      <c r="MYA132" s="27"/>
      <c r="MYF132" s="64"/>
      <c r="MYG132" s="27"/>
      <c r="MYL132" s="64"/>
      <c r="MYM132" s="27"/>
      <c r="MYR132" s="64"/>
      <c r="MYS132" s="27"/>
      <c r="MYX132" s="64"/>
      <c r="MYY132" s="27"/>
      <c r="MZD132" s="64"/>
      <c r="MZE132" s="27"/>
      <c r="MZJ132" s="64"/>
      <c r="MZK132" s="27"/>
      <c r="MZP132" s="64"/>
      <c r="MZQ132" s="27"/>
      <c r="MZV132" s="64"/>
      <c r="MZW132" s="27"/>
      <c r="NAB132" s="64"/>
      <c r="NAC132" s="27"/>
      <c r="NAH132" s="64"/>
      <c r="NAI132" s="27"/>
      <c r="NAN132" s="64"/>
      <c r="NAO132" s="27"/>
      <c r="NAT132" s="64"/>
      <c r="NAU132" s="27"/>
      <c r="NAZ132" s="64"/>
      <c r="NBA132" s="27"/>
      <c r="NBF132" s="64"/>
      <c r="NBG132" s="27"/>
      <c r="NBL132" s="64"/>
      <c r="NBM132" s="27"/>
      <c r="NBR132" s="64"/>
      <c r="NBS132" s="27"/>
      <c r="NBX132" s="64"/>
      <c r="NBY132" s="27"/>
      <c r="NCD132" s="64"/>
      <c r="NCE132" s="27"/>
      <c r="NCJ132" s="64"/>
      <c r="NCK132" s="27"/>
      <c r="NCP132" s="64"/>
      <c r="NCQ132" s="27"/>
      <c r="NCV132" s="64"/>
      <c r="NCW132" s="27"/>
      <c r="NDB132" s="64"/>
      <c r="NDC132" s="27"/>
      <c r="NDH132" s="64"/>
      <c r="NDI132" s="27"/>
      <c r="NDN132" s="64"/>
      <c r="NDO132" s="27"/>
      <c r="NDT132" s="64"/>
      <c r="NDU132" s="27"/>
      <c r="NDZ132" s="64"/>
      <c r="NEA132" s="27"/>
      <c r="NEF132" s="64"/>
      <c r="NEG132" s="27"/>
      <c r="NEL132" s="64"/>
      <c r="NEM132" s="27"/>
      <c r="NER132" s="64"/>
      <c r="NES132" s="27"/>
      <c r="NEX132" s="64"/>
      <c r="NEY132" s="27"/>
      <c r="NFD132" s="64"/>
      <c r="NFE132" s="27"/>
      <c r="NFJ132" s="64"/>
      <c r="NFK132" s="27"/>
      <c r="NFP132" s="64"/>
      <c r="NFQ132" s="27"/>
      <c r="NFV132" s="64"/>
      <c r="NFW132" s="27"/>
      <c r="NGB132" s="64"/>
      <c r="NGC132" s="27"/>
      <c r="NGH132" s="64"/>
      <c r="NGI132" s="27"/>
      <c r="NGN132" s="64"/>
      <c r="NGO132" s="27"/>
      <c r="NGT132" s="64"/>
      <c r="NGU132" s="27"/>
      <c r="NGZ132" s="64"/>
      <c r="NHA132" s="27"/>
      <c r="NHF132" s="64"/>
      <c r="NHG132" s="27"/>
      <c r="NHL132" s="64"/>
      <c r="NHM132" s="27"/>
      <c r="NHR132" s="64"/>
      <c r="NHS132" s="27"/>
      <c r="NHX132" s="64"/>
      <c r="NHY132" s="27"/>
      <c r="NID132" s="64"/>
      <c r="NIE132" s="27"/>
      <c r="NIJ132" s="64"/>
      <c r="NIK132" s="27"/>
      <c r="NIP132" s="64"/>
      <c r="NIQ132" s="27"/>
      <c r="NIV132" s="64"/>
      <c r="NIW132" s="27"/>
      <c r="NJB132" s="64"/>
      <c r="NJC132" s="27"/>
      <c r="NJH132" s="64"/>
      <c r="NJI132" s="27"/>
      <c r="NJN132" s="64"/>
      <c r="NJO132" s="27"/>
      <c r="NJT132" s="64"/>
      <c r="NJU132" s="27"/>
      <c r="NJZ132" s="64"/>
      <c r="NKA132" s="27"/>
      <c r="NKF132" s="64"/>
      <c r="NKG132" s="27"/>
      <c r="NKL132" s="64"/>
      <c r="NKM132" s="27"/>
      <c r="NKR132" s="64"/>
      <c r="NKS132" s="27"/>
      <c r="NKX132" s="64"/>
      <c r="NKY132" s="27"/>
      <c r="NLD132" s="64"/>
      <c r="NLE132" s="27"/>
      <c r="NLJ132" s="64"/>
      <c r="NLK132" s="27"/>
      <c r="NLP132" s="64"/>
      <c r="NLQ132" s="27"/>
      <c r="NLV132" s="64"/>
      <c r="NLW132" s="27"/>
      <c r="NMB132" s="64"/>
      <c r="NMC132" s="27"/>
      <c r="NMH132" s="64"/>
      <c r="NMI132" s="27"/>
      <c r="NMN132" s="64"/>
      <c r="NMO132" s="27"/>
      <c r="NMT132" s="64"/>
      <c r="NMU132" s="27"/>
      <c r="NMZ132" s="64"/>
      <c r="NNA132" s="27"/>
      <c r="NNF132" s="64"/>
      <c r="NNG132" s="27"/>
      <c r="NNL132" s="64"/>
      <c r="NNM132" s="27"/>
      <c r="NNR132" s="64"/>
      <c r="NNS132" s="27"/>
      <c r="NNX132" s="64"/>
      <c r="NNY132" s="27"/>
      <c r="NOD132" s="64"/>
      <c r="NOE132" s="27"/>
      <c r="NOJ132" s="64"/>
      <c r="NOK132" s="27"/>
      <c r="NOP132" s="64"/>
      <c r="NOQ132" s="27"/>
      <c r="NOV132" s="64"/>
      <c r="NOW132" s="27"/>
      <c r="NPB132" s="64"/>
      <c r="NPC132" s="27"/>
      <c r="NPH132" s="64"/>
      <c r="NPI132" s="27"/>
      <c r="NPN132" s="64"/>
      <c r="NPO132" s="27"/>
      <c r="NPT132" s="64"/>
      <c r="NPU132" s="27"/>
      <c r="NPZ132" s="64"/>
      <c r="NQA132" s="27"/>
      <c r="NQF132" s="64"/>
      <c r="NQG132" s="27"/>
      <c r="NQL132" s="64"/>
      <c r="NQM132" s="27"/>
      <c r="NQR132" s="64"/>
      <c r="NQS132" s="27"/>
      <c r="NQX132" s="64"/>
      <c r="NQY132" s="27"/>
      <c r="NRD132" s="64"/>
      <c r="NRE132" s="27"/>
      <c r="NRJ132" s="64"/>
      <c r="NRK132" s="27"/>
      <c r="NRP132" s="64"/>
      <c r="NRQ132" s="27"/>
      <c r="NRV132" s="64"/>
      <c r="NRW132" s="27"/>
      <c r="NSB132" s="64"/>
      <c r="NSC132" s="27"/>
      <c r="NSH132" s="64"/>
      <c r="NSI132" s="27"/>
      <c r="NSN132" s="64"/>
      <c r="NSO132" s="27"/>
      <c r="NST132" s="64"/>
      <c r="NSU132" s="27"/>
      <c r="NSZ132" s="64"/>
      <c r="NTA132" s="27"/>
      <c r="NTF132" s="64"/>
      <c r="NTG132" s="27"/>
      <c r="NTL132" s="64"/>
      <c r="NTM132" s="27"/>
      <c r="NTR132" s="64"/>
      <c r="NTS132" s="27"/>
      <c r="NTX132" s="64"/>
      <c r="NTY132" s="27"/>
      <c r="NUD132" s="64"/>
      <c r="NUE132" s="27"/>
      <c r="NUJ132" s="64"/>
      <c r="NUK132" s="27"/>
      <c r="NUP132" s="64"/>
      <c r="NUQ132" s="27"/>
      <c r="NUV132" s="64"/>
      <c r="NUW132" s="27"/>
      <c r="NVB132" s="64"/>
      <c r="NVC132" s="27"/>
      <c r="NVH132" s="64"/>
      <c r="NVI132" s="27"/>
      <c r="NVN132" s="64"/>
      <c r="NVO132" s="27"/>
      <c r="NVT132" s="64"/>
      <c r="NVU132" s="27"/>
      <c r="NVZ132" s="64"/>
      <c r="NWA132" s="27"/>
      <c r="NWF132" s="64"/>
      <c r="NWG132" s="27"/>
      <c r="NWL132" s="64"/>
      <c r="NWM132" s="27"/>
      <c r="NWR132" s="64"/>
      <c r="NWS132" s="27"/>
      <c r="NWX132" s="64"/>
      <c r="NWY132" s="27"/>
      <c r="NXD132" s="64"/>
      <c r="NXE132" s="27"/>
      <c r="NXJ132" s="64"/>
      <c r="NXK132" s="27"/>
      <c r="NXP132" s="64"/>
      <c r="NXQ132" s="27"/>
      <c r="NXV132" s="64"/>
      <c r="NXW132" s="27"/>
      <c r="NYB132" s="64"/>
      <c r="NYC132" s="27"/>
      <c r="NYH132" s="64"/>
      <c r="NYI132" s="27"/>
      <c r="NYN132" s="64"/>
      <c r="NYO132" s="27"/>
      <c r="NYT132" s="64"/>
      <c r="NYU132" s="27"/>
      <c r="NYZ132" s="64"/>
      <c r="NZA132" s="27"/>
      <c r="NZF132" s="64"/>
      <c r="NZG132" s="27"/>
      <c r="NZL132" s="64"/>
      <c r="NZM132" s="27"/>
      <c r="NZR132" s="64"/>
      <c r="NZS132" s="27"/>
      <c r="NZX132" s="64"/>
      <c r="NZY132" s="27"/>
      <c r="OAD132" s="64"/>
      <c r="OAE132" s="27"/>
      <c r="OAJ132" s="64"/>
      <c r="OAK132" s="27"/>
      <c r="OAP132" s="64"/>
      <c r="OAQ132" s="27"/>
      <c r="OAV132" s="64"/>
      <c r="OAW132" s="27"/>
      <c r="OBB132" s="64"/>
      <c r="OBC132" s="27"/>
      <c r="OBH132" s="64"/>
      <c r="OBI132" s="27"/>
      <c r="OBN132" s="64"/>
      <c r="OBO132" s="27"/>
      <c r="OBT132" s="64"/>
      <c r="OBU132" s="27"/>
      <c r="OBZ132" s="64"/>
      <c r="OCA132" s="27"/>
      <c r="OCF132" s="64"/>
      <c r="OCG132" s="27"/>
      <c r="OCL132" s="64"/>
      <c r="OCM132" s="27"/>
      <c r="OCR132" s="64"/>
      <c r="OCS132" s="27"/>
      <c r="OCX132" s="64"/>
      <c r="OCY132" s="27"/>
      <c r="ODD132" s="64"/>
      <c r="ODE132" s="27"/>
      <c r="ODJ132" s="64"/>
      <c r="ODK132" s="27"/>
      <c r="ODP132" s="64"/>
      <c r="ODQ132" s="27"/>
      <c r="ODV132" s="64"/>
      <c r="ODW132" s="27"/>
      <c r="OEB132" s="64"/>
      <c r="OEC132" s="27"/>
      <c r="OEH132" s="64"/>
      <c r="OEI132" s="27"/>
      <c r="OEN132" s="64"/>
      <c r="OEO132" s="27"/>
      <c r="OET132" s="64"/>
      <c r="OEU132" s="27"/>
      <c r="OEZ132" s="64"/>
      <c r="OFA132" s="27"/>
      <c r="OFF132" s="64"/>
      <c r="OFG132" s="27"/>
      <c r="OFL132" s="64"/>
      <c r="OFM132" s="27"/>
      <c r="OFR132" s="64"/>
      <c r="OFS132" s="27"/>
      <c r="OFX132" s="64"/>
      <c r="OFY132" s="27"/>
      <c r="OGD132" s="64"/>
      <c r="OGE132" s="27"/>
      <c r="OGJ132" s="64"/>
      <c r="OGK132" s="27"/>
      <c r="OGP132" s="64"/>
      <c r="OGQ132" s="27"/>
      <c r="OGV132" s="64"/>
      <c r="OGW132" s="27"/>
      <c r="OHB132" s="64"/>
      <c r="OHC132" s="27"/>
      <c r="OHH132" s="64"/>
      <c r="OHI132" s="27"/>
      <c r="OHN132" s="64"/>
      <c r="OHO132" s="27"/>
      <c r="OHT132" s="64"/>
      <c r="OHU132" s="27"/>
      <c r="OHZ132" s="64"/>
      <c r="OIA132" s="27"/>
      <c r="OIF132" s="64"/>
      <c r="OIG132" s="27"/>
      <c r="OIL132" s="64"/>
      <c r="OIM132" s="27"/>
      <c r="OIR132" s="64"/>
      <c r="OIS132" s="27"/>
      <c r="OIX132" s="64"/>
      <c r="OIY132" s="27"/>
      <c r="OJD132" s="64"/>
      <c r="OJE132" s="27"/>
      <c r="OJJ132" s="64"/>
      <c r="OJK132" s="27"/>
      <c r="OJP132" s="64"/>
      <c r="OJQ132" s="27"/>
      <c r="OJV132" s="64"/>
      <c r="OJW132" s="27"/>
      <c r="OKB132" s="64"/>
      <c r="OKC132" s="27"/>
      <c r="OKH132" s="64"/>
      <c r="OKI132" s="27"/>
      <c r="OKN132" s="64"/>
      <c r="OKO132" s="27"/>
      <c r="OKT132" s="64"/>
      <c r="OKU132" s="27"/>
      <c r="OKZ132" s="64"/>
      <c r="OLA132" s="27"/>
      <c r="OLF132" s="64"/>
      <c r="OLG132" s="27"/>
      <c r="OLL132" s="64"/>
      <c r="OLM132" s="27"/>
      <c r="OLR132" s="64"/>
      <c r="OLS132" s="27"/>
      <c r="OLX132" s="64"/>
      <c r="OLY132" s="27"/>
      <c r="OMD132" s="64"/>
      <c r="OME132" s="27"/>
      <c r="OMJ132" s="64"/>
      <c r="OMK132" s="27"/>
      <c r="OMP132" s="64"/>
      <c r="OMQ132" s="27"/>
      <c r="OMV132" s="64"/>
      <c r="OMW132" s="27"/>
      <c r="ONB132" s="64"/>
      <c r="ONC132" s="27"/>
      <c r="ONH132" s="64"/>
      <c r="ONI132" s="27"/>
      <c r="ONN132" s="64"/>
      <c r="ONO132" s="27"/>
      <c r="ONT132" s="64"/>
      <c r="ONU132" s="27"/>
      <c r="ONZ132" s="64"/>
      <c r="OOA132" s="27"/>
      <c r="OOF132" s="64"/>
      <c r="OOG132" s="27"/>
      <c r="OOL132" s="64"/>
      <c r="OOM132" s="27"/>
      <c r="OOR132" s="64"/>
      <c r="OOS132" s="27"/>
      <c r="OOX132" s="64"/>
      <c r="OOY132" s="27"/>
      <c r="OPD132" s="64"/>
      <c r="OPE132" s="27"/>
      <c r="OPJ132" s="64"/>
      <c r="OPK132" s="27"/>
      <c r="OPP132" s="64"/>
      <c r="OPQ132" s="27"/>
      <c r="OPV132" s="64"/>
      <c r="OPW132" s="27"/>
      <c r="OQB132" s="64"/>
      <c r="OQC132" s="27"/>
      <c r="OQH132" s="64"/>
      <c r="OQI132" s="27"/>
      <c r="OQN132" s="64"/>
      <c r="OQO132" s="27"/>
      <c r="OQT132" s="64"/>
      <c r="OQU132" s="27"/>
      <c r="OQZ132" s="64"/>
      <c r="ORA132" s="27"/>
      <c r="ORF132" s="64"/>
      <c r="ORG132" s="27"/>
      <c r="ORL132" s="64"/>
      <c r="ORM132" s="27"/>
      <c r="ORR132" s="64"/>
      <c r="ORS132" s="27"/>
      <c r="ORX132" s="64"/>
      <c r="ORY132" s="27"/>
      <c r="OSD132" s="64"/>
      <c r="OSE132" s="27"/>
      <c r="OSJ132" s="64"/>
      <c r="OSK132" s="27"/>
      <c r="OSP132" s="64"/>
      <c r="OSQ132" s="27"/>
      <c r="OSV132" s="64"/>
      <c r="OSW132" s="27"/>
      <c r="OTB132" s="64"/>
      <c r="OTC132" s="27"/>
      <c r="OTH132" s="64"/>
      <c r="OTI132" s="27"/>
      <c r="OTN132" s="64"/>
      <c r="OTO132" s="27"/>
      <c r="OTT132" s="64"/>
      <c r="OTU132" s="27"/>
      <c r="OTZ132" s="64"/>
      <c r="OUA132" s="27"/>
      <c r="OUF132" s="64"/>
      <c r="OUG132" s="27"/>
      <c r="OUL132" s="64"/>
      <c r="OUM132" s="27"/>
      <c r="OUR132" s="64"/>
      <c r="OUS132" s="27"/>
      <c r="OUX132" s="64"/>
      <c r="OUY132" s="27"/>
      <c r="OVD132" s="64"/>
      <c r="OVE132" s="27"/>
      <c r="OVJ132" s="64"/>
      <c r="OVK132" s="27"/>
      <c r="OVP132" s="64"/>
      <c r="OVQ132" s="27"/>
      <c r="OVV132" s="64"/>
      <c r="OVW132" s="27"/>
      <c r="OWB132" s="64"/>
      <c r="OWC132" s="27"/>
      <c r="OWH132" s="64"/>
      <c r="OWI132" s="27"/>
      <c r="OWN132" s="64"/>
      <c r="OWO132" s="27"/>
      <c r="OWT132" s="64"/>
      <c r="OWU132" s="27"/>
      <c r="OWZ132" s="64"/>
      <c r="OXA132" s="27"/>
      <c r="OXF132" s="64"/>
      <c r="OXG132" s="27"/>
      <c r="OXL132" s="64"/>
      <c r="OXM132" s="27"/>
      <c r="OXR132" s="64"/>
      <c r="OXS132" s="27"/>
      <c r="OXX132" s="64"/>
      <c r="OXY132" s="27"/>
      <c r="OYD132" s="64"/>
      <c r="OYE132" s="27"/>
      <c r="OYJ132" s="64"/>
      <c r="OYK132" s="27"/>
      <c r="OYP132" s="64"/>
      <c r="OYQ132" s="27"/>
      <c r="OYV132" s="64"/>
      <c r="OYW132" s="27"/>
      <c r="OZB132" s="64"/>
      <c r="OZC132" s="27"/>
      <c r="OZH132" s="64"/>
      <c r="OZI132" s="27"/>
      <c r="OZN132" s="64"/>
      <c r="OZO132" s="27"/>
      <c r="OZT132" s="64"/>
      <c r="OZU132" s="27"/>
      <c r="OZZ132" s="64"/>
      <c r="PAA132" s="27"/>
      <c r="PAF132" s="64"/>
      <c r="PAG132" s="27"/>
      <c r="PAL132" s="64"/>
      <c r="PAM132" s="27"/>
      <c r="PAR132" s="64"/>
      <c r="PAS132" s="27"/>
      <c r="PAX132" s="64"/>
      <c r="PAY132" s="27"/>
      <c r="PBD132" s="64"/>
      <c r="PBE132" s="27"/>
      <c r="PBJ132" s="64"/>
      <c r="PBK132" s="27"/>
      <c r="PBP132" s="64"/>
      <c r="PBQ132" s="27"/>
      <c r="PBV132" s="64"/>
      <c r="PBW132" s="27"/>
      <c r="PCB132" s="64"/>
      <c r="PCC132" s="27"/>
      <c r="PCH132" s="64"/>
      <c r="PCI132" s="27"/>
      <c r="PCN132" s="64"/>
      <c r="PCO132" s="27"/>
      <c r="PCT132" s="64"/>
      <c r="PCU132" s="27"/>
      <c r="PCZ132" s="64"/>
      <c r="PDA132" s="27"/>
      <c r="PDF132" s="64"/>
      <c r="PDG132" s="27"/>
      <c r="PDL132" s="64"/>
      <c r="PDM132" s="27"/>
      <c r="PDR132" s="64"/>
      <c r="PDS132" s="27"/>
      <c r="PDX132" s="64"/>
      <c r="PDY132" s="27"/>
      <c r="PED132" s="64"/>
      <c r="PEE132" s="27"/>
      <c r="PEJ132" s="64"/>
      <c r="PEK132" s="27"/>
      <c r="PEP132" s="64"/>
      <c r="PEQ132" s="27"/>
      <c r="PEV132" s="64"/>
      <c r="PEW132" s="27"/>
      <c r="PFB132" s="64"/>
      <c r="PFC132" s="27"/>
      <c r="PFH132" s="64"/>
      <c r="PFI132" s="27"/>
      <c r="PFN132" s="64"/>
      <c r="PFO132" s="27"/>
      <c r="PFT132" s="64"/>
      <c r="PFU132" s="27"/>
      <c r="PFZ132" s="64"/>
      <c r="PGA132" s="27"/>
      <c r="PGF132" s="64"/>
      <c r="PGG132" s="27"/>
      <c r="PGL132" s="64"/>
      <c r="PGM132" s="27"/>
      <c r="PGR132" s="64"/>
      <c r="PGS132" s="27"/>
      <c r="PGX132" s="64"/>
      <c r="PGY132" s="27"/>
      <c r="PHD132" s="64"/>
      <c r="PHE132" s="27"/>
      <c r="PHJ132" s="64"/>
      <c r="PHK132" s="27"/>
      <c r="PHP132" s="64"/>
      <c r="PHQ132" s="27"/>
      <c r="PHV132" s="64"/>
      <c r="PHW132" s="27"/>
      <c r="PIB132" s="64"/>
      <c r="PIC132" s="27"/>
      <c r="PIH132" s="64"/>
      <c r="PII132" s="27"/>
      <c r="PIN132" s="64"/>
      <c r="PIO132" s="27"/>
      <c r="PIT132" s="64"/>
      <c r="PIU132" s="27"/>
      <c r="PIZ132" s="64"/>
      <c r="PJA132" s="27"/>
      <c r="PJF132" s="64"/>
      <c r="PJG132" s="27"/>
      <c r="PJL132" s="64"/>
      <c r="PJM132" s="27"/>
      <c r="PJR132" s="64"/>
      <c r="PJS132" s="27"/>
      <c r="PJX132" s="64"/>
      <c r="PJY132" s="27"/>
      <c r="PKD132" s="64"/>
      <c r="PKE132" s="27"/>
      <c r="PKJ132" s="64"/>
      <c r="PKK132" s="27"/>
      <c r="PKP132" s="64"/>
      <c r="PKQ132" s="27"/>
      <c r="PKV132" s="64"/>
      <c r="PKW132" s="27"/>
      <c r="PLB132" s="64"/>
      <c r="PLC132" s="27"/>
      <c r="PLH132" s="64"/>
      <c r="PLI132" s="27"/>
      <c r="PLN132" s="64"/>
      <c r="PLO132" s="27"/>
      <c r="PLT132" s="64"/>
      <c r="PLU132" s="27"/>
      <c r="PLZ132" s="64"/>
      <c r="PMA132" s="27"/>
      <c r="PMF132" s="64"/>
      <c r="PMG132" s="27"/>
      <c r="PML132" s="64"/>
      <c r="PMM132" s="27"/>
      <c r="PMR132" s="64"/>
      <c r="PMS132" s="27"/>
      <c r="PMX132" s="64"/>
      <c r="PMY132" s="27"/>
      <c r="PND132" s="64"/>
      <c r="PNE132" s="27"/>
      <c r="PNJ132" s="64"/>
      <c r="PNK132" s="27"/>
      <c r="PNP132" s="64"/>
      <c r="PNQ132" s="27"/>
      <c r="PNV132" s="64"/>
      <c r="PNW132" s="27"/>
      <c r="POB132" s="64"/>
      <c r="POC132" s="27"/>
      <c r="POH132" s="64"/>
      <c r="POI132" s="27"/>
      <c r="PON132" s="64"/>
      <c r="POO132" s="27"/>
      <c r="POT132" s="64"/>
      <c r="POU132" s="27"/>
      <c r="POZ132" s="64"/>
      <c r="PPA132" s="27"/>
      <c r="PPF132" s="64"/>
      <c r="PPG132" s="27"/>
      <c r="PPL132" s="64"/>
      <c r="PPM132" s="27"/>
      <c r="PPR132" s="64"/>
      <c r="PPS132" s="27"/>
      <c r="PPX132" s="64"/>
      <c r="PPY132" s="27"/>
      <c r="PQD132" s="64"/>
      <c r="PQE132" s="27"/>
      <c r="PQJ132" s="64"/>
      <c r="PQK132" s="27"/>
      <c r="PQP132" s="64"/>
      <c r="PQQ132" s="27"/>
      <c r="PQV132" s="64"/>
      <c r="PQW132" s="27"/>
      <c r="PRB132" s="64"/>
      <c r="PRC132" s="27"/>
      <c r="PRH132" s="64"/>
      <c r="PRI132" s="27"/>
      <c r="PRN132" s="64"/>
      <c r="PRO132" s="27"/>
      <c r="PRT132" s="64"/>
      <c r="PRU132" s="27"/>
      <c r="PRZ132" s="64"/>
      <c r="PSA132" s="27"/>
      <c r="PSF132" s="64"/>
      <c r="PSG132" s="27"/>
      <c r="PSL132" s="64"/>
      <c r="PSM132" s="27"/>
      <c r="PSR132" s="64"/>
      <c r="PSS132" s="27"/>
      <c r="PSX132" s="64"/>
      <c r="PSY132" s="27"/>
      <c r="PTD132" s="64"/>
      <c r="PTE132" s="27"/>
      <c r="PTJ132" s="64"/>
      <c r="PTK132" s="27"/>
      <c r="PTP132" s="64"/>
      <c r="PTQ132" s="27"/>
      <c r="PTV132" s="64"/>
      <c r="PTW132" s="27"/>
      <c r="PUB132" s="64"/>
      <c r="PUC132" s="27"/>
      <c r="PUH132" s="64"/>
      <c r="PUI132" s="27"/>
      <c r="PUN132" s="64"/>
      <c r="PUO132" s="27"/>
      <c r="PUT132" s="64"/>
      <c r="PUU132" s="27"/>
      <c r="PUZ132" s="64"/>
      <c r="PVA132" s="27"/>
      <c r="PVF132" s="64"/>
      <c r="PVG132" s="27"/>
      <c r="PVL132" s="64"/>
      <c r="PVM132" s="27"/>
      <c r="PVR132" s="64"/>
      <c r="PVS132" s="27"/>
      <c r="PVX132" s="64"/>
      <c r="PVY132" s="27"/>
      <c r="PWD132" s="64"/>
      <c r="PWE132" s="27"/>
      <c r="PWJ132" s="64"/>
      <c r="PWK132" s="27"/>
      <c r="PWP132" s="64"/>
      <c r="PWQ132" s="27"/>
      <c r="PWV132" s="64"/>
      <c r="PWW132" s="27"/>
      <c r="PXB132" s="64"/>
      <c r="PXC132" s="27"/>
      <c r="PXH132" s="64"/>
      <c r="PXI132" s="27"/>
      <c r="PXN132" s="64"/>
      <c r="PXO132" s="27"/>
      <c r="PXT132" s="64"/>
      <c r="PXU132" s="27"/>
      <c r="PXZ132" s="64"/>
      <c r="PYA132" s="27"/>
      <c r="PYF132" s="64"/>
      <c r="PYG132" s="27"/>
      <c r="PYL132" s="64"/>
      <c r="PYM132" s="27"/>
      <c r="PYR132" s="64"/>
      <c r="PYS132" s="27"/>
      <c r="PYX132" s="64"/>
      <c r="PYY132" s="27"/>
      <c r="PZD132" s="64"/>
      <c r="PZE132" s="27"/>
      <c r="PZJ132" s="64"/>
      <c r="PZK132" s="27"/>
      <c r="PZP132" s="64"/>
      <c r="PZQ132" s="27"/>
      <c r="PZV132" s="64"/>
      <c r="PZW132" s="27"/>
      <c r="QAB132" s="64"/>
      <c r="QAC132" s="27"/>
      <c r="QAH132" s="64"/>
      <c r="QAI132" s="27"/>
      <c r="QAN132" s="64"/>
      <c r="QAO132" s="27"/>
      <c r="QAT132" s="64"/>
      <c r="QAU132" s="27"/>
      <c r="QAZ132" s="64"/>
      <c r="QBA132" s="27"/>
      <c r="QBF132" s="64"/>
      <c r="QBG132" s="27"/>
      <c r="QBL132" s="64"/>
      <c r="QBM132" s="27"/>
      <c r="QBR132" s="64"/>
      <c r="QBS132" s="27"/>
      <c r="QBX132" s="64"/>
      <c r="QBY132" s="27"/>
      <c r="QCD132" s="64"/>
      <c r="QCE132" s="27"/>
      <c r="QCJ132" s="64"/>
      <c r="QCK132" s="27"/>
      <c r="QCP132" s="64"/>
      <c r="QCQ132" s="27"/>
      <c r="QCV132" s="64"/>
      <c r="QCW132" s="27"/>
      <c r="QDB132" s="64"/>
      <c r="QDC132" s="27"/>
      <c r="QDH132" s="64"/>
      <c r="QDI132" s="27"/>
      <c r="QDN132" s="64"/>
      <c r="QDO132" s="27"/>
      <c r="QDT132" s="64"/>
      <c r="QDU132" s="27"/>
      <c r="QDZ132" s="64"/>
      <c r="QEA132" s="27"/>
      <c r="QEF132" s="64"/>
      <c r="QEG132" s="27"/>
      <c r="QEL132" s="64"/>
      <c r="QEM132" s="27"/>
      <c r="QER132" s="64"/>
      <c r="QES132" s="27"/>
      <c r="QEX132" s="64"/>
      <c r="QEY132" s="27"/>
      <c r="QFD132" s="64"/>
      <c r="QFE132" s="27"/>
      <c r="QFJ132" s="64"/>
      <c r="QFK132" s="27"/>
      <c r="QFP132" s="64"/>
      <c r="QFQ132" s="27"/>
      <c r="QFV132" s="64"/>
      <c r="QFW132" s="27"/>
      <c r="QGB132" s="64"/>
      <c r="QGC132" s="27"/>
      <c r="QGH132" s="64"/>
      <c r="QGI132" s="27"/>
      <c r="QGN132" s="64"/>
      <c r="QGO132" s="27"/>
      <c r="QGT132" s="64"/>
      <c r="QGU132" s="27"/>
      <c r="QGZ132" s="64"/>
      <c r="QHA132" s="27"/>
      <c r="QHF132" s="64"/>
      <c r="QHG132" s="27"/>
      <c r="QHL132" s="64"/>
      <c r="QHM132" s="27"/>
      <c r="QHR132" s="64"/>
      <c r="QHS132" s="27"/>
      <c r="QHX132" s="64"/>
      <c r="QHY132" s="27"/>
      <c r="QID132" s="64"/>
      <c r="QIE132" s="27"/>
      <c r="QIJ132" s="64"/>
      <c r="QIK132" s="27"/>
      <c r="QIP132" s="64"/>
      <c r="QIQ132" s="27"/>
      <c r="QIV132" s="64"/>
      <c r="QIW132" s="27"/>
      <c r="QJB132" s="64"/>
      <c r="QJC132" s="27"/>
      <c r="QJH132" s="64"/>
      <c r="QJI132" s="27"/>
      <c r="QJN132" s="64"/>
      <c r="QJO132" s="27"/>
      <c r="QJT132" s="64"/>
      <c r="QJU132" s="27"/>
      <c r="QJZ132" s="64"/>
      <c r="QKA132" s="27"/>
      <c r="QKF132" s="64"/>
      <c r="QKG132" s="27"/>
      <c r="QKL132" s="64"/>
      <c r="QKM132" s="27"/>
      <c r="QKR132" s="64"/>
      <c r="QKS132" s="27"/>
      <c r="QKX132" s="64"/>
      <c r="QKY132" s="27"/>
      <c r="QLD132" s="64"/>
      <c r="QLE132" s="27"/>
      <c r="QLJ132" s="64"/>
      <c r="QLK132" s="27"/>
      <c r="QLP132" s="64"/>
      <c r="QLQ132" s="27"/>
      <c r="QLV132" s="64"/>
      <c r="QLW132" s="27"/>
      <c r="QMB132" s="64"/>
      <c r="QMC132" s="27"/>
      <c r="QMH132" s="64"/>
      <c r="QMI132" s="27"/>
      <c r="QMN132" s="64"/>
      <c r="QMO132" s="27"/>
      <c r="QMT132" s="64"/>
      <c r="QMU132" s="27"/>
      <c r="QMZ132" s="64"/>
      <c r="QNA132" s="27"/>
      <c r="QNF132" s="64"/>
      <c r="QNG132" s="27"/>
      <c r="QNL132" s="64"/>
      <c r="QNM132" s="27"/>
      <c r="QNR132" s="64"/>
      <c r="QNS132" s="27"/>
      <c r="QNX132" s="64"/>
      <c r="QNY132" s="27"/>
      <c r="QOD132" s="64"/>
      <c r="QOE132" s="27"/>
      <c r="QOJ132" s="64"/>
      <c r="QOK132" s="27"/>
      <c r="QOP132" s="64"/>
      <c r="QOQ132" s="27"/>
      <c r="QOV132" s="64"/>
      <c r="QOW132" s="27"/>
      <c r="QPB132" s="64"/>
      <c r="QPC132" s="27"/>
      <c r="QPH132" s="64"/>
      <c r="QPI132" s="27"/>
      <c r="QPN132" s="64"/>
      <c r="QPO132" s="27"/>
      <c r="QPT132" s="64"/>
      <c r="QPU132" s="27"/>
      <c r="QPZ132" s="64"/>
      <c r="QQA132" s="27"/>
      <c r="QQF132" s="64"/>
      <c r="QQG132" s="27"/>
      <c r="QQL132" s="64"/>
      <c r="QQM132" s="27"/>
      <c r="QQR132" s="64"/>
      <c r="QQS132" s="27"/>
      <c r="QQX132" s="64"/>
      <c r="QQY132" s="27"/>
      <c r="QRD132" s="64"/>
      <c r="QRE132" s="27"/>
      <c r="QRJ132" s="64"/>
      <c r="QRK132" s="27"/>
      <c r="QRP132" s="64"/>
      <c r="QRQ132" s="27"/>
      <c r="QRV132" s="64"/>
      <c r="QRW132" s="27"/>
      <c r="QSB132" s="64"/>
      <c r="QSC132" s="27"/>
      <c r="QSH132" s="64"/>
      <c r="QSI132" s="27"/>
      <c r="QSN132" s="64"/>
      <c r="QSO132" s="27"/>
      <c r="QST132" s="64"/>
      <c r="QSU132" s="27"/>
      <c r="QSZ132" s="64"/>
      <c r="QTA132" s="27"/>
      <c r="QTF132" s="64"/>
      <c r="QTG132" s="27"/>
      <c r="QTL132" s="64"/>
      <c r="QTM132" s="27"/>
      <c r="QTR132" s="64"/>
      <c r="QTS132" s="27"/>
      <c r="QTX132" s="64"/>
      <c r="QTY132" s="27"/>
      <c r="QUD132" s="64"/>
      <c r="QUE132" s="27"/>
      <c r="QUJ132" s="64"/>
      <c r="QUK132" s="27"/>
      <c r="QUP132" s="64"/>
      <c r="QUQ132" s="27"/>
      <c r="QUV132" s="64"/>
      <c r="QUW132" s="27"/>
      <c r="QVB132" s="64"/>
      <c r="QVC132" s="27"/>
      <c r="QVH132" s="64"/>
      <c r="QVI132" s="27"/>
      <c r="QVN132" s="64"/>
      <c r="QVO132" s="27"/>
      <c r="QVT132" s="64"/>
      <c r="QVU132" s="27"/>
      <c r="QVZ132" s="64"/>
      <c r="QWA132" s="27"/>
      <c r="QWF132" s="64"/>
      <c r="QWG132" s="27"/>
      <c r="QWL132" s="64"/>
      <c r="QWM132" s="27"/>
      <c r="QWR132" s="64"/>
      <c r="QWS132" s="27"/>
      <c r="QWX132" s="64"/>
      <c r="QWY132" s="27"/>
      <c r="QXD132" s="64"/>
      <c r="QXE132" s="27"/>
      <c r="QXJ132" s="64"/>
      <c r="QXK132" s="27"/>
      <c r="QXP132" s="64"/>
      <c r="QXQ132" s="27"/>
      <c r="QXV132" s="64"/>
      <c r="QXW132" s="27"/>
      <c r="QYB132" s="64"/>
      <c r="QYC132" s="27"/>
      <c r="QYH132" s="64"/>
      <c r="QYI132" s="27"/>
      <c r="QYN132" s="64"/>
      <c r="QYO132" s="27"/>
      <c r="QYT132" s="64"/>
      <c r="QYU132" s="27"/>
      <c r="QYZ132" s="64"/>
      <c r="QZA132" s="27"/>
      <c r="QZF132" s="64"/>
      <c r="QZG132" s="27"/>
      <c r="QZL132" s="64"/>
      <c r="QZM132" s="27"/>
      <c r="QZR132" s="64"/>
      <c r="QZS132" s="27"/>
      <c r="QZX132" s="64"/>
      <c r="QZY132" s="27"/>
      <c r="RAD132" s="64"/>
      <c r="RAE132" s="27"/>
      <c r="RAJ132" s="64"/>
      <c r="RAK132" s="27"/>
      <c r="RAP132" s="64"/>
      <c r="RAQ132" s="27"/>
      <c r="RAV132" s="64"/>
      <c r="RAW132" s="27"/>
      <c r="RBB132" s="64"/>
      <c r="RBC132" s="27"/>
      <c r="RBH132" s="64"/>
      <c r="RBI132" s="27"/>
      <c r="RBN132" s="64"/>
      <c r="RBO132" s="27"/>
      <c r="RBT132" s="64"/>
      <c r="RBU132" s="27"/>
      <c r="RBZ132" s="64"/>
      <c r="RCA132" s="27"/>
      <c r="RCF132" s="64"/>
      <c r="RCG132" s="27"/>
      <c r="RCL132" s="64"/>
      <c r="RCM132" s="27"/>
      <c r="RCR132" s="64"/>
      <c r="RCS132" s="27"/>
      <c r="RCX132" s="64"/>
      <c r="RCY132" s="27"/>
      <c r="RDD132" s="64"/>
      <c r="RDE132" s="27"/>
      <c r="RDJ132" s="64"/>
      <c r="RDK132" s="27"/>
      <c r="RDP132" s="64"/>
      <c r="RDQ132" s="27"/>
      <c r="RDV132" s="64"/>
      <c r="RDW132" s="27"/>
      <c r="REB132" s="64"/>
      <c r="REC132" s="27"/>
      <c r="REH132" s="64"/>
      <c r="REI132" s="27"/>
      <c r="REN132" s="64"/>
      <c r="REO132" s="27"/>
      <c r="RET132" s="64"/>
      <c r="REU132" s="27"/>
      <c r="REZ132" s="64"/>
      <c r="RFA132" s="27"/>
      <c r="RFF132" s="64"/>
      <c r="RFG132" s="27"/>
      <c r="RFL132" s="64"/>
      <c r="RFM132" s="27"/>
      <c r="RFR132" s="64"/>
      <c r="RFS132" s="27"/>
      <c r="RFX132" s="64"/>
      <c r="RFY132" s="27"/>
      <c r="RGD132" s="64"/>
      <c r="RGE132" s="27"/>
      <c r="RGJ132" s="64"/>
      <c r="RGK132" s="27"/>
      <c r="RGP132" s="64"/>
      <c r="RGQ132" s="27"/>
      <c r="RGV132" s="64"/>
      <c r="RGW132" s="27"/>
      <c r="RHB132" s="64"/>
      <c r="RHC132" s="27"/>
      <c r="RHH132" s="64"/>
      <c r="RHI132" s="27"/>
      <c r="RHN132" s="64"/>
      <c r="RHO132" s="27"/>
      <c r="RHT132" s="64"/>
      <c r="RHU132" s="27"/>
      <c r="RHZ132" s="64"/>
      <c r="RIA132" s="27"/>
      <c r="RIF132" s="64"/>
      <c r="RIG132" s="27"/>
      <c r="RIL132" s="64"/>
      <c r="RIM132" s="27"/>
      <c r="RIR132" s="64"/>
      <c r="RIS132" s="27"/>
      <c r="RIX132" s="64"/>
      <c r="RIY132" s="27"/>
      <c r="RJD132" s="64"/>
      <c r="RJE132" s="27"/>
      <c r="RJJ132" s="64"/>
      <c r="RJK132" s="27"/>
      <c r="RJP132" s="64"/>
      <c r="RJQ132" s="27"/>
      <c r="RJV132" s="64"/>
      <c r="RJW132" s="27"/>
      <c r="RKB132" s="64"/>
      <c r="RKC132" s="27"/>
      <c r="RKH132" s="64"/>
      <c r="RKI132" s="27"/>
      <c r="RKN132" s="64"/>
      <c r="RKO132" s="27"/>
      <c r="RKT132" s="64"/>
      <c r="RKU132" s="27"/>
      <c r="RKZ132" s="64"/>
      <c r="RLA132" s="27"/>
      <c r="RLF132" s="64"/>
      <c r="RLG132" s="27"/>
      <c r="RLL132" s="64"/>
      <c r="RLM132" s="27"/>
      <c r="RLR132" s="64"/>
      <c r="RLS132" s="27"/>
      <c r="RLX132" s="64"/>
      <c r="RLY132" s="27"/>
      <c r="RMD132" s="64"/>
      <c r="RME132" s="27"/>
      <c r="RMJ132" s="64"/>
      <c r="RMK132" s="27"/>
      <c r="RMP132" s="64"/>
      <c r="RMQ132" s="27"/>
      <c r="RMV132" s="64"/>
      <c r="RMW132" s="27"/>
      <c r="RNB132" s="64"/>
      <c r="RNC132" s="27"/>
      <c r="RNH132" s="64"/>
      <c r="RNI132" s="27"/>
      <c r="RNN132" s="64"/>
      <c r="RNO132" s="27"/>
      <c r="RNT132" s="64"/>
      <c r="RNU132" s="27"/>
      <c r="RNZ132" s="64"/>
      <c r="ROA132" s="27"/>
      <c r="ROF132" s="64"/>
      <c r="ROG132" s="27"/>
      <c r="ROL132" s="64"/>
      <c r="ROM132" s="27"/>
      <c r="ROR132" s="64"/>
      <c r="ROS132" s="27"/>
      <c r="ROX132" s="64"/>
      <c r="ROY132" s="27"/>
      <c r="RPD132" s="64"/>
      <c r="RPE132" s="27"/>
      <c r="RPJ132" s="64"/>
      <c r="RPK132" s="27"/>
      <c r="RPP132" s="64"/>
      <c r="RPQ132" s="27"/>
      <c r="RPV132" s="64"/>
      <c r="RPW132" s="27"/>
      <c r="RQB132" s="64"/>
      <c r="RQC132" s="27"/>
      <c r="RQH132" s="64"/>
      <c r="RQI132" s="27"/>
      <c r="RQN132" s="64"/>
      <c r="RQO132" s="27"/>
      <c r="RQT132" s="64"/>
      <c r="RQU132" s="27"/>
      <c r="RQZ132" s="64"/>
      <c r="RRA132" s="27"/>
      <c r="RRF132" s="64"/>
      <c r="RRG132" s="27"/>
      <c r="RRL132" s="64"/>
      <c r="RRM132" s="27"/>
      <c r="RRR132" s="64"/>
      <c r="RRS132" s="27"/>
      <c r="RRX132" s="64"/>
      <c r="RRY132" s="27"/>
      <c r="RSD132" s="64"/>
      <c r="RSE132" s="27"/>
      <c r="RSJ132" s="64"/>
      <c r="RSK132" s="27"/>
      <c r="RSP132" s="64"/>
      <c r="RSQ132" s="27"/>
      <c r="RSV132" s="64"/>
      <c r="RSW132" s="27"/>
      <c r="RTB132" s="64"/>
      <c r="RTC132" s="27"/>
      <c r="RTH132" s="64"/>
      <c r="RTI132" s="27"/>
      <c r="RTN132" s="64"/>
      <c r="RTO132" s="27"/>
      <c r="RTT132" s="64"/>
      <c r="RTU132" s="27"/>
      <c r="RTZ132" s="64"/>
      <c r="RUA132" s="27"/>
      <c r="RUF132" s="64"/>
      <c r="RUG132" s="27"/>
      <c r="RUL132" s="64"/>
      <c r="RUM132" s="27"/>
      <c r="RUR132" s="64"/>
      <c r="RUS132" s="27"/>
      <c r="RUX132" s="64"/>
      <c r="RUY132" s="27"/>
      <c r="RVD132" s="64"/>
      <c r="RVE132" s="27"/>
      <c r="RVJ132" s="64"/>
      <c r="RVK132" s="27"/>
      <c r="RVP132" s="64"/>
      <c r="RVQ132" s="27"/>
      <c r="RVV132" s="64"/>
      <c r="RVW132" s="27"/>
      <c r="RWB132" s="64"/>
      <c r="RWC132" s="27"/>
      <c r="RWH132" s="64"/>
      <c r="RWI132" s="27"/>
      <c r="RWN132" s="64"/>
      <c r="RWO132" s="27"/>
      <c r="RWT132" s="64"/>
      <c r="RWU132" s="27"/>
      <c r="RWZ132" s="64"/>
      <c r="RXA132" s="27"/>
      <c r="RXF132" s="64"/>
      <c r="RXG132" s="27"/>
      <c r="RXL132" s="64"/>
      <c r="RXM132" s="27"/>
      <c r="RXR132" s="64"/>
      <c r="RXS132" s="27"/>
      <c r="RXX132" s="64"/>
      <c r="RXY132" s="27"/>
      <c r="RYD132" s="64"/>
      <c r="RYE132" s="27"/>
      <c r="RYJ132" s="64"/>
      <c r="RYK132" s="27"/>
      <c r="RYP132" s="64"/>
      <c r="RYQ132" s="27"/>
      <c r="RYV132" s="64"/>
      <c r="RYW132" s="27"/>
      <c r="RZB132" s="64"/>
      <c r="RZC132" s="27"/>
      <c r="RZH132" s="64"/>
      <c r="RZI132" s="27"/>
      <c r="RZN132" s="64"/>
      <c r="RZO132" s="27"/>
      <c r="RZT132" s="64"/>
      <c r="RZU132" s="27"/>
      <c r="RZZ132" s="64"/>
      <c r="SAA132" s="27"/>
      <c r="SAF132" s="64"/>
      <c r="SAG132" s="27"/>
      <c r="SAL132" s="64"/>
      <c r="SAM132" s="27"/>
      <c r="SAR132" s="64"/>
      <c r="SAS132" s="27"/>
      <c r="SAX132" s="64"/>
      <c r="SAY132" s="27"/>
      <c r="SBD132" s="64"/>
      <c r="SBE132" s="27"/>
      <c r="SBJ132" s="64"/>
      <c r="SBK132" s="27"/>
      <c r="SBP132" s="64"/>
      <c r="SBQ132" s="27"/>
      <c r="SBV132" s="64"/>
      <c r="SBW132" s="27"/>
      <c r="SCB132" s="64"/>
      <c r="SCC132" s="27"/>
      <c r="SCH132" s="64"/>
      <c r="SCI132" s="27"/>
      <c r="SCN132" s="64"/>
      <c r="SCO132" s="27"/>
      <c r="SCT132" s="64"/>
      <c r="SCU132" s="27"/>
      <c r="SCZ132" s="64"/>
      <c r="SDA132" s="27"/>
      <c r="SDF132" s="64"/>
      <c r="SDG132" s="27"/>
      <c r="SDL132" s="64"/>
      <c r="SDM132" s="27"/>
      <c r="SDR132" s="64"/>
      <c r="SDS132" s="27"/>
      <c r="SDX132" s="64"/>
      <c r="SDY132" s="27"/>
      <c r="SED132" s="64"/>
      <c r="SEE132" s="27"/>
      <c r="SEJ132" s="64"/>
      <c r="SEK132" s="27"/>
      <c r="SEP132" s="64"/>
      <c r="SEQ132" s="27"/>
      <c r="SEV132" s="64"/>
      <c r="SEW132" s="27"/>
      <c r="SFB132" s="64"/>
      <c r="SFC132" s="27"/>
      <c r="SFH132" s="64"/>
      <c r="SFI132" s="27"/>
      <c r="SFN132" s="64"/>
      <c r="SFO132" s="27"/>
      <c r="SFT132" s="64"/>
      <c r="SFU132" s="27"/>
      <c r="SFZ132" s="64"/>
      <c r="SGA132" s="27"/>
      <c r="SGF132" s="64"/>
      <c r="SGG132" s="27"/>
      <c r="SGL132" s="64"/>
      <c r="SGM132" s="27"/>
      <c r="SGR132" s="64"/>
      <c r="SGS132" s="27"/>
      <c r="SGX132" s="64"/>
      <c r="SGY132" s="27"/>
      <c r="SHD132" s="64"/>
      <c r="SHE132" s="27"/>
      <c r="SHJ132" s="64"/>
      <c r="SHK132" s="27"/>
      <c r="SHP132" s="64"/>
      <c r="SHQ132" s="27"/>
      <c r="SHV132" s="64"/>
      <c r="SHW132" s="27"/>
      <c r="SIB132" s="64"/>
      <c r="SIC132" s="27"/>
      <c r="SIH132" s="64"/>
      <c r="SII132" s="27"/>
      <c r="SIN132" s="64"/>
      <c r="SIO132" s="27"/>
      <c r="SIT132" s="64"/>
      <c r="SIU132" s="27"/>
      <c r="SIZ132" s="64"/>
      <c r="SJA132" s="27"/>
      <c r="SJF132" s="64"/>
      <c r="SJG132" s="27"/>
      <c r="SJL132" s="64"/>
      <c r="SJM132" s="27"/>
      <c r="SJR132" s="64"/>
      <c r="SJS132" s="27"/>
      <c r="SJX132" s="64"/>
      <c r="SJY132" s="27"/>
      <c r="SKD132" s="64"/>
      <c r="SKE132" s="27"/>
      <c r="SKJ132" s="64"/>
      <c r="SKK132" s="27"/>
      <c r="SKP132" s="64"/>
      <c r="SKQ132" s="27"/>
      <c r="SKV132" s="64"/>
      <c r="SKW132" s="27"/>
      <c r="SLB132" s="64"/>
      <c r="SLC132" s="27"/>
      <c r="SLH132" s="64"/>
      <c r="SLI132" s="27"/>
      <c r="SLN132" s="64"/>
      <c r="SLO132" s="27"/>
      <c r="SLT132" s="64"/>
      <c r="SLU132" s="27"/>
      <c r="SLZ132" s="64"/>
      <c r="SMA132" s="27"/>
      <c r="SMF132" s="64"/>
      <c r="SMG132" s="27"/>
      <c r="SML132" s="64"/>
      <c r="SMM132" s="27"/>
      <c r="SMR132" s="64"/>
      <c r="SMS132" s="27"/>
      <c r="SMX132" s="64"/>
      <c r="SMY132" s="27"/>
      <c r="SND132" s="64"/>
      <c r="SNE132" s="27"/>
      <c r="SNJ132" s="64"/>
      <c r="SNK132" s="27"/>
      <c r="SNP132" s="64"/>
      <c r="SNQ132" s="27"/>
      <c r="SNV132" s="64"/>
      <c r="SNW132" s="27"/>
      <c r="SOB132" s="64"/>
      <c r="SOC132" s="27"/>
      <c r="SOH132" s="64"/>
      <c r="SOI132" s="27"/>
      <c r="SON132" s="64"/>
      <c r="SOO132" s="27"/>
      <c r="SOT132" s="64"/>
      <c r="SOU132" s="27"/>
      <c r="SOZ132" s="64"/>
      <c r="SPA132" s="27"/>
      <c r="SPF132" s="64"/>
      <c r="SPG132" s="27"/>
      <c r="SPL132" s="64"/>
      <c r="SPM132" s="27"/>
      <c r="SPR132" s="64"/>
      <c r="SPS132" s="27"/>
      <c r="SPX132" s="64"/>
      <c r="SPY132" s="27"/>
      <c r="SQD132" s="64"/>
      <c r="SQE132" s="27"/>
      <c r="SQJ132" s="64"/>
      <c r="SQK132" s="27"/>
      <c r="SQP132" s="64"/>
      <c r="SQQ132" s="27"/>
      <c r="SQV132" s="64"/>
      <c r="SQW132" s="27"/>
      <c r="SRB132" s="64"/>
      <c r="SRC132" s="27"/>
      <c r="SRH132" s="64"/>
      <c r="SRI132" s="27"/>
      <c r="SRN132" s="64"/>
      <c r="SRO132" s="27"/>
      <c r="SRT132" s="64"/>
      <c r="SRU132" s="27"/>
      <c r="SRZ132" s="64"/>
      <c r="SSA132" s="27"/>
      <c r="SSF132" s="64"/>
      <c r="SSG132" s="27"/>
      <c r="SSL132" s="64"/>
      <c r="SSM132" s="27"/>
      <c r="SSR132" s="64"/>
      <c r="SSS132" s="27"/>
      <c r="SSX132" s="64"/>
      <c r="SSY132" s="27"/>
      <c r="STD132" s="64"/>
      <c r="STE132" s="27"/>
      <c r="STJ132" s="64"/>
      <c r="STK132" s="27"/>
      <c r="STP132" s="64"/>
      <c r="STQ132" s="27"/>
      <c r="STV132" s="64"/>
      <c r="STW132" s="27"/>
      <c r="SUB132" s="64"/>
      <c r="SUC132" s="27"/>
      <c r="SUH132" s="64"/>
      <c r="SUI132" s="27"/>
      <c r="SUN132" s="64"/>
      <c r="SUO132" s="27"/>
      <c r="SUT132" s="64"/>
      <c r="SUU132" s="27"/>
      <c r="SUZ132" s="64"/>
      <c r="SVA132" s="27"/>
      <c r="SVF132" s="64"/>
      <c r="SVG132" s="27"/>
      <c r="SVL132" s="64"/>
      <c r="SVM132" s="27"/>
      <c r="SVR132" s="64"/>
      <c r="SVS132" s="27"/>
      <c r="SVX132" s="64"/>
      <c r="SVY132" s="27"/>
      <c r="SWD132" s="64"/>
      <c r="SWE132" s="27"/>
      <c r="SWJ132" s="64"/>
      <c r="SWK132" s="27"/>
      <c r="SWP132" s="64"/>
      <c r="SWQ132" s="27"/>
      <c r="SWV132" s="64"/>
      <c r="SWW132" s="27"/>
      <c r="SXB132" s="64"/>
      <c r="SXC132" s="27"/>
      <c r="SXH132" s="64"/>
      <c r="SXI132" s="27"/>
      <c r="SXN132" s="64"/>
      <c r="SXO132" s="27"/>
      <c r="SXT132" s="64"/>
      <c r="SXU132" s="27"/>
      <c r="SXZ132" s="64"/>
      <c r="SYA132" s="27"/>
      <c r="SYF132" s="64"/>
      <c r="SYG132" s="27"/>
      <c r="SYL132" s="64"/>
      <c r="SYM132" s="27"/>
      <c r="SYR132" s="64"/>
      <c r="SYS132" s="27"/>
      <c r="SYX132" s="64"/>
      <c r="SYY132" s="27"/>
      <c r="SZD132" s="64"/>
      <c r="SZE132" s="27"/>
      <c r="SZJ132" s="64"/>
      <c r="SZK132" s="27"/>
      <c r="SZP132" s="64"/>
      <c r="SZQ132" s="27"/>
      <c r="SZV132" s="64"/>
      <c r="SZW132" s="27"/>
      <c r="TAB132" s="64"/>
      <c r="TAC132" s="27"/>
      <c r="TAH132" s="64"/>
      <c r="TAI132" s="27"/>
      <c r="TAN132" s="64"/>
      <c r="TAO132" s="27"/>
      <c r="TAT132" s="64"/>
      <c r="TAU132" s="27"/>
      <c r="TAZ132" s="64"/>
      <c r="TBA132" s="27"/>
      <c r="TBF132" s="64"/>
      <c r="TBG132" s="27"/>
      <c r="TBL132" s="64"/>
      <c r="TBM132" s="27"/>
      <c r="TBR132" s="64"/>
      <c r="TBS132" s="27"/>
      <c r="TBX132" s="64"/>
      <c r="TBY132" s="27"/>
      <c r="TCD132" s="64"/>
      <c r="TCE132" s="27"/>
      <c r="TCJ132" s="64"/>
      <c r="TCK132" s="27"/>
      <c r="TCP132" s="64"/>
      <c r="TCQ132" s="27"/>
      <c r="TCV132" s="64"/>
      <c r="TCW132" s="27"/>
      <c r="TDB132" s="64"/>
      <c r="TDC132" s="27"/>
      <c r="TDH132" s="64"/>
      <c r="TDI132" s="27"/>
      <c r="TDN132" s="64"/>
      <c r="TDO132" s="27"/>
      <c r="TDT132" s="64"/>
      <c r="TDU132" s="27"/>
      <c r="TDZ132" s="64"/>
      <c r="TEA132" s="27"/>
      <c r="TEF132" s="64"/>
      <c r="TEG132" s="27"/>
      <c r="TEL132" s="64"/>
      <c r="TEM132" s="27"/>
      <c r="TER132" s="64"/>
      <c r="TES132" s="27"/>
      <c r="TEX132" s="64"/>
      <c r="TEY132" s="27"/>
      <c r="TFD132" s="64"/>
      <c r="TFE132" s="27"/>
      <c r="TFJ132" s="64"/>
      <c r="TFK132" s="27"/>
      <c r="TFP132" s="64"/>
      <c r="TFQ132" s="27"/>
      <c r="TFV132" s="64"/>
      <c r="TFW132" s="27"/>
      <c r="TGB132" s="64"/>
      <c r="TGC132" s="27"/>
      <c r="TGH132" s="64"/>
      <c r="TGI132" s="27"/>
      <c r="TGN132" s="64"/>
      <c r="TGO132" s="27"/>
      <c r="TGT132" s="64"/>
      <c r="TGU132" s="27"/>
      <c r="TGZ132" s="64"/>
      <c r="THA132" s="27"/>
      <c r="THF132" s="64"/>
      <c r="THG132" s="27"/>
      <c r="THL132" s="64"/>
      <c r="THM132" s="27"/>
      <c r="THR132" s="64"/>
      <c r="THS132" s="27"/>
      <c r="THX132" s="64"/>
      <c r="THY132" s="27"/>
      <c r="TID132" s="64"/>
      <c r="TIE132" s="27"/>
      <c r="TIJ132" s="64"/>
      <c r="TIK132" s="27"/>
      <c r="TIP132" s="64"/>
      <c r="TIQ132" s="27"/>
      <c r="TIV132" s="64"/>
      <c r="TIW132" s="27"/>
      <c r="TJB132" s="64"/>
      <c r="TJC132" s="27"/>
      <c r="TJH132" s="64"/>
      <c r="TJI132" s="27"/>
      <c r="TJN132" s="64"/>
      <c r="TJO132" s="27"/>
      <c r="TJT132" s="64"/>
      <c r="TJU132" s="27"/>
      <c r="TJZ132" s="64"/>
      <c r="TKA132" s="27"/>
      <c r="TKF132" s="64"/>
      <c r="TKG132" s="27"/>
      <c r="TKL132" s="64"/>
      <c r="TKM132" s="27"/>
      <c r="TKR132" s="64"/>
      <c r="TKS132" s="27"/>
      <c r="TKX132" s="64"/>
      <c r="TKY132" s="27"/>
      <c r="TLD132" s="64"/>
      <c r="TLE132" s="27"/>
      <c r="TLJ132" s="64"/>
      <c r="TLK132" s="27"/>
      <c r="TLP132" s="64"/>
      <c r="TLQ132" s="27"/>
      <c r="TLV132" s="64"/>
      <c r="TLW132" s="27"/>
      <c r="TMB132" s="64"/>
      <c r="TMC132" s="27"/>
      <c r="TMH132" s="64"/>
      <c r="TMI132" s="27"/>
      <c r="TMN132" s="64"/>
      <c r="TMO132" s="27"/>
      <c r="TMT132" s="64"/>
      <c r="TMU132" s="27"/>
      <c r="TMZ132" s="64"/>
      <c r="TNA132" s="27"/>
      <c r="TNF132" s="64"/>
      <c r="TNG132" s="27"/>
      <c r="TNL132" s="64"/>
      <c r="TNM132" s="27"/>
      <c r="TNR132" s="64"/>
      <c r="TNS132" s="27"/>
      <c r="TNX132" s="64"/>
      <c r="TNY132" s="27"/>
      <c r="TOD132" s="64"/>
      <c r="TOE132" s="27"/>
      <c r="TOJ132" s="64"/>
      <c r="TOK132" s="27"/>
      <c r="TOP132" s="64"/>
      <c r="TOQ132" s="27"/>
      <c r="TOV132" s="64"/>
      <c r="TOW132" s="27"/>
      <c r="TPB132" s="64"/>
      <c r="TPC132" s="27"/>
      <c r="TPH132" s="64"/>
      <c r="TPI132" s="27"/>
      <c r="TPN132" s="64"/>
      <c r="TPO132" s="27"/>
      <c r="TPT132" s="64"/>
      <c r="TPU132" s="27"/>
      <c r="TPZ132" s="64"/>
      <c r="TQA132" s="27"/>
      <c r="TQF132" s="64"/>
      <c r="TQG132" s="27"/>
      <c r="TQL132" s="64"/>
      <c r="TQM132" s="27"/>
      <c r="TQR132" s="64"/>
      <c r="TQS132" s="27"/>
      <c r="TQX132" s="64"/>
      <c r="TQY132" s="27"/>
      <c r="TRD132" s="64"/>
      <c r="TRE132" s="27"/>
      <c r="TRJ132" s="64"/>
      <c r="TRK132" s="27"/>
      <c r="TRP132" s="64"/>
      <c r="TRQ132" s="27"/>
      <c r="TRV132" s="64"/>
      <c r="TRW132" s="27"/>
      <c r="TSB132" s="64"/>
      <c r="TSC132" s="27"/>
      <c r="TSH132" s="64"/>
      <c r="TSI132" s="27"/>
      <c r="TSN132" s="64"/>
      <c r="TSO132" s="27"/>
      <c r="TST132" s="64"/>
      <c r="TSU132" s="27"/>
      <c r="TSZ132" s="64"/>
      <c r="TTA132" s="27"/>
      <c r="TTF132" s="64"/>
      <c r="TTG132" s="27"/>
      <c r="TTL132" s="64"/>
      <c r="TTM132" s="27"/>
      <c r="TTR132" s="64"/>
      <c r="TTS132" s="27"/>
      <c r="TTX132" s="64"/>
      <c r="TTY132" s="27"/>
      <c r="TUD132" s="64"/>
      <c r="TUE132" s="27"/>
      <c r="TUJ132" s="64"/>
      <c r="TUK132" s="27"/>
      <c r="TUP132" s="64"/>
      <c r="TUQ132" s="27"/>
      <c r="TUV132" s="64"/>
      <c r="TUW132" s="27"/>
      <c r="TVB132" s="64"/>
      <c r="TVC132" s="27"/>
      <c r="TVH132" s="64"/>
      <c r="TVI132" s="27"/>
      <c r="TVN132" s="64"/>
      <c r="TVO132" s="27"/>
      <c r="TVT132" s="64"/>
      <c r="TVU132" s="27"/>
      <c r="TVZ132" s="64"/>
      <c r="TWA132" s="27"/>
      <c r="TWF132" s="64"/>
      <c r="TWG132" s="27"/>
      <c r="TWL132" s="64"/>
      <c r="TWM132" s="27"/>
      <c r="TWR132" s="64"/>
      <c r="TWS132" s="27"/>
      <c r="TWX132" s="64"/>
      <c r="TWY132" s="27"/>
      <c r="TXD132" s="64"/>
      <c r="TXE132" s="27"/>
      <c r="TXJ132" s="64"/>
      <c r="TXK132" s="27"/>
      <c r="TXP132" s="64"/>
      <c r="TXQ132" s="27"/>
      <c r="TXV132" s="64"/>
      <c r="TXW132" s="27"/>
      <c r="TYB132" s="64"/>
      <c r="TYC132" s="27"/>
      <c r="TYH132" s="64"/>
      <c r="TYI132" s="27"/>
      <c r="TYN132" s="64"/>
      <c r="TYO132" s="27"/>
      <c r="TYT132" s="64"/>
      <c r="TYU132" s="27"/>
      <c r="TYZ132" s="64"/>
      <c r="TZA132" s="27"/>
      <c r="TZF132" s="64"/>
      <c r="TZG132" s="27"/>
      <c r="TZL132" s="64"/>
      <c r="TZM132" s="27"/>
      <c r="TZR132" s="64"/>
      <c r="TZS132" s="27"/>
      <c r="TZX132" s="64"/>
      <c r="TZY132" s="27"/>
      <c r="UAD132" s="64"/>
      <c r="UAE132" s="27"/>
      <c r="UAJ132" s="64"/>
      <c r="UAK132" s="27"/>
      <c r="UAP132" s="64"/>
      <c r="UAQ132" s="27"/>
      <c r="UAV132" s="64"/>
      <c r="UAW132" s="27"/>
      <c r="UBB132" s="64"/>
      <c r="UBC132" s="27"/>
      <c r="UBH132" s="64"/>
      <c r="UBI132" s="27"/>
      <c r="UBN132" s="64"/>
      <c r="UBO132" s="27"/>
      <c r="UBT132" s="64"/>
      <c r="UBU132" s="27"/>
      <c r="UBZ132" s="64"/>
      <c r="UCA132" s="27"/>
      <c r="UCF132" s="64"/>
      <c r="UCG132" s="27"/>
      <c r="UCL132" s="64"/>
      <c r="UCM132" s="27"/>
      <c r="UCR132" s="64"/>
      <c r="UCS132" s="27"/>
      <c r="UCX132" s="64"/>
      <c r="UCY132" s="27"/>
      <c r="UDD132" s="64"/>
      <c r="UDE132" s="27"/>
      <c r="UDJ132" s="64"/>
      <c r="UDK132" s="27"/>
      <c r="UDP132" s="64"/>
      <c r="UDQ132" s="27"/>
      <c r="UDV132" s="64"/>
      <c r="UDW132" s="27"/>
      <c r="UEB132" s="64"/>
      <c r="UEC132" s="27"/>
      <c r="UEH132" s="64"/>
      <c r="UEI132" s="27"/>
      <c r="UEN132" s="64"/>
      <c r="UEO132" s="27"/>
      <c r="UET132" s="64"/>
      <c r="UEU132" s="27"/>
      <c r="UEZ132" s="64"/>
      <c r="UFA132" s="27"/>
      <c r="UFF132" s="64"/>
      <c r="UFG132" s="27"/>
      <c r="UFL132" s="64"/>
      <c r="UFM132" s="27"/>
      <c r="UFR132" s="64"/>
      <c r="UFS132" s="27"/>
      <c r="UFX132" s="64"/>
      <c r="UFY132" s="27"/>
      <c r="UGD132" s="64"/>
      <c r="UGE132" s="27"/>
      <c r="UGJ132" s="64"/>
      <c r="UGK132" s="27"/>
      <c r="UGP132" s="64"/>
      <c r="UGQ132" s="27"/>
      <c r="UGV132" s="64"/>
      <c r="UGW132" s="27"/>
      <c r="UHB132" s="64"/>
      <c r="UHC132" s="27"/>
      <c r="UHH132" s="64"/>
      <c r="UHI132" s="27"/>
      <c r="UHN132" s="64"/>
      <c r="UHO132" s="27"/>
      <c r="UHT132" s="64"/>
      <c r="UHU132" s="27"/>
      <c r="UHZ132" s="64"/>
      <c r="UIA132" s="27"/>
      <c r="UIF132" s="64"/>
      <c r="UIG132" s="27"/>
      <c r="UIL132" s="64"/>
      <c r="UIM132" s="27"/>
      <c r="UIR132" s="64"/>
      <c r="UIS132" s="27"/>
      <c r="UIX132" s="64"/>
      <c r="UIY132" s="27"/>
      <c r="UJD132" s="64"/>
      <c r="UJE132" s="27"/>
      <c r="UJJ132" s="64"/>
      <c r="UJK132" s="27"/>
      <c r="UJP132" s="64"/>
      <c r="UJQ132" s="27"/>
      <c r="UJV132" s="64"/>
      <c r="UJW132" s="27"/>
      <c r="UKB132" s="64"/>
      <c r="UKC132" s="27"/>
      <c r="UKH132" s="64"/>
      <c r="UKI132" s="27"/>
      <c r="UKN132" s="64"/>
      <c r="UKO132" s="27"/>
      <c r="UKT132" s="64"/>
      <c r="UKU132" s="27"/>
      <c r="UKZ132" s="64"/>
      <c r="ULA132" s="27"/>
      <c r="ULF132" s="64"/>
      <c r="ULG132" s="27"/>
      <c r="ULL132" s="64"/>
      <c r="ULM132" s="27"/>
      <c r="ULR132" s="64"/>
      <c r="ULS132" s="27"/>
      <c r="ULX132" s="64"/>
      <c r="ULY132" s="27"/>
      <c r="UMD132" s="64"/>
      <c r="UME132" s="27"/>
      <c r="UMJ132" s="64"/>
      <c r="UMK132" s="27"/>
      <c r="UMP132" s="64"/>
      <c r="UMQ132" s="27"/>
      <c r="UMV132" s="64"/>
      <c r="UMW132" s="27"/>
      <c r="UNB132" s="64"/>
      <c r="UNC132" s="27"/>
      <c r="UNH132" s="64"/>
      <c r="UNI132" s="27"/>
      <c r="UNN132" s="64"/>
      <c r="UNO132" s="27"/>
      <c r="UNT132" s="64"/>
      <c r="UNU132" s="27"/>
      <c r="UNZ132" s="64"/>
      <c r="UOA132" s="27"/>
      <c r="UOF132" s="64"/>
      <c r="UOG132" s="27"/>
      <c r="UOL132" s="64"/>
      <c r="UOM132" s="27"/>
      <c r="UOR132" s="64"/>
      <c r="UOS132" s="27"/>
      <c r="UOX132" s="64"/>
      <c r="UOY132" s="27"/>
      <c r="UPD132" s="64"/>
      <c r="UPE132" s="27"/>
      <c r="UPJ132" s="64"/>
      <c r="UPK132" s="27"/>
      <c r="UPP132" s="64"/>
      <c r="UPQ132" s="27"/>
      <c r="UPV132" s="64"/>
      <c r="UPW132" s="27"/>
      <c r="UQB132" s="64"/>
      <c r="UQC132" s="27"/>
      <c r="UQH132" s="64"/>
      <c r="UQI132" s="27"/>
      <c r="UQN132" s="64"/>
      <c r="UQO132" s="27"/>
      <c r="UQT132" s="64"/>
      <c r="UQU132" s="27"/>
      <c r="UQZ132" s="64"/>
      <c r="URA132" s="27"/>
      <c r="URF132" s="64"/>
      <c r="URG132" s="27"/>
      <c r="URL132" s="64"/>
      <c r="URM132" s="27"/>
      <c r="URR132" s="64"/>
      <c r="URS132" s="27"/>
      <c r="URX132" s="64"/>
      <c r="URY132" s="27"/>
      <c r="USD132" s="64"/>
      <c r="USE132" s="27"/>
      <c r="USJ132" s="64"/>
      <c r="USK132" s="27"/>
      <c r="USP132" s="64"/>
      <c r="USQ132" s="27"/>
      <c r="USV132" s="64"/>
      <c r="USW132" s="27"/>
      <c r="UTB132" s="64"/>
      <c r="UTC132" s="27"/>
      <c r="UTH132" s="64"/>
      <c r="UTI132" s="27"/>
      <c r="UTN132" s="64"/>
      <c r="UTO132" s="27"/>
      <c r="UTT132" s="64"/>
      <c r="UTU132" s="27"/>
      <c r="UTZ132" s="64"/>
      <c r="UUA132" s="27"/>
      <c r="UUF132" s="64"/>
      <c r="UUG132" s="27"/>
      <c r="UUL132" s="64"/>
      <c r="UUM132" s="27"/>
      <c r="UUR132" s="64"/>
      <c r="UUS132" s="27"/>
      <c r="UUX132" s="64"/>
      <c r="UUY132" s="27"/>
      <c r="UVD132" s="64"/>
      <c r="UVE132" s="27"/>
      <c r="UVJ132" s="64"/>
      <c r="UVK132" s="27"/>
      <c r="UVP132" s="64"/>
      <c r="UVQ132" s="27"/>
      <c r="UVV132" s="64"/>
      <c r="UVW132" s="27"/>
      <c r="UWB132" s="64"/>
      <c r="UWC132" s="27"/>
      <c r="UWH132" s="64"/>
      <c r="UWI132" s="27"/>
      <c r="UWN132" s="64"/>
      <c r="UWO132" s="27"/>
      <c r="UWT132" s="64"/>
      <c r="UWU132" s="27"/>
      <c r="UWZ132" s="64"/>
      <c r="UXA132" s="27"/>
      <c r="UXF132" s="64"/>
      <c r="UXG132" s="27"/>
      <c r="UXL132" s="64"/>
      <c r="UXM132" s="27"/>
      <c r="UXR132" s="64"/>
      <c r="UXS132" s="27"/>
      <c r="UXX132" s="64"/>
      <c r="UXY132" s="27"/>
      <c r="UYD132" s="64"/>
      <c r="UYE132" s="27"/>
      <c r="UYJ132" s="64"/>
      <c r="UYK132" s="27"/>
      <c r="UYP132" s="64"/>
      <c r="UYQ132" s="27"/>
      <c r="UYV132" s="64"/>
      <c r="UYW132" s="27"/>
      <c r="UZB132" s="64"/>
      <c r="UZC132" s="27"/>
      <c r="UZH132" s="64"/>
      <c r="UZI132" s="27"/>
      <c r="UZN132" s="64"/>
      <c r="UZO132" s="27"/>
      <c r="UZT132" s="64"/>
      <c r="UZU132" s="27"/>
      <c r="UZZ132" s="64"/>
      <c r="VAA132" s="27"/>
      <c r="VAF132" s="64"/>
      <c r="VAG132" s="27"/>
      <c r="VAL132" s="64"/>
      <c r="VAM132" s="27"/>
      <c r="VAR132" s="64"/>
      <c r="VAS132" s="27"/>
      <c r="VAX132" s="64"/>
      <c r="VAY132" s="27"/>
      <c r="VBD132" s="64"/>
      <c r="VBE132" s="27"/>
      <c r="VBJ132" s="64"/>
      <c r="VBK132" s="27"/>
      <c r="VBP132" s="64"/>
      <c r="VBQ132" s="27"/>
      <c r="VBV132" s="64"/>
      <c r="VBW132" s="27"/>
      <c r="VCB132" s="64"/>
      <c r="VCC132" s="27"/>
      <c r="VCH132" s="64"/>
      <c r="VCI132" s="27"/>
      <c r="VCN132" s="64"/>
      <c r="VCO132" s="27"/>
      <c r="VCT132" s="64"/>
      <c r="VCU132" s="27"/>
      <c r="VCZ132" s="64"/>
      <c r="VDA132" s="27"/>
      <c r="VDF132" s="64"/>
      <c r="VDG132" s="27"/>
      <c r="VDL132" s="64"/>
      <c r="VDM132" s="27"/>
      <c r="VDR132" s="64"/>
      <c r="VDS132" s="27"/>
      <c r="VDX132" s="64"/>
      <c r="VDY132" s="27"/>
      <c r="VED132" s="64"/>
      <c r="VEE132" s="27"/>
      <c r="VEJ132" s="64"/>
      <c r="VEK132" s="27"/>
      <c r="VEP132" s="64"/>
      <c r="VEQ132" s="27"/>
      <c r="VEV132" s="64"/>
      <c r="VEW132" s="27"/>
      <c r="VFB132" s="64"/>
      <c r="VFC132" s="27"/>
      <c r="VFH132" s="64"/>
      <c r="VFI132" s="27"/>
      <c r="VFN132" s="64"/>
      <c r="VFO132" s="27"/>
      <c r="VFT132" s="64"/>
      <c r="VFU132" s="27"/>
      <c r="VFZ132" s="64"/>
      <c r="VGA132" s="27"/>
      <c r="VGF132" s="64"/>
      <c r="VGG132" s="27"/>
      <c r="VGL132" s="64"/>
      <c r="VGM132" s="27"/>
      <c r="VGR132" s="64"/>
      <c r="VGS132" s="27"/>
      <c r="VGX132" s="64"/>
      <c r="VGY132" s="27"/>
      <c r="VHD132" s="64"/>
      <c r="VHE132" s="27"/>
      <c r="VHJ132" s="64"/>
      <c r="VHK132" s="27"/>
      <c r="VHP132" s="64"/>
      <c r="VHQ132" s="27"/>
      <c r="VHV132" s="64"/>
      <c r="VHW132" s="27"/>
      <c r="VIB132" s="64"/>
      <c r="VIC132" s="27"/>
      <c r="VIH132" s="64"/>
      <c r="VII132" s="27"/>
      <c r="VIN132" s="64"/>
      <c r="VIO132" s="27"/>
      <c r="VIT132" s="64"/>
      <c r="VIU132" s="27"/>
      <c r="VIZ132" s="64"/>
      <c r="VJA132" s="27"/>
      <c r="VJF132" s="64"/>
      <c r="VJG132" s="27"/>
      <c r="VJL132" s="64"/>
      <c r="VJM132" s="27"/>
      <c r="VJR132" s="64"/>
      <c r="VJS132" s="27"/>
      <c r="VJX132" s="64"/>
      <c r="VJY132" s="27"/>
      <c r="VKD132" s="64"/>
      <c r="VKE132" s="27"/>
      <c r="VKJ132" s="64"/>
      <c r="VKK132" s="27"/>
      <c r="VKP132" s="64"/>
      <c r="VKQ132" s="27"/>
      <c r="VKV132" s="64"/>
      <c r="VKW132" s="27"/>
      <c r="VLB132" s="64"/>
      <c r="VLC132" s="27"/>
      <c r="VLH132" s="64"/>
      <c r="VLI132" s="27"/>
      <c r="VLN132" s="64"/>
      <c r="VLO132" s="27"/>
      <c r="VLT132" s="64"/>
      <c r="VLU132" s="27"/>
      <c r="VLZ132" s="64"/>
      <c r="VMA132" s="27"/>
      <c r="VMF132" s="64"/>
      <c r="VMG132" s="27"/>
      <c r="VML132" s="64"/>
      <c r="VMM132" s="27"/>
      <c r="VMR132" s="64"/>
      <c r="VMS132" s="27"/>
      <c r="VMX132" s="64"/>
      <c r="VMY132" s="27"/>
      <c r="VND132" s="64"/>
      <c r="VNE132" s="27"/>
      <c r="VNJ132" s="64"/>
      <c r="VNK132" s="27"/>
      <c r="VNP132" s="64"/>
      <c r="VNQ132" s="27"/>
      <c r="VNV132" s="64"/>
      <c r="VNW132" s="27"/>
      <c r="VOB132" s="64"/>
      <c r="VOC132" s="27"/>
      <c r="VOH132" s="64"/>
      <c r="VOI132" s="27"/>
      <c r="VON132" s="64"/>
      <c r="VOO132" s="27"/>
      <c r="VOT132" s="64"/>
      <c r="VOU132" s="27"/>
      <c r="VOZ132" s="64"/>
      <c r="VPA132" s="27"/>
      <c r="VPF132" s="64"/>
      <c r="VPG132" s="27"/>
      <c r="VPL132" s="64"/>
      <c r="VPM132" s="27"/>
      <c r="VPR132" s="64"/>
      <c r="VPS132" s="27"/>
      <c r="VPX132" s="64"/>
      <c r="VPY132" s="27"/>
      <c r="VQD132" s="64"/>
      <c r="VQE132" s="27"/>
      <c r="VQJ132" s="64"/>
      <c r="VQK132" s="27"/>
      <c r="VQP132" s="64"/>
      <c r="VQQ132" s="27"/>
      <c r="VQV132" s="64"/>
      <c r="VQW132" s="27"/>
      <c r="VRB132" s="64"/>
      <c r="VRC132" s="27"/>
      <c r="VRH132" s="64"/>
      <c r="VRI132" s="27"/>
      <c r="VRN132" s="64"/>
      <c r="VRO132" s="27"/>
      <c r="VRT132" s="64"/>
      <c r="VRU132" s="27"/>
      <c r="VRZ132" s="64"/>
      <c r="VSA132" s="27"/>
      <c r="VSF132" s="64"/>
      <c r="VSG132" s="27"/>
      <c r="VSL132" s="64"/>
      <c r="VSM132" s="27"/>
      <c r="VSR132" s="64"/>
      <c r="VSS132" s="27"/>
      <c r="VSX132" s="64"/>
      <c r="VSY132" s="27"/>
      <c r="VTD132" s="64"/>
      <c r="VTE132" s="27"/>
      <c r="VTJ132" s="64"/>
      <c r="VTK132" s="27"/>
      <c r="VTP132" s="64"/>
      <c r="VTQ132" s="27"/>
      <c r="VTV132" s="64"/>
      <c r="VTW132" s="27"/>
      <c r="VUB132" s="64"/>
      <c r="VUC132" s="27"/>
      <c r="VUH132" s="64"/>
      <c r="VUI132" s="27"/>
      <c r="VUN132" s="64"/>
      <c r="VUO132" s="27"/>
      <c r="VUT132" s="64"/>
      <c r="VUU132" s="27"/>
      <c r="VUZ132" s="64"/>
      <c r="VVA132" s="27"/>
      <c r="VVF132" s="64"/>
      <c r="VVG132" s="27"/>
      <c r="VVL132" s="64"/>
      <c r="VVM132" s="27"/>
      <c r="VVR132" s="64"/>
      <c r="VVS132" s="27"/>
      <c r="VVX132" s="64"/>
      <c r="VVY132" s="27"/>
      <c r="VWD132" s="64"/>
      <c r="VWE132" s="27"/>
      <c r="VWJ132" s="64"/>
      <c r="VWK132" s="27"/>
      <c r="VWP132" s="64"/>
      <c r="VWQ132" s="27"/>
      <c r="VWV132" s="64"/>
      <c r="VWW132" s="27"/>
      <c r="VXB132" s="64"/>
      <c r="VXC132" s="27"/>
      <c r="VXH132" s="64"/>
      <c r="VXI132" s="27"/>
      <c r="VXN132" s="64"/>
      <c r="VXO132" s="27"/>
      <c r="VXT132" s="64"/>
      <c r="VXU132" s="27"/>
      <c r="VXZ132" s="64"/>
      <c r="VYA132" s="27"/>
      <c r="VYF132" s="64"/>
      <c r="VYG132" s="27"/>
      <c r="VYL132" s="64"/>
      <c r="VYM132" s="27"/>
      <c r="VYR132" s="64"/>
      <c r="VYS132" s="27"/>
      <c r="VYX132" s="64"/>
      <c r="VYY132" s="27"/>
      <c r="VZD132" s="64"/>
      <c r="VZE132" s="27"/>
      <c r="VZJ132" s="64"/>
      <c r="VZK132" s="27"/>
      <c r="VZP132" s="64"/>
      <c r="VZQ132" s="27"/>
      <c r="VZV132" s="64"/>
      <c r="VZW132" s="27"/>
      <c r="WAB132" s="64"/>
      <c r="WAC132" s="27"/>
      <c r="WAH132" s="64"/>
      <c r="WAI132" s="27"/>
      <c r="WAN132" s="64"/>
      <c r="WAO132" s="27"/>
      <c r="WAT132" s="64"/>
      <c r="WAU132" s="27"/>
      <c r="WAZ132" s="64"/>
      <c r="WBA132" s="27"/>
      <c r="WBF132" s="64"/>
      <c r="WBG132" s="27"/>
      <c r="WBL132" s="64"/>
      <c r="WBM132" s="27"/>
      <c r="WBR132" s="64"/>
      <c r="WBS132" s="27"/>
      <c r="WBX132" s="64"/>
      <c r="WBY132" s="27"/>
      <c r="WCD132" s="64"/>
      <c r="WCE132" s="27"/>
      <c r="WCJ132" s="64"/>
      <c r="WCK132" s="27"/>
      <c r="WCP132" s="64"/>
      <c r="WCQ132" s="27"/>
      <c r="WCV132" s="64"/>
      <c r="WCW132" s="27"/>
      <c r="WDB132" s="64"/>
      <c r="WDC132" s="27"/>
      <c r="WDH132" s="64"/>
      <c r="WDI132" s="27"/>
      <c r="WDN132" s="64"/>
      <c r="WDO132" s="27"/>
      <c r="WDT132" s="64"/>
      <c r="WDU132" s="27"/>
      <c r="WDZ132" s="64"/>
      <c r="WEA132" s="27"/>
      <c r="WEF132" s="64"/>
      <c r="WEG132" s="27"/>
      <c r="WEL132" s="64"/>
      <c r="WEM132" s="27"/>
      <c r="WER132" s="64"/>
      <c r="WES132" s="27"/>
      <c r="WEX132" s="64"/>
      <c r="WEY132" s="27"/>
      <c r="WFD132" s="64"/>
      <c r="WFE132" s="27"/>
      <c r="WFJ132" s="64"/>
      <c r="WFK132" s="27"/>
      <c r="WFP132" s="64"/>
      <c r="WFQ132" s="27"/>
      <c r="WFV132" s="64"/>
      <c r="WFW132" s="27"/>
      <c r="WGB132" s="64"/>
      <c r="WGC132" s="27"/>
      <c r="WGH132" s="64"/>
      <c r="WGI132" s="27"/>
      <c r="WGN132" s="64"/>
      <c r="WGO132" s="27"/>
      <c r="WGT132" s="64"/>
      <c r="WGU132" s="27"/>
      <c r="WGZ132" s="64"/>
      <c r="WHA132" s="27"/>
      <c r="WHF132" s="64"/>
      <c r="WHG132" s="27"/>
      <c r="WHL132" s="64"/>
      <c r="WHM132" s="27"/>
      <c r="WHR132" s="64"/>
      <c r="WHS132" s="27"/>
      <c r="WHX132" s="64"/>
      <c r="WHY132" s="27"/>
      <c r="WID132" s="64"/>
      <c r="WIE132" s="27"/>
      <c r="WIJ132" s="64"/>
      <c r="WIK132" s="27"/>
      <c r="WIP132" s="64"/>
      <c r="WIQ132" s="27"/>
      <c r="WIV132" s="64"/>
      <c r="WIW132" s="27"/>
      <c r="WJB132" s="64"/>
      <c r="WJC132" s="27"/>
      <c r="WJH132" s="64"/>
      <c r="WJI132" s="27"/>
      <c r="WJN132" s="64"/>
      <c r="WJO132" s="27"/>
      <c r="WJT132" s="64"/>
      <c r="WJU132" s="27"/>
      <c r="WJZ132" s="64"/>
      <c r="WKA132" s="27"/>
      <c r="WKF132" s="64"/>
      <c r="WKG132" s="27"/>
      <c r="WKL132" s="64"/>
      <c r="WKM132" s="27"/>
      <c r="WKR132" s="64"/>
      <c r="WKS132" s="27"/>
      <c r="WKX132" s="64"/>
      <c r="WKY132" s="27"/>
      <c r="WLD132" s="64"/>
      <c r="WLE132" s="27"/>
      <c r="WLJ132" s="64"/>
      <c r="WLK132" s="27"/>
      <c r="WLP132" s="64"/>
      <c r="WLQ132" s="27"/>
      <c r="WLV132" s="64"/>
      <c r="WLW132" s="27"/>
      <c r="WMB132" s="64"/>
      <c r="WMC132" s="27"/>
      <c r="WMH132" s="64"/>
      <c r="WMI132" s="27"/>
      <c r="WMN132" s="64"/>
      <c r="WMO132" s="27"/>
      <c r="WMT132" s="64"/>
      <c r="WMU132" s="27"/>
      <c r="WMZ132" s="64"/>
      <c r="WNA132" s="27"/>
      <c r="WNF132" s="64"/>
      <c r="WNG132" s="27"/>
      <c r="WNL132" s="64"/>
      <c r="WNM132" s="27"/>
      <c r="WNR132" s="64"/>
      <c r="WNS132" s="27"/>
      <c r="WNX132" s="64"/>
      <c r="WNY132" s="27"/>
      <c r="WOD132" s="64"/>
      <c r="WOE132" s="27"/>
      <c r="WOJ132" s="64"/>
      <c r="WOK132" s="27"/>
      <c r="WOP132" s="64"/>
      <c r="WOQ132" s="27"/>
      <c r="WOV132" s="64"/>
      <c r="WOW132" s="27"/>
      <c r="WPB132" s="64"/>
      <c r="WPC132" s="27"/>
      <c r="WPH132" s="64"/>
      <c r="WPI132" s="27"/>
      <c r="WPN132" s="64"/>
      <c r="WPO132" s="27"/>
      <c r="WPT132" s="64"/>
      <c r="WPU132" s="27"/>
      <c r="WPZ132" s="64"/>
      <c r="WQA132" s="27"/>
      <c r="WQF132" s="64"/>
      <c r="WQG132" s="27"/>
      <c r="WQL132" s="64"/>
      <c r="WQM132" s="27"/>
      <c r="WQR132" s="64"/>
      <c r="WQS132" s="27"/>
      <c r="WQX132" s="64"/>
      <c r="WQY132" s="27"/>
      <c r="WRD132" s="64"/>
      <c r="WRE132" s="27"/>
      <c r="WRJ132" s="64"/>
      <c r="WRK132" s="27"/>
      <c r="WRP132" s="64"/>
      <c r="WRQ132" s="27"/>
      <c r="WRV132" s="64"/>
      <c r="WRW132" s="27"/>
      <c r="WSB132" s="64"/>
      <c r="WSC132" s="27"/>
      <c r="WSH132" s="64"/>
      <c r="WSI132" s="27"/>
      <c r="WSN132" s="64"/>
      <c r="WSO132" s="27"/>
      <c r="WST132" s="64"/>
      <c r="WSU132" s="27"/>
      <c r="WSZ132" s="64"/>
      <c r="WTA132" s="27"/>
      <c r="WTF132" s="64"/>
      <c r="WTG132" s="27"/>
      <c r="WTL132" s="64"/>
      <c r="WTM132" s="27"/>
      <c r="WTR132" s="64"/>
      <c r="WTS132" s="27"/>
      <c r="WTX132" s="64"/>
      <c r="WTY132" s="27"/>
      <c r="WUD132" s="64"/>
      <c r="WUE132" s="27"/>
      <c r="WUJ132" s="64"/>
      <c r="WUK132" s="27"/>
      <c r="WUP132" s="64"/>
      <c r="WUQ132" s="27"/>
      <c r="WUV132" s="64"/>
      <c r="WUW132" s="27"/>
      <c r="WVB132" s="64"/>
      <c r="WVC132" s="27"/>
      <c r="WVH132" s="64"/>
      <c r="WVI132" s="27"/>
      <c r="WVN132" s="64"/>
      <c r="WVO132" s="27"/>
      <c r="WVT132" s="64"/>
      <c r="WVU132" s="27"/>
      <c r="WVZ132" s="64"/>
      <c r="WWA132" s="27"/>
      <c r="WWF132" s="64"/>
      <c r="WWG132" s="27"/>
      <c r="WWL132" s="64"/>
      <c r="WWM132" s="27"/>
      <c r="WWR132" s="64"/>
      <c r="WWS132" s="27"/>
      <c r="WWX132" s="64"/>
      <c r="WWY132" s="27"/>
      <c r="WXD132" s="64"/>
      <c r="WXE132" s="27"/>
      <c r="WXJ132" s="64"/>
      <c r="WXK132" s="27"/>
      <c r="WXP132" s="64"/>
      <c r="WXQ132" s="27"/>
      <c r="WXV132" s="64"/>
      <c r="WXW132" s="27"/>
      <c r="WYB132" s="64"/>
      <c r="WYC132" s="27"/>
      <c r="WYH132" s="64"/>
      <c r="WYI132" s="27"/>
      <c r="WYN132" s="64"/>
      <c r="WYO132" s="27"/>
      <c r="WYT132" s="64"/>
      <c r="WYU132" s="27"/>
      <c r="WYZ132" s="64"/>
      <c r="WZA132" s="27"/>
      <c r="WZF132" s="64"/>
      <c r="WZG132" s="27"/>
      <c r="WZL132" s="64"/>
      <c r="WZM132" s="27"/>
      <c r="WZR132" s="64"/>
      <c r="WZS132" s="27"/>
      <c r="WZX132" s="64"/>
      <c r="WZY132" s="27"/>
      <c r="XAD132" s="64"/>
      <c r="XAE132" s="27"/>
      <c r="XAJ132" s="64"/>
      <c r="XAK132" s="27"/>
      <c r="XAP132" s="64"/>
      <c r="XAQ132" s="27"/>
      <c r="XAV132" s="64"/>
      <c r="XAW132" s="27"/>
      <c r="XBB132" s="64"/>
      <c r="XBC132" s="27"/>
      <c r="XBH132" s="64"/>
      <c r="XBI132" s="27"/>
      <c r="XBN132" s="64"/>
      <c r="XBO132" s="27"/>
      <c r="XBT132" s="64"/>
      <c r="XBU132" s="27"/>
      <c r="XBZ132" s="64"/>
      <c r="XCA132" s="27"/>
      <c r="XCF132" s="64"/>
      <c r="XCG132" s="27"/>
      <c r="XCL132" s="64"/>
      <c r="XCM132" s="27"/>
      <c r="XCR132" s="64"/>
      <c r="XCS132" s="27"/>
      <c r="XCX132" s="64"/>
      <c r="XCY132" s="27"/>
      <c r="XDD132" s="64"/>
      <c r="XDE132" s="27"/>
      <c r="XDJ132" s="64"/>
      <c r="XDK132" s="27"/>
      <c r="XDP132" s="64"/>
      <c r="XDQ132" s="27"/>
      <c r="XDV132" s="64"/>
      <c r="XDW132" s="27"/>
      <c r="XEB132" s="64"/>
      <c r="XEC132" s="27"/>
      <c r="XEH132" s="64"/>
      <c r="XEI132" s="27"/>
      <c r="XEN132" s="64"/>
      <c r="XEO132" s="27"/>
      <c r="XET132" s="64"/>
      <c r="XEU132" s="27"/>
    </row>
    <row r="133" spans="1:1021 1026:2047 2052:4093 4098:5119 5124:7165 7170:8191 8196:10237 10242:11263 11268:13309 13314:14335 14340:16375">
      <c r="A133" s="47" t="s">
        <v>136</v>
      </c>
      <c r="B133" s="599">
        <f>'[37]Uganda Apr 2023'!$B$128</f>
        <v>2218717641.1903167</v>
      </c>
      <c r="C133" s="599">
        <f t="shared" si="12"/>
        <v>80745287.450683862</v>
      </c>
      <c r="D133" s="599">
        <f>[4]EBUL!$C$133</f>
        <v>65210581.80191765</v>
      </c>
      <c r="E133" s="453">
        <f t="shared" si="14"/>
        <v>15534705.648766212</v>
      </c>
      <c r="F133" s="1364">
        <f t="shared" si="11"/>
        <v>0.23822369344831368</v>
      </c>
    </row>
    <row r="134" spans="1:1021 1026:2047 2052:4093 4098:5119 5124:7165 7170:8191 8196:10237 10242:11263 11268:13309 13314:14335 14340:16375">
      <c r="A134" s="27" t="s">
        <v>137</v>
      </c>
      <c r="B134" s="792"/>
      <c r="C134" s="206"/>
      <c r="D134" s="206"/>
      <c r="E134" s="602"/>
      <c r="F134" s="1365"/>
    </row>
    <row r="135" spans="1:1021 1026:2047 2052:4093 4098:5119 5124:7165 7170:8191 8196:10237 10242:11263 11268:13309 13314:14335 14340:16375" s="178" customFormat="1">
      <c r="A135" s="31" t="s">
        <v>138</v>
      </c>
      <c r="B135" s="482">
        <f>'[37]Uganda Apr 2023'!$B$130</f>
        <v>0.13377889860455863</v>
      </c>
      <c r="C135" s="482">
        <f>B135</f>
        <v>0.13377889860455863</v>
      </c>
      <c r="D135" s="482">
        <f>D128/D33</f>
        <v>0.18504413173614312</v>
      </c>
      <c r="E135" s="482">
        <f>C135-D135</f>
        <v>-5.1265233131584487E-2</v>
      </c>
      <c r="F135" s="1362">
        <f>E135/D135</f>
        <v>-0.27704327962523156</v>
      </c>
      <c r="G135" s="701"/>
      <c r="J135" s="702"/>
      <c r="K135" s="702"/>
      <c r="L135" s="702"/>
    </row>
    <row r="136" spans="1:1021 1026:2047 2052:4093 4098:5119 5124:7165 7170:8191 8196:10237 10242:11263 11268:13309 13314:14335 14340:16375">
      <c r="A136" s="445" t="s">
        <v>139</v>
      </c>
      <c r="B136" s="600">
        <f>'[37]Uganda Apr 2023'!$B$131</f>
        <v>0.125</v>
      </c>
      <c r="C136" s="600">
        <f t="shared" ref="C136:C148" si="15">B136</f>
        <v>0.125</v>
      </c>
      <c r="D136" s="600">
        <f>[4]EBUL!$B136</f>
        <v>0.1</v>
      </c>
      <c r="E136" s="482"/>
      <c r="F136" s="1363"/>
    </row>
    <row r="137" spans="1:1021 1026:2047 2052:4093 4098:5119 5124:7165 7170:8191 8196:10237 10242:11263 11268:13309 13314:14335 14340:16375">
      <c r="A137" s="31" t="s">
        <v>507</v>
      </c>
      <c r="B137" s="482">
        <f>B135-B136</f>
        <v>8.7788986045586326E-3</v>
      </c>
      <c r="C137" s="482">
        <f t="shared" si="15"/>
        <v>8.7788986045586326E-3</v>
      </c>
      <c r="D137" s="482">
        <f>D135-D136</f>
        <v>8.5044131736143114E-2</v>
      </c>
      <c r="E137" s="482">
        <f t="shared" ref="E137:E143" si="16">C137-D137</f>
        <v>-7.6265233131584481E-2</v>
      </c>
      <c r="F137" s="1362">
        <f t="shared" ref="F137:F143" si="17">E137/D137</f>
        <v>-0.89677243537748219</v>
      </c>
    </row>
    <row r="138" spans="1:1021 1026:2047 2052:4093 4098:5119 5124:7165 7170:8191 8196:10237 10242:11263 11268:13309 13314:14335 14340:16375" s="178" customFormat="1">
      <c r="A138" s="31" t="s">
        <v>141</v>
      </c>
      <c r="B138" s="482">
        <f>'[37]Uganda Apr 2023'!$B$133</f>
        <v>0.17296525720762582</v>
      </c>
      <c r="C138" s="482">
        <f t="shared" si="15"/>
        <v>0.17296525720762582</v>
      </c>
      <c r="D138" s="482">
        <f>D128/D133</f>
        <v>0.19788984841418214</v>
      </c>
      <c r="E138" s="482">
        <f t="shared" si="16"/>
        <v>-2.4924591206556324E-2</v>
      </c>
      <c r="F138" s="1362">
        <f t="shared" si="17"/>
        <v>-0.12595184344367844</v>
      </c>
      <c r="G138" s="701"/>
      <c r="J138" s="702"/>
      <c r="K138" s="702"/>
      <c r="L138" s="702"/>
    </row>
    <row r="139" spans="1:1021 1026:2047 2052:4093 4098:5119 5124:7165 7170:8191 8196:10237 10242:11263 11268:13309 13314:14335 14340:16375">
      <c r="A139" s="445" t="s">
        <v>142</v>
      </c>
      <c r="B139" s="600">
        <f>'[37]Uganda Apr 2023'!$B$134</f>
        <v>0.125</v>
      </c>
      <c r="C139" s="600">
        <f t="shared" si="15"/>
        <v>0.125</v>
      </c>
      <c r="D139" s="600">
        <f>[4]EBUL!$B139</f>
        <v>0.1</v>
      </c>
      <c r="E139" s="482"/>
      <c r="F139" s="1363"/>
    </row>
    <row r="140" spans="1:1021 1026:2047 2052:4093 4098:5119 5124:7165 7170:8191 8196:10237 10242:11263 11268:13309 13314:14335 14340:16375">
      <c r="A140" s="31" t="s">
        <v>506</v>
      </c>
      <c r="B140" s="482">
        <f>B138-B139</f>
        <v>4.7965257207625817E-2</v>
      </c>
      <c r="C140" s="482">
        <f t="shared" si="15"/>
        <v>4.7965257207625817E-2</v>
      </c>
      <c r="D140" s="482">
        <f>D138-D139</f>
        <v>9.7889848414182135E-2</v>
      </c>
      <c r="E140" s="482">
        <f t="shared" si="16"/>
        <v>-4.9924591206556318E-2</v>
      </c>
      <c r="F140" s="1362">
        <f t="shared" si="17"/>
        <v>-0.51000785081738176</v>
      </c>
    </row>
    <row r="141" spans="1:1021 1026:2047 2052:4093 4098:5119 5124:7165 7170:8191 8196:10237 10242:11263 11268:13309 13314:14335 14340:16375" s="178" customFormat="1">
      <c r="A141" s="31" t="s">
        <v>144</v>
      </c>
      <c r="B141" s="482">
        <f>'[37]Uganda Apr 2023'!$B$136</f>
        <v>0.18185879701717494</v>
      </c>
      <c r="C141" s="482">
        <f t="shared" si="15"/>
        <v>0.18185879701717494</v>
      </c>
      <c r="D141" s="482">
        <f>D132/D133</f>
        <v>0.20754158635985984</v>
      </c>
      <c r="E141" s="482">
        <f t="shared" si="16"/>
        <v>-2.5682789342684892E-2</v>
      </c>
      <c r="F141" s="1362">
        <f t="shared" si="17"/>
        <v>-0.12374767772157756</v>
      </c>
      <c r="G141" s="701"/>
      <c r="J141" s="702"/>
      <c r="K141" s="702"/>
      <c r="L141" s="702"/>
    </row>
    <row r="142" spans="1:1021 1026:2047 2052:4093 4098:5119 5124:7165 7170:8191 8196:10237 10242:11263 11268:13309 13314:14335 14340:16375">
      <c r="A142" s="445" t="s">
        <v>145</v>
      </c>
      <c r="B142" s="600">
        <f>'[37]Uganda Apr 2023'!$B$137</f>
        <v>0.14499999999999999</v>
      </c>
      <c r="C142" s="600">
        <f t="shared" si="15"/>
        <v>0.14499999999999999</v>
      </c>
      <c r="D142" s="600">
        <f>[4]EBUL!$B142</f>
        <v>0.12</v>
      </c>
      <c r="E142" s="482"/>
      <c r="F142" s="1363"/>
    </row>
    <row r="143" spans="1:1021 1026:2047 2052:4093 4098:5119 5124:7165 7170:8191 8196:10237 10242:11263 11268:13309 13314:14335 14340:16375">
      <c r="A143" s="31" t="s">
        <v>505</v>
      </c>
      <c r="B143" s="482">
        <f>B141-B142</f>
        <v>3.6858797017174955E-2</v>
      </c>
      <c r="C143" s="482">
        <f t="shared" si="15"/>
        <v>3.6858797017174955E-2</v>
      </c>
      <c r="D143" s="482">
        <f>D141-D142</f>
        <v>8.7541586359859841E-2</v>
      </c>
      <c r="E143" s="482">
        <f t="shared" si="16"/>
        <v>-5.0682789342684886E-2</v>
      </c>
      <c r="F143" s="1362">
        <f t="shared" si="17"/>
        <v>-0.57895671588976716</v>
      </c>
    </row>
    <row r="144" spans="1:1021 1026:2047 2052:4093 4098:5119 5124:7165 7170:8191 8196:10237 10242:11263 11268:13309 13314:14335 14340:16375">
      <c r="A144" s="27"/>
      <c r="B144" s="444"/>
      <c r="C144" s="444"/>
      <c r="D144" s="206"/>
      <c r="E144" s="444"/>
      <c r="F144" s="1330"/>
    </row>
    <row r="145" spans="1:12" s="178" customFormat="1">
      <c r="A145" s="31" t="s">
        <v>147</v>
      </c>
      <c r="B145" s="482"/>
      <c r="C145" s="482"/>
      <c r="D145" s="788"/>
      <c r="E145" s="482"/>
      <c r="F145" s="1329"/>
      <c r="G145" s="701"/>
      <c r="J145" s="702"/>
      <c r="K145" s="702"/>
      <c r="L145" s="702"/>
    </row>
    <row r="146" spans="1:12" s="178" customFormat="1">
      <c r="A146" s="31" t="s">
        <v>148</v>
      </c>
      <c r="B146" s="482">
        <f>'[37]Uganda Apr 2023'!$B$141</f>
        <v>0.33154046244303187</v>
      </c>
      <c r="C146" s="482">
        <f t="shared" si="15"/>
        <v>0.33154046244303187</v>
      </c>
      <c r="D146" s="482">
        <f>[4]EBUL!$C$146</f>
        <v>0.30489754480338999</v>
      </c>
      <c r="E146" s="482">
        <f>C146-D146</f>
        <v>2.6642917639641883E-2</v>
      </c>
      <c r="F146" s="1329">
        <f>E146/D146</f>
        <v>8.7383181969609799E-2</v>
      </c>
      <c r="G146" s="701"/>
      <c r="J146" s="702"/>
      <c r="K146" s="702"/>
      <c r="L146" s="702"/>
    </row>
    <row r="147" spans="1:12">
      <c r="A147" s="27" t="s">
        <v>149</v>
      </c>
      <c r="B147" s="444">
        <v>0.2</v>
      </c>
      <c r="C147" s="444">
        <f t="shared" si="15"/>
        <v>0.2</v>
      </c>
      <c r="D147" s="444">
        <f>[4]EBUL!$B147</f>
        <v>0.2</v>
      </c>
      <c r="E147" s="444"/>
      <c r="F147" s="1330"/>
    </row>
    <row r="148" spans="1:12">
      <c r="A148" s="31" t="s">
        <v>508</v>
      </c>
      <c r="B148" s="482">
        <f>B146-B147</f>
        <v>0.13154046244303186</v>
      </c>
      <c r="C148" s="482">
        <f t="shared" si="15"/>
        <v>0.13154046244303186</v>
      </c>
      <c r="D148" s="482">
        <f>D146-D147</f>
        <v>0.10489754480338997</v>
      </c>
      <c r="E148" s="482">
        <f>C148-D148</f>
        <v>2.6642917639641883E-2</v>
      </c>
      <c r="F148" s="1329">
        <f>E148/D148</f>
        <v>0.25398990690944051</v>
      </c>
    </row>
    <row r="149" spans="1:12">
      <c r="A149" s="102"/>
      <c r="B149" s="102"/>
      <c r="C149" s="102"/>
      <c r="D149" s="102"/>
      <c r="E149" s="102"/>
      <c r="F149" s="56"/>
    </row>
    <row r="150" spans="1:12">
      <c r="A150" s="102"/>
      <c r="B150" s="102"/>
      <c r="C150" s="102"/>
      <c r="D150" s="102"/>
      <c r="E150" s="102"/>
      <c r="F150" s="56"/>
    </row>
    <row r="151" spans="1:12">
      <c r="A151" s="102"/>
      <c r="B151" s="102"/>
      <c r="C151" s="102"/>
      <c r="D151" s="102"/>
      <c r="E151" s="102"/>
      <c r="F151" s="56"/>
    </row>
    <row r="152" spans="1:12">
      <c r="A152" s="102"/>
      <c r="B152" s="102"/>
      <c r="C152" s="102"/>
      <c r="D152" s="102"/>
      <c r="E152" s="102"/>
      <c r="F152" s="56"/>
    </row>
    <row r="153" spans="1:12">
      <c r="A153" s="102"/>
      <c r="B153" s="102"/>
      <c r="C153" s="102"/>
      <c r="D153" s="102"/>
      <c r="E153" s="102"/>
      <c r="F153" s="56"/>
    </row>
    <row r="154" spans="1:12">
      <c r="A154" s="102"/>
      <c r="B154" s="102"/>
      <c r="C154" s="102"/>
      <c r="D154" s="102"/>
      <c r="E154" s="102"/>
      <c r="F154" s="56"/>
    </row>
    <row r="155" spans="1:12">
      <c r="A155" s="102"/>
      <c r="B155" s="102"/>
      <c r="C155" s="102"/>
      <c r="D155" s="102"/>
      <c r="E155" s="102"/>
      <c r="F155" s="56"/>
    </row>
    <row r="156" spans="1:12">
      <c r="A156" s="102"/>
      <c r="B156" s="102"/>
      <c r="C156" s="102"/>
      <c r="D156" s="102"/>
      <c r="E156" s="102"/>
      <c r="F156" s="56"/>
    </row>
    <row r="157" spans="1:12">
      <c r="A157" s="102"/>
      <c r="B157" s="102"/>
      <c r="C157" s="102"/>
      <c r="D157" s="102"/>
      <c r="E157" s="102"/>
      <c r="F157" s="56"/>
    </row>
    <row r="158" spans="1:12">
      <c r="A158" s="102"/>
      <c r="B158" s="102"/>
      <c r="C158" s="102"/>
      <c r="D158" s="102"/>
      <c r="E158" s="102"/>
      <c r="F158" s="56"/>
    </row>
    <row r="159" spans="1:12">
      <c r="A159" s="102"/>
      <c r="B159" s="102"/>
      <c r="C159" s="102"/>
      <c r="D159" s="102"/>
      <c r="E159" s="102"/>
      <c r="F159" s="56"/>
    </row>
    <row r="160" spans="1:12">
      <c r="A160" s="102"/>
      <c r="B160" s="102"/>
      <c r="C160" s="102"/>
      <c r="D160" s="102"/>
      <c r="E160" s="102"/>
      <c r="F160" s="56"/>
    </row>
    <row r="161" spans="1:6">
      <c r="A161" s="102"/>
      <c r="B161" s="102"/>
      <c r="C161" s="102"/>
      <c r="D161" s="102"/>
      <c r="E161" s="102"/>
      <c r="F161" s="56"/>
    </row>
    <row r="162" spans="1:6">
      <c r="A162" s="102"/>
      <c r="B162" s="102"/>
      <c r="C162" s="102"/>
      <c r="D162" s="102"/>
      <c r="E162" s="102"/>
      <c r="F162" s="56"/>
    </row>
    <row r="163" spans="1:6">
      <c r="A163" s="102"/>
      <c r="B163" s="102"/>
      <c r="C163" s="102"/>
      <c r="D163" s="102"/>
      <c r="E163" s="102"/>
      <c r="F163" s="56"/>
    </row>
    <row r="164" spans="1:6">
      <c r="A164" s="102"/>
      <c r="B164" s="102"/>
      <c r="C164" s="102"/>
      <c r="D164" s="102"/>
      <c r="E164" s="102"/>
      <c r="F164" s="56"/>
    </row>
    <row r="165" spans="1:6">
      <c r="A165" s="102"/>
      <c r="B165" s="102"/>
      <c r="C165" s="102"/>
      <c r="D165" s="102"/>
      <c r="E165" s="102"/>
      <c r="F165" s="56"/>
    </row>
    <row r="166" spans="1:6">
      <c r="A166" s="102"/>
      <c r="B166" s="102"/>
      <c r="C166" s="102"/>
      <c r="D166" s="102"/>
      <c r="E166" s="102"/>
      <c r="F166" s="56"/>
    </row>
    <row r="167" spans="1:6">
      <c r="A167" s="102"/>
      <c r="B167" s="102"/>
      <c r="C167" s="102"/>
      <c r="D167" s="102"/>
      <c r="E167" s="102"/>
      <c r="F167" s="56"/>
    </row>
    <row r="168" spans="1:6">
      <c r="A168" s="102"/>
      <c r="B168" s="102"/>
      <c r="C168" s="102"/>
      <c r="D168" s="102"/>
      <c r="E168" s="102"/>
      <c r="F168" s="56"/>
    </row>
    <row r="169" spans="1:6">
      <c r="A169" s="102"/>
      <c r="B169" s="102"/>
      <c r="C169" s="102"/>
      <c r="D169" s="102"/>
      <c r="E169" s="102"/>
      <c r="F169" s="56"/>
    </row>
    <row r="170" spans="1:6">
      <c r="A170" s="102"/>
      <c r="B170" s="102"/>
      <c r="C170" s="102"/>
      <c r="D170" s="102"/>
      <c r="E170" s="102"/>
      <c r="F170" s="56"/>
    </row>
    <row r="171" spans="1:6">
      <c r="A171" s="102"/>
      <c r="B171" s="102"/>
      <c r="C171" s="102"/>
      <c r="D171" s="102"/>
      <c r="E171" s="102"/>
      <c r="F171" s="56"/>
    </row>
    <row r="172" spans="1:6">
      <c r="A172" s="102"/>
      <c r="B172" s="102"/>
      <c r="C172" s="102"/>
      <c r="D172" s="102"/>
      <c r="E172" s="102"/>
      <c r="F172" s="56"/>
    </row>
    <row r="173" spans="1:6">
      <c r="A173" s="102"/>
      <c r="B173" s="102"/>
      <c r="C173" s="102"/>
      <c r="D173" s="102"/>
      <c r="E173" s="102"/>
      <c r="F173" s="56"/>
    </row>
    <row r="174" spans="1:6">
      <c r="A174" s="102"/>
      <c r="B174" s="102"/>
      <c r="C174" s="102"/>
      <c r="D174" s="102"/>
      <c r="E174" s="102"/>
      <c r="F174" s="56"/>
    </row>
    <row r="175" spans="1:6">
      <c r="A175" s="102"/>
      <c r="B175" s="102"/>
      <c r="C175" s="102"/>
      <c r="D175" s="102"/>
      <c r="E175" s="102"/>
      <c r="F175" s="56"/>
    </row>
    <row r="176" spans="1:6">
      <c r="A176" s="102"/>
      <c r="B176" s="102"/>
      <c r="C176" s="102"/>
      <c r="D176" s="102"/>
      <c r="E176" s="102"/>
      <c r="F176" s="56"/>
    </row>
    <row r="177" spans="1:6">
      <c r="A177" s="102"/>
      <c r="B177" s="102"/>
      <c r="C177" s="102"/>
      <c r="D177" s="102"/>
      <c r="E177" s="102"/>
      <c r="F177" s="56"/>
    </row>
    <row r="178" spans="1:6">
      <c r="A178" s="102"/>
      <c r="B178" s="102"/>
      <c r="C178" s="102"/>
      <c r="D178" s="102"/>
      <c r="E178" s="102"/>
      <c r="F178" s="56"/>
    </row>
    <row r="179" spans="1:6">
      <c r="A179" s="102"/>
      <c r="B179" s="102"/>
      <c r="C179" s="102"/>
      <c r="D179" s="102"/>
      <c r="E179" s="102"/>
      <c r="F179" s="56"/>
    </row>
    <row r="180" spans="1:6">
      <c r="A180" s="102"/>
      <c r="B180" s="102"/>
      <c r="C180" s="102"/>
      <c r="D180" s="102"/>
      <c r="E180" s="102"/>
      <c r="F180" s="56"/>
    </row>
    <row r="181" spans="1:6">
      <c r="A181" s="102"/>
      <c r="B181" s="102"/>
      <c r="C181" s="102"/>
      <c r="D181" s="102"/>
      <c r="E181" s="102"/>
      <c r="F181" s="56"/>
    </row>
    <row r="182" spans="1:6">
      <c r="A182" s="102"/>
      <c r="B182" s="102"/>
      <c r="C182" s="102"/>
      <c r="D182" s="102"/>
      <c r="E182" s="102"/>
      <c r="F182" s="56"/>
    </row>
    <row r="183" spans="1:6">
      <c r="A183" s="102"/>
      <c r="B183" s="102"/>
      <c r="C183" s="102"/>
      <c r="D183" s="102"/>
      <c r="E183" s="102"/>
      <c r="F183" s="56"/>
    </row>
    <row r="184" spans="1:6">
      <c r="A184" s="102"/>
      <c r="B184" s="102"/>
      <c r="C184" s="102"/>
      <c r="D184" s="102"/>
      <c r="E184" s="102"/>
      <c r="F184" s="56"/>
    </row>
    <row r="185" spans="1:6">
      <c r="A185" s="102"/>
      <c r="B185" s="102"/>
      <c r="C185" s="102"/>
      <c r="D185" s="102"/>
      <c r="E185" s="102"/>
      <c r="F185" s="56"/>
    </row>
    <row r="186" spans="1:6">
      <c r="A186" s="102"/>
      <c r="B186" s="102"/>
      <c r="C186" s="102"/>
      <c r="D186" s="102"/>
      <c r="E186" s="102"/>
      <c r="F186" s="56"/>
    </row>
    <row r="187" spans="1:6">
      <c r="A187" s="102"/>
      <c r="B187" s="102"/>
      <c r="C187" s="102"/>
      <c r="D187" s="102"/>
      <c r="E187" s="102"/>
      <c r="F187" s="56"/>
    </row>
    <row r="188" spans="1:6">
      <c r="A188" s="102"/>
      <c r="B188" s="102"/>
      <c r="C188" s="102"/>
      <c r="D188" s="102"/>
      <c r="E188" s="102"/>
      <c r="F188" s="56"/>
    </row>
    <row r="189" spans="1:6">
      <c r="A189" s="102"/>
      <c r="B189" s="102"/>
      <c r="C189" s="102"/>
      <c r="D189" s="102"/>
      <c r="E189" s="102"/>
      <c r="F189" s="56"/>
    </row>
    <row r="190" spans="1:6">
      <c r="A190" s="102"/>
      <c r="B190" s="102"/>
      <c r="C190" s="102"/>
      <c r="D190" s="102"/>
      <c r="E190" s="102"/>
      <c r="F190" s="56"/>
    </row>
    <row r="191" spans="1:6">
      <c r="A191" s="102"/>
      <c r="B191" s="102"/>
      <c r="C191" s="102"/>
      <c r="D191" s="102"/>
      <c r="E191" s="102"/>
      <c r="F191" s="56"/>
    </row>
    <row r="192" spans="1:6">
      <c r="A192" s="102"/>
      <c r="B192" s="102"/>
      <c r="C192" s="102"/>
      <c r="D192" s="102"/>
      <c r="E192" s="102"/>
      <c r="F192" s="56"/>
    </row>
    <row r="193" spans="1:6">
      <c r="A193" s="102"/>
      <c r="B193" s="102"/>
      <c r="C193" s="102"/>
      <c r="D193" s="102"/>
      <c r="E193" s="102"/>
      <c r="F193" s="56"/>
    </row>
    <row r="194" spans="1:6">
      <c r="A194" s="102"/>
      <c r="B194" s="102"/>
      <c r="C194" s="102"/>
      <c r="D194" s="102"/>
      <c r="E194" s="102"/>
      <c r="F194" s="56"/>
    </row>
    <row r="195" spans="1:6">
      <c r="A195" s="102"/>
      <c r="B195" s="102"/>
      <c r="C195" s="102"/>
      <c r="D195" s="102"/>
      <c r="E195" s="102"/>
      <c r="F195" s="56"/>
    </row>
    <row r="196" spans="1:6">
      <c r="A196" s="102"/>
      <c r="B196" s="102"/>
      <c r="C196" s="102"/>
      <c r="D196" s="102"/>
      <c r="E196" s="102"/>
      <c r="F196" s="56"/>
    </row>
    <row r="197" spans="1:6">
      <c r="A197" s="102"/>
      <c r="B197" s="102"/>
      <c r="C197" s="102"/>
      <c r="D197" s="102"/>
      <c r="E197" s="102"/>
      <c r="F197" s="56"/>
    </row>
    <row r="198" spans="1:6">
      <c r="A198" s="102"/>
      <c r="B198" s="102"/>
      <c r="C198" s="102"/>
      <c r="D198" s="102"/>
      <c r="E198" s="102"/>
      <c r="F198" s="56"/>
    </row>
    <row r="199" spans="1:6">
      <c r="A199" s="102"/>
      <c r="B199" s="102"/>
      <c r="C199" s="102"/>
      <c r="D199" s="102"/>
      <c r="E199" s="102"/>
      <c r="F199" s="56"/>
    </row>
    <row r="200" spans="1:6">
      <c r="A200" s="102"/>
      <c r="B200" s="102"/>
      <c r="C200" s="102"/>
      <c r="D200" s="102"/>
      <c r="E200" s="102"/>
      <c r="F200" s="56"/>
    </row>
    <row r="201" spans="1:6">
      <c r="A201" s="102"/>
      <c r="B201" s="102"/>
      <c r="C201" s="102"/>
      <c r="D201" s="102"/>
      <c r="E201" s="102"/>
      <c r="F201" s="56"/>
    </row>
    <row r="202" spans="1:6">
      <c r="A202" s="102"/>
      <c r="B202" s="102"/>
      <c r="C202" s="102"/>
      <c r="D202" s="102"/>
      <c r="E202" s="102"/>
      <c r="F202" s="56"/>
    </row>
    <row r="203" spans="1:6">
      <c r="A203" s="102"/>
      <c r="B203" s="102"/>
      <c r="C203" s="102"/>
      <c r="D203" s="102"/>
      <c r="E203" s="102"/>
      <c r="F203" s="56"/>
    </row>
    <row r="204" spans="1:6">
      <c r="A204" s="102"/>
      <c r="B204" s="102"/>
      <c r="C204" s="102"/>
      <c r="D204" s="102"/>
      <c r="E204" s="102"/>
      <c r="F204" s="56"/>
    </row>
    <row r="205" spans="1:6">
      <c r="A205" s="102"/>
      <c r="B205" s="102"/>
      <c r="C205" s="102"/>
      <c r="D205" s="102"/>
      <c r="E205" s="102"/>
      <c r="F205" s="56"/>
    </row>
    <row r="206" spans="1:6">
      <c r="A206" s="102"/>
      <c r="B206" s="102"/>
      <c r="C206" s="102"/>
      <c r="D206" s="102"/>
      <c r="E206" s="102"/>
      <c r="F206" s="56"/>
    </row>
    <row r="207" spans="1:6">
      <c r="A207" s="102"/>
      <c r="B207" s="102"/>
      <c r="C207" s="102"/>
      <c r="D207" s="102"/>
      <c r="E207" s="102"/>
      <c r="F207" s="56"/>
    </row>
    <row r="208" spans="1:6">
      <c r="A208" s="102"/>
      <c r="B208" s="102"/>
      <c r="C208" s="102"/>
      <c r="D208" s="102"/>
      <c r="E208" s="102"/>
      <c r="F208" s="56"/>
    </row>
    <row r="209" spans="1:6">
      <c r="A209" s="102"/>
      <c r="B209" s="102"/>
      <c r="C209" s="102"/>
      <c r="D209" s="102"/>
      <c r="E209" s="102"/>
      <c r="F209" s="56"/>
    </row>
    <row r="210" spans="1:6">
      <c r="A210" s="102"/>
      <c r="B210" s="102"/>
      <c r="C210" s="102"/>
      <c r="D210" s="102"/>
      <c r="E210" s="102"/>
      <c r="F210" s="56"/>
    </row>
    <row r="211" spans="1:6">
      <c r="A211" s="102"/>
      <c r="B211" s="102"/>
      <c r="C211" s="102"/>
      <c r="D211" s="102"/>
      <c r="E211" s="102"/>
      <c r="F211" s="56"/>
    </row>
    <row r="212" spans="1:6">
      <c r="A212" s="102"/>
      <c r="B212" s="102"/>
      <c r="C212" s="102"/>
      <c r="D212" s="102"/>
      <c r="E212" s="102"/>
      <c r="F212" s="56"/>
    </row>
    <row r="213" spans="1:6">
      <c r="A213" s="102"/>
      <c r="B213" s="102"/>
      <c r="C213" s="102"/>
      <c r="D213" s="102"/>
      <c r="E213" s="102"/>
      <c r="F213" s="56"/>
    </row>
    <row r="214" spans="1:6">
      <c r="A214" s="102"/>
      <c r="B214" s="102"/>
      <c r="C214" s="102"/>
      <c r="D214" s="102"/>
      <c r="E214" s="102"/>
      <c r="F214" s="56"/>
    </row>
    <row r="215" spans="1:6">
      <c r="A215" s="102"/>
      <c r="B215" s="102"/>
      <c r="C215" s="102"/>
      <c r="D215" s="102"/>
      <c r="E215" s="102"/>
      <c r="F215" s="56"/>
    </row>
    <row r="216" spans="1:6">
      <c r="A216" s="102"/>
      <c r="B216" s="102"/>
      <c r="C216" s="102"/>
      <c r="D216" s="102"/>
      <c r="E216" s="102"/>
      <c r="F216" s="56"/>
    </row>
    <row r="217" spans="1:6">
      <c r="A217" s="102"/>
      <c r="B217" s="102"/>
      <c r="C217" s="102"/>
      <c r="D217" s="102"/>
      <c r="E217" s="102"/>
      <c r="F217" s="56"/>
    </row>
    <row r="218" spans="1:6">
      <c r="A218" s="102"/>
      <c r="B218" s="102"/>
      <c r="C218" s="102"/>
      <c r="D218" s="102"/>
      <c r="E218" s="102"/>
      <c r="F218" s="56"/>
    </row>
    <row r="219" spans="1:6">
      <c r="A219" s="102"/>
      <c r="B219" s="102"/>
      <c r="C219" s="102"/>
      <c r="D219" s="102"/>
      <c r="E219" s="102"/>
      <c r="F219" s="56"/>
    </row>
    <row r="220" spans="1:6">
      <c r="A220" s="102"/>
      <c r="B220" s="102"/>
      <c r="C220" s="102"/>
      <c r="D220" s="102"/>
      <c r="E220" s="102"/>
      <c r="F220" s="56"/>
    </row>
    <row r="221" spans="1:6">
      <c r="A221" s="102"/>
      <c r="B221" s="102"/>
      <c r="C221" s="102"/>
      <c r="D221" s="102"/>
      <c r="E221" s="102"/>
      <c r="F221" s="56"/>
    </row>
    <row r="222" spans="1:6">
      <c r="A222" s="102"/>
      <c r="B222" s="102"/>
      <c r="C222" s="102"/>
      <c r="D222" s="102"/>
      <c r="E222" s="102"/>
      <c r="F222" s="56"/>
    </row>
    <row r="223" spans="1:6">
      <c r="A223" s="102"/>
      <c r="B223" s="102"/>
      <c r="C223" s="102"/>
      <c r="D223" s="102"/>
      <c r="E223" s="102"/>
      <c r="F223" s="56"/>
    </row>
    <row r="224" spans="1:6">
      <c r="A224" s="102"/>
      <c r="B224" s="102"/>
      <c r="C224" s="102"/>
      <c r="D224" s="102"/>
      <c r="E224" s="102"/>
      <c r="F224" s="56"/>
    </row>
    <row r="225" spans="1:6">
      <c r="A225" s="102"/>
      <c r="B225" s="102"/>
      <c r="C225" s="102"/>
      <c r="D225" s="102"/>
      <c r="E225" s="102"/>
      <c r="F225" s="56"/>
    </row>
    <row r="226" spans="1:6">
      <c r="A226" s="102"/>
      <c r="B226" s="102"/>
      <c r="C226" s="102"/>
      <c r="D226" s="102"/>
      <c r="E226" s="102"/>
      <c r="F226" s="56"/>
    </row>
    <row r="227" spans="1:6">
      <c r="A227" s="102"/>
      <c r="B227" s="102"/>
      <c r="C227" s="102"/>
      <c r="D227" s="102"/>
      <c r="E227" s="102"/>
      <c r="F227" s="56"/>
    </row>
    <row r="228" spans="1:6">
      <c r="A228" s="102"/>
      <c r="B228" s="102"/>
      <c r="C228" s="102"/>
      <c r="D228" s="102"/>
      <c r="E228" s="102"/>
      <c r="F228" s="56"/>
    </row>
    <row r="229" spans="1:6">
      <c r="A229" s="102"/>
      <c r="B229" s="102"/>
      <c r="C229" s="102"/>
      <c r="D229" s="102"/>
      <c r="E229" s="102"/>
      <c r="F229" s="56"/>
    </row>
    <row r="230" spans="1:6">
      <c r="A230" s="102"/>
      <c r="B230" s="102"/>
      <c r="C230" s="102"/>
      <c r="D230" s="102"/>
      <c r="E230" s="102"/>
      <c r="F230" s="56"/>
    </row>
    <row r="231" spans="1:6">
      <c r="A231" s="102"/>
      <c r="B231" s="102"/>
      <c r="C231" s="102"/>
      <c r="D231" s="102"/>
      <c r="E231" s="102"/>
      <c r="F231" s="56"/>
    </row>
    <row r="232" spans="1:6">
      <c r="A232" s="102"/>
      <c r="B232" s="102"/>
      <c r="C232" s="102"/>
      <c r="D232" s="102"/>
      <c r="E232" s="102"/>
      <c r="F232" s="56"/>
    </row>
    <row r="233" spans="1:6">
      <c r="A233" s="102"/>
      <c r="B233" s="102"/>
      <c r="C233" s="102"/>
      <c r="D233" s="102"/>
      <c r="E233" s="102"/>
      <c r="F233" s="56"/>
    </row>
    <row r="234" spans="1:6">
      <c r="A234" s="102"/>
      <c r="B234" s="102"/>
      <c r="C234" s="102"/>
      <c r="D234" s="102"/>
      <c r="E234" s="102"/>
      <c r="F234" s="56"/>
    </row>
    <row r="235" spans="1:6">
      <c r="A235" s="102"/>
      <c r="B235" s="102"/>
      <c r="C235" s="102"/>
      <c r="D235" s="102"/>
      <c r="E235" s="102"/>
      <c r="F235" s="56"/>
    </row>
    <row r="236" spans="1:6">
      <c r="A236" s="102"/>
      <c r="B236" s="102"/>
      <c r="C236" s="102"/>
      <c r="D236" s="102"/>
      <c r="E236" s="102"/>
      <c r="F236" s="56"/>
    </row>
    <row r="237" spans="1:6">
      <c r="A237" s="102"/>
      <c r="B237" s="102"/>
      <c r="C237" s="102"/>
      <c r="D237" s="102"/>
      <c r="E237" s="102"/>
      <c r="F237" s="56"/>
    </row>
    <row r="238" spans="1:6">
      <c r="A238" s="102"/>
      <c r="B238" s="102"/>
      <c r="C238" s="102"/>
      <c r="D238" s="102"/>
      <c r="E238" s="102"/>
      <c r="F238" s="56"/>
    </row>
    <row r="239" spans="1:6">
      <c r="A239" s="102"/>
      <c r="B239" s="102"/>
      <c r="C239" s="102"/>
      <c r="D239" s="102"/>
      <c r="E239" s="102"/>
      <c r="F239" s="56"/>
    </row>
    <row r="240" spans="1:6">
      <c r="A240" s="102"/>
      <c r="B240" s="102"/>
      <c r="C240" s="102"/>
      <c r="D240" s="102"/>
      <c r="E240" s="102"/>
      <c r="F240" s="56"/>
    </row>
    <row r="241" spans="1:6">
      <c r="A241" s="102"/>
      <c r="B241" s="102"/>
      <c r="C241" s="102"/>
      <c r="D241" s="102"/>
      <c r="E241" s="102"/>
      <c r="F241" s="56"/>
    </row>
    <row r="242" spans="1:6">
      <c r="A242" s="102"/>
      <c r="B242" s="102"/>
      <c r="C242" s="102"/>
      <c r="D242" s="102"/>
      <c r="E242" s="102"/>
      <c r="F242" s="56"/>
    </row>
    <row r="243" spans="1:6">
      <c r="A243" s="102"/>
      <c r="B243" s="102"/>
      <c r="C243" s="102"/>
      <c r="D243" s="102"/>
      <c r="E243" s="102"/>
      <c r="F243" s="56"/>
    </row>
    <row r="244" spans="1:6">
      <c r="A244" s="102"/>
      <c r="B244" s="102"/>
      <c r="C244" s="102"/>
      <c r="D244" s="102"/>
      <c r="E244" s="102"/>
      <c r="F244" s="56"/>
    </row>
    <row r="245" spans="1:6">
      <c r="A245" s="102"/>
      <c r="B245" s="102"/>
      <c r="C245" s="102"/>
      <c r="D245" s="102"/>
      <c r="E245" s="102"/>
      <c r="F245" s="56"/>
    </row>
    <row r="246" spans="1:6">
      <c r="A246" s="102"/>
      <c r="B246" s="102"/>
      <c r="C246" s="102"/>
      <c r="D246" s="102"/>
      <c r="E246" s="102"/>
      <c r="F246" s="56"/>
    </row>
    <row r="247" spans="1:6">
      <c r="A247" s="102"/>
      <c r="B247" s="102"/>
      <c r="C247" s="102"/>
      <c r="D247" s="102"/>
      <c r="E247" s="102"/>
      <c r="F247" s="56"/>
    </row>
    <row r="248" spans="1:6">
      <c r="A248" s="102"/>
      <c r="B248" s="102"/>
      <c r="C248" s="102"/>
      <c r="D248" s="102"/>
      <c r="E248" s="102"/>
      <c r="F248" s="56"/>
    </row>
    <row r="249" spans="1:6">
      <c r="A249" s="102"/>
      <c r="B249" s="102"/>
      <c r="C249" s="102"/>
      <c r="D249" s="102"/>
      <c r="E249" s="102"/>
      <c r="F249" s="56"/>
    </row>
    <row r="250" spans="1:6">
      <c r="A250" s="102"/>
      <c r="B250" s="102"/>
      <c r="C250" s="102"/>
      <c r="D250" s="102"/>
      <c r="E250" s="102"/>
      <c r="F250" s="56"/>
    </row>
    <row r="251" spans="1:6">
      <c r="A251" s="102"/>
      <c r="B251" s="102"/>
      <c r="C251" s="102"/>
      <c r="D251" s="102"/>
      <c r="E251" s="102"/>
      <c r="F251" s="56"/>
    </row>
    <row r="252" spans="1:6">
      <c r="A252" s="102"/>
      <c r="B252" s="102"/>
      <c r="C252" s="102"/>
      <c r="D252" s="102"/>
      <c r="E252" s="102"/>
      <c r="F252" s="56"/>
    </row>
    <row r="253" spans="1:6">
      <c r="A253" s="102"/>
      <c r="B253" s="102"/>
      <c r="C253" s="102"/>
      <c r="D253" s="102"/>
      <c r="E253" s="102"/>
      <c r="F253" s="56"/>
    </row>
    <row r="254" spans="1:6">
      <c r="A254" s="102"/>
      <c r="B254" s="102"/>
      <c r="C254" s="102"/>
      <c r="D254" s="102"/>
      <c r="E254" s="102"/>
      <c r="F254" s="56"/>
    </row>
    <row r="255" spans="1:6">
      <c r="A255" s="102"/>
      <c r="B255" s="102"/>
      <c r="C255" s="102"/>
      <c r="D255" s="102"/>
      <c r="E255" s="102"/>
      <c r="F255" s="56"/>
    </row>
    <row r="256" spans="1:6">
      <c r="A256" s="102"/>
      <c r="B256" s="102"/>
      <c r="C256" s="102"/>
      <c r="D256" s="102"/>
      <c r="E256" s="102"/>
      <c r="F256" s="56"/>
    </row>
    <row r="257" spans="1:6">
      <c r="A257" s="102"/>
      <c r="B257" s="102"/>
      <c r="C257" s="102"/>
      <c r="D257" s="102"/>
      <c r="E257" s="102"/>
      <c r="F257" s="56"/>
    </row>
    <row r="258" spans="1:6">
      <c r="A258" s="102"/>
      <c r="B258" s="102"/>
      <c r="C258" s="102"/>
      <c r="D258" s="102"/>
      <c r="E258" s="102"/>
      <c r="F258" s="56"/>
    </row>
    <row r="259" spans="1:6">
      <c r="A259" s="102"/>
      <c r="B259" s="102"/>
      <c r="C259" s="102"/>
      <c r="D259" s="102"/>
      <c r="E259" s="102"/>
      <c r="F259" s="56"/>
    </row>
    <row r="260" spans="1:6">
      <c r="A260" s="102"/>
      <c r="B260" s="102"/>
      <c r="C260" s="102"/>
      <c r="D260" s="102"/>
      <c r="E260" s="102"/>
      <c r="F260" s="56"/>
    </row>
    <row r="261" spans="1:6">
      <c r="A261" s="102"/>
      <c r="B261" s="102"/>
      <c r="C261" s="102"/>
      <c r="D261" s="102"/>
      <c r="E261" s="102"/>
      <c r="F261" s="56"/>
    </row>
    <row r="262" spans="1:6">
      <c r="A262" s="102"/>
      <c r="B262" s="102"/>
      <c r="C262" s="102"/>
      <c r="D262" s="102"/>
      <c r="E262" s="102"/>
      <c r="F262" s="56"/>
    </row>
    <row r="263" spans="1:6">
      <c r="A263" s="102"/>
      <c r="B263" s="102"/>
      <c r="C263" s="102"/>
      <c r="D263" s="102"/>
      <c r="E263" s="102"/>
      <c r="F263" s="56"/>
    </row>
    <row r="264" spans="1:6">
      <c r="A264" s="102"/>
      <c r="B264" s="102"/>
      <c r="C264" s="102"/>
      <c r="D264" s="102"/>
      <c r="E264" s="102"/>
      <c r="F264" s="56"/>
    </row>
    <row r="265" spans="1:6">
      <c r="A265" s="102"/>
      <c r="B265" s="102"/>
      <c r="C265" s="102"/>
      <c r="D265" s="102"/>
      <c r="E265" s="102"/>
      <c r="F265" s="56"/>
    </row>
    <row r="266" spans="1:6">
      <c r="A266" s="102"/>
      <c r="B266" s="102"/>
      <c r="C266" s="102"/>
      <c r="D266" s="102"/>
      <c r="E266" s="102"/>
      <c r="F266" s="56"/>
    </row>
    <row r="267" spans="1:6">
      <c r="A267" s="102"/>
      <c r="B267" s="102"/>
      <c r="C267" s="102"/>
      <c r="D267" s="102"/>
      <c r="E267" s="102"/>
      <c r="F267" s="56"/>
    </row>
    <row r="268" spans="1:6">
      <c r="A268" s="102"/>
      <c r="B268" s="102"/>
      <c r="C268" s="102"/>
      <c r="D268" s="102"/>
      <c r="E268" s="102"/>
      <c r="F268" s="56"/>
    </row>
    <row r="269" spans="1:6">
      <c r="A269" s="102"/>
      <c r="B269" s="102"/>
      <c r="C269" s="102"/>
      <c r="D269" s="102"/>
      <c r="E269" s="102"/>
      <c r="F269" s="56"/>
    </row>
    <row r="270" spans="1:6">
      <c r="A270" s="102"/>
      <c r="B270" s="102"/>
      <c r="C270" s="102"/>
      <c r="D270" s="102"/>
      <c r="E270" s="102"/>
      <c r="F270" s="56"/>
    </row>
    <row r="271" spans="1:6">
      <c r="A271" s="102"/>
      <c r="B271" s="102"/>
      <c r="C271" s="102"/>
      <c r="D271" s="102"/>
      <c r="E271" s="102"/>
      <c r="F271" s="56"/>
    </row>
    <row r="272" spans="1:6">
      <c r="A272" s="102"/>
      <c r="B272" s="102"/>
      <c r="C272" s="102"/>
      <c r="D272" s="102"/>
      <c r="E272" s="102"/>
      <c r="F272" s="56"/>
    </row>
    <row r="273" spans="1:6">
      <c r="A273" s="102"/>
      <c r="B273" s="102"/>
      <c r="C273" s="102"/>
      <c r="D273" s="102"/>
      <c r="E273" s="102"/>
      <c r="F273" s="56"/>
    </row>
    <row r="274" spans="1:6">
      <c r="A274" s="102"/>
      <c r="B274" s="102"/>
      <c r="C274" s="102"/>
      <c r="D274" s="102"/>
      <c r="E274" s="102"/>
      <c r="F274" s="56"/>
    </row>
    <row r="275" spans="1:6">
      <c r="A275" s="102"/>
      <c r="B275" s="102"/>
      <c r="C275" s="102"/>
      <c r="D275" s="102"/>
      <c r="E275" s="102"/>
      <c r="F275" s="56"/>
    </row>
    <row r="276" spans="1:6">
      <c r="A276" s="102"/>
      <c r="B276" s="102"/>
      <c r="C276" s="102"/>
      <c r="D276" s="102"/>
      <c r="E276" s="102"/>
      <c r="F276" s="56"/>
    </row>
    <row r="277" spans="1:6">
      <c r="A277" s="102"/>
      <c r="B277" s="102"/>
      <c r="C277" s="102"/>
      <c r="D277" s="102"/>
      <c r="E277" s="102"/>
      <c r="F277" s="56"/>
    </row>
    <row r="278" spans="1:6">
      <c r="A278" s="102"/>
      <c r="B278" s="102"/>
      <c r="C278" s="102"/>
      <c r="D278" s="102"/>
      <c r="E278" s="102"/>
      <c r="F278" s="56"/>
    </row>
    <row r="279" spans="1:6">
      <c r="A279" s="102"/>
      <c r="B279" s="102"/>
      <c r="C279" s="102"/>
      <c r="D279" s="102"/>
      <c r="E279" s="102"/>
      <c r="F279" s="56"/>
    </row>
    <row r="280" spans="1:6">
      <c r="A280" s="102"/>
      <c r="B280" s="102"/>
      <c r="C280" s="102"/>
      <c r="D280" s="102"/>
      <c r="E280" s="102"/>
      <c r="F280" s="56"/>
    </row>
    <row r="281" spans="1:6">
      <c r="A281" s="102"/>
      <c r="B281" s="102"/>
      <c r="C281" s="102"/>
      <c r="D281" s="102"/>
      <c r="E281" s="102"/>
      <c r="F281" s="56"/>
    </row>
    <row r="282" spans="1:6">
      <c r="A282" s="102"/>
      <c r="B282" s="102"/>
      <c r="C282" s="102"/>
      <c r="D282" s="102"/>
      <c r="E282" s="102"/>
      <c r="F282" s="56"/>
    </row>
    <row r="283" spans="1:6">
      <c r="A283" s="102"/>
      <c r="B283" s="102"/>
      <c r="C283" s="102"/>
      <c r="D283" s="102"/>
      <c r="E283" s="102"/>
      <c r="F283" s="56"/>
    </row>
    <row r="284" spans="1:6">
      <c r="A284" s="102"/>
      <c r="B284" s="102"/>
      <c r="C284" s="102"/>
      <c r="D284" s="102"/>
      <c r="E284" s="102"/>
      <c r="F284" s="56"/>
    </row>
    <row r="285" spans="1:6">
      <c r="A285" s="102"/>
      <c r="B285" s="102"/>
      <c r="C285" s="102"/>
      <c r="D285" s="102"/>
      <c r="E285" s="102"/>
      <c r="F285" s="56"/>
    </row>
    <row r="286" spans="1:6">
      <c r="A286" s="102"/>
      <c r="B286" s="102"/>
      <c r="C286" s="102"/>
      <c r="D286" s="102"/>
      <c r="E286" s="102"/>
      <c r="F286" s="56"/>
    </row>
    <row r="287" spans="1:6">
      <c r="A287" s="102"/>
      <c r="B287" s="102"/>
      <c r="C287" s="102"/>
      <c r="D287" s="102"/>
      <c r="E287" s="102"/>
      <c r="F287" s="56"/>
    </row>
    <row r="288" spans="1:6">
      <c r="A288" s="102"/>
      <c r="B288" s="102"/>
      <c r="C288" s="102"/>
      <c r="D288" s="102"/>
      <c r="E288" s="102"/>
      <c r="F288" s="56"/>
    </row>
    <row r="289" spans="1:6">
      <c r="A289" s="102"/>
      <c r="B289" s="102"/>
      <c r="C289" s="102"/>
      <c r="D289" s="102"/>
      <c r="E289" s="102"/>
      <c r="F289" s="56"/>
    </row>
    <row r="290" spans="1:6">
      <c r="A290" s="102"/>
      <c r="B290" s="102"/>
      <c r="C290" s="102"/>
      <c r="D290" s="102"/>
      <c r="E290" s="102"/>
      <c r="F290" s="56"/>
    </row>
    <row r="291" spans="1:6">
      <c r="A291" s="102"/>
      <c r="B291" s="102"/>
      <c r="C291" s="102"/>
      <c r="D291" s="102"/>
      <c r="E291" s="102"/>
      <c r="F291" s="56"/>
    </row>
    <row r="292" spans="1:6">
      <c r="A292" s="102"/>
      <c r="B292" s="102"/>
      <c r="C292" s="102"/>
      <c r="D292" s="102"/>
      <c r="E292" s="102"/>
      <c r="F292" s="56"/>
    </row>
    <row r="293" spans="1:6">
      <c r="A293" s="102"/>
      <c r="B293" s="102"/>
      <c r="C293" s="102"/>
      <c r="D293" s="102"/>
      <c r="E293" s="102"/>
      <c r="F293" s="56"/>
    </row>
    <row r="294" spans="1:6">
      <c r="A294" s="102"/>
      <c r="B294" s="102"/>
      <c r="C294" s="102"/>
      <c r="D294" s="102"/>
      <c r="E294" s="102"/>
      <c r="F294" s="56"/>
    </row>
    <row r="295" spans="1:6">
      <c r="A295" s="102"/>
      <c r="B295" s="102"/>
      <c r="C295" s="102"/>
      <c r="D295" s="102"/>
      <c r="E295" s="102"/>
      <c r="F295" s="56"/>
    </row>
    <row r="296" spans="1:6">
      <c r="A296" s="102"/>
      <c r="B296" s="102"/>
      <c r="C296" s="102"/>
      <c r="D296" s="102"/>
      <c r="E296" s="102"/>
      <c r="F296" s="56"/>
    </row>
    <row r="297" spans="1:6">
      <c r="A297" s="102"/>
      <c r="B297" s="102"/>
      <c r="C297" s="102"/>
      <c r="D297" s="102"/>
      <c r="E297" s="102"/>
      <c r="F297" s="56"/>
    </row>
    <row r="298" spans="1:6">
      <c r="A298" s="102"/>
      <c r="B298" s="102"/>
      <c r="C298" s="102"/>
      <c r="D298" s="102"/>
      <c r="E298" s="102"/>
      <c r="F298" s="56"/>
    </row>
    <row r="299" spans="1:6">
      <c r="A299" s="102"/>
      <c r="B299" s="102"/>
      <c r="C299" s="102"/>
      <c r="D299" s="102"/>
      <c r="E299" s="102"/>
      <c r="F299" s="56"/>
    </row>
    <row r="300" spans="1:6">
      <c r="A300" s="102"/>
      <c r="B300" s="102"/>
      <c r="C300" s="102"/>
      <c r="D300" s="102"/>
      <c r="E300" s="102"/>
      <c r="F300" s="56"/>
    </row>
    <row r="301" spans="1:6">
      <c r="A301" s="102"/>
      <c r="B301" s="102"/>
      <c r="C301" s="102"/>
      <c r="D301" s="102"/>
      <c r="E301" s="102"/>
      <c r="F301" s="56"/>
    </row>
    <row r="302" spans="1:6">
      <c r="A302" s="102"/>
      <c r="B302" s="102"/>
      <c r="C302" s="102"/>
      <c r="D302" s="102"/>
      <c r="E302" s="102"/>
      <c r="F302" s="56"/>
    </row>
    <row r="303" spans="1:6">
      <c r="A303" s="102"/>
      <c r="B303" s="102"/>
      <c r="C303" s="102"/>
      <c r="D303" s="102"/>
      <c r="E303" s="102"/>
      <c r="F303" s="56"/>
    </row>
    <row r="304" spans="1:6">
      <c r="A304" s="102"/>
      <c r="B304" s="102"/>
      <c r="C304" s="102"/>
      <c r="D304" s="102"/>
      <c r="E304" s="102"/>
      <c r="F304" s="56"/>
    </row>
    <row r="305" spans="1:6">
      <c r="A305" s="102"/>
      <c r="B305" s="102"/>
      <c r="C305" s="102"/>
      <c r="D305" s="102"/>
      <c r="E305" s="102"/>
      <c r="F305" s="56"/>
    </row>
    <row r="306" spans="1:6">
      <c r="A306" s="102"/>
      <c r="B306" s="102"/>
      <c r="C306" s="102"/>
      <c r="D306" s="102"/>
      <c r="E306" s="102"/>
      <c r="F306" s="56"/>
    </row>
    <row r="307" spans="1:6">
      <c r="A307" s="102"/>
      <c r="B307" s="102"/>
      <c r="C307" s="102"/>
      <c r="D307" s="102"/>
      <c r="E307" s="102"/>
      <c r="F307" s="56"/>
    </row>
    <row r="308" spans="1:6">
      <c r="A308" s="102"/>
      <c r="B308" s="102"/>
      <c r="C308" s="102"/>
      <c r="D308" s="102"/>
      <c r="E308" s="102"/>
      <c r="F308" s="56"/>
    </row>
    <row r="309" spans="1:6">
      <c r="A309" s="102"/>
      <c r="B309" s="102"/>
      <c r="C309" s="102"/>
      <c r="D309" s="102"/>
      <c r="E309" s="102"/>
      <c r="F309" s="56"/>
    </row>
    <row r="310" spans="1:6">
      <c r="A310" s="102"/>
      <c r="B310" s="102"/>
      <c r="C310" s="102"/>
      <c r="D310" s="102"/>
      <c r="E310" s="102"/>
      <c r="F310" s="56"/>
    </row>
    <row r="311" spans="1:6">
      <c r="A311" s="102"/>
      <c r="B311" s="102"/>
      <c r="C311" s="102"/>
      <c r="D311" s="102"/>
      <c r="E311" s="102"/>
      <c r="F311" s="56"/>
    </row>
    <row r="312" spans="1:6">
      <c r="A312" s="102"/>
      <c r="B312" s="102"/>
      <c r="C312" s="102"/>
      <c r="D312" s="102"/>
      <c r="E312" s="102"/>
      <c r="F312" s="56"/>
    </row>
    <row r="313" spans="1:6">
      <c r="A313" s="102"/>
      <c r="B313" s="102"/>
      <c r="C313" s="102"/>
      <c r="D313" s="102"/>
      <c r="E313" s="102"/>
      <c r="F313" s="56"/>
    </row>
    <row r="314" spans="1:6">
      <c r="A314" s="102"/>
      <c r="B314" s="102"/>
      <c r="C314" s="102"/>
      <c r="D314" s="102"/>
      <c r="E314" s="102"/>
      <c r="F314" s="56"/>
    </row>
    <row r="315" spans="1:6">
      <c r="A315" s="102"/>
      <c r="B315" s="102"/>
      <c r="C315" s="102"/>
      <c r="D315" s="102"/>
      <c r="E315" s="102"/>
      <c r="F315" s="56"/>
    </row>
    <row r="316" spans="1:6">
      <c r="A316" s="102"/>
      <c r="B316" s="102"/>
      <c r="C316" s="102"/>
      <c r="D316" s="102"/>
      <c r="E316" s="102"/>
      <c r="F316" s="56"/>
    </row>
    <row r="317" spans="1:6">
      <c r="A317" s="102"/>
      <c r="B317" s="102"/>
      <c r="C317" s="102"/>
      <c r="D317" s="102"/>
      <c r="E317" s="102"/>
      <c r="F317" s="56"/>
    </row>
    <row r="318" spans="1:6">
      <c r="A318" s="102"/>
      <c r="B318" s="102"/>
      <c r="C318" s="102"/>
      <c r="D318" s="102"/>
      <c r="E318" s="102"/>
      <c r="F318" s="56"/>
    </row>
    <row r="319" spans="1:6">
      <c r="A319" s="102"/>
      <c r="B319" s="102"/>
      <c r="C319" s="102"/>
      <c r="D319" s="102"/>
      <c r="E319" s="102"/>
      <c r="F319" s="56"/>
    </row>
    <row r="320" spans="1:6">
      <c r="A320" s="102"/>
      <c r="B320" s="102"/>
      <c r="C320" s="102"/>
      <c r="D320" s="102"/>
      <c r="E320" s="102"/>
      <c r="F320" s="56"/>
    </row>
    <row r="321" spans="1:6">
      <c r="A321" s="102"/>
      <c r="B321" s="102"/>
      <c r="C321" s="102"/>
      <c r="D321" s="102"/>
      <c r="E321" s="102"/>
      <c r="F321" s="56"/>
    </row>
    <row r="322" spans="1:6">
      <c r="A322" s="102"/>
      <c r="B322" s="102"/>
      <c r="C322" s="102"/>
      <c r="D322" s="102"/>
      <c r="E322" s="102"/>
      <c r="F322" s="56"/>
    </row>
    <row r="323" spans="1:6">
      <c r="A323" s="102"/>
      <c r="B323" s="102"/>
      <c r="C323" s="102"/>
      <c r="D323" s="102"/>
      <c r="E323" s="102"/>
      <c r="F323" s="56"/>
    </row>
    <row r="324" spans="1:6">
      <c r="A324" s="102"/>
      <c r="B324" s="102"/>
      <c r="C324" s="102"/>
      <c r="D324" s="102"/>
      <c r="E324" s="102"/>
      <c r="F324" s="56"/>
    </row>
    <row r="325" spans="1:6">
      <c r="A325" s="102"/>
      <c r="B325" s="102"/>
      <c r="C325" s="102"/>
      <c r="D325" s="102"/>
      <c r="E325" s="102"/>
      <c r="F325" s="56"/>
    </row>
    <row r="326" spans="1:6">
      <c r="A326" s="102"/>
      <c r="B326" s="102"/>
      <c r="C326" s="102"/>
      <c r="D326" s="102"/>
      <c r="E326" s="102"/>
      <c r="F326" s="56"/>
    </row>
    <row r="327" spans="1:6">
      <c r="A327" s="102"/>
      <c r="B327" s="102"/>
      <c r="C327" s="102"/>
      <c r="D327" s="102"/>
      <c r="E327" s="102"/>
      <c r="F327" s="56"/>
    </row>
    <row r="328" spans="1:6">
      <c r="A328" s="102"/>
      <c r="B328" s="102"/>
      <c r="C328" s="102"/>
      <c r="D328" s="102"/>
      <c r="E328" s="102"/>
      <c r="F328" s="56"/>
    </row>
    <row r="329" spans="1:6">
      <c r="A329" s="102"/>
      <c r="B329" s="102"/>
      <c r="C329" s="102"/>
      <c r="D329" s="102"/>
      <c r="E329" s="102"/>
      <c r="F329" s="56"/>
    </row>
    <row r="330" spans="1:6">
      <c r="A330" s="102"/>
      <c r="B330" s="102"/>
      <c r="C330" s="102"/>
      <c r="D330" s="102"/>
      <c r="E330" s="102"/>
      <c r="F330" s="56"/>
    </row>
    <row r="331" spans="1:6">
      <c r="A331" s="102"/>
      <c r="B331" s="102"/>
      <c r="C331" s="102"/>
      <c r="D331" s="102"/>
      <c r="E331" s="102"/>
      <c r="F331" s="56"/>
    </row>
    <row r="332" spans="1:6">
      <c r="A332" s="102"/>
      <c r="B332" s="102"/>
      <c r="C332" s="102"/>
      <c r="D332" s="102"/>
      <c r="E332" s="102"/>
      <c r="F332" s="56"/>
    </row>
    <row r="333" spans="1:6">
      <c r="A333" s="102"/>
      <c r="B333" s="102"/>
      <c r="C333" s="102"/>
      <c r="D333" s="102"/>
      <c r="E333" s="102"/>
      <c r="F333" s="56"/>
    </row>
    <row r="334" spans="1:6">
      <c r="A334" s="102"/>
      <c r="B334" s="102"/>
      <c r="C334" s="102"/>
      <c r="D334" s="102"/>
      <c r="E334" s="102"/>
      <c r="F334" s="56"/>
    </row>
    <row r="335" spans="1:6">
      <c r="A335" s="102"/>
      <c r="B335" s="102"/>
      <c r="C335" s="102"/>
      <c r="D335" s="102"/>
      <c r="E335" s="102"/>
      <c r="F335" s="56"/>
    </row>
    <row r="336" spans="1:6">
      <c r="A336" s="102"/>
      <c r="B336" s="102"/>
      <c r="C336" s="102"/>
      <c r="D336" s="102"/>
      <c r="E336" s="102"/>
      <c r="F336" s="56"/>
    </row>
    <row r="337" spans="1:6">
      <c r="A337" s="102"/>
      <c r="B337" s="102"/>
      <c r="C337" s="102"/>
      <c r="D337" s="102"/>
      <c r="E337" s="102"/>
      <c r="F337" s="56"/>
    </row>
    <row r="338" spans="1:6">
      <c r="A338" s="102"/>
      <c r="B338" s="102"/>
      <c r="C338" s="102"/>
      <c r="D338" s="102"/>
      <c r="E338" s="102"/>
      <c r="F338" s="56"/>
    </row>
    <row r="339" spans="1:6">
      <c r="A339" s="102"/>
      <c r="B339" s="102"/>
      <c r="C339" s="102"/>
      <c r="D339" s="102"/>
      <c r="E339" s="102"/>
      <c r="F339" s="56"/>
    </row>
    <row r="340" spans="1:6">
      <c r="A340" s="102"/>
      <c r="B340" s="102"/>
      <c r="C340" s="102"/>
      <c r="D340" s="102"/>
      <c r="E340" s="102"/>
      <c r="F340" s="56"/>
    </row>
    <row r="341" spans="1:6">
      <c r="A341" s="102"/>
      <c r="B341" s="102"/>
      <c r="C341" s="102"/>
      <c r="D341" s="102"/>
      <c r="E341" s="102"/>
      <c r="F341" s="56"/>
    </row>
    <row r="342" spans="1:6">
      <c r="A342" s="102"/>
      <c r="B342" s="102"/>
      <c r="C342" s="102"/>
      <c r="D342" s="102"/>
      <c r="E342" s="102"/>
      <c r="F342" s="56"/>
    </row>
    <row r="343" spans="1:6">
      <c r="A343" s="102"/>
      <c r="B343" s="102"/>
      <c r="C343" s="102"/>
      <c r="D343" s="102"/>
      <c r="E343" s="102"/>
      <c r="F343" s="56"/>
    </row>
    <row r="344" spans="1:6">
      <c r="A344" s="102"/>
      <c r="B344" s="102"/>
      <c r="C344" s="102"/>
      <c r="D344" s="102"/>
      <c r="E344" s="102"/>
      <c r="F344" s="56"/>
    </row>
    <row r="345" spans="1:6">
      <c r="A345" s="102"/>
      <c r="B345" s="102"/>
      <c r="C345" s="102"/>
      <c r="D345" s="102"/>
      <c r="E345" s="102"/>
      <c r="F345" s="56"/>
    </row>
  </sheetData>
  <mergeCells count="8">
    <mergeCell ref="F103:F104"/>
    <mergeCell ref="E3:E4"/>
    <mergeCell ref="F3:F4"/>
    <mergeCell ref="A1:B1"/>
    <mergeCell ref="E59:E60"/>
    <mergeCell ref="F59:F60"/>
    <mergeCell ref="A58:B58"/>
    <mergeCell ref="E103:E104"/>
  </mergeCells>
  <pageMargins left="0.7" right="0.7" top="0.75" bottom="0.75" header="0.3" footer="0.3"/>
  <pageSetup paperSize="8" scale="10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  <pageSetUpPr fitToPage="1"/>
  </sheetPr>
  <dimension ref="A1:M196"/>
  <sheetViews>
    <sheetView workbookViewId="0">
      <selection activeCell="B28" sqref="B28"/>
    </sheetView>
  </sheetViews>
  <sheetFormatPr defaultColWidth="9.140625" defaultRowHeight="12.75"/>
  <cols>
    <col min="1" max="1" width="49.7109375" style="50" customWidth="1"/>
    <col min="2" max="2" width="14" style="50" bestFit="1" customWidth="1"/>
    <col min="3" max="3" width="12.140625" style="51" bestFit="1" customWidth="1"/>
    <col min="4" max="4" width="14.42578125" style="51" customWidth="1"/>
    <col min="5" max="5" width="15.28515625" style="68" customWidth="1"/>
    <col min="6" max="6" width="16.42578125" style="473" customWidth="1"/>
    <col min="7" max="7" width="14" style="52" bestFit="1" customWidth="1"/>
    <col min="8" max="8" width="13.7109375" style="52" customWidth="1"/>
    <col min="9" max="9" width="23.42578125" style="52" customWidth="1"/>
    <col min="10" max="11" width="9.140625" style="52"/>
    <col min="12" max="12" width="14" style="102" bestFit="1" customWidth="1"/>
    <col min="13" max="16384" width="9.140625" style="52"/>
  </cols>
  <sheetData>
    <row r="1" spans="1:13" ht="13.5" thickBot="1">
      <c r="D1" s="169"/>
      <c r="E1" s="154"/>
    </row>
    <row r="2" spans="1:13" ht="20.25">
      <c r="A2" s="1545" t="s">
        <v>653</v>
      </c>
      <c r="B2" s="1568"/>
      <c r="C2" s="161"/>
      <c r="D2" s="153"/>
      <c r="E2" s="150"/>
      <c r="L2" s="52"/>
    </row>
    <row r="3" spans="1:13" ht="12.75" customHeight="1">
      <c r="A3" s="18" t="s">
        <v>862</v>
      </c>
      <c r="B3" s="1191">
        <f>EBKL!B2</f>
        <v>45046</v>
      </c>
      <c r="C3" s="1191">
        <f>GROUP!H3</f>
        <v>44681</v>
      </c>
      <c r="D3" s="1537" t="s">
        <v>85</v>
      </c>
      <c r="E3" s="1571" t="s">
        <v>86</v>
      </c>
      <c r="L3" s="686"/>
    </row>
    <row r="4" spans="1:13">
      <c r="A4" s="20" t="s">
        <v>183</v>
      </c>
      <c r="B4" s="19" t="s">
        <v>82</v>
      </c>
      <c r="C4" s="19" t="s">
        <v>96</v>
      </c>
      <c r="D4" s="1538"/>
      <c r="E4" s="1572"/>
      <c r="L4" s="686"/>
    </row>
    <row r="5" spans="1:13">
      <c r="A5" s="20"/>
      <c r="B5" s="19" t="s">
        <v>97</v>
      </c>
      <c r="C5" s="19" t="s">
        <v>97</v>
      </c>
      <c r="D5" s="21"/>
      <c r="E5" s="22"/>
      <c r="L5" s="686"/>
    </row>
    <row r="6" spans="1:13">
      <c r="A6" s="20"/>
      <c r="B6" s="19" t="s">
        <v>879</v>
      </c>
      <c r="C6" s="19" t="s">
        <v>879</v>
      </c>
      <c r="D6" s="21"/>
      <c r="E6" s="22"/>
      <c r="L6" s="686"/>
    </row>
    <row r="7" spans="1:13">
      <c r="A7" s="18" t="s">
        <v>1</v>
      </c>
      <c r="B7" s="18"/>
      <c r="C7" s="21"/>
      <c r="D7" s="21"/>
      <c r="E7" s="1291"/>
      <c r="F7" s="474"/>
      <c r="L7" s="105"/>
    </row>
    <row r="8" spans="1:13">
      <c r="A8" s="23" t="s">
        <v>2</v>
      </c>
      <c r="B8" s="25">
        <f>'[18]STMT OF FIN.POSTN'!$J$7/1000</f>
        <v>214098.81602999999</v>
      </c>
      <c r="C8" s="25">
        <f>[4]EIAL!$B8</f>
        <v>561713.35627999995</v>
      </c>
      <c r="D8" s="25">
        <f>B8-C8</f>
        <v>-347614.54024999996</v>
      </c>
      <c r="E8" s="1291">
        <f>IFERROR(D8/C8,0)</f>
        <v>-0.6188468484212486</v>
      </c>
      <c r="L8" s="937"/>
      <c r="M8" s="55"/>
    </row>
    <row r="9" spans="1:13">
      <c r="A9" s="27" t="s">
        <v>3</v>
      </c>
      <c r="B9" s="25">
        <v>0</v>
      </c>
      <c r="C9" s="25">
        <f>[4]EIAL!$B9</f>
        <v>0</v>
      </c>
      <c r="D9" s="162">
        <v>0</v>
      </c>
      <c r="E9" s="1291">
        <f t="shared" ref="E9:E28" si="0">IFERROR(D9/C9,0)</f>
        <v>0</v>
      </c>
      <c r="L9" s="937"/>
      <c r="M9" s="55"/>
    </row>
    <row r="10" spans="1:13">
      <c r="A10" s="27" t="s">
        <v>4</v>
      </c>
      <c r="B10" s="25">
        <f>('[18]STMT OF FIN.POSTN'!$J$9+'[18]STMT OF FIN.POSTN'!$J$11)/1000</f>
        <v>107883.35223</v>
      </c>
      <c r="C10" s="25">
        <f>[4]EIAL!$B10</f>
        <v>105502.17</v>
      </c>
      <c r="D10" s="162">
        <v>0</v>
      </c>
      <c r="E10" s="1291">
        <v>1</v>
      </c>
      <c r="L10" s="937"/>
      <c r="M10" s="55"/>
    </row>
    <row r="11" spans="1:13">
      <c r="A11" s="27" t="s">
        <v>5</v>
      </c>
      <c r="B11" s="25">
        <v>0</v>
      </c>
      <c r="C11" s="25">
        <f>[4]EIAL!$B11</f>
        <v>0</v>
      </c>
      <c r="D11" s="162">
        <v>0</v>
      </c>
      <c r="E11" s="1291">
        <f t="shared" si="0"/>
        <v>0</v>
      </c>
      <c r="L11" s="937"/>
      <c r="M11" s="55"/>
    </row>
    <row r="12" spans="1:13">
      <c r="A12" s="27" t="s">
        <v>6</v>
      </c>
      <c r="B12" s="25">
        <v>0</v>
      </c>
      <c r="C12" s="25">
        <f>[4]EIAL!$B12</f>
        <v>0</v>
      </c>
      <c r="D12" s="162">
        <v>0</v>
      </c>
      <c r="E12" s="1291">
        <f t="shared" si="0"/>
        <v>0</v>
      </c>
      <c r="L12" s="937"/>
      <c r="M12" s="55"/>
    </row>
    <row r="13" spans="1:13" ht="25.5">
      <c r="A13" s="27" t="s">
        <v>7</v>
      </c>
      <c r="B13" s="25">
        <v>0</v>
      </c>
      <c r="C13" s="25">
        <f>[4]EIAL!$B13</f>
        <v>0</v>
      </c>
      <c r="D13" s="162">
        <v>0</v>
      </c>
      <c r="E13" s="1291">
        <f t="shared" si="0"/>
        <v>0</v>
      </c>
      <c r="L13" s="937"/>
      <c r="M13" s="55"/>
    </row>
    <row r="14" spans="1:13" ht="25.5">
      <c r="A14" s="27" t="s">
        <v>8</v>
      </c>
      <c r="B14" s="25">
        <v>0</v>
      </c>
      <c r="C14" s="25">
        <f>[4]EIAL!$B14</f>
        <v>0</v>
      </c>
      <c r="D14" s="162">
        <v>0</v>
      </c>
      <c r="E14" s="1291">
        <f t="shared" si="0"/>
        <v>0</v>
      </c>
      <c r="L14" s="937"/>
      <c r="M14" s="55"/>
    </row>
    <row r="15" spans="1:13">
      <c r="A15" s="27" t="s">
        <v>9</v>
      </c>
      <c r="B15" s="25">
        <v>0</v>
      </c>
      <c r="C15" s="25">
        <f>[4]EIAL!$B15</f>
        <v>0</v>
      </c>
      <c r="D15" s="25">
        <f>B15-C15</f>
        <v>0</v>
      </c>
      <c r="E15" s="1291">
        <f t="shared" si="0"/>
        <v>0</v>
      </c>
      <c r="L15" s="937"/>
      <c r="M15" s="55"/>
    </row>
    <row r="16" spans="1:13">
      <c r="A16" s="27" t="s">
        <v>10</v>
      </c>
      <c r="B16" s="25">
        <v>0</v>
      </c>
      <c r="C16" s="25">
        <f>[4]EIAL!$B16</f>
        <v>0</v>
      </c>
      <c r="D16" s="162">
        <v>0</v>
      </c>
      <c r="E16" s="1291">
        <f t="shared" si="0"/>
        <v>0</v>
      </c>
      <c r="L16" s="937"/>
      <c r="M16" s="55"/>
    </row>
    <row r="17" spans="1:13">
      <c r="A17" s="27" t="s">
        <v>11</v>
      </c>
      <c r="B17" s="25">
        <v>0</v>
      </c>
      <c r="C17" s="25">
        <f>[4]EIAL!$B17</f>
        <v>0</v>
      </c>
      <c r="D17" s="162">
        <v>0</v>
      </c>
      <c r="E17" s="1291">
        <f t="shared" si="0"/>
        <v>0</v>
      </c>
      <c r="L17" s="937"/>
      <c r="M17" s="55"/>
    </row>
    <row r="18" spans="1:13">
      <c r="A18" s="27" t="s">
        <v>12</v>
      </c>
      <c r="B18" s="25">
        <v>0</v>
      </c>
      <c r="C18" s="25">
        <f>[4]EIAL!$B18</f>
        <v>0</v>
      </c>
      <c r="D18" s="165">
        <f>B18-C18</f>
        <v>0</v>
      </c>
      <c r="E18" s="1291">
        <f t="shared" si="0"/>
        <v>0</v>
      </c>
      <c r="L18" s="937"/>
      <c r="M18" s="55"/>
    </row>
    <row r="19" spans="1:13">
      <c r="A19" s="27" t="s">
        <v>13</v>
      </c>
      <c r="B19" s="25">
        <v>0</v>
      </c>
      <c r="C19" s="25">
        <f>[4]EIAL!$B19</f>
        <v>0</v>
      </c>
      <c r="D19" s="162">
        <v>0</v>
      </c>
      <c r="E19" s="1291">
        <f t="shared" si="0"/>
        <v>0</v>
      </c>
      <c r="L19" s="937"/>
      <c r="M19" s="55"/>
    </row>
    <row r="20" spans="1:13">
      <c r="A20" s="27" t="s">
        <v>14</v>
      </c>
      <c r="B20" s="25">
        <v>0</v>
      </c>
      <c r="C20" s="25">
        <f>[4]EIAL!$B20</f>
        <v>0</v>
      </c>
      <c r="D20" s="162">
        <v>0</v>
      </c>
      <c r="E20" s="1291">
        <f t="shared" si="0"/>
        <v>0</v>
      </c>
      <c r="L20" s="937"/>
      <c r="M20" s="55"/>
    </row>
    <row r="21" spans="1:13">
      <c r="A21" s="27" t="s">
        <v>15</v>
      </c>
      <c r="B21" s="25">
        <v>0</v>
      </c>
      <c r="C21" s="25">
        <f>[4]EIAL!$B21</f>
        <v>0</v>
      </c>
      <c r="D21" s="162">
        <v>0</v>
      </c>
      <c r="E21" s="1291">
        <f t="shared" si="0"/>
        <v>0</v>
      </c>
      <c r="L21" s="937"/>
      <c r="M21" s="55"/>
    </row>
    <row r="22" spans="1:13">
      <c r="A22" s="27" t="s">
        <v>16</v>
      </c>
      <c r="B22" s="25">
        <v>0</v>
      </c>
      <c r="C22" s="25">
        <f>[4]EIAL!$B22</f>
        <v>0</v>
      </c>
      <c r="D22" s="162">
        <v>0</v>
      </c>
      <c r="E22" s="1291">
        <f t="shared" si="0"/>
        <v>0</v>
      </c>
      <c r="L22" s="937"/>
      <c r="M22" s="55"/>
    </row>
    <row r="23" spans="1:13">
      <c r="A23" s="27" t="s">
        <v>17</v>
      </c>
      <c r="B23" s="25">
        <v>0</v>
      </c>
      <c r="C23" s="25">
        <f>[4]EIAL!$B23</f>
        <v>0</v>
      </c>
      <c r="D23" s="25">
        <f>B23-C23</f>
        <v>0</v>
      </c>
      <c r="E23" s="1291">
        <f t="shared" si="0"/>
        <v>0</v>
      </c>
      <c r="L23" s="937"/>
      <c r="M23" s="55"/>
    </row>
    <row r="24" spans="1:13">
      <c r="A24" s="27" t="s">
        <v>18</v>
      </c>
      <c r="B24" s="25">
        <v>0</v>
      </c>
      <c r="C24" s="25">
        <f>[4]EIAL!$B24</f>
        <v>0</v>
      </c>
      <c r="D24" s="162">
        <v>0</v>
      </c>
      <c r="E24" s="1291">
        <f t="shared" si="0"/>
        <v>0</v>
      </c>
      <c r="L24" s="937"/>
      <c r="M24" s="55"/>
    </row>
    <row r="25" spans="1:13">
      <c r="A25" s="27" t="s">
        <v>19</v>
      </c>
      <c r="B25" s="25">
        <f>'[18]STMT OF FIN.POSTN'!$J$13/1000</f>
        <v>16314.699290000006</v>
      </c>
      <c r="C25" s="25">
        <f>[4]EIAL!$B25</f>
        <v>11872.685819999997</v>
      </c>
      <c r="D25" s="25">
        <f>B25-C25</f>
        <v>4442.013470000009</v>
      </c>
      <c r="E25" s="1291">
        <f t="shared" si="0"/>
        <v>0.37413720343860746</v>
      </c>
      <c r="L25" s="937"/>
      <c r="M25" s="55"/>
    </row>
    <row r="26" spans="1:13">
      <c r="A26" s="27" t="s">
        <v>20</v>
      </c>
      <c r="B26" s="25">
        <f>'[18]STMT OF FIN.POSTN'!$J$10/1000</f>
        <v>15112.293</v>
      </c>
      <c r="C26" s="25">
        <f>[4]EIAL!$B26</f>
        <v>12722.98</v>
      </c>
      <c r="D26" s="25">
        <f>B26-C26</f>
        <v>2389.3130000000001</v>
      </c>
      <c r="E26" s="1291">
        <f t="shared" si="0"/>
        <v>0.18779507631073852</v>
      </c>
      <c r="F26" s="475"/>
      <c r="L26" s="937"/>
      <c r="M26" s="55"/>
    </row>
    <row r="27" spans="1:13">
      <c r="A27" s="27" t="s">
        <v>21</v>
      </c>
      <c r="B27" s="25">
        <v>0</v>
      </c>
      <c r="C27" s="25">
        <f>[4]EIAL!$B27</f>
        <v>0</v>
      </c>
      <c r="D27" s="162">
        <v>0</v>
      </c>
      <c r="E27" s="1291">
        <f t="shared" si="0"/>
        <v>0</v>
      </c>
      <c r="L27" s="937"/>
      <c r="M27" s="55"/>
    </row>
    <row r="28" spans="1:13">
      <c r="A28" s="27" t="s">
        <v>22</v>
      </c>
      <c r="B28" s="25">
        <f>('[18]STMT OF FIN.POSTN'!$J$8+'[18]STMT OF FIN.POSTN'!$J$12)/1000</f>
        <v>319144.94610400003</v>
      </c>
      <c r="C28" s="25">
        <f>[4]EIAL!$B28</f>
        <v>733957.73670000001</v>
      </c>
      <c r="D28" s="25">
        <f>B28-C28</f>
        <v>-414812.79059599998</v>
      </c>
      <c r="E28" s="1292">
        <f t="shared" si="0"/>
        <v>-0.56517258399791448</v>
      </c>
      <c r="L28" s="937"/>
      <c r="M28" s="55"/>
    </row>
    <row r="29" spans="1:13">
      <c r="A29" s="29" t="s">
        <v>23</v>
      </c>
      <c r="B29" s="39">
        <f>SUM(B8:B28)</f>
        <v>672554.106654</v>
      </c>
      <c r="C29" s="39">
        <f>SUM(C8:C28)</f>
        <v>1425768.9287999999</v>
      </c>
      <c r="D29" s="30">
        <f>B29-C29</f>
        <v>-753214.82214599987</v>
      </c>
      <c r="E29" s="1293">
        <f>D29/C29</f>
        <v>-0.52828674193366243</v>
      </c>
      <c r="F29" s="901"/>
      <c r="G29" s="55"/>
      <c r="L29" s="140"/>
      <c r="M29" s="55"/>
    </row>
    <row r="30" spans="1:13">
      <c r="A30" s="31"/>
      <c r="B30" s="25"/>
      <c r="C30" s="76"/>
      <c r="D30" s="32"/>
      <c r="E30" s="1294"/>
      <c r="L30" s="937"/>
      <c r="M30" s="55"/>
    </row>
    <row r="31" spans="1:13">
      <c r="A31" s="31" t="s">
        <v>24</v>
      </c>
      <c r="B31" s="25"/>
      <c r="C31" s="25"/>
      <c r="D31" s="24"/>
      <c r="E31" s="1291"/>
      <c r="L31" s="937"/>
      <c r="M31" s="55"/>
    </row>
    <row r="32" spans="1:13">
      <c r="A32" s="27" t="s">
        <v>25</v>
      </c>
      <c r="B32" s="25">
        <v>0</v>
      </c>
      <c r="C32" s="25">
        <f>[4]EIAL!$B32</f>
        <v>0</v>
      </c>
      <c r="D32" s="162">
        <v>0</v>
      </c>
      <c r="E32" s="1291">
        <f t="shared" ref="E32:E43" si="1">IFERROR(D32/C32,0)</f>
        <v>0</v>
      </c>
      <c r="L32" s="937"/>
      <c r="M32" s="55"/>
    </row>
    <row r="33" spans="1:13">
      <c r="A33" s="27" t="s">
        <v>26</v>
      </c>
      <c r="B33" s="25">
        <v>0</v>
      </c>
      <c r="C33" s="25">
        <f>[4]EIAL!$B33</f>
        <v>0</v>
      </c>
      <c r="D33" s="162">
        <v>0</v>
      </c>
      <c r="E33" s="1291">
        <f t="shared" si="1"/>
        <v>0</v>
      </c>
      <c r="L33" s="937"/>
      <c r="M33" s="55"/>
    </row>
    <row r="34" spans="1:13" ht="25.5">
      <c r="A34" s="27" t="s">
        <v>27</v>
      </c>
      <c r="B34" s="25">
        <v>0</v>
      </c>
      <c r="C34" s="25">
        <f>[4]EIAL!$B34</f>
        <v>0</v>
      </c>
      <c r="D34" s="162">
        <v>0</v>
      </c>
      <c r="E34" s="1291">
        <f t="shared" si="1"/>
        <v>0</v>
      </c>
      <c r="L34" s="937"/>
      <c r="M34" s="55"/>
    </row>
    <row r="35" spans="1:13" ht="25.5">
      <c r="A35" s="27" t="s">
        <v>28</v>
      </c>
      <c r="B35" s="25">
        <v>0</v>
      </c>
      <c r="C35" s="25">
        <f>[4]EIAL!$B35</f>
        <v>0</v>
      </c>
      <c r="D35" s="162">
        <v>0</v>
      </c>
      <c r="E35" s="1291">
        <f t="shared" si="1"/>
        <v>0</v>
      </c>
      <c r="L35" s="937"/>
      <c r="M35" s="55"/>
    </row>
    <row r="36" spans="1:13">
      <c r="A36" s="27" t="s">
        <v>29</v>
      </c>
      <c r="B36" s="25">
        <v>0</v>
      </c>
      <c r="C36" s="25">
        <f>[4]EIAL!$B36</f>
        <v>0</v>
      </c>
      <c r="D36" s="162">
        <v>0</v>
      </c>
      <c r="E36" s="1291">
        <f t="shared" si="1"/>
        <v>0</v>
      </c>
      <c r="L36" s="937"/>
      <c r="M36" s="55"/>
    </row>
    <row r="37" spans="1:13">
      <c r="A37" s="27" t="s">
        <v>30</v>
      </c>
      <c r="B37" s="25">
        <v>0</v>
      </c>
      <c r="C37" s="25">
        <f>[4]EIAL!$B37</f>
        <v>0</v>
      </c>
      <c r="D37" s="162">
        <v>0</v>
      </c>
      <c r="E37" s="1291">
        <f t="shared" si="1"/>
        <v>0</v>
      </c>
      <c r="L37" s="937"/>
      <c r="M37" s="55"/>
    </row>
    <row r="38" spans="1:13">
      <c r="A38" s="27" t="s">
        <v>31</v>
      </c>
      <c r="B38" s="25"/>
      <c r="C38" s="25">
        <v>0</v>
      </c>
      <c r="D38" s="24">
        <f>B38-C38</f>
        <v>0</v>
      </c>
      <c r="E38" s="1291">
        <f t="shared" si="1"/>
        <v>0</v>
      </c>
      <c r="L38" s="937"/>
      <c r="M38" s="55"/>
    </row>
    <row r="39" spans="1:13">
      <c r="A39" s="27" t="s">
        <v>32</v>
      </c>
      <c r="B39" s="25">
        <f>('[18]STMT OF FIN.POSTN'!$J$20)/1000</f>
        <v>0</v>
      </c>
      <c r="C39" s="25">
        <f>[4]EIAL!$B39</f>
        <v>0</v>
      </c>
      <c r="D39" s="165">
        <f>B39-C39</f>
        <v>0</v>
      </c>
      <c r="E39" s="1291">
        <f t="shared" si="1"/>
        <v>0</v>
      </c>
      <c r="L39" s="937"/>
      <c r="M39" s="55"/>
    </row>
    <row r="40" spans="1:13">
      <c r="A40" s="27" t="s">
        <v>33</v>
      </c>
      <c r="B40" s="25">
        <f>'[18]STMT OF FIN.POSTN'!$J$19/1000</f>
        <v>0</v>
      </c>
      <c r="C40" s="25">
        <f>[4]EIAL!$B40</f>
        <v>0</v>
      </c>
      <c r="D40" s="165">
        <f>B40-C40</f>
        <v>0</v>
      </c>
      <c r="E40" s="1291">
        <f t="shared" si="1"/>
        <v>0</v>
      </c>
      <c r="L40" s="937"/>
      <c r="M40" s="55"/>
    </row>
    <row r="41" spans="1:13">
      <c r="A41" s="27" t="s">
        <v>34</v>
      </c>
      <c r="B41" s="25">
        <v>0</v>
      </c>
      <c r="C41" s="25">
        <f>[4]EIAL!$B41</f>
        <v>0</v>
      </c>
      <c r="D41" s="165">
        <v>0</v>
      </c>
      <c r="E41" s="1291">
        <f t="shared" si="1"/>
        <v>0</v>
      </c>
      <c r="L41" s="937"/>
      <c r="M41" s="55"/>
    </row>
    <row r="42" spans="1:13">
      <c r="A42" s="27" t="s">
        <v>35</v>
      </c>
      <c r="B42" s="25">
        <v>0</v>
      </c>
      <c r="C42" s="25">
        <f>[4]EIAL!$B42</f>
        <v>0</v>
      </c>
      <c r="D42" s="162">
        <v>0</v>
      </c>
      <c r="E42" s="1291">
        <f t="shared" si="1"/>
        <v>0</v>
      </c>
      <c r="L42" s="937"/>
      <c r="M42" s="55"/>
    </row>
    <row r="43" spans="1:13">
      <c r="A43" s="27" t="s">
        <v>36</v>
      </c>
      <c r="B43" s="25">
        <f>(('[18]STMT OF FIN.POSTN'!$J$17+'[18]STMT OF FIN.POSTN'!$J$18)/1000)</f>
        <v>254565.81679000001</v>
      </c>
      <c r="C43" s="25">
        <f>[4]EIAL!$B43+[4]EIAL!$B38</f>
        <v>948162.18782999972</v>
      </c>
      <c r="D43" s="24">
        <f>B43-C43</f>
        <v>-693596.37103999965</v>
      </c>
      <c r="E43" s="1292">
        <f t="shared" si="1"/>
        <v>-0.73151659066619268</v>
      </c>
      <c r="L43" s="937"/>
      <c r="M43" s="55"/>
    </row>
    <row r="44" spans="1:13">
      <c r="A44" s="29" t="s">
        <v>37</v>
      </c>
      <c r="B44" s="39">
        <f>SUM(B32:B43)</f>
        <v>254565.81679000001</v>
      </c>
      <c r="C44" s="39">
        <f>SUM(C32:C43)</f>
        <v>948162.18782999972</v>
      </c>
      <c r="D44" s="30">
        <f>B44-C44</f>
        <v>-693596.37103999965</v>
      </c>
      <c r="E44" s="1294">
        <f>D44/C44</f>
        <v>-0.73151659066619268</v>
      </c>
      <c r="L44" s="140"/>
      <c r="M44" s="55"/>
    </row>
    <row r="45" spans="1:13">
      <c r="A45" s="31"/>
      <c r="B45" s="25"/>
      <c r="C45" s="60"/>
      <c r="D45" s="32"/>
      <c r="E45" s="1292"/>
      <c r="L45" s="937"/>
      <c r="M45" s="55"/>
    </row>
    <row r="46" spans="1:13">
      <c r="A46" s="29" t="s">
        <v>38</v>
      </c>
      <c r="B46" s="39"/>
      <c r="C46" s="39"/>
      <c r="D46" s="30">
        <f>(B45-C45)</f>
        <v>0</v>
      </c>
      <c r="E46" s="1291"/>
      <c r="L46" s="140"/>
      <c r="M46" s="55"/>
    </row>
    <row r="47" spans="1:13">
      <c r="A47" s="27" t="s">
        <v>39</v>
      </c>
      <c r="B47" s="25">
        <f>'[18]STMT OF FIN.POSTN'!$J$24/1000</f>
        <v>100000</v>
      </c>
      <c r="C47" s="25">
        <f>[4]EIAL!$B47</f>
        <v>100000</v>
      </c>
      <c r="D47" s="24">
        <f>B47-C47</f>
        <v>0</v>
      </c>
      <c r="E47" s="1291">
        <f t="shared" ref="E47:E53" si="2">IFERROR(D47/C47,0)</f>
        <v>0</v>
      </c>
      <c r="L47" s="937"/>
      <c r="M47" s="55"/>
    </row>
    <row r="48" spans="1:13">
      <c r="A48" s="27" t="s">
        <v>40</v>
      </c>
      <c r="B48" s="25">
        <v>0</v>
      </c>
      <c r="C48" s="25">
        <f>[4]EIAL!$B48</f>
        <v>0</v>
      </c>
      <c r="D48" s="162">
        <v>0</v>
      </c>
      <c r="E48" s="1291">
        <f t="shared" si="2"/>
        <v>0</v>
      </c>
      <c r="F48" s="177"/>
      <c r="G48" s="70"/>
      <c r="L48" s="937"/>
      <c r="M48" s="55"/>
    </row>
    <row r="49" spans="1:13">
      <c r="A49" s="27" t="s">
        <v>41</v>
      </c>
      <c r="B49" s="25">
        <v>0</v>
      </c>
      <c r="C49" s="25">
        <f>[4]EIAL!$B49</f>
        <v>0</v>
      </c>
      <c r="D49" s="162">
        <v>0</v>
      </c>
      <c r="E49" s="1291">
        <f t="shared" si="2"/>
        <v>0</v>
      </c>
      <c r="L49" s="937"/>
      <c r="M49" s="55"/>
    </row>
    <row r="50" spans="1:13">
      <c r="A50" s="27" t="s">
        <v>42</v>
      </c>
      <c r="B50" s="25">
        <f>'[18]STMT OF FIN.POSTN'!$J$25/1000</f>
        <v>317988.29056399997</v>
      </c>
      <c r="C50" s="25">
        <f>[4]EIAL!$B50</f>
        <v>377606.74097000004</v>
      </c>
      <c r="D50" s="24">
        <f>B50-C50</f>
        <v>-59618.450406000076</v>
      </c>
      <c r="E50" s="1291">
        <f t="shared" si="2"/>
        <v>-0.15788502676846181</v>
      </c>
      <c r="F50" s="475" t="s">
        <v>520</v>
      </c>
      <c r="G50" s="55">
        <v>131471.86193000001</v>
      </c>
      <c r="H50" s="55">
        <f>B50-G50+B40</f>
        <v>186516.42863399995</v>
      </c>
      <c r="L50" s="937"/>
      <c r="M50" s="55"/>
    </row>
    <row r="51" spans="1:13" ht="25.5">
      <c r="A51" s="27" t="s">
        <v>43</v>
      </c>
      <c r="B51" s="25">
        <v>0</v>
      </c>
      <c r="C51" s="25">
        <f>[4]EIAL!$B51</f>
        <v>0</v>
      </c>
      <c r="D51" s="162">
        <v>0</v>
      </c>
      <c r="E51" s="1291">
        <f t="shared" si="2"/>
        <v>0</v>
      </c>
      <c r="F51" s="475" t="s">
        <v>521</v>
      </c>
      <c r="H51" s="55">
        <f>B98</f>
        <v>186636.41578399995</v>
      </c>
      <c r="L51" s="937"/>
      <c r="M51" s="55"/>
    </row>
    <row r="52" spans="1:13">
      <c r="A52" s="27" t="s">
        <v>44</v>
      </c>
      <c r="B52" s="25">
        <v>0</v>
      </c>
      <c r="C52" s="25">
        <f>[4]EIAL!$B52</f>
        <v>0</v>
      </c>
      <c r="D52" s="165">
        <f>B52-C52</f>
        <v>0</v>
      </c>
      <c r="E52" s="1291">
        <f t="shared" si="2"/>
        <v>0</v>
      </c>
      <c r="F52" s="243" t="s">
        <v>765</v>
      </c>
      <c r="H52" s="55"/>
      <c r="L52" s="937"/>
      <c r="M52" s="55"/>
    </row>
    <row r="53" spans="1:13">
      <c r="A53" s="27" t="s">
        <v>45</v>
      </c>
      <c r="B53" s="162"/>
      <c r="C53" s="25">
        <f>[4]EIAL!$B53</f>
        <v>0</v>
      </c>
      <c r="D53" s="162">
        <v>0</v>
      </c>
      <c r="E53" s="1291">
        <f t="shared" si="2"/>
        <v>0</v>
      </c>
      <c r="F53" s="475"/>
      <c r="H53" s="55">
        <f>H50-H51-H52+J49+G48/1000</f>
        <v>-119.98715000000084</v>
      </c>
      <c r="I53" s="709" t="s">
        <v>519</v>
      </c>
      <c r="L53" s="938"/>
      <c r="M53" s="55"/>
    </row>
    <row r="54" spans="1:13">
      <c r="A54" s="29" t="s">
        <v>46</v>
      </c>
      <c r="B54" s="39">
        <f>SUM(B47:B53)</f>
        <v>417988.29056399997</v>
      </c>
      <c r="C54" s="39">
        <f>SUM(C47:C53)</f>
        <v>477606.74097000004</v>
      </c>
      <c r="D54" s="30">
        <f>B54-C54</f>
        <v>-59618.450406000076</v>
      </c>
      <c r="E54" s="1292">
        <f>D54/C54</f>
        <v>-0.12482748942135408</v>
      </c>
      <c r="H54" s="55"/>
      <c r="L54" s="140"/>
      <c r="M54" s="55"/>
    </row>
    <row r="55" spans="1:13">
      <c r="A55" s="34"/>
      <c r="B55" s="80"/>
      <c r="C55" s="170"/>
      <c r="D55" s="35"/>
      <c r="E55" s="1294"/>
      <c r="H55" s="177"/>
      <c r="L55" s="80"/>
      <c r="M55" s="55"/>
    </row>
    <row r="56" spans="1:13" ht="13.5" thickBot="1">
      <c r="A56" s="95" t="s">
        <v>47</v>
      </c>
      <c r="B56" s="94">
        <f>B44+B54</f>
        <v>672554.10735399998</v>
      </c>
      <c r="C56" s="94">
        <f>C44+C54</f>
        <v>1425768.9287999999</v>
      </c>
      <c r="D56" s="94">
        <f>B56-C56</f>
        <v>-753214.8214459999</v>
      </c>
      <c r="E56" s="1295">
        <f>D56/C56</f>
        <v>-0.52828674144269927</v>
      </c>
      <c r="L56" s="140"/>
      <c r="M56" s="55"/>
    </row>
    <row r="57" spans="1:13" ht="20.25">
      <c r="A57" s="1545" t="str">
        <f>A2</f>
        <v>Equity Bancassurance Intermediary Ltd</v>
      </c>
      <c r="B57" s="1568"/>
      <c r="C57" s="171">
        <f>B56-B29</f>
        <v>6.99999975040555E-4</v>
      </c>
      <c r="D57" s="164"/>
      <c r="E57" s="172"/>
      <c r="L57" s="55"/>
      <c r="M57" s="55"/>
    </row>
    <row r="58" spans="1:13">
      <c r="A58" s="36" t="s">
        <v>48</v>
      </c>
      <c r="B58" s="1191">
        <f>B3</f>
        <v>45046</v>
      </c>
      <c r="C58" s="1191">
        <f>C3</f>
        <v>44681</v>
      </c>
      <c r="D58" s="1580" t="s">
        <v>85</v>
      </c>
      <c r="E58" s="1580" t="s">
        <v>86</v>
      </c>
      <c r="F58" s="475"/>
      <c r="G58" s="55"/>
      <c r="L58" s="686"/>
      <c r="M58" s="55"/>
    </row>
    <row r="59" spans="1:13">
      <c r="A59" s="36"/>
      <c r="B59" s="19" t="s">
        <v>97</v>
      </c>
      <c r="C59" s="19" t="s">
        <v>97</v>
      </c>
      <c r="D59" s="1538"/>
      <c r="E59" s="1538"/>
      <c r="L59" s="686"/>
      <c r="M59" s="55"/>
    </row>
    <row r="60" spans="1:13" ht="13.5" thickBot="1">
      <c r="A60" s="36"/>
      <c r="B60" s="19" t="s">
        <v>879</v>
      </c>
      <c r="C60" s="19" t="s">
        <v>879</v>
      </c>
      <c r="D60" s="36"/>
      <c r="E60" s="58"/>
      <c r="L60" s="686"/>
      <c r="M60" s="55"/>
    </row>
    <row r="61" spans="1:13">
      <c r="A61" s="37" t="s">
        <v>49</v>
      </c>
      <c r="B61" s="38"/>
      <c r="C61" s="38"/>
      <c r="D61" s="38"/>
      <c r="E61" s="63"/>
      <c r="L61" s="939"/>
      <c r="M61" s="55"/>
    </row>
    <row r="62" spans="1:13">
      <c r="A62" s="27" t="s">
        <v>50</v>
      </c>
      <c r="B62" s="162">
        <v>0</v>
      </c>
      <c r="C62" s="162">
        <f>[4]EIAL!$B62</f>
        <v>0</v>
      </c>
      <c r="D62" s="162">
        <v>0</v>
      </c>
      <c r="E62" s="1302">
        <f>IFERROR(D62/C62,0)</f>
        <v>0</v>
      </c>
      <c r="L62" s="938"/>
      <c r="M62" s="55"/>
    </row>
    <row r="63" spans="1:13">
      <c r="A63" s="27" t="s">
        <v>51</v>
      </c>
      <c r="B63" s="162">
        <v>0</v>
      </c>
      <c r="C63" s="165">
        <f>[4]EIAL!$B63</f>
        <v>0</v>
      </c>
      <c r="D63" s="162">
        <v>0</v>
      </c>
      <c r="E63" s="1302">
        <f>IFERROR(D63/C63,0)</f>
        <v>0</v>
      </c>
      <c r="L63" s="938"/>
      <c r="M63" s="55"/>
    </row>
    <row r="64" spans="1:13" ht="15.75">
      <c r="A64" s="27" t="s">
        <v>52</v>
      </c>
      <c r="B64" s="165">
        <v>6075.89</v>
      </c>
      <c r="C64" s="165">
        <f>[4]EIAL!$B$64</f>
        <v>5987.1566300000004</v>
      </c>
      <c r="D64" s="165">
        <f>B64-C64</f>
        <v>88.733369999999923</v>
      </c>
      <c r="E64" s="1302">
        <f>IFERROR(D64/C64,0)</f>
        <v>1.4820619449870634E-2</v>
      </c>
      <c r="L64" s="940"/>
      <c r="M64" s="55"/>
    </row>
    <row r="65" spans="1:13">
      <c r="A65" s="27" t="s">
        <v>53</v>
      </c>
      <c r="B65" s="162">
        <v>0</v>
      </c>
      <c r="C65" s="162">
        <f>[4]EIAL!$B65</f>
        <v>0</v>
      </c>
      <c r="D65" s="162">
        <f>B65-C65</f>
        <v>0</v>
      </c>
      <c r="E65" s="1302">
        <f>IFERROR(D65/C65,0)</f>
        <v>0</v>
      </c>
      <c r="L65" s="938"/>
      <c r="M65" s="55"/>
    </row>
    <row r="66" spans="1:13">
      <c r="A66" s="29" t="s">
        <v>54</v>
      </c>
      <c r="B66" s="39">
        <f>SUM(B62:B65)</f>
        <v>6075.89</v>
      </c>
      <c r="C66" s="39">
        <f>SUM(C62:C65)</f>
        <v>5987.1566300000004</v>
      </c>
      <c r="D66" s="39">
        <f>B66-C66</f>
        <v>88.733369999999923</v>
      </c>
      <c r="E66" s="1292">
        <f>IFERROR(D66/C66,0)</f>
        <v>1.4820619449870634E-2</v>
      </c>
      <c r="L66" s="140"/>
      <c r="M66" s="55"/>
    </row>
    <row r="67" spans="1:13">
      <c r="A67" s="31"/>
      <c r="B67" s="32"/>
      <c r="C67" s="162"/>
      <c r="D67" s="32"/>
      <c r="E67" s="1293"/>
      <c r="L67" s="140"/>
      <c r="M67" s="55"/>
    </row>
    <row r="68" spans="1:13">
      <c r="A68" s="31" t="s">
        <v>55</v>
      </c>
      <c r="B68" s="24"/>
      <c r="C68" s="162"/>
      <c r="D68" s="24"/>
      <c r="E68" s="1294"/>
      <c r="L68" s="937"/>
      <c r="M68" s="55"/>
    </row>
    <row r="69" spans="1:13">
      <c r="A69" s="27" t="s">
        <v>56</v>
      </c>
      <c r="B69" s="162">
        <v>0</v>
      </c>
      <c r="C69" s="162">
        <f>[4]EIAL!$B69</f>
        <v>0</v>
      </c>
      <c r="D69" s="162">
        <v>0</v>
      </c>
      <c r="E69" s="1302">
        <f>IFERROR(D69/C69,0)</f>
        <v>0</v>
      </c>
      <c r="L69" s="938"/>
      <c r="M69" s="55"/>
    </row>
    <row r="70" spans="1:13">
      <c r="A70" s="27" t="s">
        <v>57</v>
      </c>
      <c r="B70" s="162">
        <v>0</v>
      </c>
      <c r="C70" s="162">
        <f>[4]EIAL!$B70</f>
        <v>0</v>
      </c>
      <c r="D70" s="162">
        <v>0</v>
      </c>
      <c r="E70" s="1302">
        <f>IFERROR(D70/C70,0)</f>
        <v>0</v>
      </c>
      <c r="L70" s="938"/>
      <c r="M70" s="55"/>
    </row>
    <row r="71" spans="1:13">
      <c r="A71" s="27" t="s">
        <v>58</v>
      </c>
      <c r="B71" s="162">
        <v>0</v>
      </c>
      <c r="C71" s="162">
        <f>[4]EIAL!$B71</f>
        <v>0</v>
      </c>
      <c r="D71" s="162">
        <v>0</v>
      </c>
      <c r="E71" s="1302">
        <f>IFERROR(D71/C71,0)</f>
        <v>0</v>
      </c>
      <c r="L71" s="938"/>
      <c r="M71" s="55"/>
    </row>
    <row r="72" spans="1:13">
      <c r="A72" s="29" t="s">
        <v>59</v>
      </c>
      <c r="B72" s="39">
        <f>SUM(B69:B71)</f>
        <v>0</v>
      </c>
      <c r="C72" s="39">
        <f>SUM(C69:C71)</f>
        <v>0</v>
      </c>
      <c r="D72" s="39">
        <v>0</v>
      </c>
      <c r="E72" s="1292">
        <f>IFERROR(D72/C72,0)</f>
        <v>0</v>
      </c>
      <c r="L72" s="140"/>
      <c r="M72" s="55"/>
    </row>
    <row r="73" spans="1:13">
      <c r="A73" s="29" t="s">
        <v>60</v>
      </c>
      <c r="B73" s="39">
        <f>B66-B72</f>
        <v>6075.89</v>
      </c>
      <c r="C73" s="39">
        <f>C66-C72</f>
        <v>5987.1566300000004</v>
      </c>
      <c r="D73" s="39">
        <f>B73-C73</f>
        <v>88.733369999999923</v>
      </c>
      <c r="E73" s="1292">
        <f>IFERROR(D73/C73,0)</f>
        <v>1.4820619449870634E-2</v>
      </c>
      <c r="L73" s="140"/>
      <c r="M73" s="55"/>
    </row>
    <row r="74" spans="1:13">
      <c r="A74" s="31"/>
      <c r="B74" s="40"/>
      <c r="C74" s="162"/>
      <c r="D74" s="40"/>
      <c r="E74" s="1302"/>
      <c r="L74" s="140"/>
      <c r="M74" s="55"/>
    </row>
    <row r="75" spans="1:13">
      <c r="A75" s="31" t="s">
        <v>61</v>
      </c>
      <c r="B75" s="165"/>
      <c r="C75" s="162"/>
      <c r="D75" s="41"/>
      <c r="E75" s="1303"/>
      <c r="L75" s="941"/>
      <c r="M75" s="55"/>
    </row>
    <row r="76" spans="1:13">
      <c r="A76" s="27" t="s">
        <v>62</v>
      </c>
      <c r="B76" s="162">
        <v>0</v>
      </c>
      <c r="C76" s="162">
        <f>[4]EIAL!$B76</f>
        <v>0</v>
      </c>
      <c r="D76" s="162">
        <v>0</v>
      </c>
      <c r="E76" s="1302">
        <f>IFERROR(D76/C76,0)</f>
        <v>0</v>
      </c>
      <c r="L76" s="938"/>
      <c r="M76" s="55"/>
    </row>
    <row r="77" spans="1:13">
      <c r="A77" s="27" t="s">
        <v>63</v>
      </c>
      <c r="B77" s="162">
        <v>0</v>
      </c>
      <c r="C77" s="162">
        <f>[4]EIAL!$B77</f>
        <v>0</v>
      </c>
      <c r="D77" s="162">
        <v>0</v>
      </c>
      <c r="E77" s="1302">
        <f>IFERROR(D77/C77,0)</f>
        <v>0</v>
      </c>
      <c r="L77" s="938"/>
      <c r="M77" s="55"/>
    </row>
    <row r="78" spans="1:13">
      <c r="A78" s="27" t="s">
        <v>64</v>
      </c>
      <c r="B78" s="162">
        <v>0</v>
      </c>
      <c r="C78" s="162">
        <f>[4]EIAL!$B78</f>
        <v>0</v>
      </c>
      <c r="D78" s="162">
        <v>0</v>
      </c>
      <c r="E78" s="1302">
        <f>IFERROR(D78/C78,0)</f>
        <v>0</v>
      </c>
      <c r="L78" s="938"/>
      <c r="M78" s="55"/>
    </row>
    <row r="79" spans="1:13">
      <c r="A79" s="27" t="s">
        <v>65</v>
      </c>
      <c r="B79" s="162">
        <v>0</v>
      </c>
      <c r="C79" s="162">
        <f>[4]EIAL!$B79</f>
        <v>0</v>
      </c>
      <c r="D79" s="162">
        <v>0</v>
      </c>
      <c r="E79" s="1302">
        <f>IFERROR(D79/C79,0)</f>
        <v>0</v>
      </c>
      <c r="L79" s="938"/>
      <c r="M79" s="55"/>
    </row>
    <row r="80" spans="1:13">
      <c r="A80" s="27" t="s">
        <v>66</v>
      </c>
      <c r="B80" s="689">
        <f>(('[18]STMT OF COMP. INCOME 2022'!$M$22)/1000)-B64</f>
        <v>382643.11085999996</v>
      </c>
      <c r="C80" s="165">
        <f>[4]EIAL!$B80</f>
        <v>459889.24792000005</v>
      </c>
      <c r="D80" s="41">
        <f>B80-C80</f>
        <v>-77246.137060000096</v>
      </c>
      <c r="E80" s="1302">
        <f>IFERROR(D80/C80,0)</f>
        <v>-0.1679668255115141</v>
      </c>
      <c r="L80" s="942"/>
      <c r="M80" s="55"/>
    </row>
    <row r="81" spans="1:13">
      <c r="A81" s="29" t="s">
        <v>67</v>
      </c>
      <c r="B81" s="39">
        <f>B80</f>
        <v>382643.11085999996</v>
      </c>
      <c r="C81" s="39">
        <f>SUM(C76:C80)</f>
        <v>459889.24792000005</v>
      </c>
      <c r="D81" s="39">
        <f>(B80-C80)</f>
        <v>-77246.137060000096</v>
      </c>
      <c r="E81" s="1292">
        <f>D81/C80</f>
        <v>-0.1679668255115141</v>
      </c>
      <c r="L81" s="140"/>
      <c r="M81" s="55"/>
    </row>
    <row r="82" spans="1:13">
      <c r="A82" s="29" t="s">
        <v>68</v>
      </c>
      <c r="B82" s="39">
        <f>B73+B81</f>
        <v>388719.00085999997</v>
      </c>
      <c r="C82" s="39">
        <f>C73+C81</f>
        <v>465876.40455000004</v>
      </c>
      <c r="D82" s="39">
        <f>(B81-C81)</f>
        <v>-77246.137060000096</v>
      </c>
      <c r="E82" s="1292">
        <f>D82/C81</f>
        <v>-0.1679668255115141</v>
      </c>
      <c r="L82" s="140"/>
      <c r="M82" s="55"/>
    </row>
    <row r="83" spans="1:13">
      <c r="A83" s="31"/>
      <c r="B83" s="42"/>
      <c r="C83" s="162"/>
      <c r="D83" s="42"/>
      <c r="E83" s="1303"/>
      <c r="L83" s="140"/>
      <c r="M83" s="55"/>
    </row>
    <row r="84" spans="1:13">
      <c r="A84" s="31" t="s">
        <v>69</v>
      </c>
      <c r="B84" s="43"/>
      <c r="C84" s="162"/>
      <c r="D84" s="43"/>
      <c r="E84" s="1303"/>
      <c r="L84" s="937"/>
      <c r="M84" s="55"/>
    </row>
    <row r="85" spans="1:13">
      <c r="A85" s="27" t="s">
        <v>70</v>
      </c>
      <c r="B85" s="165">
        <v>0</v>
      </c>
      <c r="C85" s="165">
        <f>[4]EIAL!$B85</f>
        <v>0</v>
      </c>
      <c r="D85" s="43">
        <f t="shared" ref="D85:D91" si="3">B85-C85</f>
        <v>0</v>
      </c>
      <c r="E85" s="1302">
        <f t="shared" ref="E85:E91" si="4">IFERROR(D85/C85,0)</f>
        <v>0</v>
      </c>
      <c r="L85" s="941"/>
      <c r="M85" s="55"/>
    </row>
    <row r="86" spans="1:13">
      <c r="A86" s="27" t="s">
        <v>71</v>
      </c>
      <c r="B86" s="165">
        <f>'[18]STMT OF COMP. INCOME 2022'!$M$40/1000</f>
        <v>73431.509279999998</v>
      </c>
      <c r="C86" s="165">
        <f>[4]EIAL!$B86</f>
        <v>65422.002270000005</v>
      </c>
      <c r="D86" s="43">
        <f t="shared" si="3"/>
        <v>8009.5070099999939</v>
      </c>
      <c r="E86" s="1302">
        <f t="shared" si="4"/>
        <v>0.12242833805276002</v>
      </c>
      <c r="L86" s="941"/>
      <c r="M86" s="55"/>
    </row>
    <row r="87" spans="1:13">
      <c r="A87" s="27" t="s">
        <v>72</v>
      </c>
      <c r="B87" s="165">
        <v>0</v>
      </c>
      <c r="C87" s="165">
        <f>[4]EIAL!$B87</f>
        <v>0</v>
      </c>
      <c r="D87" s="43">
        <f t="shared" si="3"/>
        <v>0</v>
      </c>
      <c r="E87" s="1302">
        <f t="shared" si="4"/>
        <v>0</v>
      </c>
      <c r="J87" s="455"/>
      <c r="L87" s="941"/>
      <c r="M87" s="55"/>
    </row>
    <row r="88" spans="1:13">
      <c r="A88" s="27" t="s">
        <v>73</v>
      </c>
      <c r="B88" s="165">
        <f>'[18]STMT OF COMP. INCOME 2022'!$M$38/1000</f>
        <v>8485.42965</v>
      </c>
      <c r="C88" s="165">
        <f>[4]EIAL!$B88</f>
        <v>14240.162</v>
      </c>
      <c r="D88" s="43">
        <f t="shared" si="3"/>
        <v>-5754.7323500000002</v>
      </c>
      <c r="E88" s="1302">
        <f t="shared" si="4"/>
        <v>-0.40411986534984645</v>
      </c>
      <c r="G88" s="309"/>
      <c r="H88" s="309"/>
      <c r="I88" s="311"/>
      <c r="L88" s="941"/>
      <c r="M88" s="55"/>
    </row>
    <row r="89" spans="1:13">
      <c r="A89" s="27" t="s">
        <v>74</v>
      </c>
      <c r="B89" s="165">
        <v>0</v>
      </c>
      <c r="C89" s="165">
        <f>[4]EIAL!$B89</f>
        <v>0</v>
      </c>
      <c r="D89" s="43">
        <f t="shared" si="3"/>
        <v>0</v>
      </c>
      <c r="E89" s="1302">
        <f t="shared" si="4"/>
        <v>0</v>
      </c>
      <c r="L89" s="941"/>
      <c r="M89" s="55"/>
    </row>
    <row r="90" spans="1:13" ht="15.75">
      <c r="A90" s="27" t="s">
        <v>75</v>
      </c>
      <c r="B90" s="165">
        <f>'[18]STMT OF COMP. INCOME 2022'!$M$31/1000</f>
        <v>2206.8943799999997</v>
      </c>
      <c r="C90" s="165">
        <f>[4]EIAL!$B90</f>
        <v>1793.4556499999999</v>
      </c>
      <c r="D90" s="43">
        <f t="shared" si="3"/>
        <v>413.43872999999985</v>
      </c>
      <c r="E90" s="1302">
        <f t="shared" si="4"/>
        <v>0.23052631939908849</v>
      </c>
      <c r="G90" s="284"/>
      <c r="H90" s="284"/>
      <c r="L90" s="941"/>
      <c r="M90" s="55"/>
    </row>
    <row r="91" spans="1:13">
      <c r="A91" s="27" t="s">
        <v>76</v>
      </c>
      <c r="B91" s="689">
        <f>('[18]STMT OF COMP. INCOME 2022'!$M$51/1000)-SUM(B85:B90)</f>
        <v>37971.71643000003</v>
      </c>
      <c r="C91" s="165">
        <f>[4]EIAL!$B91</f>
        <v>31249.635529999985</v>
      </c>
      <c r="D91" s="43">
        <f t="shared" si="3"/>
        <v>6722.0809000000445</v>
      </c>
      <c r="E91" s="1302">
        <f t="shared" si="4"/>
        <v>0.21510909762601149</v>
      </c>
      <c r="L91" s="942"/>
      <c r="M91" s="55"/>
    </row>
    <row r="92" spans="1:13">
      <c r="A92" s="29" t="s">
        <v>77</v>
      </c>
      <c r="B92" s="39">
        <f>SUM(B85:B91)</f>
        <v>122095.54974000003</v>
      </c>
      <c r="C92" s="39">
        <f>SUM(C85:C91)</f>
        <v>112705.25545</v>
      </c>
      <c r="D92" s="39">
        <f>B92-C92</f>
        <v>9390.2942900000344</v>
      </c>
      <c r="E92" s="1292">
        <f>D92/C92</f>
        <v>8.3317270809664223E-2</v>
      </c>
      <c r="F92" s="177"/>
      <c r="G92" s="70"/>
      <c r="L92" s="140"/>
      <c r="M92" s="55"/>
    </row>
    <row r="93" spans="1:13">
      <c r="A93" s="29" t="s">
        <v>78</v>
      </c>
      <c r="B93" s="39">
        <f>B82-B92</f>
        <v>266623.45111999993</v>
      </c>
      <c r="C93" s="39">
        <f>C82-C92</f>
        <v>353171.14910000004</v>
      </c>
      <c r="D93" s="39">
        <f>B93-C93</f>
        <v>-86547.697980000114</v>
      </c>
      <c r="E93" s="1292">
        <f>D93/C93</f>
        <v>-0.24505879996300101</v>
      </c>
      <c r="L93" s="140"/>
      <c r="M93" s="55"/>
    </row>
    <row r="94" spans="1:13">
      <c r="A94" s="27" t="s">
        <v>80</v>
      </c>
      <c r="B94" s="81">
        <v>0</v>
      </c>
      <c r="C94" s="165">
        <f>[4]EIAL!$B94</f>
        <v>0</v>
      </c>
      <c r="D94" s="43">
        <v>0</v>
      </c>
      <c r="E94" s="1303">
        <f>IFERROR(D94/C94,0)</f>
        <v>0</v>
      </c>
      <c r="F94" s="476"/>
      <c r="L94" s="937"/>
      <c r="M94" s="55"/>
    </row>
    <row r="95" spans="1:13">
      <c r="A95" s="29" t="s">
        <v>81</v>
      </c>
      <c r="B95" s="39">
        <f>SUM(B93:B94)</f>
        <v>266623.45111999993</v>
      </c>
      <c r="C95" s="39">
        <f>SUM(C93:C94)</f>
        <v>353171.14910000004</v>
      </c>
      <c r="D95" s="39">
        <f>SUM(D93:D94)</f>
        <v>-86547.697980000114</v>
      </c>
      <c r="E95" s="1292">
        <f>D95/C95</f>
        <v>-0.24505879996300101</v>
      </c>
      <c r="J95" s="779"/>
      <c r="L95" s="140"/>
      <c r="M95" s="55"/>
    </row>
    <row r="96" spans="1:13">
      <c r="A96" s="27" t="s">
        <v>91</v>
      </c>
      <c r="B96" s="43">
        <f>-B95*0.3</f>
        <v>-79987.035335999972</v>
      </c>
      <c r="C96" s="165">
        <f>[4]EIAL!$B96</f>
        <v>-105951.34473000001</v>
      </c>
      <c r="D96" s="43">
        <f>B96-C96</f>
        <v>25964.30939400004</v>
      </c>
      <c r="E96" s="1303">
        <f>IFERROR(D96/C96,0)</f>
        <v>-0.24505879996300106</v>
      </c>
      <c r="F96" s="105" t="s">
        <v>644</v>
      </c>
      <c r="G96" s="847">
        <f>-(B96+B97)/B95</f>
        <v>0.3</v>
      </c>
      <c r="H96" s="177"/>
      <c r="I96" s="55"/>
      <c r="J96" s="179"/>
      <c r="L96" s="937"/>
      <c r="M96" s="55"/>
    </row>
    <row r="97" spans="1:13">
      <c r="A97" s="27" t="s">
        <v>92</v>
      </c>
      <c r="B97" s="41">
        <v>0</v>
      </c>
      <c r="C97" s="165">
        <f>[4]EIAL!$B97</f>
        <v>0</v>
      </c>
      <c r="D97" s="43">
        <f>B97-C97</f>
        <v>0</v>
      </c>
      <c r="E97" s="1302">
        <f>IFERROR(D97/C97,0)</f>
        <v>0</v>
      </c>
      <c r="H97" s="177"/>
      <c r="I97" s="55"/>
      <c r="L97" s="937"/>
      <c r="M97" s="55"/>
    </row>
    <row r="98" spans="1:13" ht="13.5" thickBot="1">
      <c r="A98" s="95" t="s">
        <v>93</v>
      </c>
      <c r="B98" s="94">
        <f>SUM(B95:B97)</f>
        <v>186636.41578399995</v>
      </c>
      <c r="C98" s="94">
        <f>SUM(C95:C97)</f>
        <v>247219.80437000003</v>
      </c>
      <c r="D98" s="94">
        <f>SUM(D95:D97)</f>
        <v>-60583.388586000074</v>
      </c>
      <c r="E98" s="1292">
        <f>SUM(E95:E97)</f>
        <v>-0.49011759992600207</v>
      </c>
      <c r="F98" s="177"/>
      <c r="H98" s="177">
        <v>0</v>
      </c>
      <c r="I98" s="55"/>
      <c r="L98" s="140"/>
      <c r="M98" s="55"/>
    </row>
    <row r="99" spans="1:13">
      <c r="A99" s="52"/>
      <c r="B99" s="102"/>
      <c r="C99" s="52"/>
      <c r="D99" s="52"/>
      <c r="E99" s="52"/>
    </row>
    <row r="100" spans="1:13">
      <c r="A100" s="52"/>
      <c r="B100" s="104"/>
      <c r="C100" s="70"/>
      <c r="D100" s="52"/>
      <c r="E100" s="52"/>
      <c r="L100" s="943"/>
    </row>
    <row r="101" spans="1:13">
      <c r="A101" s="52"/>
      <c r="B101" s="102"/>
      <c r="C101" s="403"/>
      <c r="D101" s="52"/>
      <c r="E101" s="52"/>
    </row>
    <row r="102" spans="1:13">
      <c r="A102" s="52"/>
      <c r="B102" s="102"/>
      <c r="C102" s="52"/>
      <c r="D102" s="52"/>
      <c r="E102" s="52"/>
    </row>
    <row r="103" spans="1:13">
      <c r="A103" s="52"/>
      <c r="B103" s="102"/>
      <c r="C103" s="52"/>
      <c r="D103" s="52"/>
      <c r="E103" s="52"/>
    </row>
    <row r="104" spans="1:13">
      <c r="A104" s="52"/>
      <c r="B104" s="102"/>
      <c r="C104" s="52"/>
      <c r="D104" s="52"/>
      <c r="E104" s="52"/>
    </row>
    <row r="105" spans="1:13">
      <c r="A105" s="52"/>
      <c r="B105" s="102"/>
      <c r="C105" s="52"/>
      <c r="D105" s="52"/>
      <c r="E105" s="52"/>
    </row>
    <row r="106" spans="1:13">
      <c r="A106" s="52"/>
      <c r="B106" s="102"/>
      <c r="C106" s="52"/>
      <c r="D106" s="52"/>
      <c r="E106" s="52"/>
    </row>
    <row r="107" spans="1:13">
      <c r="A107" s="52"/>
      <c r="B107" s="102"/>
      <c r="C107" s="52"/>
      <c r="D107" s="52"/>
      <c r="E107" s="52"/>
    </row>
    <row r="108" spans="1:13">
      <c r="A108" s="52"/>
      <c r="B108" s="102"/>
      <c r="C108" s="52"/>
      <c r="D108" s="52"/>
      <c r="E108" s="52"/>
    </row>
    <row r="109" spans="1:13">
      <c r="A109" s="52"/>
      <c r="B109" s="102"/>
      <c r="C109" s="52"/>
      <c r="D109" s="52"/>
      <c r="E109" s="52"/>
    </row>
    <row r="110" spans="1:13">
      <c r="A110" s="52"/>
      <c r="B110" s="102"/>
      <c r="C110" s="52"/>
      <c r="D110" s="52"/>
      <c r="E110" s="52"/>
    </row>
    <row r="111" spans="1:13">
      <c r="A111" s="52"/>
      <c r="B111" s="102"/>
      <c r="C111" s="52"/>
      <c r="D111" s="52"/>
      <c r="E111" s="52"/>
    </row>
    <row r="112" spans="1:13">
      <c r="A112" s="52"/>
      <c r="B112" s="102"/>
      <c r="C112" s="52"/>
      <c r="D112" s="52"/>
      <c r="E112" s="52"/>
    </row>
    <row r="113" spans="1:5">
      <c r="A113" s="52"/>
      <c r="B113" s="102"/>
      <c r="C113" s="52"/>
      <c r="D113" s="52"/>
      <c r="E113" s="52"/>
    </row>
    <row r="114" spans="1:5">
      <c r="A114" s="52"/>
      <c r="B114" s="102"/>
      <c r="C114" s="52"/>
      <c r="D114" s="52"/>
      <c r="E114" s="52"/>
    </row>
    <row r="115" spans="1:5">
      <c r="A115" s="52"/>
      <c r="B115" s="102"/>
      <c r="C115" s="52"/>
      <c r="D115" s="52"/>
      <c r="E115" s="52"/>
    </row>
    <row r="116" spans="1:5">
      <c r="A116" s="52"/>
      <c r="B116" s="102"/>
      <c r="C116" s="52"/>
      <c r="D116" s="52"/>
      <c r="E116" s="52"/>
    </row>
    <row r="117" spans="1:5">
      <c r="A117" s="52"/>
      <c r="B117" s="102"/>
      <c r="C117" s="52"/>
      <c r="D117" s="52"/>
      <c r="E117" s="52"/>
    </row>
    <row r="118" spans="1:5">
      <c r="A118" s="52"/>
      <c r="B118" s="102"/>
      <c r="C118" s="52"/>
      <c r="D118" s="52"/>
      <c r="E118" s="52"/>
    </row>
    <row r="119" spans="1:5">
      <c r="A119" s="52"/>
      <c r="B119" s="102"/>
      <c r="C119" s="52"/>
      <c r="D119" s="52"/>
      <c r="E119" s="52"/>
    </row>
    <row r="120" spans="1:5">
      <c r="A120" s="52"/>
      <c r="B120" s="102"/>
      <c r="C120" s="52"/>
      <c r="D120" s="52"/>
      <c r="E120" s="52"/>
    </row>
    <row r="121" spans="1:5">
      <c r="D121" s="52"/>
      <c r="E121" s="73"/>
    </row>
    <row r="122" spans="1:5">
      <c r="D122" s="52"/>
      <c r="E122" s="73"/>
    </row>
    <row r="123" spans="1:5">
      <c r="D123" s="52"/>
      <c r="E123" s="73"/>
    </row>
    <row r="124" spans="1:5">
      <c r="D124" s="52"/>
      <c r="E124" s="73"/>
    </row>
    <row r="125" spans="1:5">
      <c r="D125" s="52"/>
      <c r="E125" s="73"/>
    </row>
    <row r="126" spans="1:5">
      <c r="D126" s="52"/>
      <c r="E126" s="73"/>
    </row>
    <row r="127" spans="1:5">
      <c r="D127" s="52"/>
      <c r="E127" s="73"/>
    </row>
    <row r="128" spans="1:5">
      <c r="D128" s="52"/>
      <c r="E128" s="73"/>
    </row>
    <row r="129" spans="4:5">
      <c r="D129" s="52"/>
      <c r="E129" s="73"/>
    </row>
    <row r="130" spans="4:5">
      <c r="D130" s="52"/>
      <c r="E130" s="73"/>
    </row>
    <row r="131" spans="4:5">
      <c r="D131" s="52"/>
      <c r="E131" s="73"/>
    </row>
    <row r="132" spans="4:5">
      <c r="D132" s="52"/>
      <c r="E132" s="73"/>
    </row>
    <row r="133" spans="4:5">
      <c r="D133" s="52"/>
      <c r="E133" s="73"/>
    </row>
    <row r="134" spans="4:5">
      <c r="D134" s="52"/>
      <c r="E134" s="73"/>
    </row>
    <row r="135" spans="4:5">
      <c r="D135" s="52"/>
      <c r="E135" s="73"/>
    </row>
    <row r="136" spans="4:5">
      <c r="D136" s="52"/>
      <c r="E136" s="73"/>
    </row>
    <row r="137" spans="4:5">
      <c r="D137" s="52"/>
      <c r="E137" s="73"/>
    </row>
    <row r="138" spans="4:5">
      <c r="D138" s="52"/>
      <c r="E138" s="73"/>
    </row>
    <row r="139" spans="4:5">
      <c r="D139" s="52"/>
      <c r="E139" s="73"/>
    </row>
    <row r="140" spans="4:5">
      <c r="D140" s="52"/>
      <c r="E140" s="73"/>
    </row>
    <row r="141" spans="4:5">
      <c r="D141" s="52"/>
      <c r="E141" s="73"/>
    </row>
    <row r="142" spans="4:5">
      <c r="D142" s="52"/>
      <c r="E142" s="73"/>
    </row>
    <row r="143" spans="4:5">
      <c r="D143" s="52"/>
      <c r="E143" s="73"/>
    </row>
    <row r="144" spans="4:5">
      <c r="D144" s="52"/>
      <c r="E144" s="73"/>
    </row>
    <row r="145" spans="4:5">
      <c r="D145" s="52"/>
      <c r="E145" s="73"/>
    </row>
    <row r="146" spans="4:5">
      <c r="D146" s="52"/>
      <c r="E146" s="73"/>
    </row>
    <row r="147" spans="4:5">
      <c r="D147" s="52"/>
      <c r="E147" s="73"/>
    </row>
    <row r="148" spans="4:5">
      <c r="D148" s="52"/>
      <c r="E148" s="73"/>
    </row>
    <row r="149" spans="4:5">
      <c r="D149" s="52"/>
      <c r="E149" s="73"/>
    </row>
    <row r="150" spans="4:5">
      <c r="D150" s="52"/>
      <c r="E150" s="73"/>
    </row>
    <row r="151" spans="4:5">
      <c r="D151" s="52"/>
      <c r="E151" s="73"/>
    </row>
    <row r="152" spans="4:5">
      <c r="D152" s="52"/>
      <c r="E152" s="73"/>
    </row>
    <row r="153" spans="4:5">
      <c r="D153" s="52"/>
      <c r="E153" s="73"/>
    </row>
    <row r="154" spans="4:5">
      <c r="D154" s="52"/>
      <c r="E154" s="73"/>
    </row>
    <row r="155" spans="4:5">
      <c r="D155" s="52"/>
      <c r="E155" s="73"/>
    </row>
    <row r="156" spans="4:5">
      <c r="D156" s="52"/>
      <c r="E156" s="73"/>
    </row>
    <row r="157" spans="4:5">
      <c r="D157" s="52"/>
      <c r="E157" s="73"/>
    </row>
    <row r="158" spans="4:5">
      <c r="D158" s="52"/>
      <c r="E158" s="73"/>
    </row>
    <row r="159" spans="4:5">
      <c r="D159" s="52"/>
      <c r="E159" s="73"/>
    </row>
    <row r="160" spans="4:5">
      <c r="D160" s="52"/>
      <c r="E160" s="73"/>
    </row>
    <row r="161" spans="4:5">
      <c r="D161" s="52"/>
      <c r="E161" s="73"/>
    </row>
    <row r="162" spans="4:5">
      <c r="D162" s="52"/>
      <c r="E162" s="73"/>
    </row>
    <row r="163" spans="4:5">
      <c r="D163" s="52"/>
      <c r="E163" s="73"/>
    </row>
    <row r="164" spans="4:5">
      <c r="D164" s="52"/>
      <c r="E164" s="73"/>
    </row>
    <row r="165" spans="4:5">
      <c r="D165" s="52"/>
      <c r="E165" s="73"/>
    </row>
    <row r="166" spans="4:5">
      <c r="D166" s="52"/>
      <c r="E166" s="73"/>
    </row>
    <row r="167" spans="4:5">
      <c r="D167" s="52"/>
      <c r="E167" s="73"/>
    </row>
    <row r="168" spans="4:5">
      <c r="D168" s="52"/>
      <c r="E168" s="73"/>
    </row>
    <row r="169" spans="4:5">
      <c r="D169" s="52"/>
      <c r="E169" s="73"/>
    </row>
    <row r="170" spans="4:5">
      <c r="D170" s="52"/>
      <c r="E170" s="73"/>
    </row>
    <row r="171" spans="4:5">
      <c r="D171" s="52"/>
      <c r="E171" s="73"/>
    </row>
    <row r="172" spans="4:5">
      <c r="D172" s="52"/>
      <c r="E172" s="73"/>
    </row>
    <row r="173" spans="4:5">
      <c r="D173" s="52"/>
      <c r="E173" s="73"/>
    </row>
    <row r="174" spans="4:5">
      <c r="D174" s="52"/>
      <c r="E174" s="73"/>
    </row>
    <row r="175" spans="4:5">
      <c r="D175" s="52"/>
      <c r="E175" s="73"/>
    </row>
    <row r="176" spans="4:5">
      <c r="D176" s="52"/>
      <c r="E176" s="73"/>
    </row>
    <row r="177" spans="4:5">
      <c r="D177" s="52"/>
      <c r="E177" s="73"/>
    </row>
    <row r="178" spans="4:5">
      <c r="D178" s="52"/>
      <c r="E178" s="73"/>
    </row>
    <row r="179" spans="4:5">
      <c r="D179" s="52"/>
      <c r="E179" s="73"/>
    </row>
    <row r="180" spans="4:5">
      <c r="D180" s="52"/>
      <c r="E180" s="73"/>
    </row>
    <row r="181" spans="4:5">
      <c r="D181" s="52"/>
      <c r="E181" s="73"/>
    </row>
    <row r="182" spans="4:5">
      <c r="D182" s="52"/>
      <c r="E182" s="73"/>
    </row>
    <row r="183" spans="4:5">
      <c r="D183" s="52"/>
      <c r="E183" s="73"/>
    </row>
    <row r="184" spans="4:5">
      <c r="D184" s="52"/>
      <c r="E184" s="73"/>
    </row>
    <row r="185" spans="4:5">
      <c r="D185" s="52"/>
      <c r="E185" s="73"/>
    </row>
    <row r="186" spans="4:5">
      <c r="D186" s="52"/>
      <c r="E186" s="73"/>
    </row>
    <row r="187" spans="4:5">
      <c r="D187" s="52"/>
      <c r="E187" s="73"/>
    </row>
    <row r="188" spans="4:5">
      <c r="D188" s="52"/>
      <c r="E188" s="73"/>
    </row>
    <row r="189" spans="4:5">
      <c r="D189" s="52"/>
      <c r="E189" s="73"/>
    </row>
    <row r="190" spans="4:5">
      <c r="D190" s="52"/>
      <c r="E190" s="73"/>
    </row>
    <row r="191" spans="4:5">
      <c r="D191" s="52"/>
      <c r="E191" s="73"/>
    </row>
    <row r="192" spans="4:5">
      <c r="D192" s="52"/>
      <c r="E192" s="73"/>
    </row>
    <row r="193" spans="4:5">
      <c r="D193" s="52"/>
      <c r="E193" s="73"/>
    </row>
    <row r="194" spans="4:5">
      <c r="D194" s="52"/>
      <c r="E194" s="73"/>
    </row>
    <row r="195" spans="4:5">
      <c r="D195" s="52"/>
      <c r="E195" s="73"/>
    </row>
    <row r="196" spans="4:5">
      <c r="D196" s="52"/>
      <c r="E196" s="73"/>
    </row>
  </sheetData>
  <mergeCells count="6">
    <mergeCell ref="D58:D59"/>
    <mergeCell ref="A57:B57"/>
    <mergeCell ref="D3:D4"/>
    <mergeCell ref="E3:E4"/>
    <mergeCell ref="A2:B2"/>
    <mergeCell ref="E58:E59"/>
  </mergeCells>
  <pageMargins left="1" right="1" top="1" bottom="1" header="0.5" footer="0.5"/>
  <pageSetup paperSize="8" scale="6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  <pageSetUpPr fitToPage="1"/>
  </sheetPr>
  <dimension ref="A1:O231"/>
  <sheetViews>
    <sheetView workbookViewId="0">
      <selection activeCell="A15" sqref="A15:XFD15"/>
    </sheetView>
  </sheetViews>
  <sheetFormatPr defaultColWidth="9.140625" defaultRowHeight="12.75"/>
  <cols>
    <col min="1" max="1" width="53.85546875" style="50" bestFit="1" customWidth="1"/>
    <col min="2" max="2" width="15.85546875" style="50" customWidth="1"/>
    <col min="3" max="3" width="15.85546875" style="51" customWidth="1"/>
    <col min="4" max="4" width="15.85546875" style="52" customWidth="1"/>
    <col min="5" max="5" width="12.140625" style="52" customWidth="1"/>
    <col min="6" max="6" width="9.140625" style="52"/>
    <col min="7" max="7" width="46.28515625" style="53" hidden="1" customWidth="1"/>
    <col min="8" max="10" width="0" style="52" hidden="1" customWidth="1"/>
    <col min="11" max="11" width="10.42578125" style="52" bestFit="1" customWidth="1"/>
    <col min="12" max="12" width="12.140625" style="52" bestFit="1" customWidth="1"/>
    <col min="13" max="13" width="11.7109375" style="52" bestFit="1" customWidth="1"/>
    <col min="14" max="16384" width="9.140625" style="52"/>
  </cols>
  <sheetData>
    <row r="1" spans="1:7" ht="20.25">
      <c r="A1" s="1545" t="s">
        <v>103</v>
      </c>
      <c r="B1" s="1568"/>
      <c r="C1" s="161"/>
      <c r="D1" s="161"/>
      <c r="E1" s="161"/>
    </row>
    <row r="2" spans="1:7">
      <c r="A2" s="18" t="s">
        <v>862</v>
      </c>
      <c r="B2" s="1191">
        <f>EIAL!B3</f>
        <v>45046</v>
      </c>
      <c r="C2" s="1191">
        <f>EIAL!C3</f>
        <v>44681</v>
      </c>
      <c r="D2" s="1537" t="s">
        <v>85</v>
      </c>
      <c r="E2" s="1537" t="s">
        <v>86</v>
      </c>
    </row>
    <row r="3" spans="1:7">
      <c r="A3" s="20" t="s">
        <v>183</v>
      </c>
      <c r="B3" s="19" t="s">
        <v>82</v>
      </c>
      <c r="C3" s="19" t="s">
        <v>96</v>
      </c>
      <c r="D3" s="1617"/>
      <c r="E3" s="1617"/>
    </row>
    <row r="4" spans="1:7">
      <c r="A4" s="20"/>
      <c r="B4" s="19" t="s">
        <v>97</v>
      </c>
      <c r="C4" s="19" t="s">
        <v>97</v>
      </c>
      <c r="D4" s="1538"/>
      <c r="E4" s="1538"/>
    </row>
    <row r="5" spans="1:7">
      <c r="A5" s="18" t="s">
        <v>1</v>
      </c>
      <c r="B5" s="19" t="s">
        <v>879</v>
      </c>
      <c r="C5" s="19" t="s">
        <v>879</v>
      </c>
      <c r="D5" s="21"/>
      <c r="E5" s="58"/>
      <c r="G5" s="176"/>
    </row>
    <row r="6" spans="1:7">
      <c r="A6" s="23" t="s">
        <v>2</v>
      </c>
      <c r="B6" s="25">
        <f>'[17]EIB Performance  30.04.2023'!$B$7</f>
        <v>306083.23533999996</v>
      </c>
      <c r="C6" s="25">
        <f>[4]EIBL!$B$6</f>
        <v>366401.55932999996</v>
      </c>
      <c r="D6" s="25">
        <f>B6-C6</f>
        <v>-60318.323990000004</v>
      </c>
      <c r="E6" s="1291">
        <f>IFERROR(D6/C6,0)</f>
        <v>-0.16462354609051824</v>
      </c>
    </row>
    <row r="7" spans="1:7">
      <c r="A7" s="27" t="s">
        <v>3</v>
      </c>
      <c r="B7" s="25">
        <f>'[17]EIB Performance  30.04.2023'!B8</f>
        <v>0</v>
      </c>
      <c r="C7" s="25">
        <f>[4]EIBL!$B7</f>
        <v>0</v>
      </c>
      <c r="D7" s="162">
        <v>0</v>
      </c>
      <c r="E7" s="1291">
        <f t="shared" ref="E7:E27" si="0">IFERROR(D7/C7,0)</f>
        <v>0</v>
      </c>
    </row>
    <row r="8" spans="1:7">
      <c r="A8" s="27" t="s">
        <v>4</v>
      </c>
      <c r="B8" s="25">
        <f>'[17]EIB Performance  30.04.2023'!B9</f>
        <v>307047.94121000002</v>
      </c>
      <c r="C8" s="25">
        <f>[4]EIBL!$B8</f>
        <v>326576.663</v>
      </c>
      <c r="D8" s="162">
        <v>0</v>
      </c>
      <c r="E8" s="1291">
        <f t="shared" si="0"/>
        <v>0</v>
      </c>
    </row>
    <row r="9" spans="1:7">
      <c r="A9" s="27" t="s">
        <v>5</v>
      </c>
      <c r="B9" s="25">
        <f>'[17]EIB Performance  30.04.2023'!B10</f>
        <v>0</v>
      </c>
      <c r="C9" s="25">
        <f>[4]EIBL!$B9</f>
        <v>0</v>
      </c>
      <c r="D9" s="162">
        <v>0</v>
      </c>
      <c r="E9" s="1291">
        <f t="shared" si="0"/>
        <v>0</v>
      </c>
    </row>
    <row r="10" spans="1:7">
      <c r="A10" s="27" t="s">
        <v>6</v>
      </c>
      <c r="B10" s="25">
        <f>'[17]EIB Performance  30.04.2023'!B11</f>
        <v>0</v>
      </c>
      <c r="C10" s="25"/>
      <c r="D10" s="25">
        <f>B10-C10</f>
        <v>0</v>
      </c>
      <c r="E10" s="1291">
        <f t="shared" si="0"/>
        <v>0</v>
      </c>
    </row>
    <row r="11" spans="1:7" ht="25.5">
      <c r="A11" s="27" t="s">
        <v>7</v>
      </c>
      <c r="B11" s="25">
        <f>'[17]EIB Performance  30.04.2023'!B12</f>
        <v>0</v>
      </c>
      <c r="C11" s="25">
        <f>[4]EIBL!$B11</f>
        <v>0</v>
      </c>
      <c r="D11" s="162">
        <v>0</v>
      </c>
      <c r="E11" s="1291">
        <f t="shared" si="0"/>
        <v>0</v>
      </c>
    </row>
    <row r="12" spans="1:7">
      <c r="A12" s="27" t="s">
        <v>8</v>
      </c>
      <c r="B12" s="25">
        <f>'[17]EIB Performance  30.04.2023'!B13</f>
        <v>964.26488999999992</v>
      </c>
      <c r="C12" s="25">
        <f>[4]EIBL!$B12</f>
        <v>0</v>
      </c>
      <c r="D12" s="162">
        <v>0</v>
      </c>
      <c r="E12" s="1291">
        <f t="shared" si="0"/>
        <v>0</v>
      </c>
    </row>
    <row r="13" spans="1:7">
      <c r="A13" s="27" t="s">
        <v>9</v>
      </c>
      <c r="B13" s="25">
        <f>'[17]EIB Performance  30.04.2023'!B14</f>
        <v>50498.697507217017</v>
      </c>
      <c r="C13" s="25">
        <f>[4]EIBL!$B13</f>
        <v>60313.777999999998</v>
      </c>
      <c r="D13" s="25">
        <f>B13-C13</f>
        <v>-9815.0804927829813</v>
      </c>
      <c r="E13" s="1291">
        <f t="shared" si="0"/>
        <v>-0.16273363762394361</v>
      </c>
    </row>
    <row r="14" spans="1:7">
      <c r="A14" s="27" t="s">
        <v>10</v>
      </c>
      <c r="B14" s="25">
        <v>0</v>
      </c>
      <c r="C14" s="25">
        <f>[4]EIBL!$B14</f>
        <v>0</v>
      </c>
      <c r="D14" s="162">
        <v>0</v>
      </c>
      <c r="E14" s="1291">
        <f t="shared" si="0"/>
        <v>0</v>
      </c>
    </row>
    <row r="15" spans="1:7">
      <c r="A15" s="27" t="s">
        <v>11</v>
      </c>
      <c r="B15" s="25">
        <f>'[17]EIB Performance  30.04.2023'!B16</f>
        <v>12822.23784</v>
      </c>
      <c r="C15" s="25">
        <f>[4]EIBL!$B15</f>
        <v>13028.42858</v>
      </c>
      <c r="D15" s="163">
        <f>B15-C15</f>
        <v>-206.19074000000001</v>
      </c>
      <c r="E15" s="1291">
        <f t="shared" si="0"/>
        <v>-1.5826217163021822E-2</v>
      </c>
      <c r="G15" s="53" t="s">
        <v>404</v>
      </c>
    </row>
    <row r="16" spans="1:7">
      <c r="A16" s="27" t="s">
        <v>12</v>
      </c>
      <c r="B16" s="25">
        <f>'[17]EIB Performance  30.04.2023'!B17</f>
        <v>0</v>
      </c>
      <c r="C16" s="25">
        <f>[4]EIBL!$B16</f>
        <v>0</v>
      </c>
      <c r="D16" s="163">
        <f>B16-C16</f>
        <v>0</v>
      </c>
      <c r="E16" s="1291">
        <f t="shared" si="0"/>
        <v>0</v>
      </c>
    </row>
    <row r="17" spans="1:13">
      <c r="A17" s="27" t="s">
        <v>13</v>
      </c>
      <c r="B17" s="25">
        <f>'[17]EIB Performance  30.04.2023'!B18</f>
        <v>0</v>
      </c>
      <c r="C17" s="25">
        <f>[4]EIBL!$B17</f>
        <v>0</v>
      </c>
      <c r="D17" s="163">
        <f t="shared" ref="D17:D26" si="1">B17-C17</f>
        <v>0</v>
      </c>
      <c r="E17" s="1291">
        <f t="shared" si="0"/>
        <v>0</v>
      </c>
    </row>
    <row r="18" spans="1:13">
      <c r="A18" s="27" t="s">
        <v>14</v>
      </c>
      <c r="B18" s="25">
        <f>'[17]EIB Performance  30.04.2023'!B19</f>
        <v>0</v>
      </c>
      <c r="C18" s="25">
        <f>[4]EIBL!$B18</f>
        <v>0</v>
      </c>
      <c r="D18" s="163">
        <f t="shared" si="1"/>
        <v>0</v>
      </c>
      <c r="E18" s="1291">
        <f t="shared" si="0"/>
        <v>0</v>
      </c>
    </row>
    <row r="19" spans="1:13">
      <c r="A19" s="27" t="s">
        <v>15</v>
      </c>
      <c r="B19" s="25">
        <f>'[17]EIB Performance  30.04.2023'!B20</f>
        <v>0</v>
      </c>
      <c r="C19" s="25">
        <f>[4]EIBL!$B19</f>
        <v>0</v>
      </c>
      <c r="D19" s="163">
        <f t="shared" si="1"/>
        <v>0</v>
      </c>
      <c r="E19" s="1291">
        <f t="shared" si="0"/>
        <v>0</v>
      </c>
    </row>
    <row r="20" spans="1:13">
      <c r="A20" s="27" t="s">
        <v>16</v>
      </c>
      <c r="B20" s="25">
        <f>'[17]EIB Performance  30.04.2023'!B21</f>
        <v>0</v>
      </c>
      <c r="C20" s="25">
        <f>[4]EIBL!$B20</f>
        <v>0</v>
      </c>
      <c r="D20" s="163">
        <f t="shared" si="1"/>
        <v>0</v>
      </c>
      <c r="E20" s="1291">
        <f t="shared" si="0"/>
        <v>0</v>
      </c>
    </row>
    <row r="21" spans="1:13">
      <c r="A21" s="27" t="s">
        <v>17</v>
      </c>
      <c r="B21" s="25">
        <f>'[17]EIB Performance  30.04.2023'!B22</f>
        <v>1542.5687400000002</v>
      </c>
      <c r="C21" s="25">
        <f>[4]EIBL!$B21</f>
        <v>1168.7939100000001</v>
      </c>
      <c r="D21" s="163">
        <f t="shared" si="1"/>
        <v>373.77483000000007</v>
      </c>
      <c r="E21" s="1291">
        <f t="shared" si="0"/>
        <v>0.31979532644895459</v>
      </c>
    </row>
    <row r="22" spans="1:13">
      <c r="A22" s="27" t="s">
        <v>18</v>
      </c>
      <c r="B22" s="25">
        <f>'[17]EIB Performance  30.04.2023'!B23</f>
        <v>0</v>
      </c>
      <c r="C22" s="25">
        <f>[4]EIBL!$B22</f>
        <v>0</v>
      </c>
      <c r="D22" s="163">
        <f t="shared" si="1"/>
        <v>0</v>
      </c>
      <c r="E22" s="1291">
        <f t="shared" si="0"/>
        <v>0</v>
      </c>
    </row>
    <row r="23" spans="1:13">
      <c r="A23" s="27" t="s">
        <v>19</v>
      </c>
      <c r="B23" s="25">
        <f>'[17]EIB Performance  30.04.2023'!B24</f>
        <v>3389.5058399999998</v>
      </c>
      <c r="C23" s="25">
        <f>[4]EIBL!$B23</f>
        <v>3794.0454</v>
      </c>
      <c r="D23" s="163">
        <f t="shared" si="1"/>
        <v>-404.53956000000017</v>
      </c>
      <c r="E23" s="1291">
        <f t="shared" si="0"/>
        <v>-0.1066248601031501</v>
      </c>
    </row>
    <row r="24" spans="1:13">
      <c r="A24" s="27" t="s">
        <v>20</v>
      </c>
      <c r="B24" s="25">
        <f>'[17]EIB Performance  30.04.2023'!B25</f>
        <v>23816.187265949655</v>
      </c>
      <c r="C24" s="25">
        <f>[4]EIBL!$B24</f>
        <v>49323.847000000002</v>
      </c>
      <c r="D24" s="163">
        <f t="shared" si="1"/>
        <v>-25507.659734050347</v>
      </c>
      <c r="E24" s="1291">
        <f t="shared" si="0"/>
        <v>-0.51714659917038397</v>
      </c>
      <c r="M24" s="177"/>
    </row>
    <row r="25" spans="1:13">
      <c r="A25" s="27" t="s">
        <v>21</v>
      </c>
      <c r="B25" s="25">
        <f>'[17]EIB Performance  30.04.2023'!B26</f>
        <v>0</v>
      </c>
      <c r="C25" s="25">
        <f>[4]EIBL!$B25</f>
        <v>0</v>
      </c>
      <c r="D25" s="163">
        <f t="shared" si="1"/>
        <v>0</v>
      </c>
      <c r="E25" s="1291">
        <f t="shared" si="0"/>
        <v>0</v>
      </c>
      <c r="M25" s="177"/>
    </row>
    <row r="26" spans="1:13">
      <c r="A26" s="27" t="s">
        <v>22</v>
      </c>
      <c r="B26" s="25">
        <f>'[17]EIB Performance  30.04.2023'!B27+'[17]EIB Performance  30.04.2023'!B15</f>
        <v>12512.001809999998</v>
      </c>
      <c r="C26" s="25">
        <f>[4]EIBL!$B26</f>
        <v>15292.376639999999</v>
      </c>
      <c r="D26" s="163">
        <f t="shared" si="1"/>
        <v>-2780.3748300000007</v>
      </c>
      <c r="E26" s="1291">
        <f t="shared" si="0"/>
        <v>-0.1818144357448942</v>
      </c>
      <c r="G26" s="53" t="s">
        <v>405</v>
      </c>
      <c r="H26" s="52">
        <v>420000</v>
      </c>
    </row>
    <row r="27" spans="1:13">
      <c r="A27" s="29" t="s">
        <v>23</v>
      </c>
      <c r="B27" s="39">
        <f>SUM(B6:B26)</f>
        <v>718676.64044316672</v>
      </c>
      <c r="C27" s="39">
        <f>SUM(C6:C26)</f>
        <v>835899.49185999995</v>
      </c>
      <c r="D27" s="30">
        <f>B27-C27</f>
        <v>-117222.85141683323</v>
      </c>
      <c r="E27" s="1299">
        <f t="shared" si="0"/>
        <v>-0.14023558161998048</v>
      </c>
      <c r="M27" s="177"/>
    </row>
    <row r="28" spans="1:13">
      <c r="A28" s="31"/>
      <c r="B28" s="76"/>
      <c r="C28" s="25"/>
      <c r="D28" s="32"/>
      <c r="E28" s="1293"/>
    </row>
    <row r="29" spans="1:13">
      <c r="A29" s="31" t="s">
        <v>24</v>
      </c>
      <c r="B29" s="25"/>
      <c r="C29" s="25"/>
      <c r="D29" s="24"/>
      <c r="E29" s="1294"/>
    </row>
    <row r="30" spans="1:13">
      <c r="A30" s="27" t="s">
        <v>25</v>
      </c>
      <c r="B30" s="25">
        <f>'[17]EIB Performance  30.04.2023'!B31</f>
        <v>0</v>
      </c>
      <c r="C30" s="25">
        <f>[4]EIBL!$B30</f>
        <v>0</v>
      </c>
      <c r="D30" s="163">
        <f t="shared" ref="D30:D35" si="2">B30-C30</f>
        <v>0</v>
      </c>
      <c r="E30" s="1291">
        <f t="shared" ref="E30:E41" si="3">IFERROR(D30/C30,0)</f>
        <v>0</v>
      </c>
    </row>
    <row r="31" spans="1:13">
      <c r="A31" s="27" t="s">
        <v>26</v>
      </c>
      <c r="B31" s="25">
        <f>'[17]EIB Performance  30.04.2023'!B32</f>
        <v>0</v>
      </c>
      <c r="C31" s="25">
        <f>[4]EIBL!$B31</f>
        <v>0</v>
      </c>
      <c r="D31" s="163">
        <f t="shared" si="2"/>
        <v>0</v>
      </c>
      <c r="E31" s="1291">
        <f t="shared" si="3"/>
        <v>0</v>
      </c>
    </row>
    <row r="32" spans="1:13">
      <c r="A32" s="27" t="s">
        <v>27</v>
      </c>
      <c r="B32" s="25">
        <f>'[17]EIB Performance  30.04.2023'!B33</f>
        <v>0</v>
      </c>
      <c r="C32" s="25">
        <f>[4]EIBL!$B32</f>
        <v>0</v>
      </c>
      <c r="D32" s="163">
        <f t="shared" si="2"/>
        <v>0</v>
      </c>
      <c r="E32" s="1291">
        <f t="shared" si="3"/>
        <v>0</v>
      </c>
    </row>
    <row r="33" spans="1:15" ht="25.5">
      <c r="A33" s="27" t="s">
        <v>28</v>
      </c>
      <c r="B33" s="25">
        <f>'[17]EIB Performance  30.04.2023'!B34</f>
        <v>0</v>
      </c>
      <c r="C33" s="25">
        <f>[4]EIBL!$B33</f>
        <v>0</v>
      </c>
      <c r="D33" s="163">
        <f t="shared" si="2"/>
        <v>0</v>
      </c>
      <c r="E33" s="1291">
        <f t="shared" si="3"/>
        <v>0</v>
      </c>
    </row>
    <row r="34" spans="1:15">
      <c r="A34" s="27" t="s">
        <v>29</v>
      </c>
      <c r="B34" s="25">
        <f>'[17]EIB Performance  30.04.2023'!B35</f>
        <v>0</v>
      </c>
      <c r="C34" s="25">
        <f>[4]EIBL!$B34</f>
        <v>0</v>
      </c>
      <c r="D34" s="163">
        <f t="shared" si="2"/>
        <v>0</v>
      </c>
      <c r="E34" s="1291">
        <f t="shared" si="3"/>
        <v>0</v>
      </c>
    </row>
    <row r="35" spans="1:15">
      <c r="A35" s="27" t="s">
        <v>30</v>
      </c>
      <c r="B35" s="25">
        <f>'[17]EIB Performance  30.04.2023'!B36</f>
        <v>0</v>
      </c>
      <c r="C35" s="25">
        <f>[4]EIBL!$B35</f>
        <v>0</v>
      </c>
      <c r="D35" s="163">
        <f t="shared" si="2"/>
        <v>0</v>
      </c>
      <c r="E35" s="1291">
        <f t="shared" si="3"/>
        <v>0</v>
      </c>
    </row>
    <row r="36" spans="1:15">
      <c r="A36" s="27" t="s">
        <v>31</v>
      </c>
      <c r="B36" s="25">
        <v>0</v>
      </c>
      <c r="C36" s="25">
        <v>0</v>
      </c>
      <c r="D36" s="24">
        <f t="shared" ref="D36:D41" si="4">B36-C36</f>
        <v>0</v>
      </c>
      <c r="E36" s="1291">
        <f t="shared" si="3"/>
        <v>0</v>
      </c>
      <c r="G36" s="53" t="s">
        <v>406</v>
      </c>
    </row>
    <row r="37" spans="1:15">
      <c r="A37" s="27" t="s">
        <v>32</v>
      </c>
      <c r="B37" s="25">
        <f>'[17]EIB Performance  30.04.2023'!B38</f>
        <v>0</v>
      </c>
      <c r="C37" s="25">
        <f>[4]EIBL!$B37</f>
        <v>0</v>
      </c>
      <c r="D37" s="163">
        <f t="shared" si="4"/>
        <v>0</v>
      </c>
      <c r="E37" s="1291">
        <f t="shared" si="3"/>
        <v>0</v>
      </c>
    </row>
    <row r="38" spans="1:15">
      <c r="A38" s="27" t="s">
        <v>33</v>
      </c>
      <c r="B38" s="25"/>
      <c r="C38" s="25">
        <f>[4]EIBL!$B38</f>
        <v>0</v>
      </c>
      <c r="D38" s="163">
        <f t="shared" si="4"/>
        <v>0</v>
      </c>
      <c r="E38" s="1291">
        <f t="shared" si="3"/>
        <v>0</v>
      </c>
    </row>
    <row r="39" spans="1:15">
      <c r="A39" s="27" t="s">
        <v>34</v>
      </c>
      <c r="B39" s="25">
        <f>'[17]EIB Performance  30.04.2023'!B40</f>
        <v>0</v>
      </c>
      <c r="C39" s="25">
        <f>[4]EIBL!$B39</f>
        <v>0</v>
      </c>
      <c r="D39" s="163">
        <f t="shared" si="4"/>
        <v>0</v>
      </c>
      <c r="E39" s="1291">
        <f t="shared" si="3"/>
        <v>0</v>
      </c>
    </row>
    <row r="40" spans="1:15">
      <c r="A40" s="27" t="s">
        <v>35</v>
      </c>
      <c r="B40" s="25">
        <f>'[17]EIB Performance  30.04.2023'!B41</f>
        <v>0</v>
      </c>
      <c r="C40" s="25">
        <f>[4]EIBL!$B40</f>
        <v>0</v>
      </c>
      <c r="D40" s="163">
        <f t="shared" si="4"/>
        <v>0</v>
      </c>
      <c r="E40" s="1291">
        <f t="shared" si="3"/>
        <v>0</v>
      </c>
    </row>
    <row r="41" spans="1:15">
      <c r="A41" s="27" t="s">
        <v>36</v>
      </c>
      <c r="B41" s="25">
        <f>(('[17]EIB Performance  30.04.2023'!B42+'[17]EIB Performance  30.04.2023'!B37))-0.000109999906271696</f>
        <v>251736.72971000007</v>
      </c>
      <c r="C41" s="25">
        <f>[4]EIBL!$B$41+[4]EIBL!$B$36</f>
        <v>440380.07178999996</v>
      </c>
      <c r="D41" s="24">
        <f t="shared" si="4"/>
        <v>-188643.34207999989</v>
      </c>
      <c r="E41" s="1291">
        <f t="shared" si="3"/>
        <v>-0.42836484701323296</v>
      </c>
    </row>
    <row r="42" spans="1:15">
      <c r="A42" s="29" t="s">
        <v>37</v>
      </c>
      <c r="B42" s="39">
        <f>SUM(B30:B41)</f>
        <v>251736.72971000007</v>
      </c>
      <c r="C42" s="39">
        <f>SUM(C30:C41)</f>
        <v>440380.07178999996</v>
      </c>
      <c r="D42" s="30">
        <f>B42-C42</f>
        <v>-188643.34207999989</v>
      </c>
      <c r="E42" s="1292">
        <f>D42/C42</f>
        <v>-0.42836484701323296</v>
      </c>
      <c r="H42" s="52">
        <v>488139</v>
      </c>
      <c r="I42" s="55">
        <f>H42-B42</f>
        <v>236402.27028999993</v>
      </c>
    </row>
    <row r="43" spans="1:15">
      <c r="A43" s="31"/>
      <c r="B43" s="60"/>
      <c r="C43" s="25"/>
      <c r="D43" s="32"/>
      <c r="E43" s="1293"/>
    </row>
    <row r="44" spans="1:15">
      <c r="A44" s="29" t="s">
        <v>38</v>
      </c>
      <c r="B44" s="39"/>
      <c r="C44" s="39"/>
      <c r="D44" s="30"/>
      <c r="E44" s="1292"/>
    </row>
    <row r="45" spans="1:15">
      <c r="A45" s="27" t="s">
        <v>39</v>
      </c>
      <c r="B45" s="25">
        <f>'[17]EIB Performance  30.04.2023'!B46</f>
        <v>420000</v>
      </c>
      <c r="C45" s="25">
        <f>[4]EIBL!$B$45</f>
        <v>420000</v>
      </c>
      <c r="D45" s="24">
        <f>B45-C45</f>
        <v>0</v>
      </c>
      <c r="E45" s="1291">
        <f t="shared" ref="E45:E51" si="5">IFERROR(D45/C45,0)</f>
        <v>0</v>
      </c>
    </row>
    <row r="46" spans="1:15">
      <c r="A46" s="27" t="s">
        <v>40</v>
      </c>
      <c r="B46" s="25">
        <f>'[17]EIB Performance  30.04.2023'!B47</f>
        <v>0</v>
      </c>
      <c r="C46" s="25">
        <f>[4]EIBL!$B46</f>
        <v>0</v>
      </c>
      <c r="D46" s="162">
        <v>0</v>
      </c>
      <c r="E46" s="1291">
        <f t="shared" si="5"/>
        <v>0</v>
      </c>
    </row>
    <row r="47" spans="1:15">
      <c r="A47" s="27" t="s">
        <v>41</v>
      </c>
      <c r="B47" s="25">
        <f>'[17]EIB Performance  30.04.2023'!B48</f>
        <v>-19729.246930000001</v>
      </c>
      <c r="C47" s="25">
        <f>[4]EIBL!$B47</f>
        <v>0</v>
      </c>
      <c r="D47" s="162">
        <v>0</v>
      </c>
      <c r="E47" s="1291">
        <f t="shared" si="5"/>
        <v>0</v>
      </c>
      <c r="O47" s="55"/>
    </row>
    <row r="48" spans="1:15">
      <c r="A48" s="27" t="s">
        <v>42</v>
      </c>
      <c r="B48" s="25">
        <f>'[17]EIB Performance  30.04.2023'!B49+'[17]EIB Performance  30.04.2023'!B39+'[17]EIB Performance  30.04.2023'!B51</f>
        <v>66669.157663166668</v>
      </c>
      <c r="C48" s="25">
        <f>[4]EIBL!$B$48</f>
        <v>-24480.579829999995</v>
      </c>
      <c r="D48" s="24">
        <f>B48-C48</f>
        <v>91149.737493166671</v>
      </c>
      <c r="E48" s="1291">
        <f>-IFERROR(D48/C48,0)</f>
        <v>3.7233487983591886</v>
      </c>
      <c r="K48" s="55" t="s">
        <v>520</v>
      </c>
      <c r="L48" s="177">
        <v>14946</v>
      </c>
      <c r="M48" s="55">
        <f>B48-L48</f>
        <v>51723.157663166668</v>
      </c>
    </row>
    <row r="49" spans="1:14">
      <c r="A49" s="27" t="s">
        <v>43</v>
      </c>
      <c r="B49" s="25">
        <f>'[17]EIB Performance  30.04.2023'!B50</f>
        <v>0</v>
      </c>
      <c r="C49" s="25">
        <f>[4]EIBL!$B49</f>
        <v>0</v>
      </c>
      <c r="D49" s="162">
        <v>0</v>
      </c>
      <c r="E49" s="1291">
        <f t="shared" si="5"/>
        <v>0</v>
      </c>
      <c r="K49" s="55" t="s">
        <v>521</v>
      </c>
      <c r="M49" s="55">
        <f>B97</f>
        <v>51886.34828316667</v>
      </c>
    </row>
    <row r="50" spans="1:14">
      <c r="A50" s="27" t="s">
        <v>44</v>
      </c>
      <c r="B50" s="25"/>
      <c r="C50" s="25">
        <f>[4]EIBL!$B50</f>
        <v>0</v>
      </c>
      <c r="D50" s="162">
        <v>0</v>
      </c>
      <c r="E50" s="1291">
        <f t="shared" si="5"/>
        <v>0</v>
      </c>
      <c r="K50" s="52" t="s">
        <v>766</v>
      </c>
      <c r="M50" s="55"/>
    </row>
    <row r="51" spans="1:14">
      <c r="A51" s="27" t="s">
        <v>45</v>
      </c>
      <c r="B51" s="25">
        <f>'[17]EIB Performance  30.04.2023'!B52</f>
        <v>0</v>
      </c>
      <c r="C51" s="25">
        <f>[4]EIBL!$B51</f>
        <v>0</v>
      </c>
      <c r="D51" s="162">
        <v>0</v>
      </c>
      <c r="E51" s="1291">
        <f t="shared" si="5"/>
        <v>0</v>
      </c>
      <c r="M51" s="776">
        <f>M48-M49+M50</f>
        <v>-163.19062000000122</v>
      </c>
      <c r="N51" s="52" t="s">
        <v>519</v>
      </c>
    </row>
    <row r="52" spans="1:14">
      <c r="A52" s="29" t="s">
        <v>46</v>
      </c>
      <c r="B52" s="39">
        <f>SUM(B45:B51)</f>
        <v>466939.91073316662</v>
      </c>
      <c r="C52" s="39">
        <f>SUM(C45:C51)</f>
        <v>395519.42017</v>
      </c>
      <c r="D52" s="30">
        <f>B52-C52</f>
        <v>71420.490563166619</v>
      </c>
      <c r="E52" s="1292">
        <f>D52/C52</f>
        <v>0.18057391602280629</v>
      </c>
    </row>
    <row r="53" spans="1:14">
      <c r="A53" s="34"/>
      <c r="B53" s="61"/>
      <c r="C53" s="25">
        <f>[4]EIBL!$B53</f>
        <v>0</v>
      </c>
      <c r="D53" s="35"/>
      <c r="E53" s="1300"/>
    </row>
    <row r="54" spans="1:14" ht="13.5" thickBot="1">
      <c r="A54" s="95" t="s">
        <v>47</v>
      </c>
      <c r="B54" s="94">
        <f>B42+B52</f>
        <v>718676.64044316672</v>
      </c>
      <c r="C54" s="94">
        <f>C42+C52</f>
        <v>835899.49196000001</v>
      </c>
      <c r="D54" s="94">
        <f>B54-C54</f>
        <v>-117222.8515168333</v>
      </c>
      <c r="E54" s="1295">
        <f>D54/C54</f>
        <v>-0.14023558172283554</v>
      </c>
      <c r="L54" s="55"/>
    </row>
    <row r="55" spans="1:14" ht="21" thickBot="1">
      <c r="A55" s="1545"/>
      <c r="B55" s="1568"/>
      <c r="C55" s="377">
        <f>B27-B54</f>
        <v>0</v>
      </c>
      <c r="D55" s="377"/>
      <c r="E55" s="850"/>
      <c r="L55" s="55"/>
    </row>
    <row r="56" spans="1:14" ht="20.25">
      <c r="A56" s="1545" t="str">
        <f>A1</f>
        <v>Equity Investment Bank Ltd</v>
      </c>
      <c r="B56" s="1568"/>
      <c r="C56" s="161"/>
      <c r="D56" s="161"/>
      <c r="E56" s="161"/>
    </row>
    <row r="57" spans="1:14">
      <c r="A57" s="36" t="s">
        <v>48</v>
      </c>
      <c r="B57" s="1191">
        <f>B2</f>
        <v>45046</v>
      </c>
      <c r="C57" s="1191">
        <f>C2</f>
        <v>44681</v>
      </c>
      <c r="D57" s="1580" t="s">
        <v>85</v>
      </c>
      <c r="E57" s="1580" t="s">
        <v>86</v>
      </c>
    </row>
    <row r="58" spans="1:14">
      <c r="A58" s="36"/>
      <c r="B58" s="19" t="s">
        <v>97</v>
      </c>
      <c r="C58" s="19" t="s">
        <v>97</v>
      </c>
      <c r="D58" s="1538"/>
      <c r="E58" s="1538"/>
    </row>
    <row r="59" spans="1:14" ht="13.5" thickBot="1">
      <c r="A59" s="36"/>
      <c r="B59" s="19" t="s">
        <v>879</v>
      </c>
      <c r="C59" s="19" t="s">
        <v>879</v>
      </c>
      <c r="D59" s="36"/>
      <c r="E59" s="58"/>
    </row>
    <row r="60" spans="1:14">
      <c r="A60" s="37" t="s">
        <v>49</v>
      </c>
      <c r="B60" s="180"/>
      <c r="C60" s="180"/>
      <c r="D60" s="38"/>
      <c r="E60" s="1301"/>
    </row>
    <row r="61" spans="1:14">
      <c r="A61" s="27" t="s">
        <v>50</v>
      </c>
      <c r="B61" s="25">
        <f>'[17]EIB Performance  30.04.2023'!B62</f>
        <v>0</v>
      </c>
      <c r="C61" s="25">
        <f>[4]EIBL!$B61</f>
        <v>0</v>
      </c>
      <c r="D61" s="162">
        <v>0</v>
      </c>
      <c r="E61" s="1291">
        <f>IFERROR(D61/C61,0)</f>
        <v>0</v>
      </c>
    </row>
    <row r="62" spans="1:14">
      <c r="A62" s="27" t="s">
        <v>51</v>
      </c>
      <c r="B62" s="25">
        <f>'[17]EIB Performance  30.04.2023'!B63</f>
        <v>13423.49093</v>
      </c>
      <c r="C62" s="25">
        <f>[4]EIBL!$B62</f>
        <v>2795.0030000000002</v>
      </c>
      <c r="D62" s="162">
        <v>0</v>
      </c>
      <c r="E62" s="1291">
        <f>IFERROR(D62/C62,1)</f>
        <v>0</v>
      </c>
    </row>
    <row r="63" spans="1:14">
      <c r="A63" s="27" t="s">
        <v>52</v>
      </c>
      <c r="B63" s="25">
        <f>'[17]EIB Performance  30.04.2023'!B64</f>
        <v>4066.3612499999999</v>
      </c>
      <c r="C63" s="25">
        <f>[4]EIBL!$B63</f>
        <v>627.28767000000005</v>
      </c>
      <c r="D63" s="165">
        <f>B63-C63</f>
        <v>3439.0735799999998</v>
      </c>
      <c r="E63" s="1291">
        <f>IFERROR(D63/C63,0)</f>
        <v>5.482450468060371</v>
      </c>
    </row>
    <row r="64" spans="1:14">
      <c r="A64" s="27" t="s">
        <v>53</v>
      </c>
      <c r="B64" s="25">
        <f>'[17]EIB Performance  30.04.2023'!B65</f>
        <v>0</v>
      </c>
      <c r="C64" s="25">
        <f>[4]EIBL!$B64</f>
        <v>0</v>
      </c>
      <c r="D64" s="165">
        <f>B64-C64</f>
        <v>0</v>
      </c>
      <c r="E64" s="1291">
        <f>IFERROR(D64/C64,0)</f>
        <v>0</v>
      </c>
    </row>
    <row r="65" spans="1:7">
      <c r="A65" s="29" t="s">
        <v>54</v>
      </c>
      <c r="B65" s="181">
        <f>SUM(B61:B64)</f>
        <v>17489.852180000002</v>
      </c>
      <c r="C65" s="181">
        <f>[4]EIBL!$B65</f>
        <v>3422.2906700000003</v>
      </c>
      <c r="D65" s="39">
        <f>B65-C65</f>
        <v>14067.561510000001</v>
      </c>
      <c r="E65" s="1292">
        <f>D65/C65</f>
        <v>4.1105688752031107</v>
      </c>
    </row>
    <row r="66" spans="1:7">
      <c r="A66" s="31"/>
      <c r="B66" s="182"/>
      <c r="C66" s="182">
        <f>[4]EIBL!$B66</f>
        <v>0</v>
      </c>
      <c r="D66" s="32"/>
      <c r="E66" s="1293"/>
    </row>
    <row r="67" spans="1:7">
      <c r="A67" s="31" t="s">
        <v>55</v>
      </c>
      <c r="B67" s="25">
        <f>'[17]EIB Performance  30.04.2023'!B68</f>
        <v>0</v>
      </c>
      <c r="C67" s="25">
        <f>[4]EIBL!$B67</f>
        <v>0</v>
      </c>
      <c r="D67" s="162">
        <v>0</v>
      </c>
      <c r="E67" s="1291">
        <f>IFERROR(D67/C67,0)</f>
        <v>0</v>
      </c>
    </row>
    <row r="68" spans="1:7">
      <c r="A68" s="27" t="s">
        <v>56</v>
      </c>
      <c r="B68" s="25">
        <f>'[17]EIB Performance  30.04.2023'!B69</f>
        <v>0</v>
      </c>
      <c r="C68" s="25">
        <f>[4]EIBL!$B68</f>
        <v>0</v>
      </c>
      <c r="D68" s="162">
        <v>0</v>
      </c>
      <c r="E68" s="1291">
        <f>IFERROR(D68/C68,0)</f>
        <v>0</v>
      </c>
    </row>
    <row r="69" spans="1:7">
      <c r="A69" s="27" t="s">
        <v>57</v>
      </c>
      <c r="B69" s="25">
        <f>'[17]EIB Performance  30.04.2023'!B70</f>
        <v>0</v>
      </c>
      <c r="C69" s="25">
        <f>[4]EIBL!$B69</f>
        <v>0</v>
      </c>
      <c r="D69" s="162">
        <v>0</v>
      </c>
      <c r="E69" s="1291">
        <f>IFERROR(D69/C69,0)</f>
        <v>0</v>
      </c>
    </row>
    <row r="70" spans="1:7">
      <c r="A70" s="27" t="s">
        <v>58</v>
      </c>
      <c r="B70" s="25">
        <f>'[17]EIB Performance  30.04.2023'!B71</f>
        <v>0</v>
      </c>
      <c r="C70" s="25">
        <f>[4]EIBL!$B70</f>
        <v>0</v>
      </c>
      <c r="D70" s="162">
        <v>0</v>
      </c>
      <c r="E70" s="1291">
        <f>IFERROR(D70/C70,0)</f>
        <v>0</v>
      </c>
    </row>
    <row r="71" spans="1:7">
      <c r="A71" s="29" t="s">
        <v>59</v>
      </c>
      <c r="B71" s="181">
        <f>SUM(B67:B70)</f>
        <v>0</v>
      </c>
      <c r="C71" s="181">
        <f>[4]EIBL!$B71</f>
        <v>0</v>
      </c>
      <c r="D71" s="39">
        <v>0</v>
      </c>
      <c r="E71" s="1292" t="s">
        <v>101</v>
      </c>
    </row>
    <row r="72" spans="1:7">
      <c r="A72" s="29" t="s">
        <v>60</v>
      </c>
      <c r="B72" s="181">
        <f>B65-B71</f>
        <v>17489.852180000002</v>
      </c>
      <c r="C72" s="181">
        <f>[4]EIBL!$B72</f>
        <v>3422.2906700000003</v>
      </c>
      <c r="D72" s="39">
        <f>B72-C72</f>
        <v>14067.561510000001</v>
      </c>
      <c r="E72" s="1292">
        <f>D72/C72</f>
        <v>4.1105688752031107</v>
      </c>
    </row>
    <row r="73" spans="1:7">
      <c r="A73" s="31"/>
      <c r="B73" s="40"/>
      <c r="C73" s="40">
        <f>[4]EIBL!$B73</f>
        <v>0</v>
      </c>
      <c r="D73" s="40"/>
      <c r="E73" s="1302"/>
    </row>
    <row r="74" spans="1:7">
      <c r="A74" s="31" t="s">
        <v>61</v>
      </c>
      <c r="B74" s="41"/>
      <c r="C74" s="41">
        <f>[4]EIBL!$B74</f>
        <v>0</v>
      </c>
      <c r="D74" s="41"/>
      <c r="E74" s="1303"/>
    </row>
    <row r="75" spans="1:7">
      <c r="A75" s="27" t="s">
        <v>62</v>
      </c>
      <c r="B75" s="25">
        <f>'[17]EIB Performance  30.04.2023'!B76</f>
        <v>0</v>
      </c>
      <c r="C75" s="25">
        <f>[4]EIBL!$B75</f>
        <v>0</v>
      </c>
      <c r="D75" s="162">
        <v>0</v>
      </c>
      <c r="E75" s="1291">
        <f>IFERROR(D75/C75,0)</f>
        <v>0</v>
      </c>
    </row>
    <row r="76" spans="1:7">
      <c r="A76" s="27" t="s">
        <v>63</v>
      </c>
      <c r="B76" s="25">
        <f>'[17]EIB Performance  30.04.2023'!B77</f>
        <v>0</v>
      </c>
      <c r="C76" s="25">
        <f>[4]EIBL!$B76</f>
        <v>0</v>
      </c>
      <c r="D76" s="162">
        <v>0</v>
      </c>
      <c r="E76" s="1291">
        <f>IFERROR(D76/C76,0)</f>
        <v>0</v>
      </c>
    </row>
    <row r="77" spans="1:7">
      <c r="A77" s="27" t="s">
        <v>64</v>
      </c>
      <c r="B77" s="25">
        <f>'[17]EIB Performance  30.04.2023'!B78</f>
        <v>0</v>
      </c>
      <c r="C77" s="25">
        <f>[4]EIBL!$B77</f>
        <v>0</v>
      </c>
      <c r="D77" s="162">
        <v>0</v>
      </c>
      <c r="E77" s="1291">
        <f>IFERROR(D77/C77,0)</f>
        <v>0</v>
      </c>
    </row>
    <row r="78" spans="1:7">
      <c r="A78" s="27" t="s">
        <v>65</v>
      </c>
      <c r="B78" s="25">
        <v>0</v>
      </c>
      <c r="C78" s="25">
        <f>[4]EIBL!$B78</f>
        <v>0</v>
      </c>
      <c r="D78" s="165">
        <f>B78-C78</f>
        <v>0</v>
      </c>
      <c r="E78" s="1291">
        <f>IFERROR(D78/C78,0)</f>
        <v>0</v>
      </c>
    </row>
    <row r="79" spans="1:7">
      <c r="A79" s="27" t="s">
        <v>66</v>
      </c>
      <c r="B79" s="25">
        <f>'[17]EIB Performance  30.04.2023'!B80+'[17]EIB Performance  30.04.2023'!B79</f>
        <v>95619.424870000003</v>
      </c>
      <c r="C79" s="25">
        <f>[4]EIBL!$B79</f>
        <v>56659.150550000006</v>
      </c>
      <c r="D79" s="41">
        <f>B79-C79</f>
        <v>38960.274319999997</v>
      </c>
      <c r="E79" s="1291">
        <f>IFERROR(D79/C79,0)</f>
        <v>0.68762545752638349</v>
      </c>
      <c r="G79" s="74"/>
    </row>
    <row r="80" spans="1:7">
      <c r="A80" s="29" t="s">
        <v>67</v>
      </c>
      <c r="B80" s="39">
        <f>SUM(B75:B79)</f>
        <v>95619.424870000003</v>
      </c>
      <c r="C80" s="39">
        <f>[4]EIBL!$B80</f>
        <v>56659.150550000006</v>
      </c>
      <c r="D80" s="39">
        <f t="shared" ref="D80:D97" si="6">B80-C80</f>
        <v>38960.274319999997</v>
      </c>
      <c r="E80" s="1292">
        <f t="shared" ref="E80:E96" si="7">IFERROR(D80/C80,0)</f>
        <v>0.68762545752638349</v>
      </c>
    </row>
    <row r="81" spans="1:14">
      <c r="A81" s="29" t="s">
        <v>68</v>
      </c>
      <c r="B81" s="39">
        <f>B72+B80</f>
        <v>113109.27705</v>
      </c>
      <c r="C81" s="39">
        <f>[4]EIBL!$B81</f>
        <v>60081.441220000008</v>
      </c>
      <c r="D81" s="39">
        <f t="shared" si="6"/>
        <v>53027.835829999996</v>
      </c>
      <c r="E81" s="1292">
        <f t="shared" si="7"/>
        <v>0.88259926448548642</v>
      </c>
    </row>
    <row r="82" spans="1:14">
      <c r="A82" s="31"/>
      <c r="B82" s="41"/>
      <c r="C82" s="41"/>
      <c r="D82" s="41"/>
      <c r="E82" s="1291"/>
    </row>
    <row r="83" spans="1:14">
      <c r="A83" s="31" t="s">
        <v>69</v>
      </c>
      <c r="B83" s="41"/>
      <c r="C83" s="41"/>
      <c r="D83" s="41"/>
      <c r="E83" s="1291"/>
    </row>
    <row r="84" spans="1:14">
      <c r="A84" s="27" t="s">
        <v>70</v>
      </c>
      <c r="B84" s="25">
        <f>-'[17]EIB Performance  30.04.2023'!$B$92</f>
        <v>0</v>
      </c>
      <c r="C84" s="25">
        <f>[4]EIBL!$B84</f>
        <v>0</v>
      </c>
      <c r="D84" s="41">
        <f t="shared" si="6"/>
        <v>0</v>
      </c>
      <c r="E84" s="1291">
        <f>IFERROR(D84/C84,0)</f>
        <v>0</v>
      </c>
    </row>
    <row r="85" spans="1:14">
      <c r="A85" s="27" t="s">
        <v>71</v>
      </c>
      <c r="B85" s="25">
        <f>'[17]EIB Performance  30.04.2023'!B86</f>
        <v>21524.339120000001</v>
      </c>
      <c r="C85" s="25">
        <f>[4]EIBL!$B85</f>
        <v>17646.933470000004</v>
      </c>
      <c r="D85" s="41">
        <f t="shared" si="6"/>
        <v>3877.405649999997</v>
      </c>
      <c r="E85" s="1291">
        <f t="shared" si="7"/>
        <v>0.21972121426034913</v>
      </c>
      <c r="K85" s="71"/>
    </row>
    <row r="86" spans="1:14">
      <c r="A86" s="27" t="s">
        <v>72</v>
      </c>
      <c r="B86" s="25">
        <f>'[17]EIB Performance  30.04.2023'!B87</f>
        <v>1664.25</v>
      </c>
      <c r="C86" s="25">
        <f>[4]EIBL!$B86</f>
        <v>1486.55</v>
      </c>
      <c r="D86" s="41">
        <f t="shared" si="6"/>
        <v>177.70000000000005</v>
      </c>
      <c r="E86" s="1291">
        <f t="shared" si="7"/>
        <v>0.11953852880831459</v>
      </c>
      <c r="K86" s="309"/>
      <c r="L86" s="309"/>
      <c r="M86" s="311"/>
      <c r="N86" s="455"/>
    </row>
    <row r="87" spans="1:14">
      <c r="A87" s="27" t="s">
        <v>73</v>
      </c>
      <c r="B87" s="25">
        <f>'[17]EIB Performance  30.04.2023'!B88</f>
        <v>1465.70542</v>
      </c>
      <c r="C87" s="25">
        <f>[4]EIBL!$B87</f>
        <v>379.66010999999997</v>
      </c>
      <c r="D87" s="41">
        <f t="shared" si="6"/>
        <v>1086.04531</v>
      </c>
      <c r="E87" s="1291">
        <f t="shared" si="7"/>
        <v>2.8605726053232194</v>
      </c>
    </row>
    <row r="88" spans="1:14">
      <c r="A88" s="27" t="s">
        <v>74</v>
      </c>
      <c r="B88" s="25">
        <f>'[17]EIB Performance  30.04.2023'!B89</f>
        <v>346.1139</v>
      </c>
      <c r="C88" s="25">
        <f>[4]EIBL!$B88</f>
        <v>201.35632000000001</v>
      </c>
      <c r="D88" s="41">
        <f t="shared" si="6"/>
        <v>144.75757999999999</v>
      </c>
      <c r="E88" s="1291">
        <f t="shared" si="7"/>
        <v>0.71891252283514107</v>
      </c>
    </row>
    <row r="89" spans="1:14">
      <c r="A89" s="27" t="s">
        <v>75</v>
      </c>
      <c r="B89" s="25">
        <f>'[17]EIB Performance  30.04.2023'!B90</f>
        <v>134.84652</v>
      </c>
      <c r="C89" s="25">
        <f>[4]EIBL!$B89</f>
        <v>134.84652</v>
      </c>
      <c r="D89" s="41">
        <f t="shared" si="6"/>
        <v>0</v>
      </c>
      <c r="E89" s="1291">
        <f t="shared" si="7"/>
        <v>0</v>
      </c>
    </row>
    <row r="90" spans="1:14">
      <c r="A90" s="27" t="s">
        <v>76</v>
      </c>
      <c r="B90" s="25">
        <f>'[17]EIB Performance  30.04.2023'!B91</f>
        <v>19420.322770000006</v>
      </c>
      <c r="C90" s="25">
        <f>[4]EIBL!$B90</f>
        <v>19215.791760000007</v>
      </c>
      <c r="D90" s="41">
        <f t="shared" si="6"/>
        <v>204.53100999999879</v>
      </c>
      <c r="E90" s="1291">
        <f t="shared" si="7"/>
        <v>1.0643902294245028E-2</v>
      </c>
    </row>
    <row r="91" spans="1:14">
      <c r="A91" s="29" t="s">
        <v>77</v>
      </c>
      <c r="B91" s="39">
        <f>SUM(B84:B90)</f>
        <v>44555.577730000005</v>
      </c>
      <c r="C91" s="39">
        <f>[4]EIBL!$B91</f>
        <v>39065.138180000009</v>
      </c>
      <c r="D91" s="39">
        <f t="shared" si="6"/>
        <v>5490.4395499999955</v>
      </c>
      <c r="E91" s="1292">
        <f t="shared" si="7"/>
        <v>0.14054576038363814</v>
      </c>
      <c r="F91" s="26"/>
      <c r="G91" s="404">
        <f>C81-C91</f>
        <v>21016.303039999999</v>
      </c>
      <c r="I91" s="55"/>
      <c r="L91" s="55"/>
    </row>
    <row r="92" spans="1:14">
      <c r="A92" s="29" t="s">
        <v>78</v>
      </c>
      <c r="B92" s="39">
        <f>B81-B91</f>
        <v>68553.69932</v>
      </c>
      <c r="C92" s="39">
        <f>[4]EIBL!$B92</f>
        <v>21016.303039999999</v>
      </c>
      <c r="D92" s="39">
        <f t="shared" si="6"/>
        <v>47537.396280000001</v>
      </c>
      <c r="E92" s="1292">
        <f>IFERROR(D92/C92,0)</f>
        <v>2.2619295215491908</v>
      </c>
      <c r="G92" s="53">
        <v>137093.954</v>
      </c>
    </row>
    <row r="93" spans="1:14">
      <c r="A93" s="27" t="s">
        <v>80</v>
      </c>
      <c r="B93" s="25">
        <v>0</v>
      </c>
      <c r="C93" s="25">
        <f>[4]EIBL!$B93</f>
        <v>0</v>
      </c>
      <c r="D93" s="41">
        <f t="shared" si="6"/>
        <v>0</v>
      </c>
      <c r="E93" s="1291">
        <f t="shared" si="7"/>
        <v>0</v>
      </c>
      <c r="G93" s="404">
        <f>G91-G92</f>
        <v>-116077.65096</v>
      </c>
    </row>
    <row r="94" spans="1:14">
      <c r="A94" s="29" t="s">
        <v>81</v>
      </c>
      <c r="B94" s="39">
        <f>SUM(B92:B93)</f>
        <v>68553.69932</v>
      </c>
      <c r="C94" s="39">
        <f>[4]EIBL!$B94</f>
        <v>21016.303039999999</v>
      </c>
      <c r="D94" s="39">
        <f t="shared" si="6"/>
        <v>47537.396280000001</v>
      </c>
      <c r="E94" s="1292">
        <f>IFERROR(D94/C94,0)</f>
        <v>2.2619295215491908</v>
      </c>
      <c r="K94" s="52" t="s">
        <v>643</v>
      </c>
      <c r="M94" s="177">
        <v>-67456.546000000002</v>
      </c>
      <c r="N94" s="55">
        <f>B94+M94</f>
        <v>1097.1533199999976</v>
      </c>
    </row>
    <row r="95" spans="1:14">
      <c r="A95" s="27" t="s">
        <v>91</v>
      </c>
      <c r="B95" s="25">
        <f>'[17]EIB Performance  30.04.2023'!$B$97</f>
        <v>-16667.35103683333</v>
      </c>
      <c r="C95" s="25">
        <f>[4]EIBL!$B95</f>
        <v>0</v>
      </c>
      <c r="D95" s="41">
        <f t="shared" si="6"/>
        <v>-16667.35103683333</v>
      </c>
      <c r="E95" s="1291">
        <v>1</v>
      </c>
    </row>
    <row r="96" spans="1:14">
      <c r="A96" s="27" t="s">
        <v>92</v>
      </c>
      <c r="B96" s="25">
        <f>-'[17]EIB Performance  30.04.2023'!$D$8/1000</f>
        <v>0</v>
      </c>
      <c r="C96" s="25">
        <f>[4]EIBL!$B96</f>
        <v>0</v>
      </c>
      <c r="D96" s="41">
        <f t="shared" si="6"/>
        <v>0</v>
      </c>
      <c r="E96" s="1291">
        <f t="shared" si="7"/>
        <v>0</v>
      </c>
      <c r="L96" s="105" t="s">
        <v>644</v>
      </c>
      <c r="M96" s="847">
        <f>-(B96+B95)/B94</f>
        <v>0.2431283971858651</v>
      </c>
    </row>
    <row r="97" spans="1:5" ht="13.5" thickBot="1">
      <c r="A97" s="95" t="s">
        <v>93</v>
      </c>
      <c r="B97" s="94">
        <f>SUM(B94:B96)</f>
        <v>51886.34828316667</v>
      </c>
      <c r="C97" s="94">
        <f>[4]EIBL!$B97</f>
        <v>21016.303039999999</v>
      </c>
      <c r="D97" s="39">
        <f t="shared" si="6"/>
        <v>30870.045243166671</v>
      </c>
      <c r="E97" s="1292">
        <f>IFERROR(D97/C97,0)</f>
        <v>1.4688618252416803</v>
      </c>
    </row>
    <row r="98" spans="1:5">
      <c r="A98" s="52"/>
      <c r="B98" s="52"/>
      <c r="C98" s="52"/>
    </row>
    <row r="99" spans="1:5">
      <c r="A99" s="52"/>
      <c r="B99" s="403"/>
      <c r="C99" s="403"/>
    </row>
    <row r="100" spans="1:5">
      <c r="A100" s="52"/>
      <c r="B100" s="55"/>
      <c r="C100" s="55"/>
    </row>
    <row r="101" spans="1:5">
      <c r="A101" s="52"/>
      <c r="B101" s="52"/>
      <c r="C101" s="52"/>
    </row>
    <row r="102" spans="1:5">
      <c r="A102" s="52"/>
      <c r="B102" s="52"/>
      <c r="C102" s="52"/>
    </row>
    <row r="103" spans="1:5">
      <c r="A103" s="52"/>
      <c r="B103" s="52"/>
      <c r="C103" s="52"/>
    </row>
    <row r="104" spans="1:5">
      <c r="A104" s="52"/>
      <c r="B104" s="52"/>
      <c r="C104" s="52"/>
    </row>
    <row r="105" spans="1:5">
      <c r="A105" s="52"/>
      <c r="B105" s="52"/>
      <c r="C105" s="52"/>
    </row>
    <row r="106" spans="1:5">
      <c r="A106" s="52"/>
      <c r="B106" s="52"/>
      <c r="C106" s="52"/>
    </row>
    <row r="107" spans="1:5">
      <c r="A107" s="52"/>
      <c r="B107" s="52"/>
      <c r="C107" s="52"/>
    </row>
    <row r="108" spans="1:5">
      <c r="A108" s="52"/>
      <c r="B108" s="52"/>
      <c r="C108" s="52"/>
    </row>
    <row r="109" spans="1:5">
      <c r="A109" s="52"/>
      <c r="B109" s="52"/>
      <c r="C109" s="52"/>
    </row>
    <row r="110" spans="1:5">
      <c r="A110" s="52"/>
      <c r="B110" s="52"/>
      <c r="C110" s="52"/>
    </row>
    <row r="111" spans="1:5">
      <c r="A111" s="52"/>
      <c r="B111" s="52"/>
      <c r="C111" s="52"/>
    </row>
    <row r="112" spans="1:5">
      <c r="A112" s="52"/>
      <c r="B112" s="52"/>
      <c r="C112" s="52"/>
    </row>
    <row r="113" spans="7:7" s="52" customFormat="1">
      <c r="G113" s="53"/>
    </row>
    <row r="114" spans="7:7" s="52" customFormat="1">
      <c r="G114" s="53"/>
    </row>
    <row r="115" spans="7:7" s="52" customFormat="1">
      <c r="G115" s="53"/>
    </row>
    <row r="116" spans="7:7" s="52" customFormat="1">
      <c r="G116" s="53"/>
    </row>
    <row r="117" spans="7:7" s="52" customFormat="1">
      <c r="G117" s="53"/>
    </row>
    <row r="118" spans="7:7" s="52" customFormat="1">
      <c r="G118" s="53"/>
    </row>
    <row r="119" spans="7:7" s="52" customFormat="1">
      <c r="G119" s="53"/>
    </row>
    <row r="120" spans="7:7" s="52" customFormat="1">
      <c r="G120" s="53"/>
    </row>
    <row r="121" spans="7:7" s="52" customFormat="1">
      <c r="G121" s="53"/>
    </row>
    <row r="122" spans="7:7" s="52" customFormat="1">
      <c r="G122" s="53"/>
    </row>
    <row r="123" spans="7:7" s="52" customFormat="1">
      <c r="G123" s="53"/>
    </row>
    <row r="124" spans="7:7" s="52" customFormat="1">
      <c r="G124" s="53"/>
    </row>
    <row r="125" spans="7:7" s="52" customFormat="1">
      <c r="G125" s="53"/>
    </row>
    <row r="126" spans="7:7" s="52" customFormat="1">
      <c r="G126" s="53"/>
    </row>
    <row r="127" spans="7:7" s="52" customFormat="1">
      <c r="G127" s="53"/>
    </row>
    <row r="128" spans="7:7" s="52" customFormat="1">
      <c r="G128" s="53"/>
    </row>
    <row r="129" spans="7:7" s="52" customFormat="1">
      <c r="G129" s="53"/>
    </row>
    <row r="130" spans="7:7" s="52" customFormat="1">
      <c r="G130" s="53"/>
    </row>
    <row r="131" spans="7:7" s="52" customFormat="1">
      <c r="G131" s="53"/>
    </row>
    <row r="132" spans="7:7" s="52" customFormat="1">
      <c r="G132" s="53"/>
    </row>
    <row r="133" spans="7:7" s="52" customFormat="1">
      <c r="G133" s="53"/>
    </row>
    <row r="134" spans="7:7" s="52" customFormat="1">
      <c r="G134" s="53"/>
    </row>
    <row r="135" spans="7:7" s="52" customFormat="1">
      <c r="G135" s="53"/>
    </row>
    <row r="136" spans="7:7" s="52" customFormat="1">
      <c r="G136" s="53"/>
    </row>
    <row r="137" spans="7:7" s="52" customFormat="1">
      <c r="G137" s="53"/>
    </row>
    <row r="138" spans="7:7" s="52" customFormat="1">
      <c r="G138" s="53"/>
    </row>
    <row r="139" spans="7:7" s="52" customFormat="1">
      <c r="G139" s="53"/>
    </row>
    <row r="140" spans="7:7" s="52" customFormat="1">
      <c r="G140" s="53"/>
    </row>
    <row r="141" spans="7:7" s="52" customFormat="1">
      <c r="G141" s="53"/>
    </row>
    <row r="142" spans="7:7" s="52" customFormat="1">
      <c r="G142" s="53"/>
    </row>
    <row r="143" spans="7:7" s="52" customFormat="1">
      <c r="G143" s="53"/>
    </row>
    <row r="144" spans="7:7" s="52" customFormat="1">
      <c r="G144" s="53"/>
    </row>
    <row r="145" spans="7:7" s="52" customFormat="1">
      <c r="G145" s="53"/>
    </row>
    <row r="146" spans="7:7" s="52" customFormat="1">
      <c r="G146" s="53"/>
    </row>
    <row r="147" spans="7:7" s="52" customFormat="1">
      <c r="G147" s="53"/>
    </row>
    <row r="148" spans="7:7" s="52" customFormat="1">
      <c r="G148" s="53"/>
    </row>
    <row r="149" spans="7:7" s="52" customFormat="1">
      <c r="G149" s="53"/>
    </row>
    <row r="150" spans="7:7" s="52" customFormat="1">
      <c r="G150" s="53"/>
    </row>
    <row r="151" spans="7:7" s="52" customFormat="1">
      <c r="G151" s="53"/>
    </row>
    <row r="152" spans="7:7" s="52" customFormat="1">
      <c r="G152" s="53"/>
    </row>
    <row r="153" spans="7:7" s="52" customFormat="1">
      <c r="G153" s="53"/>
    </row>
    <row r="154" spans="7:7" s="52" customFormat="1">
      <c r="G154" s="53"/>
    </row>
    <row r="155" spans="7:7" s="52" customFormat="1">
      <c r="G155" s="53"/>
    </row>
    <row r="156" spans="7:7" s="52" customFormat="1">
      <c r="G156" s="53"/>
    </row>
    <row r="157" spans="7:7" s="52" customFormat="1">
      <c r="G157" s="53"/>
    </row>
    <row r="158" spans="7:7" s="52" customFormat="1">
      <c r="G158" s="53"/>
    </row>
    <row r="159" spans="7:7" s="52" customFormat="1">
      <c r="G159" s="53"/>
    </row>
    <row r="160" spans="7:7" s="52" customFormat="1">
      <c r="G160" s="53"/>
    </row>
    <row r="161" spans="7:7" s="52" customFormat="1">
      <c r="G161" s="53"/>
    </row>
    <row r="162" spans="7:7" s="52" customFormat="1">
      <c r="G162" s="53"/>
    </row>
    <row r="163" spans="7:7" s="52" customFormat="1">
      <c r="G163" s="53"/>
    </row>
    <row r="164" spans="7:7" s="52" customFormat="1">
      <c r="G164" s="53"/>
    </row>
    <row r="165" spans="7:7" s="52" customFormat="1">
      <c r="G165" s="53"/>
    </row>
    <row r="166" spans="7:7" s="52" customFormat="1">
      <c r="G166" s="53"/>
    </row>
    <row r="167" spans="7:7" s="52" customFormat="1">
      <c r="G167" s="53"/>
    </row>
    <row r="168" spans="7:7" s="52" customFormat="1">
      <c r="G168" s="53"/>
    </row>
    <row r="169" spans="7:7" s="52" customFormat="1">
      <c r="G169" s="53"/>
    </row>
    <row r="170" spans="7:7" s="52" customFormat="1">
      <c r="G170" s="53"/>
    </row>
    <row r="171" spans="7:7" s="52" customFormat="1">
      <c r="G171" s="53"/>
    </row>
    <row r="172" spans="7:7" s="52" customFormat="1">
      <c r="G172" s="53"/>
    </row>
    <row r="173" spans="7:7" s="52" customFormat="1">
      <c r="G173" s="53"/>
    </row>
    <row r="174" spans="7:7" s="52" customFormat="1">
      <c r="G174" s="53"/>
    </row>
    <row r="175" spans="7:7" s="52" customFormat="1">
      <c r="G175" s="53"/>
    </row>
    <row r="176" spans="7:7" s="52" customFormat="1">
      <c r="G176" s="53"/>
    </row>
    <row r="177" spans="7:7" s="52" customFormat="1">
      <c r="G177" s="53"/>
    </row>
    <row r="178" spans="7:7" s="52" customFormat="1">
      <c r="G178" s="53"/>
    </row>
    <row r="179" spans="7:7" s="52" customFormat="1">
      <c r="G179" s="53"/>
    </row>
    <row r="180" spans="7:7" s="52" customFormat="1">
      <c r="G180" s="53"/>
    </row>
    <row r="181" spans="7:7" s="52" customFormat="1">
      <c r="G181" s="53"/>
    </row>
    <row r="182" spans="7:7" s="52" customFormat="1">
      <c r="G182" s="53"/>
    </row>
    <row r="183" spans="7:7" s="52" customFormat="1">
      <c r="G183" s="53"/>
    </row>
    <row r="184" spans="7:7" s="52" customFormat="1">
      <c r="G184" s="53"/>
    </row>
    <row r="185" spans="7:7" s="52" customFormat="1">
      <c r="G185" s="53"/>
    </row>
    <row r="186" spans="7:7" s="52" customFormat="1">
      <c r="G186" s="53"/>
    </row>
    <row r="187" spans="7:7" s="52" customFormat="1">
      <c r="G187" s="53"/>
    </row>
    <row r="188" spans="7:7" s="52" customFormat="1">
      <c r="G188" s="53"/>
    </row>
    <row r="189" spans="7:7" s="52" customFormat="1">
      <c r="G189" s="53"/>
    </row>
    <row r="190" spans="7:7" s="52" customFormat="1">
      <c r="G190" s="53"/>
    </row>
    <row r="191" spans="7:7" s="52" customFormat="1">
      <c r="G191" s="53"/>
    </row>
    <row r="192" spans="7:7" s="52" customFormat="1">
      <c r="G192" s="53"/>
    </row>
    <row r="193" spans="7:7" s="52" customFormat="1">
      <c r="G193" s="53"/>
    </row>
    <row r="194" spans="7:7" s="52" customFormat="1">
      <c r="G194" s="53"/>
    </row>
    <row r="195" spans="7:7" s="52" customFormat="1">
      <c r="G195" s="53"/>
    </row>
    <row r="196" spans="7:7" s="52" customFormat="1">
      <c r="G196" s="53"/>
    </row>
    <row r="197" spans="7:7" s="52" customFormat="1">
      <c r="G197" s="53"/>
    </row>
    <row r="198" spans="7:7" s="52" customFormat="1">
      <c r="G198" s="53"/>
    </row>
    <row r="199" spans="7:7" s="52" customFormat="1">
      <c r="G199" s="53"/>
    </row>
    <row r="200" spans="7:7" s="52" customFormat="1">
      <c r="G200" s="53"/>
    </row>
    <row r="201" spans="7:7" s="52" customFormat="1">
      <c r="G201" s="53"/>
    </row>
    <row r="202" spans="7:7" s="52" customFormat="1">
      <c r="G202" s="53"/>
    </row>
    <row r="203" spans="7:7" s="52" customFormat="1">
      <c r="G203" s="53"/>
    </row>
    <row r="204" spans="7:7" s="52" customFormat="1">
      <c r="G204" s="53"/>
    </row>
    <row r="205" spans="7:7" s="52" customFormat="1">
      <c r="G205" s="53"/>
    </row>
    <row r="206" spans="7:7" s="52" customFormat="1">
      <c r="G206" s="53"/>
    </row>
    <row r="207" spans="7:7" s="52" customFormat="1">
      <c r="G207" s="53"/>
    </row>
    <row r="208" spans="7:7" s="52" customFormat="1">
      <c r="G208" s="53"/>
    </row>
    <row r="209" spans="7:7" s="52" customFormat="1">
      <c r="G209" s="53"/>
    </row>
    <row r="210" spans="7:7" s="52" customFormat="1">
      <c r="G210" s="53"/>
    </row>
    <row r="211" spans="7:7" s="52" customFormat="1">
      <c r="G211" s="53"/>
    </row>
    <row r="212" spans="7:7" s="52" customFormat="1">
      <c r="G212" s="53"/>
    </row>
    <row r="213" spans="7:7" s="52" customFormat="1">
      <c r="G213" s="53"/>
    </row>
    <row r="214" spans="7:7" s="52" customFormat="1">
      <c r="G214" s="53"/>
    </row>
    <row r="215" spans="7:7" s="52" customFormat="1">
      <c r="G215" s="53"/>
    </row>
    <row r="216" spans="7:7" s="52" customFormat="1">
      <c r="G216" s="53"/>
    </row>
    <row r="217" spans="7:7" s="52" customFormat="1">
      <c r="G217" s="53"/>
    </row>
    <row r="218" spans="7:7" s="52" customFormat="1">
      <c r="G218" s="53"/>
    </row>
    <row r="219" spans="7:7" s="52" customFormat="1">
      <c r="G219" s="53"/>
    </row>
    <row r="220" spans="7:7" s="52" customFormat="1">
      <c r="G220" s="53"/>
    </row>
    <row r="221" spans="7:7" s="52" customFormat="1">
      <c r="G221" s="53"/>
    </row>
    <row r="222" spans="7:7" s="52" customFormat="1">
      <c r="G222" s="53"/>
    </row>
    <row r="223" spans="7:7" s="52" customFormat="1">
      <c r="G223" s="53"/>
    </row>
    <row r="224" spans="7:7" s="52" customFormat="1">
      <c r="G224" s="53"/>
    </row>
    <row r="225" spans="7:7" s="52" customFormat="1">
      <c r="G225" s="53"/>
    </row>
    <row r="226" spans="7:7" s="52" customFormat="1">
      <c r="G226" s="53"/>
    </row>
    <row r="227" spans="7:7" s="52" customFormat="1">
      <c r="G227" s="53"/>
    </row>
    <row r="228" spans="7:7" s="52" customFormat="1">
      <c r="G228" s="53"/>
    </row>
    <row r="229" spans="7:7" s="52" customFormat="1">
      <c r="G229" s="53"/>
    </row>
    <row r="230" spans="7:7" s="52" customFormat="1">
      <c r="G230" s="53"/>
    </row>
    <row r="231" spans="7:7" s="52" customFormat="1">
      <c r="G231" s="53"/>
    </row>
  </sheetData>
  <mergeCells count="7">
    <mergeCell ref="D57:D58"/>
    <mergeCell ref="E57:E58"/>
    <mergeCell ref="A1:B1"/>
    <mergeCell ref="D2:D4"/>
    <mergeCell ref="E2:E4"/>
    <mergeCell ref="A56:B56"/>
    <mergeCell ref="A55:B55"/>
  </mergeCells>
  <pageMargins left="0.7" right="0.7" top="0.75" bottom="0.75" header="0.3" footer="0.3"/>
  <pageSetup paperSize="8" scale="78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50"/>
    <pageSetUpPr fitToPage="1"/>
  </sheetPr>
  <dimension ref="A1:J196"/>
  <sheetViews>
    <sheetView workbookViewId="0">
      <selection activeCell="I28" sqref="I28"/>
    </sheetView>
  </sheetViews>
  <sheetFormatPr defaultColWidth="9.140625" defaultRowHeight="14.25"/>
  <cols>
    <col min="1" max="1" width="48.140625" style="50" customWidth="1"/>
    <col min="2" max="2" width="12.28515625" style="50" bestFit="1" customWidth="1"/>
    <col min="3" max="3" width="12.140625" style="51" bestFit="1" customWidth="1"/>
    <col min="4" max="4" width="8.85546875" style="51" bestFit="1" customWidth="1"/>
    <col min="5" max="5" width="18.85546875" style="68" bestFit="1" customWidth="1"/>
    <col min="6" max="6" width="4" style="1366" bestFit="1" customWidth="1"/>
    <col min="7" max="7" width="21.42578125" style="1366" bestFit="1" customWidth="1"/>
    <col min="8" max="8" width="35.42578125" style="1366" bestFit="1" customWidth="1"/>
    <col min="9" max="9" width="13.7109375" style="1366" bestFit="1" customWidth="1"/>
    <col min="10" max="10" width="5.85546875" style="1366" bestFit="1" customWidth="1"/>
    <col min="11" max="16384" width="9.140625" style="1366"/>
  </cols>
  <sheetData>
    <row r="1" spans="1:9" ht="15" thickBot="1">
      <c r="D1" s="169"/>
      <c r="E1" s="154"/>
    </row>
    <row r="2" spans="1:9" ht="26.25">
      <c r="A2" s="1627" t="s">
        <v>113</v>
      </c>
      <c r="B2" s="1628"/>
      <c r="C2" s="1367"/>
      <c r="D2" s="21"/>
      <c r="E2" s="58"/>
    </row>
    <row r="3" spans="1:9">
      <c r="A3" s="18" t="s">
        <v>862</v>
      </c>
      <c r="B3" s="1191">
        <f>EBKL!B2</f>
        <v>45046</v>
      </c>
      <c r="C3" s="1191">
        <f>EBKL!C2</f>
        <v>44681</v>
      </c>
      <c r="D3" s="1537" t="s">
        <v>85</v>
      </c>
      <c r="E3" s="1629" t="s">
        <v>86</v>
      </c>
    </row>
    <row r="4" spans="1:9">
      <c r="A4" s="20" t="s">
        <v>183</v>
      </c>
      <c r="B4" s="19" t="s">
        <v>82</v>
      </c>
      <c r="C4" s="19" t="s">
        <v>96</v>
      </c>
      <c r="D4" s="1538"/>
      <c r="E4" s="1544"/>
    </row>
    <row r="5" spans="1:9">
      <c r="A5" s="20"/>
      <c r="B5" s="19" t="s">
        <v>97</v>
      </c>
      <c r="C5" s="19" t="s">
        <v>97</v>
      </c>
      <c r="D5" s="21"/>
      <c r="E5" s="58"/>
    </row>
    <row r="6" spans="1:9">
      <c r="A6" s="20"/>
      <c r="B6" s="19" t="s">
        <v>879</v>
      </c>
      <c r="C6" s="19" t="s">
        <v>879</v>
      </c>
      <c r="D6" s="21"/>
      <c r="E6" s="58"/>
    </row>
    <row r="7" spans="1:9">
      <c r="A7" s="18" t="s">
        <v>1</v>
      </c>
      <c r="B7" s="18"/>
      <c r="C7" s="21"/>
      <c r="D7" s="21"/>
      <c r="E7" s="58"/>
    </row>
    <row r="8" spans="1:9">
      <c r="A8" s="23" t="s">
        <v>2</v>
      </c>
      <c r="B8" s="25">
        <f>'[15]ENL, ECGL &amp; EISL'!$B$8+'[15]ENL, ECGL &amp; EISL'!$B$12</f>
        <v>69053.968838000001</v>
      </c>
      <c r="C8" s="25">
        <f>[4]Others!$B8</f>
        <v>60333.538403499988</v>
      </c>
      <c r="D8" s="25">
        <f>B8-C8</f>
        <v>8720.4304345000128</v>
      </c>
      <c r="E8" s="1291">
        <f>IFERROR(D8/C8,0)</f>
        <v>0.14453702973923596</v>
      </c>
    </row>
    <row r="9" spans="1:9">
      <c r="A9" s="27" t="s">
        <v>3</v>
      </c>
      <c r="B9" s="162">
        <v>0</v>
      </c>
      <c r="C9" s="25">
        <f>[4]Others!$B9</f>
        <v>0</v>
      </c>
      <c r="D9" s="25">
        <f t="shared" ref="D9:D29" si="0">B9-C9</f>
        <v>0</v>
      </c>
      <c r="E9" s="1291">
        <f t="shared" ref="E9:E29" si="1">IFERROR(D9/C9,0)</f>
        <v>0</v>
      </c>
    </row>
    <row r="10" spans="1:9">
      <c r="A10" s="27" t="s">
        <v>4</v>
      </c>
      <c r="B10" s="162">
        <v>0</v>
      </c>
      <c r="C10" s="25">
        <f>[4]Others!$B10</f>
        <v>0</v>
      </c>
      <c r="D10" s="25">
        <f t="shared" si="0"/>
        <v>0</v>
      </c>
      <c r="E10" s="1291">
        <f t="shared" si="1"/>
        <v>0</v>
      </c>
    </row>
    <row r="11" spans="1:9">
      <c r="A11" s="27" t="s">
        <v>5</v>
      </c>
      <c r="B11" s="162">
        <v>0</v>
      </c>
      <c r="C11" s="25">
        <f>[4]Others!$B11</f>
        <v>0</v>
      </c>
      <c r="D11" s="25">
        <f t="shared" si="0"/>
        <v>0</v>
      </c>
      <c r="E11" s="1291">
        <f t="shared" si="1"/>
        <v>0</v>
      </c>
    </row>
    <row r="12" spans="1:9">
      <c r="A12" s="27" t="s">
        <v>6</v>
      </c>
      <c r="B12" s="162">
        <v>0</v>
      </c>
      <c r="C12" s="25">
        <f>[4]Others!$B12</f>
        <v>0</v>
      </c>
      <c r="D12" s="25">
        <f t="shared" si="0"/>
        <v>0</v>
      </c>
      <c r="E12" s="1291">
        <f t="shared" si="1"/>
        <v>0</v>
      </c>
    </row>
    <row r="13" spans="1:9" ht="26.25">
      <c r="A13" s="27" t="s">
        <v>7</v>
      </c>
      <c r="B13" s="162">
        <v>0</v>
      </c>
      <c r="C13" s="25">
        <f>[4]Others!$B13</f>
        <v>0</v>
      </c>
      <c r="D13" s="25">
        <f t="shared" si="0"/>
        <v>0</v>
      </c>
      <c r="E13" s="1291">
        <f t="shared" si="1"/>
        <v>0</v>
      </c>
      <c r="I13" s="1368"/>
    </row>
    <row r="14" spans="1:9" ht="25.5">
      <c r="A14" s="27" t="s">
        <v>8</v>
      </c>
      <c r="B14" s="25">
        <f>'[15]ENL, ECGL &amp; EISL'!$B14</f>
        <v>17426.318247468807</v>
      </c>
      <c r="C14" s="25">
        <f>[4]Others!$B14</f>
        <v>17981.521058044378</v>
      </c>
      <c r="D14" s="25">
        <f t="shared" si="0"/>
        <v>-555.20281057557077</v>
      </c>
      <c r="E14" s="1291">
        <f t="shared" si="1"/>
        <v>-3.0876298439012764E-2</v>
      </c>
    </row>
    <row r="15" spans="1:9">
      <c r="A15" s="27" t="s">
        <v>9</v>
      </c>
      <c r="B15" s="25">
        <f>'[15]ENL, ECGL &amp; EISL'!$B15</f>
        <v>7568.1881984307602</v>
      </c>
      <c r="C15" s="25">
        <f>[4]Others!$B15</f>
        <v>8222.7682471367934</v>
      </c>
      <c r="D15" s="25">
        <f t="shared" si="0"/>
        <v>-654.58004870603327</v>
      </c>
      <c r="E15" s="1291">
        <f t="shared" si="1"/>
        <v>-7.9605800508114902E-2</v>
      </c>
    </row>
    <row r="16" spans="1:9">
      <c r="A16" s="27" t="s">
        <v>10</v>
      </c>
      <c r="B16" s="25">
        <f>'[15]ENL, ECGL &amp; EISL'!$B16</f>
        <v>0</v>
      </c>
      <c r="C16" s="25">
        <f>[4]Others!$B16</f>
        <v>0</v>
      </c>
      <c r="D16" s="25">
        <f t="shared" si="0"/>
        <v>0</v>
      </c>
      <c r="E16" s="1291">
        <f t="shared" si="1"/>
        <v>0</v>
      </c>
    </row>
    <row r="17" spans="1:7">
      <c r="A17" s="27" t="s">
        <v>11</v>
      </c>
      <c r="B17" s="25">
        <f>'[15]ENL, ECGL &amp; EISL'!$B17</f>
        <v>42725.868910000005</v>
      </c>
      <c r="C17" s="25">
        <f>[4]Others!$B17</f>
        <v>44592.937490000011</v>
      </c>
      <c r="D17" s="25">
        <f t="shared" si="0"/>
        <v>-1867.0685800000065</v>
      </c>
      <c r="E17" s="1291">
        <f t="shared" si="1"/>
        <v>-4.1869154289705571E-2</v>
      </c>
    </row>
    <row r="18" spans="1:7">
      <c r="A18" s="27" t="s">
        <v>12</v>
      </c>
      <c r="B18" s="25">
        <v>0</v>
      </c>
      <c r="C18" s="25">
        <f>[4]Others!$B18</f>
        <v>0</v>
      </c>
      <c r="D18" s="25">
        <f t="shared" si="0"/>
        <v>0</v>
      </c>
      <c r="E18" s="1291">
        <f t="shared" si="1"/>
        <v>0</v>
      </c>
    </row>
    <row r="19" spans="1:7">
      <c r="A19" s="27" t="s">
        <v>13</v>
      </c>
      <c r="B19" s="162">
        <v>0</v>
      </c>
      <c r="C19" s="25">
        <f>[4]Others!$B19</f>
        <v>0</v>
      </c>
      <c r="D19" s="25">
        <f t="shared" si="0"/>
        <v>0</v>
      </c>
      <c r="E19" s="1291">
        <f t="shared" si="1"/>
        <v>0</v>
      </c>
    </row>
    <row r="20" spans="1:7">
      <c r="A20" s="27" t="s">
        <v>14</v>
      </c>
      <c r="B20" s="162">
        <v>0</v>
      </c>
      <c r="C20" s="25">
        <f>[4]Others!$B20</f>
        <v>0</v>
      </c>
      <c r="D20" s="25">
        <f t="shared" si="0"/>
        <v>0</v>
      </c>
      <c r="E20" s="1291">
        <f t="shared" si="1"/>
        <v>0</v>
      </c>
    </row>
    <row r="21" spans="1:7">
      <c r="A21" s="27" t="s">
        <v>15</v>
      </c>
      <c r="B21" s="162">
        <v>0</v>
      </c>
      <c r="C21" s="25">
        <f>[4]Others!$B21</f>
        <v>0</v>
      </c>
      <c r="D21" s="25">
        <f t="shared" si="0"/>
        <v>0</v>
      </c>
      <c r="E21" s="1291">
        <f t="shared" si="1"/>
        <v>0</v>
      </c>
    </row>
    <row r="22" spans="1:7">
      <c r="A22" s="27" t="s">
        <v>16</v>
      </c>
      <c r="B22" s="162">
        <v>0</v>
      </c>
      <c r="C22" s="25">
        <f>[4]Others!$B22</f>
        <v>0</v>
      </c>
      <c r="D22" s="25">
        <f t="shared" si="0"/>
        <v>0</v>
      </c>
      <c r="E22" s="1291">
        <f t="shared" si="1"/>
        <v>0</v>
      </c>
      <c r="G22" s="1369"/>
    </row>
    <row r="23" spans="1:7">
      <c r="A23" s="27" t="s">
        <v>17</v>
      </c>
      <c r="B23" s="25">
        <v>0</v>
      </c>
      <c r="C23" s="25">
        <f>[4]Others!$B23</f>
        <v>0</v>
      </c>
      <c r="D23" s="25">
        <f t="shared" si="0"/>
        <v>0</v>
      </c>
      <c r="E23" s="1291">
        <f t="shared" si="1"/>
        <v>0</v>
      </c>
    </row>
    <row r="24" spans="1:7">
      <c r="A24" s="27" t="s">
        <v>18</v>
      </c>
      <c r="B24" s="162">
        <v>0</v>
      </c>
      <c r="C24" s="25">
        <f>[4]Others!$B24</f>
        <v>0</v>
      </c>
      <c r="D24" s="25">
        <f t="shared" si="0"/>
        <v>0</v>
      </c>
      <c r="E24" s="1291">
        <f t="shared" si="1"/>
        <v>0</v>
      </c>
    </row>
    <row r="25" spans="1:7">
      <c r="A25" s="27" t="s">
        <v>19</v>
      </c>
      <c r="B25" s="25">
        <v>0</v>
      </c>
      <c r="C25" s="25">
        <f>[4]Others!$B25</f>
        <v>0</v>
      </c>
      <c r="D25" s="25">
        <f t="shared" si="0"/>
        <v>0</v>
      </c>
      <c r="E25" s="1291">
        <f t="shared" si="1"/>
        <v>0</v>
      </c>
    </row>
    <row r="26" spans="1:7">
      <c r="A26" s="27" t="s">
        <v>20</v>
      </c>
      <c r="B26" s="25">
        <f>'[15]ENL, ECGL &amp; EISL'!$B$26</f>
        <v>6857.9002976943902</v>
      </c>
      <c r="C26" s="25">
        <f>[4]Others!$B26</f>
        <v>6691.3394545217197</v>
      </c>
      <c r="D26" s="25">
        <f t="shared" si="0"/>
        <v>166.5608431726705</v>
      </c>
      <c r="E26" s="1291">
        <f t="shared" si="1"/>
        <v>2.4892003208732125E-2</v>
      </c>
    </row>
    <row r="27" spans="1:7">
      <c r="A27" s="27" t="s">
        <v>21</v>
      </c>
      <c r="B27" s="162">
        <v>0</v>
      </c>
      <c r="C27" s="25">
        <f>[4]Others!$B27</f>
        <v>0</v>
      </c>
      <c r="D27" s="25">
        <f t="shared" si="0"/>
        <v>0</v>
      </c>
      <c r="E27" s="1291">
        <f t="shared" si="1"/>
        <v>0</v>
      </c>
    </row>
    <row r="28" spans="1:7">
      <c r="A28" s="27" t="s">
        <v>22</v>
      </c>
      <c r="B28" s="25">
        <f>'[15]ENL, ECGL &amp; EISL'!$B$28+'[15]ENL, ECGL &amp; EISL'!$B$18</f>
        <v>421477.93426270486</v>
      </c>
      <c r="C28" s="25">
        <f>[4]Others!$B28</f>
        <v>421423.21660036349</v>
      </c>
      <c r="D28" s="25">
        <f t="shared" si="0"/>
        <v>54.71766234136885</v>
      </c>
      <c r="E28" s="1291">
        <f t="shared" si="1"/>
        <v>1.298401706075385E-4</v>
      </c>
    </row>
    <row r="29" spans="1:7">
      <c r="A29" s="29" t="s">
        <v>23</v>
      </c>
      <c r="B29" s="39">
        <f>SUM(B8:B28)</f>
        <v>565110.17875429883</v>
      </c>
      <c r="C29" s="39">
        <f>SUM(C8:C28)</f>
        <v>559245.3212535663</v>
      </c>
      <c r="D29" s="1370">
        <f t="shared" si="0"/>
        <v>5864.8575007325271</v>
      </c>
      <c r="E29" s="1371">
        <f t="shared" si="1"/>
        <v>1.0487092654769575E-2</v>
      </c>
    </row>
    <row r="30" spans="1:7">
      <c r="A30" s="31"/>
      <c r="B30" s="25"/>
      <c r="C30" s="76"/>
      <c r="D30" s="32"/>
      <c r="E30" s="1293"/>
    </row>
    <row r="31" spans="1:7">
      <c r="A31" s="31" t="s">
        <v>24</v>
      </c>
      <c r="B31" s="25"/>
      <c r="C31" s="25"/>
      <c r="D31" s="24"/>
      <c r="E31" s="1294"/>
    </row>
    <row r="32" spans="1:7">
      <c r="A32" s="27" t="s">
        <v>25</v>
      </c>
      <c r="B32" s="162">
        <v>0</v>
      </c>
      <c r="C32" s="162">
        <f>[4]Others!$B32</f>
        <v>0</v>
      </c>
      <c r="D32" s="25">
        <f t="shared" ref="D32:D44" si="2">B32-C32</f>
        <v>0</v>
      </c>
      <c r="E32" s="1291">
        <f t="shared" ref="E32:E44" si="3">IFERROR(D32/C32,0)</f>
        <v>0</v>
      </c>
    </row>
    <row r="33" spans="1:5">
      <c r="A33" s="27" t="s">
        <v>26</v>
      </c>
      <c r="B33" s="162">
        <v>0</v>
      </c>
      <c r="C33" s="162">
        <f>[4]Others!$B33</f>
        <v>0</v>
      </c>
      <c r="D33" s="25">
        <f t="shared" si="2"/>
        <v>0</v>
      </c>
      <c r="E33" s="1291">
        <f t="shared" si="3"/>
        <v>0</v>
      </c>
    </row>
    <row r="34" spans="1:5" ht="25.5">
      <c r="A34" s="27" t="s">
        <v>27</v>
      </c>
      <c r="B34" s="162">
        <v>0</v>
      </c>
      <c r="C34" s="162">
        <f>[4]Others!$B34</f>
        <v>0</v>
      </c>
      <c r="D34" s="25">
        <f t="shared" si="2"/>
        <v>0</v>
      </c>
      <c r="E34" s="1291">
        <f t="shared" si="3"/>
        <v>0</v>
      </c>
    </row>
    <row r="35" spans="1:5" ht="25.5">
      <c r="A35" s="27" t="s">
        <v>28</v>
      </c>
      <c r="B35" s="162">
        <v>0</v>
      </c>
      <c r="C35" s="162">
        <f>[4]Others!$B35</f>
        <v>0</v>
      </c>
      <c r="D35" s="25">
        <f t="shared" si="2"/>
        <v>0</v>
      </c>
      <c r="E35" s="1291">
        <f t="shared" si="3"/>
        <v>0</v>
      </c>
    </row>
    <row r="36" spans="1:5">
      <c r="A36" s="27" t="s">
        <v>29</v>
      </c>
      <c r="B36" s="162">
        <v>0</v>
      </c>
      <c r="C36" s="162">
        <f>[4]Others!$B36</f>
        <v>0</v>
      </c>
      <c r="D36" s="25">
        <f t="shared" si="2"/>
        <v>0</v>
      </c>
      <c r="E36" s="1291">
        <f t="shared" si="3"/>
        <v>0</v>
      </c>
    </row>
    <row r="37" spans="1:5">
      <c r="A37" s="27" t="s">
        <v>30</v>
      </c>
      <c r="B37" s="162">
        <v>0</v>
      </c>
      <c r="C37" s="162">
        <f>[4]Others!$B37</f>
        <v>0</v>
      </c>
      <c r="D37" s="25">
        <f t="shared" si="2"/>
        <v>0</v>
      </c>
      <c r="E37" s="1291">
        <f t="shared" si="3"/>
        <v>0</v>
      </c>
    </row>
    <row r="38" spans="1:5">
      <c r="A38" s="27" t="s">
        <v>31</v>
      </c>
      <c r="B38" s="25">
        <v>0</v>
      </c>
      <c r="C38" s="25">
        <f>[4]Others!$B38</f>
        <v>0</v>
      </c>
      <c r="D38" s="25">
        <f t="shared" si="2"/>
        <v>0</v>
      </c>
      <c r="E38" s="1291">
        <f t="shared" si="3"/>
        <v>0</v>
      </c>
    </row>
    <row r="39" spans="1:5">
      <c r="A39" s="27" t="s">
        <v>32</v>
      </c>
      <c r="B39" s="25">
        <f>'[15]ENL, ECGL &amp; EISL'!$B39</f>
        <v>0</v>
      </c>
      <c r="C39" s="165">
        <f>[4]Others!$B39</f>
        <v>0</v>
      </c>
      <c r="D39" s="25">
        <f t="shared" si="2"/>
        <v>0</v>
      </c>
      <c r="E39" s="1291">
        <f t="shared" si="3"/>
        <v>0</v>
      </c>
    </row>
    <row r="40" spans="1:5">
      <c r="A40" s="27" t="s">
        <v>33</v>
      </c>
      <c r="B40" s="25">
        <f>'[15]ENL, ECGL &amp; EISL'!$B40</f>
        <v>0</v>
      </c>
      <c r="C40" s="162">
        <f>[4]Others!$B40</f>
        <v>0</v>
      </c>
      <c r="D40" s="25">
        <f t="shared" si="2"/>
        <v>0</v>
      </c>
      <c r="E40" s="1291">
        <f t="shared" si="3"/>
        <v>0</v>
      </c>
    </row>
    <row r="41" spans="1:5">
      <c r="A41" s="27" t="s">
        <v>34</v>
      </c>
      <c r="B41" s="25">
        <f>'[15]ENL, ECGL &amp; EISL'!$B41</f>
        <v>0</v>
      </c>
      <c r="C41" s="165">
        <f>[4]Others!$B41</f>
        <v>0</v>
      </c>
      <c r="D41" s="25">
        <f t="shared" si="2"/>
        <v>0</v>
      </c>
      <c r="E41" s="1291">
        <f t="shared" si="3"/>
        <v>0</v>
      </c>
    </row>
    <row r="42" spans="1:5">
      <c r="A42" s="27" t="s">
        <v>35</v>
      </c>
      <c r="B42" s="25">
        <f>'[15]ENL, ECGL &amp; EISL'!$B42</f>
        <v>0</v>
      </c>
      <c r="C42" s="162">
        <f>[4]Others!$B42</f>
        <v>0</v>
      </c>
      <c r="D42" s="25">
        <f t="shared" si="2"/>
        <v>0</v>
      </c>
      <c r="E42" s="1291">
        <f t="shared" si="3"/>
        <v>0</v>
      </c>
    </row>
    <row r="43" spans="1:5">
      <c r="A43" s="27" t="s">
        <v>36</v>
      </c>
      <c r="B43" s="25">
        <f>('[15]ENL, ECGL &amp; EISL'!$B43+'[15]ENL, ECGL &amp; EISL'!$B$38)+0.000997059163637459</f>
        <v>68857.421177059165</v>
      </c>
      <c r="C43" s="165">
        <f>[4]Others!$B43</f>
        <v>67091.658809999994</v>
      </c>
      <c r="D43" s="25">
        <f t="shared" si="2"/>
        <v>1765.7623670591711</v>
      </c>
      <c r="E43" s="1291">
        <f t="shared" si="3"/>
        <v>2.6318657168094714E-2</v>
      </c>
    </row>
    <row r="44" spans="1:5">
      <c r="A44" s="29" t="s">
        <v>37</v>
      </c>
      <c r="B44" s="39">
        <f>SUM(B32:B43)</f>
        <v>68857.421177059165</v>
      </c>
      <c r="C44" s="39">
        <f>SUM(C32:C43)</f>
        <v>67091.658809999994</v>
      </c>
      <c r="D44" s="1370">
        <f t="shared" si="2"/>
        <v>1765.7623670591711</v>
      </c>
      <c r="E44" s="1371">
        <f t="shared" si="3"/>
        <v>2.6318657168094714E-2</v>
      </c>
    </row>
    <row r="45" spans="1:5">
      <c r="A45" s="31"/>
      <c r="B45" s="25"/>
      <c r="C45" s="60"/>
      <c r="D45" s="32"/>
      <c r="E45" s="1293"/>
    </row>
    <row r="46" spans="1:5">
      <c r="A46" s="29" t="s">
        <v>38</v>
      </c>
      <c r="B46" s="39"/>
      <c r="C46" s="39"/>
      <c r="D46" s="30"/>
      <c r="E46" s="1292"/>
    </row>
    <row r="47" spans="1:5">
      <c r="A47" s="27" t="s">
        <v>39</v>
      </c>
      <c r="B47" s="25">
        <f>'[15]ENL, ECGL &amp; EISL'!$B47</f>
        <v>420600</v>
      </c>
      <c r="C47" s="25">
        <f>[4]Others!$B47</f>
        <v>420600</v>
      </c>
      <c r="D47" s="25">
        <f t="shared" ref="D47:D54" si="4">B47-C47</f>
        <v>0</v>
      </c>
      <c r="E47" s="1291">
        <f t="shared" ref="E47:E54" si="5">IFERROR(D47/C47,0)</f>
        <v>0</v>
      </c>
    </row>
    <row r="48" spans="1:5">
      <c r="A48" s="27" t="s">
        <v>40</v>
      </c>
      <c r="B48" s="25">
        <f>'[15]ENL, ECGL &amp; EISL'!$B48</f>
        <v>0</v>
      </c>
      <c r="C48" s="25">
        <f>[4]Others!$B48</f>
        <v>0</v>
      </c>
      <c r="D48" s="25">
        <f t="shared" si="4"/>
        <v>0</v>
      </c>
      <c r="E48" s="1291">
        <f t="shared" si="5"/>
        <v>0</v>
      </c>
    </row>
    <row r="49" spans="1:10">
      <c r="A49" s="27" t="s">
        <v>41</v>
      </c>
      <c r="B49" s="25">
        <f>'[15]ENL, ECGL &amp; EISL'!$B49</f>
        <v>-241.41843128691147</v>
      </c>
      <c r="C49" s="25">
        <f>[4]Others!$B49</f>
        <v>147.22353611598805</v>
      </c>
      <c r="D49" s="25">
        <f t="shared" si="4"/>
        <v>-388.64196740289952</v>
      </c>
      <c r="E49" s="1291">
        <f t="shared" si="5"/>
        <v>-2.6398086722812666</v>
      </c>
    </row>
    <row r="50" spans="1:10">
      <c r="A50" s="27" t="s">
        <v>42</v>
      </c>
      <c r="B50" s="25">
        <f>'[15]ENL, ECGL &amp; EISL'!$B50</f>
        <v>75894.176008526585</v>
      </c>
      <c r="C50" s="25">
        <f>[4]Others!$B50</f>
        <v>71406.437963755045</v>
      </c>
      <c r="D50" s="25">
        <f t="shared" si="4"/>
        <v>4487.7380447715404</v>
      </c>
      <c r="E50" s="1291">
        <f t="shared" si="5"/>
        <v>6.2847807183008572E-2</v>
      </c>
      <c r="G50" s="1366" t="s">
        <v>520</v>
      </c>
      <c r="H50" s="1372">
        <v>73698.183036568895</v>
      </c>
      <c r="I50" s="1369">
        <f>B50-H50</f>
        <v>2195.9929719576903</v>
      </c>
    </row>
    <row r="51" spans="1:10">
      <c r="A51" s="27" t="s">
        <v>43</v>
      </c>
      <c r="B51" s="25">
        <f>'[15]ENL, ECGL &amp; EISL'!$B51</f>
        <v>0</v>
      </c>
      <c r="C51" s="25">
        <f>[4]Others!$B51</f>
        <v>0</v>
      </c>
      <c r="D51" s="25">
        <f t="shared" si="4"/>
        <v>0</v>
      </c>
      <c r="E51" s="1291">
        <f t="shared" si="5"/>
        <v>0</v>
      </c>
      <c r="G51" s="1366" t="s">
        <v>521</v>
      </c>
      <c r="I51" s="1369">
        <f>B98</f>
        <v>2195.9929719576812</v>
      </c>
    </row>
    <row r="52" spans="1:10">
      <c r="A52" s="27" t="s">
        <v>44</v>
      </c>
      <c r="B52" s="162">
        <v>0</v>
      </c>
      <c r="C52" s="25">
        <f>[4]Others!$B52</f>
        <v>0</v>
      </c>
      <c r="D52" s="25">
        <f t="shared" si="4"/>
        <v>0</v>
      </c>
      <c r="E52" s="1291">
        <f t="shared" si="5"/>
        <v>0</v>
      </c>
      <c r="I52" s="1373">
        <f>I50-I51</f>
        <v>9.0949470177292824E-12</v>
      </c>
      <c r="J52" s="1366" t="s">
        <v>519</v>
      </c>
    </row>
    <row r="53" spans="1:10">
      <c r="A53" s="27" t="s">
        <v>45</v>
      </c>
      <c r="B53" s="162">
        <v>0</v>
      </c>
      <c r="C53" s="162">
        <v>0</v>
      </c>
      <c r="D53" s="25">
        <f t="shared" si="4"/>
        <v>0</v>
      </c>
      <c r="E53" s="1291">
        <f t="shared" si="5"/>
        <v>0</v>
      </c>
    </row>
    <row r="54" spans="1:10">
      <c r="A54" s="29" t="s">
        <v>46</v>
      </c>
      <c r="B54" s="39">
        <f>SUM(B47:B53)</f>
        <v>496252.75757723965</v>
      </c>
      <c r="C54" s="39">
        <f>SUM(C47:C53)</f>
        <v>492153.66149987106</v>
      </c>
      <c r="D54" s="1370">
        <f t="shared" si="4"/>
        <v>4099.0960773685947</v>
      </c>
      <c r="E54" s="1371">
        <f t="shared" si="5"/>
        <v>8.3288948107717552E-3</v>
      </c>
    </row>
    <row r="55" spans="1:10">
      <c r="A55" s="34"/>
      <c r="B55" s="80"/>
      <c r="C55" s="170"/>
      <c r="D55" s="35"/>
      <c r="E55" s="1300"/>
    </row>
    <row r="56" spans="1:10" ht="26.25" thickBot="1">
      <c r="A56" s="1374" t="s">
        <v>47</v>
      </c>
      <c r="B56" s="1375">
        <f>B44+B54</f>
        <v>565110.17875429883</v>
      </c>
      <c r="C56" s="1375">
        <f>C44+C54</f>
        <v>559245.32030987111</v>
      </c>
      <c r="D56" s="1376">
        <f>B56-C56</f>
        <v>5864.8584444277221</v>
      </c>
      <c r="E56" s="1377">
        <f>IFERROR(D56/C56,0)</f>
        <v>1.0487094359910021E-2</v>
      </c>
    </row>
    <row r="57" spans="1:10" ht="26.25">
      <c r="A57" s="1627" t="str">
        <f>A2</f>
        <v>ENL, ECGL &amp; EISL</v>
      </c>
      <c r="B57" s="1628"/>
      <c r="C57" s="171">
        <f>B56-B29</f>
        <v>0</v>
      </c>
      <c r="D57" s="171">
        <f>C56-C29</f>
        <v>-9.4369519501924515E-4</v>
      </c>
      <c r="E57" s="1378"/>
    </row>
    <row r="58" spans="1:10">
      <c r="A58" s="36" t="s">
        <v>48</v>
      </c>
      <c r="B58" s="1191">
        <f>B3</f>
        <v>45046</v>
      </c>
      <c r="C58" s="1191">
        <f>C3</f>
        <v>44681</v>
      </c>
      <c r="D58" s="1580" t="s">
        <v>85</v>
      </c>
      <c r="E58" s="1630" t="s">
        <v>86</v>
      </c>
    </row>
    <row r="59" spans="1:10">
      <c r="A59" s="36"/>
      <c r="B59" s="19" t="s">
        <v>97</v>
      </c>
      <c r="C59" s="19" t="s">
        <v>97</v>
      </c>
      <c r="D59" s="1538"/>
      <c r="E59" s="1631"/>
    </row>
    <row r="60" spans="1:10" ht="15" thickBot="1">
      <c r="A60" s="439"/>
      <c r="B60" s="438" t="s">
        <v>879</v>
      </c>
      <c r="C60" s="438" t="s">
        <v>879</v>
      </c>
      <c r="D60" s="439"/>
      <c r="E60" s="1379"/>
    </row>
    <row r="61" spans="1:10">
      <c r="A61" s="603" t="s">
        <v>49</v>
      </c>
      <c r="B61" s="38"/>
      <c r="C61" s="38"/>
      <c r="D61" s="38"/>
      <c r="E61" s="1301"/>
    </row>
    <row r="62" spans="1:10">
      <c r="A62" s="27" t="s">
        <v>50</v>
      </c>
      <c r="B62" s="165">
        <f>'[15]ENL, ECGL &amp; EISL'!$B62</f>
        <v>0</v>
      </c>
      <c r="C62" s="162">
        <f>[4]Others!$B62</f>
        <v>0</v>
      </c>
      <c r="D62" s="25">
        <f>B62-C62</f>
        <v>0</v>
      </c>
      <c r="E62" s="1291">
        <f>IFERROR(D62/C62,0)</f>
        <v>0</v>
      </c>
    </row>
    <row r="63" spans="1:10">
      <c r="A63" s="27" t="s">
        <v>51</v>
      </c>
      <c r="B63" s="165">
        <f>'[15]ENL, ECGL &amp; EISL'!$B63</f>
        <v>1200</v>
      </c>
      <c r="C63" s="165">
        <f>[4]Others!$B63</f>
        <v>1200</v>
      </c>
      <c r="D63" s="25">
        <f>B63-C63</f>
        <v>0</v>
      </c>
      <c r="E63" s="1291">
        <f>IFERROR(D63/C63,0)</f>
        <v>0</v>
      </c>
    </row>
    <row r="64" spans="1:10">
      <c r="A64" s="27" t="s">
        <v>52</v>
      </c>
      <c r="B64" s="165">
        <f>'[15]ENL, ECGL &amp; EISL'!$B64</f>
        <v>1385.9997688397295</v>
      </c>
      <c r="C64" s="165">
        <f>[4]Others!$B$64</f>
        <v>1334.3461772022936</v>
      </c>
      <c r="D64" s="25">
        <f>B64-C64</f>
        <v>51.653591637435966</v>
      </c>
      <c r="E64" s="1291">
        <f>IFERROR(D64/C64,0)</f>
        <v>3.8710787740058122E-2</v>
      </c>
    </row>
    <row r="65" spans="1:5">
      <c r="A65" s="27" t="s">
        <v>53</v>
      </c>
      <c r="B65" s="165">
        <f>'[15]ENL, ECGL &amp; EISL'!$B65</f>
        <v>0</v>
      </c>
      <c r="C65" s="165">
        <v>0</v>
      </c>
      <c r="D65" s="25">
        <f>B65-C65</f>
        <v>0</v>
      </c>
      <c r="E65" s="1291">
        <f>IFERROR(D65/C65,0)</f>
        <v>0</v>
      </c>
    </row>
    <row r="66" spans="1:5">
      <c r="A66" s="29" t="s">
        <v>54</v>
      </c>
      <c r="B66" s="1380">
        <f>SUM(B62:B65)</f>
        <v>2585.9997688397298</v>
      </c>
      <c r="C66" s="1380">
        <f>SUM(C62:C65)</f>
        <v>2534.3461772022938</v>
      </c>
      <c r="D66" s="1370">
        <f>B66-C66</f>
        <v>51.653591637435966</v>
      </c>
      <c r="E66" s="1371">
        <f>IFERROR(D66/C66,0)</f>
        <v>2.0381427013438713E-2</v>
      </c>
    </row>
    <row r="67" spans="1:5">
      <c r="A67" s="31"/>
      <c r="B67" s="32"/>
      <c r="C67" s="162"/>
      <c r="D67" s="32"/>
      <c r="E67" s="1293"/>
    </row>
    <row r="68" spans="1:5">
      <c r="A68" s="31" t="s">
        <v>55</v>
      </c>
      <c r="B68" s="24"/>
      <c r="C68" s="162"/>
      <c r="D68" s="24"/>
      <c r="E68" s="1294"/>
    </row>
    <row r="69" spans="1:5">
      <c r="A69" s="27" t="s">
        <v>56</v>
      </c>
      <c r="B69" s="162">
        <f>'[15]ENL, ECGL &amp; EISL'!$B69</f>
        <v>0</v>
      </c>
      <c r="C69" s="162">
        <f>[4]Others!$B69</f>
        <v>0</v>
      </c>
      <c r="D69" s="25">
        <f>B69-C69</f>
        <v>0</v>
      </c>
      <c r="E69" s="1291">
        <f>IFERROR(D69/C69,0)</f>
        <v>0</v>
      </c>
    </row>
    <row r="70" spans="1:5">
      <c r="A70" s="27" t="s">
        <v>57</v>
      </c>
      <c r="B70" s="162">
        <f>'[15]ENL, ECGL &amp; EISL'!$B70</f>
        <v>0</v>
      </c>
      <c r="C70" s="162">
        <f>[4]Others!$B70</f>
        <v>0</v>
      </c>
      <c r="D70" s="25">
        <f>B70-C70</f>
        <v>0</v>
      </c>
      <c r="E70" s="1291">
        <f>IFERROR(D70/C70,0)</f>
        <v>0</v>
      </c>
    </row>
    <row r="71" spans="1:5">
      <c r="A71" s="27" t="s">
        <v>58</v>
      </c>
      <c r="B71" s="162">
        <f>'[15]ENL, ECGL &amp; EISL'!$B71</f>
        <v>0</v>
      </c>
      <c r="C71" s="162">
        <f>[4]Others!$B71</f>
        <v>0</v>
      </c>
      <c r="D71" s="25">
        <f>B71-C71</f>
        <v>0</v>
      </c>
      <c r="E71" s="1291">
        <f>IFERROR(D71/C71,0)</f>
        <v>0</v>
      </c>
    </row>
    <row r="72" spans="1:5">
      <c r="A72" s="29" t="s">
        <v>59</v>
      </c>
      <c r="B72" s="39">
        <f>SUM(B69:B71)</f>
        <v>0</v>
      </c>
      <c r="C72" s="39">
        <f>SUM(C69:C71)</f>
        <v>0</v>
      </c>
      <c r="D72" s="1370">
        <f>B72-C72</f>
        <v>0</v>
      </c>
      <c r="E72" s="1371">
        <f>IFERROR(D72/C72,0)</f>
        <v>0</v>
      </c>
    </row>
    <row r="73" spans="1:5">
      <c r="A73" s="29" t="s">
        <v>60</v>
      </c>
      <c r="B73" s="39">
        <f>B66-B72</f>
        <v>2585.9997688397298</v>
      </c>
      <c r="C73" s="39">
        <f>C66-C72</f>
        <v>2534.3461772022938</v>
      </c>
      <c r="D73" s="1370">
        <f>B73-C73</f>
        <v>51.653591637435966</v>
      </c>
      <c r="E73" s="1371">
        <f>IFERROR(D73/C73,0)</f>
        <v>2.0381427013438713E-2</v>
      </c>
    </row>
    <row r="74" spans="1:5">
      <c r="A74" s="31"/>
      <c r="B74" s="40"/>
      <c r="C74" s="162"/>
      <c r="D74" s="40"/>
      <c r="E74" s="1302"/>
    </row>
    <row r="75" spans="1:5">
      <c r="A75" s="31" t="s">
        <v>61</v>
      </c>
      <c r="B75" s="165"/>
      <c r="C75" s="162"/>
      <c r="D75" s="41"/>
      <c r="E75" s="1303"/>
    </row>
    <row r="76" spans="1:5" ht="25.5">
      <c r="A76" s="27" t="s">
        <v>62</v>
      </c>
      <c r="B76" s="162">
        <f>'[15]ENL, ECGL &amp; EISL'!$B76</f>
        <v>0</v>
      </c>
      <c r="C76" s="162">
        <f>[4]Others!$B76</f>
        <v>0</v>
      </c>
      <c r="D76" s="25">
        <f t="shared" ref="D76:D82" si="6">B76-C76</f>
        <v>0</v>
      </c>
      <c r="E76" s="1291">
        <f t="shared" ref="E76:E82" si="7">IFERROR(D76/C76,0)</f>
        <v>0</v>
      </c>
    </row>
    <row r="77" spans="1:5">
      <c r="A77" s="27" t="s">
        <v>63</v>
      </c>
      <c r="B77" s="162">
        <f>'[15]ENL, ECGL &amp; EISL'!$B77</f>
        <v>0</v>
      </c>
      <c r="C77" s="162">
        <f>[4]Others!$B77</f>
        <v>0</v>
      </c>
      <c r="D77" s="25">
        <f t="shared" si="6"/>
        <v>0</v>
      </c>
      <c r="E77" s="1291">
        <f t="shared" si="7"/>
        <v>0</v>
      </c>
    </row>
    <row r="78" spans="1:5">
      <c r="A78" s="27" t="s">
        <v>64</v>
      </c>
      <c r="B78" s="162">
        <f>'[15]ENL, ECGL &amp; EISL'!$B78</f>
        <v>0</v>
      </c>
      <c r="C78" s="162">
        <f>[4]Others!$B78</f>
        <v>0</v>
      </c>
      <c r="D78" s="25">
        <f t="shared" si="6"/>
        <v>0</v>
      </c>
      <c r="E78" s="1291">
        <f t="shared" si="7"/>
        <v>0</v>
      </c>
    </row>
    <row r="79" spans="1:5">
      <c r="A79" s="27" t="s">
        <v>65</v>
      </c>
      <c r="B79" s="162">
        <f>'[15]ENL, ECGL &amp; EISL'!$B79</f>
        <v>0</v>
      </c>
      <c r="C79" s="162">
        <f>[4]Others!$B79</f>
        <v>0</v>
      </c>
      <c r="D79" s="25">
        <f t="shared" si="6"/>
        <v>0</v>
      </c>
      <c r="E79" s="1291">
        <f t="shared" si="7"/>
        <v>0</v>
      </c>
    </row>
    <row r="80" spans="1:5">
      <c r="A80" s="27" t="s">
        <v>66</v>
      </c>
      <c r="B80" s="165">
        <f>'[15]ENL, ECGL &amp; EISL'!$B80</f>
        <v>1178.6418160000053</v>
      </c>
      <c r="C80" s="165">
        <f>[4]Others!$B80</f>
        <v>-4660.6219029999938</v>
      </c>
      <c r="D80" s="25">
        <f t="shared" si="6"/>
        <v>5839.2637189999987</v>
      </c>
      <c r="E80" s="1291">
        <f t="shared" si="7"/>
        <v>-1.2528936782538238</v>
      </c>
    </row>
    <row r="81" spans="1:9">
      <c r="A81" s="29" t="s">
        <v>67</v>
      </c>
      <c r="B81" s="39">
        <f>SUM(B76:B80)</f>
        <v>1178.6418160000053</v>
      </c>
      <c r="C81" s="39">
        <f>SUM(C76:C80)</f>
        <v>-4660.6219029999938</v>
      </c>
      <c r="D81" s="1370">
        <f t="shared" si="6"/>
        <v>5839.2637189999987</v>
      </c>
      <c r="E81" s="1371">
        <f t="shared" si="7"/>
        <v>-1.2528936782538238</v>
      </c>
    </row>
    <row r="82" spans="1:9">
      <c r="A82" s="29" t="s">
        <v>68</v>
      </c>
      <c r="B82" s="39">
        <f>B73+B81</f>
        <v>3764.6415848397351</v>
      </c>
      <c r="C82" s="39">
        <f>C73+C81</f>
        <v>-2126.2757257977</v>
      </c>
      <c r="D82" s="1370">
        <f t="shared" si="6"/>
        <v>5890.9173106374346</v>
      </c>
      <c r="E82" s="1371">
        <f t="shared" si="7"/>
        <v>-2.7705331153265083</v>
      </c>
    </row>
    <row r="83" spans="1:9">
      <c r="A83" s="31"/>
      <c r="B83" s="42"/>
      <c r="C83" s="162"/>
      <c r="D83" s="42"/>
      <c r="E83" s="1303"/>
    </row>
    <row r="84" spans="1:9">
      <c r="A84" s="31" t="s">
        <v>69</v>
      </c>
      <c r="B84" s="43"/>
      <c r="C84" s="162"/>
      <c r="D84" s="43"/>
      <c r="E84" s="1303"/>
    </row>
    <row r="85" spans="1:9">
      <c r="A85" s="27" t="s">
        <v>70</v>
      </c>
      <c r="B85" s="162">
        <f>'[15]ENL, ECGL &amp; EISL'!$B85</f>
        <v>0</v>
      </c>
      <c r="C85" s="165">
        <f>[4]Others!$B$85</f>
        <v>0</v>
      </c>
      <c r="D85" s="25">
        <f t="shared" ref="D85:D93" si="8">B85-C85</f>
        <v>0</v>
      </c>
      <c r="E85" s="1291">
        <f t="shared" ref="E85:E93" si="9">IFERROR(D85/C85,0)</f>
        <v>0</v>
      </c>
    </row>
    <row r="86" spans="1:9">
      <c r="A86" s="27" t="s">
        <v>71</v>
      </c>
      <c r="B86" s="162">
        <f>'[15]ENL, ECGL &amp; EISL'!$B86</f>
        <v>0</v>
      </c>
      <c r="C86" s="162">
        <f>[4]Others!$B86</f>
        <v>0</v>
      </c>
      <c r="D86" s="25">
        <f t="shared" si="8"/>
        <v>0</v>
      </c>
      <c r="E86" s="1291">
        <f t="shared" si="9"/>
        <v>0</v>
      </c>
    </row>
    <row r="87" spans="1:9">
      <c r="A87" s="27" t="s">
        <v>72</v>
      </c>
      <c r="B87" s="162">
        <f>'[15]ENL, ECGL &amp; EISL'!$B87</f>
        <v>0</v>
      </c>
      <c r="C87" s="162">
        <f>[4]Others!$B87</f>
        <v>0</v>
      </c>
      <c r="D87" s="25">
        <f t="shared" si="8"/>
        <v>0</v>
      </c>
      <c r="E87" s="1291">
        <f t="shared" si="9"/>
        <v>0</v>
      </c>
    </row>
    <row r="88" spans="1:9">
      <c r="A88" s="27" t="s">
        <v>73</v>
      </c>
      <c r="B88" s="162">
        <f>'[15]ENL, ECGL &amp; EISL'!$B88</f>
        <v>0</v>
      </c>
      <c r="C88" s="162">
        <f>[4]Others!$B88</f>
        <v>0</v>
      </c>
      <c r="D88" s="25">
        <f t="shared" si="8"/>
        <v>0</v>
      </c>
      <c r="E88" s="1291">
        <f t="shared" si="9"/>
        <v>0</v>
      </c>
    </row>
    <row r="89" spans="1:9">
      <c r="A89" s="27" t="s">
        <v>74</v>
      </c>
      <c r="B89" s="162">
        <f>'[15]ENL, ECGL &amp; EISL'!$B89</f>
        <v>0</v>
      </c>
      <c r="C89" s="162">
        <f>[4]Others!$B89</f>
        <v>0</v>
      </c>
      <c r="D89" s="25">
        <f t="shared" si="8"/>
        <v>0</v>
      </c>
      <c r="E89" s="1291">
        <f t="shared" si="9"/>
        <v>0</v>
      </c>
    </row>
    <row r="90" spans="1:9">
      <c r="A90" s="27" t="s">
        <v>75</v>
      </c>
      <c r="B90" s="162">
        <f>'[15]ENL, ECGL &amp; EISL'!$B90</f>
        <v>0</v>
      </c>
      <c r="C90" s="162">
        <v>0</v>
      </c>
      <c r="D90" s="25">
        <f t="shared" si="8"/>
        <v>0</v>
      </c>
      <c r="E90" s="1291">
        <f t="shared" si="9"/>
        <v>0</v>
      </c>
      <c r="H90" s="52" t="s">
        <v>650</v>
      </c>
      <c r="I90" s="1366">
        <v>10916586.039999995</v>
      </c>
    </row>
    <row r="91" spans="1:9">
      <c r="A91" s="27" t="s">
        <v>76</v>
      </c>
      <c r="B91" s="165">
        <f>'[15]ENL, ECGL &amp; EISL'!$B91</f>
        <v>998.51999999999964</v>
      </c>
      <c r="C91" s="165">
        <f>[4]Others!$B$91</f>
        <v>998.52</v>
      </c>
      <c r="D91" s="25">
        <f t="shared" si="8"/>
        <v>0</v>
      </c>
      <c r="E91" s="1291">
        <f t="shared" si="9"/>
        <v>0</v>
      </c>
    </row>
    <row r="92" spans="1:9">
      <c r="A92" s="29" t="s">
        <v>77</v>
      </c>
      <c r="B92" s="39">
        <f>SUM(B85:B91)</f>
        <v>998.51999999999964</v>
      </c>
      <c r="C92" s="39">
        <f>SUM(C85:C91)</f>
        <v>998.52</v>
      </c>
      <c r="D92" s="1370">
        <f t="shared" si="8"/>
        <v>0</v>
      </c>
      <c r="E92" s="1371">
        <f t="shared" si="9"/>
        <v>0</v>
      </c>
    </row>
    <row r="93" spans="1:9">
      <c r="A93" s="29" t="s">
        <v>78</v>
      </c>
      <c r="B93" s="39">
        <f>B82-B92</f>
        <v>2766.1215848397355</v>
      </c>
      <c r="C93" s="39">
        <f>C82-C92</f>
        <v>-3124.7957257977</v>
      </c>
      <c r="D93" s="1370">
        <f t="shared" si="8"/>
        <v>5890.9173106374355</v>
      </c>
      <c r="E93" s="1371">
        <f t="shared" si="9"/>
        <v>-1.8852167717726886</v>
      </c>
    </row>
    <row r="94" spans="1:9">
      <c r="A94" s="27" t="s">
        <v>80</v>
      </c>
      <c r="B94" s="81">
        <v>0</v>
      </c>
      <c r="C94" s="162">
        <v>0</v>
      </c>
      <c r="D94" s="25">
        <f>B94-C94</f>
        <v>0</v>
      </c>
      <c r="E94" s="1291">
        <f>IFERROR(D94/C94,0)</f>
        <v>0</v>
      </c>
    </row>
    <row r="95" spans="1:9">
      <c r="A95" s="29" t="s">
        <v>81</v>
      </c>
      <c r="B95" s="39">
        <f>SUM(B93:B94)</f>
        <v>2766.1215848397355</v>
      </c>
      <c r="C95" s="39">
        <f>SUM(C93:C94)</f>
        <v>-3124.7957257977</v>
      </c>
      <c r="D95" s="1370">
        <f>B95-C95</f>
        <v>5890.9173106374355</v>
      </c>
      <c r="E95" s="1371">
        <f>IFERROR(D95/C95,0)</f>
        <v>-1.8852167717726886</v>
      </c>
    </row>
    <row r="96" spans="1:9">
      <c r="A96" s="27" t="s">
        <v>91</v>
      </c>
      <c r="B96" s="43">
        <f>'[15]ENL, ECGL &amp; EISL'!$B$96</f>
        <v>-570.12861288205454</v>
      </c>
      <c r="C96" s="165">
        <f>[4]Others!$B$96</f>
        <v>-528.93760314936253</v>
      </c>
      <c r="D96" s="25">
        <f>B96-C96</f>
        <v>-41.191009732692009</v>
      </c>
      <c r="E96" s="1291">
        <f>IFERROR(D96/C96,0)</f>
        <v>7.7874988443694379E-2</v>
      </c>
      <c r="F96" s="105" t="s">
        <v>644</v>
      </c>
      <c r="G96" s="1381">
        <f>-(B96+B97)/B95</f>
        <v>0.20611119048662022</v>
      </c>
    </row>
    <row r="97" spans="1:5">
      <c r="A97" s="27" t="s">
        <v>92</v>
      </c>
      <c r="B97" s="41">
        <f>'[15]ENL, ECGL &amp; EISL'!$B$97</f>
        <v>0</v>
      </c>
      <c r="C97" s="165">
        <f>[4]Others!$B$97</f>
        <v>0</v>
      </c>
      <c r="D97" s="25">
        <f>B97-C97</f>
        <v>0</v>
      </c>
      <c r="E97" s="1291">
        <f>IFERROR(D97/C97,0)</f>
        <v>0</v>
      </c>
    </row>
    <row r="98" spans="1:5" ht="15" thickBot="1">
      <c r="A98" s="95" t="s">
        <v>93</v>
      </c>
      <c r="B98" s="94">
        <f>SUM(B95:B97)</f>
        <v>2195.9929719576812</v>
      </c>
      <c r="C98" s="94">
        <f>SUM(C95:C97)</f>
        <v>-3653.7333289470625</v>
      </c>
      <c r="D98" s="1370">
        <f>B98-C98</f>
        <v>5849.7263009047438</v>
      </c>
      <c r="E98" s="1371">
        <f>IFERROR(D98/C98,0)</f>
        <v>-1.6010271616047373</v>
      </c>
    </row>
    <row r="99" spans="1:5">
      <c r="A99" s="1366"/>
      <c r="B99" s="1366"/>
      <c r="C99" s="1366"/>
      <c r="D99" s="1366"/>
      <c r="E99" s="1382"/>
    </row>
    <row r="100" spans="1:5">
      <c r="A100" s="1366"/>
      <c r="B100" s="1369"/>
      <c r="C100" s="1366"/>
      <c r="D100" s="1366"/>
      <c r="E100" s="1382"/>
    </row>
    <row r="101" spans="1:5">
      <c r="A101" s="1366"/>
      <c r="B101" s="1366"/>
      <c r="C101" s="1366"/>
      <c r="D101" s="1366"/>
      <c r="E101" s="1382"/>
    </row>
    <row r="102" spans="1:5">
      <c r="A102" s="1366"/>
      <c r="B102" s="1366"/>
      <c r="C102" s="1366"/>
      <c r="D102" s="1366"/>
      <c r="E102" s="1382"/>
    </row>
    <row r="103" spans="1:5">
      <c r="A103" s="1366"/>
      <c r="B103" s="1366"/>
      <c r="C103" s="1366"/>
      <c r="D103" s="1366"/>
      <c r="E103" s="1382"/>
    </row>
    <row r="104" spans="1:5">
      <c r="A104" s="1366"/>
      <c r="B104" s="1366"/>
      <c r="C104" s="1366"/>
      <c r="D104" s="1366"/>
      <c r="E104" s="1382"/>
    </row>
    <row r="105" spans="1:5">
      <c r="A105" s="1366"/>
      <c r="B105" s="1366"/>
      <c r="C105" s="1366"/>
      <c r="D105" s="1366"/>
      <c r="E105" s="1382"/>
    </row>
    <row r="106" spans="1:5">
      <c r="A106" s="1366"/>
      <c r="B106" s="1366"/>
      <c r="C106" s="1366"/>
      <c r="D106" s="1366"/>
      <c r="E106" s="1382"/>
    </row>
    <row r="107" spans="1:5">
      <c r="A107" s="1366"/>
      <c r="B107" s="1366"/>
      <c r="C107" s="1366"/>
      <c r="D107" s="1366"/>
      <c r="E107" s="1382"/>
    </row>
    <row r="108" spans="1:5">
      <c r="A108" s="1366"/>
      <c r="B108" s="1366"/>
      <c r="C108" s="1366"/>
      <c r="D108" s="1366"/>
      <c r="E108" s="1382"/>
    </row>
    <row r="109" spans="1:5">
      <c r="A109" s="1366"/>
      <c r="B109" s="1366"/>
      <c r="C109" s="1366"/>
      <c r="D109" s="1366"/>
      <c r="E109" s="1382"/>
    </row>
    <row r="110" spans="1:5">
      <c r="A110" s="1366"/>
      <c r="B110" s="1366"/>
      <c r="C110" s="1366"/>
      <c r="D110" s="1366"/>
      <c r="E110" s="1382"/>
    </row>
    <row r="111" spans="1:5">
      <c r="A111" s="1366"/>
      <c r="B111" s="1366"/>
      <c r="C111" s="1366"/>
      <c r="D111" s="1366"/>
      <c r="E111" s="1382"/>
    </row>
    <row r="112" spans="1:5">
      <c r="A112" s="1366"/>
      <c r="B112" s="1366"/>
      <c r="C112" s="1366"/>
      <c r="D112" s="1366"/>
      <c r="E112" s="1382"/>
    </row>
    <row r="113" spans="1:5">
      <c r="A113" s="1366"/>
      <c r="B113" s="1366"/>
      <c r="C113" s="1366"/>
      <c r="D113" s="1366"/>
      <c r="E113" s="1382"/>
    </row>
    <row r="114" spans="1:5">
      <c r="A114" s="1366"/>
      <c r="B114" s="1366"/>
      <c r="C114" s="1366"/>
      <c r="D114" s="1366"/>
      <c r="E114" s="1382"/>
    </row>
    <row r="115" spans="1:5">
      <c r="A115" s="1366"/>
      <c r="B115" s="1366"/>
      <c r="C115" s="1366"/>
      <c r="D115" s="1366"/>
      <c r="E115" s="1382"/>
    </row>
    <row r="116" spans="1:5">
      <c r="A116" s="1366"/>
      <c r="B116" s="1366"/>
      <c r="C116" s="1366"/>
      <c r="D116" s="1366"/>
      <c r="E116" s="1382"/>
    </row>
    <row r="117" spans="1:5">
      <c r="A117" s="1366"/>
      <c r="B117" s="1366"/>
      <c r="C117" s="1366"/>
      <c r="D117" s="1366"/>
      <c r="E117" s="1382"/>
    </row>
    <row r="118" spans="1:5">
      <c r="A118" s="1366"/>
      <c r="B118" s="1366"/>
      <c r="C118" s="1366"/>
      <c r="D118" s="1366"/>
      <c r="E118" s="1382"/>
    </row>
    <row r="119" spans="1:5">
      <c r="A119" s="1366"/>
      <c r="B119" s="1366"/>
      <c r="C119" s="1366"/>
      <c r="D119" s="1366"/>
      <c r="E119" s="1382"/>
    </row>
    <row r="120" spans="1:5">
      <c r="A120" s="1366"/>
      <c r="B120" s="1366"/>
      <c r="C120" s="1366"/>
      <c r="D120" s="1366"/>
      <c r="E120" s="1382"/>
    </row>
    <row r="121" spans="1:5">
      <c r="D121" s="1366"/>
      <c r="E121" s="1382"/>
    </row>
    <row r="122" spans="1:5">
      <c r="D122" s="1366"/>
      <c r="E122" s="1382"/>
    </row>
    <row r="123" spans="1:5">
      <c r="D123" s="1366"/>
      <c r="E123" s="1382"/>
    </row>
    <row r="124" spans="1:5">
      <c r="D124" s="1366"/>
      <c r="E124" s="1382"/>
    </row>
    <row r="125" spans="1:5">
      <c r="D125" s="1366"/>
      <c r="E125" s="1382"/>
    </row>
    <row r="126" spans="1:5">
      <c r="D126" s="1366"/>
      <c r="E126" s="1382"/>
    </row>
    <row r="127" spans="1:5">
      <c r="D127" s="1366"/>
      <c r="E127" s="1382"/>
    </row>
    <row r="128" spans="1:5">
      <c r="D128" s="1366"/>
      <c r="E128" s="1382"/>
    </row>
    <row r="129" spans="4:5">
      <c r="D129" s="1366"/>
      <c r="E129" s="1382"/>
    </row>
    <row r="130" spans="4:5">
      <c r="D130" s="1366"/>
      <c r="E130" s="1382"/>
    </row>
    <row r="131" spans="4:5">
      <c r="D131" s="1366"/>
      <c r="E131" s="1382"/>
    </row>
    <row r="132" spans="4:5">
      <c r="D132" s="1366"/>
      <c r="E132" s="1382"/>
    </row>
    <row r="133" spans="4:5">
      <c r="D133" s="1366"/>
      <c r="E133" s="1382"/>
    </row>
    <row r="134" spans="4:5">
      <c r="D134" s="1366"/>
      <c r="E134" s="1382"/>
    </row>
    <row r="135" spans="4:5">
      <c r="D135" s="1366"/>
      <c r="E135" s="1382"/>
    </row>
    <row r="136" spans="4:5">
      <c r="D136" s="1366"/>
      <c r="E136" s="1382"/>
    </row>
    <row r="137" spans="4:5">
      <c r="D137" s="1366"/>
      <c r="E137" s="1382"/>
    </row>
    <row r="138" spans="4:5">
      <c r="D138" s="1366"/>
      <c r="E138" s="1382"/>
    </row>
    <row r="139" spans="4:5">
      <c r="D139" s="1366"/>
      <c r="E139" s="1382"/>
    </row>
    <row r="140" spans="4:5">
      <c r="D140" s="1366"/>
      <c r="E140" s="1382"/>
    </row>
    <row r="141" spans="4:5">
      <c r="D141" s="1366"/>
      <c r="E141" s="1382"/>
    </row>
    <row r="142" spans="4:5">
      <c r="D142" s="1366"/>
      <c r="E142" s="1382"/>
    </row>
    <row r="143" spans="4:5">
      <c r="D143" s="1366"/>
      <c r="E143" s="1382"/>
    </row>
    <row r="144" spans="4:5">
      <c r="D144" s="1366"/>
      <c r="E144" s="1382"/>
    </row>
    <row r="145" spans="4:5">
      <c r="D145" s="1366"/>
      <c r="E145" s="1382"/>
    </row>
    <row r="146" spans="4:5">
      <c r="D146" s="1366"/>
      <c r="E146" s="1382"/>
    </row>
    <row r="147" spans="4:5">
      <c r="D147" s="1366"/>
      <c r="E147" s="1382"/>
    </row>
    <row r="148" spans="4:5">
      <c r="D148" s="1366"/>
      <c r="E148" s="1382"/>
    </row>
    <row r="149" spans="4:5">
      <c r="D149" s="1366"/>
      <c r="E149" s="1382"/>
    </row>
    <row r="150" spans="4:5">
      <c r="D150" s="1366"/>
      <c r="E150" s="1382"/>
    </row>
    <row r="151" spans="4:5">
      <c r="D151" s="1366"/>
      <c r="E151" s="1382"/>
    </row>
    <row r="152" spans="4:5">
      <c r="D152" s="1366"/>
      <c r="E152" s="1382"/>
    </row>
    <row r="153" spans="4:5">
      <c r="D153" s="1366"/>
      <c r="E153" s="1382"/>
    </row>
    <row r="154" spans="4:5">
      <c r="D154" s="1366"/>
      <c r="E154" s="1382"/>
    </row>
    <row r="155" spans="4:5">
      <c r="D155" s="1366"/>
      <c r="E155" s="1382"/>
    </row>
    <row r="156" spans="4:5">
      <c r="D156" s="1366"/>
      <c r="E156" s="1382"/>
    </row>
    <row r="157" spans="4:5">
      <c r="D157" s="1366"/>
      <c r="E157" s="1382"/>
    </row>
    <row r="158" spans="4:5">
      <c r="D158" s="1366"/>
      <c r="E158" s="1382"/>
    </row>
    <row r="159" spans="4:5">
      <c r="D159" s="1366"/>
      <c r="E159" s="1382"/>
    </row>
    <row r="160" spans="4:5">
      <c r="D160" s="1366"/>
      <c r="E160" s="1382"/>
    </row>
    <row r="161" spans="4:5">
      <c r="D161" s="1366"/>
      <c r="E161" s="1382"/>
    </row>
    <row r="162" spans="4:5">
      <c r="D162" s="1366"/>
      <c r="E162" s="1382"/>
    </row>
    <row r="163" spans="4:5">
      <c r="D163" s="1366"/>
      <c r="E163" s="1382"/>
    </row>
    <row r="164" spans="4:5">
      <c r="D164" s="1366"/>
      <c r="E164" s="1382"/>
    </row>
    <row r="165" spans="4:5">
      <c r="D165" s="1366"/>
      <c r="E165" s="1382"/>
    </row>
    <row r="166" spans="4:5">
      <c r="D166" s="1366"/>
      <c r="E166" s="1382"/>
    </row>
    <row r="167" spans="4:5">
      <c r="D167" s="1366"/>
      <c r="E167" s="1382"/>
    </row>
    <row r="168" spans="4:5">
      <c r="D168" s="1366"/>
      <c r="E168" s="1382"/>
    </row>
    <row r="169" spans="4:5">
      <c r="D169" s="1366"/>
      <c r="E169" s="1382"/>
    </row>
    <row r="170" spans="4:5">
      <c r="D170" s="1366"/>
      <c r="E170" s="1382"/>
    </row>
    <row r="171" spans="4:5">
      <c r="D171" s="1366"/>
      <c r="E171" s="1382"/>
    </row>
    <row r="172" spans="4:5">
      <c r="D172" s="1366"/>
      <c r="E172" s="1382"/>
    </row>
    <row r="173" spans="4:5">
      <c r="D173" s="1366"/>
      <c r="E173" s="1382"/>
    </row>
    <row r="174" spans="4:5">
      <c r="D174" s="1366"/>
      <c r="E174" s="1382"/>
    </row>
    <row r="175" spans="4:5">
      <c r="D175" s="1366"/>
      <c r="E175" s="1382"/>
    </row>
    <row r="176" spans="4:5">
      <c r="D176" s="1366"/>
      <c r="E176" s="1382"/>
    </row>
    <row r="177" spans="4:5">
      <c r="D177" s="1366"/>
      <c r="E177" s="1382"/>
    </row>
    <row r="178" spans="4:5">
      <c r="D178" s="1366"/>
      <c r="E178" s="1382"/>
    </row>
    <row r="179" spans="4:5">
      <c r="D179" s="1366"/>
      <c r="E179" s="1382"/>
    </row>
    <row r="180" spans="4:5">
      <c r="D180" s="1366"/>
      <c r="E180" s="1382"/>
    </row>
    <row r="181" spans="4:5">
      <c r="D181" s="1366"/>
      <c r="E181" s="1382"/>
    </row>
    <row r="182" spans="4:5">
      <c r="D182" s="1366"/>
      <c r="E182" s="1382"/>
    </row>
    <row r="183" spans="4:5">
      <c r="D183" s="1366"/>
      <c r="E183" s="1382"/>
    </row>
    <row r="184" spans="4:5">
      <c r="D184" s="1366"/>
      <c r="E184" s="1382"/>
    </row>
    <row r="185" spans="4:5">
      <c r="D185" s="1366"/>
      <c r="E185" s="1382"/>
    </row>
    <row r="186" spans="4:5">
      <c r="D186" s="1366"/>
      <c r="E186" s="1382"/>
    </row>
    <row r="187" spans="4:5">
      <c r="D187" s="1366"/>
      <c r="E187" s="1382"/>
    </row>
    <row r="188" spans="4:5">
      <c r="D188" s="1366"/>
      <c r="E188" s="1382"/>
    </row>
    <row r="189" spans="4:5">
      <c r="D189" s="1366"/>
      <c r="E189" s="1382"/>
    </row>
    <row r="190" spans="4:5">
      <c r="D190" s="1366"/>
      <c r="E190" s="1382"/>
    </row>
    <row r="191" spans="4:5">
      <c r="D191" s="1366"/>
      <c r="E191" s="1382"/>
    </row>
    <row r="192" spans="4:5">
      <c r="D192" s="1366"/>
      <c r="E192" s="1382"/>
    </row>
    <row r="193" spans="4:5">
      <c r="D193" s="1366"/>
      <c r="E193" s="1382"/>
    </row>
    <row r="194" spans="4:5">
      <c r="D194" s="1366"/>
      <c r="E194" s="1382"/>
    </row>
    <row r="195" spans="4:5">
      <c r="D195" s="1366"/>
      <c r="E195" s="1382"/>
    </row>
    <row r="196" spans="4:5">
      <c r="D196" s="1366"/>
      <c r="E196" s="1382"/>
    </row>
  </sheetData>
  <mergeCells count="6">
    <mergeCell ref="A2:B2"/>
    <mergeCell ref="D3:D4"/>
    <mergeCell ref="E3:E4"/>
    <mergeCell ref="A57:B57"/>
    <mergeCell ref="D58:D59"/>
    <mergeCell ref="E58:E59"/>
  </mergeCells>
  <pageMargins left="0.7" right="0.7" top="0.75" bottom="0.75" header="0.3" footer="0.3"/>
  <pageSetup paperSize="8" scale="57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W256"/>
  <sheetViews>
    <sheetView workbookViewId="0">
      <pane xSplit="1" ySplit="6" topLeftCell="B7" activePane="bottomRight" state="frozen"/>
      <selection activeCell="B89" sqref="B89"/>
      <selection pane="topRight" activeCell="B89" sqref="B89"/>
      <selection pane="bottomLeft" activeCell="B89" sqref="B89"/>
      <selection pane="bottomRight" activeCell="N42" sqref="N42"/>
    </sheetView>
  </sheetViews>
  <sheetFormatPr defaultColWidth="9.140625" defaultRowHeight="12.75"/>
  <cols>
    <col min="1" max="1" width="59.7109375" style="304" customWidth="1"/>
    <col min="2" max="2" width="14.5703125" style="52" bestFit="1" customWidth="1"/>
    <col min="3" max="3" width="16.7109375" style="52" customWidth="1"/>
    <col min="4" max="4" width="13.5703125" style="52" bestFit="1" customWidth="1"/>
    <col min="5" max="5" width="13.28515625" style="70" customWidth="1"/>
    <col min="6" max="6" width="5.5703125" style="52" customWidth="1"/>
    <col min="7" max="7" width="28" style="52" customWidth="1"/>
    <col min="8" max="8" width="12.7109375" style="52" hidden="1" customWidth="1"/>
    <col min="9" max="9" width="14" style="52" hidden="1" customWidth="1"/>
    <col min="10" max="10" width="13.42578125" style="52" hidden="1" customWidth="1"/>
    <col min="11" max="11" width="12.7109375" style="52" hidden="1" customWidth="1"/>
    <col min="12" max="14" width="13.5703125" style="52" bestFit="1" customWidth="1"/>
    <col min="15" max="15" width="10.42578125" style="52" bestFit="1" customWidth="1"/>
    <col min="16" max="16" width="7.85546875" style="52" bestFit="1" customWidth="1"/>
    <col min="17" max="17" width="18.42578125" style="52" hidden="1" customWidth="1"/>
    <col min="18" max="18" width="8.28515625" style="52" hidden="1" customWidth="1"/>
    <col min="19" max="19" width="8" style="52" hidden="1" customWidth="1"/>
    <col min="20" max="20" width="0" style="52" hidden="1" customWidth="1"/>
    <col min="21" max="21" width="9.140625" style="52"/>
    <col min="22" max="22" width="22.42578125" style="52" bestFit="1" customWidth="1"/>
    <col min="23" max="23" width="13.5703125" style="52" bestFit="1" customWidth="1"/>
    <col min="24" max="16384" width="9.140625" style="52"/>
  </cols>
  <sheetData>
    <row r="1" spans="1:23" ht="13.5" thickBot="1">
      <c r="A1" s="290"/>
    </row>
    <row r="2" spans="1:23" ht="20.25">
      <c r="A2" s="1545" t="s">
        <v>657</v>
      </c>
      <c r="B2" s="1546"/>
      <c r="C2" s="1568"/>
      <c r="D2" s="153"/>
      <c r="E2" s="210"/>
      <c r="L2" s="153" t="s">
        <v>658</v>
      </c>
      <c r="M2" s="153" t="s">
        <v>655</v>
      </c>
      <c r="N2" s="153" t="s">
        <v>656</v>
      </c>
    </row>
    <row r="3" spans="1:23">
      <c r="A3" s="291" t="s">
        <v>862</v>
      </c>
      <c r="B3" s="1191">
        <f>GROUP!G3</f>
        <v>45046</v>
      </c>
      <c r="C3" s="1191">
        <f>GROUP!H3</f>
        <v>44681</v>
      </c>
      <c r="D3" s="1537" t="s">
        <v>85</v>
      </c>
      <c r="E3" s="1571" t="s">
        <v>86</v>
      </c>
      <c r="L3" s="19"/>
      <c r="M3" s="1191">
        <f>B3</f>
        <v>45046</v>
      </c>
      <c r="N3" s="1191">
        <f>M3</f>
        <v>45046</v>
      </c>
    </row>
    <row r="4" spans="1:23">
      <c r="A4" s="292" t="s">
        <v>0</v>
      </c>
      <c r="B4" s="19" t="s">
        <v>82</v>
      </c>
      <c r="C4" s="19" t="s">
        <v>96</v>
      </c>
      <c r="D4" s="1538"/>
      <c r="E4" s="1572"/>
      <c r="L4" s="19"/>
      <c r="M4" s="19" t="s">
        <v>96</v>
      </c>
      <c r="N4" s="19" t="s">
        <v>96</v>
      </c>
    </row>
    <row r="5" spans="1:23">
      <c r="A5" s="292"/>
      <c r="B5" s="19" t="s">
        <v>97</v>
      </c>
      <c r="C5" s="19" t="s">
        <v>97</v>
      </c>
      <c r="D5" s="21"/>
      <c r="E5" s="22"/>
      <c r="L5" s="19"/>
      <c r="M5" s="19" t="s">
        <v>97</v>
      </c>
      <c r="N5" s="19" t="s">
        <v>97</v>
      </c>
    </row>
    <row r="6" spans="1:23">
      <c r="A6" s="291" t="s">
        <v>1</v>
      </c>
      <c r="B6" s="19" t="s">
        <v>879</v>
      </c>
      <c r="C6" s="19" t="s">
        <v>879</v>
      </c>
      <c r="D6" s="21"/>
      <c r="E6" s="22"/>
      <c r="L6" s="19"/>
      <c r="M6" s="19" t="s">
        <v>879</v>
      </c>
      <c r="N6" s="19" t="s">
        <v>879</v>
      </c>
    </row>
    <row r="7" spans="1:23">
      <c r="A7" s="293" t="s">
        <v>2</v>
      </c>
      <c r="B7" s="24">
        <f>M7+N7-L7</f>
        <v>291218.77483999991</v>
      </c>
      <c r="C7" s="24"/>
      <c r="D7" s="75">
        <f>B7-C7</f>
        <v>291218.77483999991</v>
      </c>
      <c r="E7" s="26">
        <f>IFERROR(D7/C7,0)</f>
        <v>0</v>
      </c>
      <c r="L7" s="75"/>
      <c r="M7" s="75">
        <f>[38]EGHIL!$B$7</f>
        <v>0</v>
      </c>
      <c r="N7" s="75">
        <f>[16]ELAK!$B$11</f>
        <v>291218.77483999991</v>
      </c>
    </row>
    <row r="8" spans="1:23">
      <c r="A8" s="294" t="s">
        <v>3</v>
      </c>
      <c r="B8" s="24">
        <f t="shared" ref="B8:B27" si="0">M8+N8-L8</f>
        <v>0</v>
      </c>
      <c r="C8" s="24"/>
      <c r="D8" s="75">
        <f t="shared" ref="D8:D27" si="1">B8-C8</f>
        <v>0</v>
      </c>
      <c r="E8" s="26">
        <f>IFERROR(D8/C8,0)</f>
        <v>0</v>
      </c>
      <c r="L8" s="75"/>
      <c r="M8" s="75">
        <f>[38]EGHIL!$B$8</f>
        <v>0</v>
      </c>
      <c r="N8" s="75">
        <f>[16]ELAK!$B$8</f>
        <v>0</v>
      </c>
    </row>
    <row r="9" spans="1:23">
      <c r="A9" s="294" t="s">
        <v>4</v>
      </c>
      <c r="B9" s="24">
        <f t="shared" si="0"/>
        <v>3644340.223972877</v>
      </c>
      <c r="C9" s="24"/>
      <c r="D9" s="75">
        <f t="shared" si="1"/>
        <v>3644340.223972877</v>
      </c>
      <c r="E9" s="26">
        <f>IFERROR(D9/C9,0)</f>
        <v>0</v>
      </c>
      <c r="H9" s="71"/>
      <c r="L9" s="75"/>
      <c r="M9" s="75">
        <f>[38]EGHIL!$B$9</f>
        <v>0</v>
      </c>
      <c r="N9" s="75">
        <f>[16]ELAK!$B$9</f>
        <v>3644340.223972877</v>
      </c>
      <c r="V9" s="52" t="s">
        <v>877</v>
      </c>
      <c r="W9" s="1288">
        <v>10172022.039999999</v>
      </c>
    </row>
    <row r="10" spans="1:23">
      <c r="A10" s="294" t="s">
        <v>5</v>
      </c>
      <c r="B10" s="24">
        <f t="shared" si="0"/>
        <v>0</v>
      </c>
      <c r="C10" s="24"/>
      <c r="D10" s="75">
        <f t="shared" si="1"/>
        <v>0</v>
      </c>
      <c r="E10" s="26">
        <f>IFERROR(D10/C10,0)</f>
        <v>0</v>
      </c>
      <c r="L10" s="75"/>
      <c r="M10" s="75">
        <f>[38]EGHIL!$B$10</f>
        <v>0</v>
      </c>
      <c r="N10" s="75">
        <f>[16]ELAK!$B$10</f>
        <v>0</v>
      </c>
      <c r="V10" s="52" t="s">
        <v>878</v>
      </c>
      <c r="W10" s="70">
        <v>5419.1239103484604</v>
      </c>
    </row>
    <row r="11" spans="1:23">
      <c r="A11" s="294" t="s">
        <v>6</v>
      </c>
      <c r="B11" s="24">
        <f t="shared" si="0"/>
        <v>0</v>
      </c>
      <c r="C11" s="24"/>
      <c r="D11" s="75">
        <f t="shared" si="1"/>
        <v>0</v>
      </c>
      <c r="E11" s="26">
        <f t="shared" ref="E11:E28" si="2">IFERROR(D11/C11,0)</f>
        <v>0</v>
      </c>
      <c r="H11" s="71"/>
      <c r="L11" s="75"/>
      <c r="M11" s="75">
        <f>[38]EGHIL!$B$11</f>
        <v>0</v>
      </c>
      <c r="N11" s="75">
        <v>0</v>
      </c>
    </row>
    <row r="12" spans="1:23">
      <c r="A12" s="294" t="s">
        <v>7</v>
      </c>
      <c r="B12" s="24">
        <f t="shared" si="0"/>
        <v>0</v>
      </c>
      <c r="C12" s="24"/>
      <c r="D12" s="75">
        <f t="shared" si="1"/>
        <v>0</v>
      </c>
      <c r="E12" s="26">
        <f t="shared" si="2"/>
        <v>0</v>
      </c>
      <c r="L12" s="75"/>
      <c r="M12" s="75">
        <f>[38]EGHIL!$B$12</f>
        <v>0</v>
      </c>
      <c r="N12" s="75">
        <f>[16]ELAK!$B$12</f>
        <v>0</v>
      </c>
    </row>
    <row r="13" spans="1:23">
      <c r="A13" s="294" t="s">
        <v>8</v>
      </c>
      <c r="B13" s="24">
        <f t="shared" si="0"/>
        <v>0</v>
      </c>
      <c r="C13" s="24"/>
      <c r="D13" s="75">
        <f t="shared" si="1"/>
        <v>0</v>
      </c>
      <c r="E13" s="26">
        <f t="shared" si="2"/>
        <v>0</v>
      </c>
      <c r="L13" s="75"/>
      <c r="M13" s="75">
        <f>[38]EGHIL!$B$13</f>
        <v>0</v>
      </c>
      <c r="N13" s="75">
        <f>[16]ELAK!$B$13</f>
        <v>0</v>
      </c>
    </row>
    <row r="14" spans="1:23">
      <c r="A14" s="294" t="s">
        <v>9</v>
      </c>
      <c r="B14" s="24">
        <f t="shared" si="0"/>
        <v>0</v>
      </c>
      <c r="C14" s="24"/>
      <c r="D14" s="75">
        <f t="shared" si="1"/>
        <v>0</v>
      </c>
      <c r="E14" s="26">
        <f t="shared" si="2"/>
        <v>0</v>
      </c>
      <c r="L14" s="75"/>
      <c r="M14" s="75">
        <f>[38]EGHIL!$B$14</f>
        <v>0</v>
      </c>
      <c r="N14" s="75">
        <f>[16]ELAK!$B$14</f>
        <v>0</v>
      </c>
    </row>
    <row r="15" spans="1:23">
      <c r="A15" s="294" t="s">
        <v>10</v>
      </c>
      <c r="B15" s="24">
        <f t="shared" si="0"/>
        <v>0</v>
      </c>
      <c r="C15" s="24"/>
      <c r="D15" s="75">
        <f t="shared" si="1"/>
        <v>0</v>
      </c>
      <c r="E15" s="26">
        <f t="shared" si="2"/>
        <v>0</v>
      </c>
      <c r="L15" s="75"/>
      <c r="M15" s="75">
        <f>[38]EGHIL!$B$15</f>
        <v>0</v>
      </c>
      <c r="N15" s="75">
        <f>[16]ELAK!$B$15</f>
        <v>0</v>
      </c>
      <c r="P15" s="52" t="s">
        <v>714</v>
      </c>
    </row>
    <row r="16" spans="1:23">
      <c r="A16" s="294" t="s">
        <v>11</v>
      </c>
      <c r="B16" s="24">
        <f t="shared" si="0"/>
        <v>0</v>
      </c>
      <c r="C16" s="24"/>
      <c r="D16" s="75">
        <f t="shared" si="1"/>
        <v>0</v>
      </c>
      <c r="E16" s="26">
        <f t="shared" si="2"/>
        <v>0</v>
      </c>
      <c r="L16" s="75"/>
      <c r="M16" s="75">
        <f>[38]EGHIL!$B$16</f>
        <v>0</v>
      </c>
      <c r="N16" s="75">
        <f>[16]ELAK!$B$16</f>
        <v>0</v>
      </c>
      <c r="P16" s="52" t="s">
        <v>225</v>
      </c>
      <c r="Q16" s="52" t="s">
        <v>715</v>
      </c>
    </row>
    <row r="17" spans="1:17">
      <c r="A17" s="294" t="s">
        <v>12</v>
      </c>
      <c r="B17" s="24">
        <f t="shared" si="0"/>
        <v>0</v>
      </c>
      <c r="C17" s="24"/>
      <c r="D17" s="75">
        <f t="shared" si="1"/>
        <v>0</v>
      </c>
      <c r="E17" s="26">
        <f>IFERROR(D17/C17,0)</f>
        <v>0</v>
      </c>
      <c r="L17" s="75">
        <f>M17</f>
        <v>0</v>
      </c>
      <c r="M17" s="75">
        <v>0</v>
      </c>
      <c r="N17" s="75">
        <v>0</v>
      </c>
      <c r="P17" s="52" t="s">
        <v>224</v>
      </c>
      <c r="Q17" s="52" t="s">
        <v>687</v>
      </c>
    </row>
    <row r="18" spans="1:17">
      <c r="A18" s="294" t="s">
        <v>13</v>
      </c>
      <c r="B18" s="24">
        <f t="shared" si="0"/>
        <v>0</v>
      </c>
      <c r="C18" s="24"/>
      <c r="D18" s="75">
        <f t="shared" si="1"/>
        <v>0</v>
      </c>
      <c r="E18" s="26">
        <f t="shared" si="2"/>
        <v>0</v>
      </c>
      <c r="L18" s="75"/>
      <c r="M18" s="75">
        <f>[38]EGHIL!$B$18</f>
        <v>0</v>
      </c>
      <c r="N18" s="75">
        <f>[16]ELAK!B18</f>
        <v>0</v>
      </c>
    </row>
    <row r="19" spans="1:17">
      <c r="A19" s="294" t="s">
        <v>14</v>
      </c>
      <c r="B19" s="24">
        <f>M19+N19-L19</f>
        <v>0</v>
      </c>
      <c r="C19" s="24"/>
      <c r="D19" s="75">
        <f t="shared" si="1"/>
        <v>0</v>
      </c>
      <c r="E19" s="26">
        <f t="shared" si="2"/>
        <v>0</v>
      </c>
      <c r="F19" s="55"/>
      <c r="G19" s="55"/>
      <c r="H19" s="70"/>
      <c r="I19" s="70"/>
      <c r="L19" s="75">
        <f>M19</f>
        <v>600000</v>
      </c>
      <c r="M19" s="75">
        <f>[38]EGHIL!$B$19-R16</f>
        <v>600000</v>
      </c>
      <c r="N19" s="75">
        <f>[16]ELAK!B19</f>
        <v>0</v>
      </c>
    </row>
    <row r="20" spans="1:17">
      <c r="A20" s="294" t="s">
        <v>15</v>
      </c>
      <c r="B20" s="24">
        <f t="shared" si="0"/>
        <v>0</v>
      </c>
      <c r="C20" s="24"/>
      <c r="D20" s="75">
        <f t="shared" si="1"/>
        <v>0</v>
      </c>
      <c r="E20" s="26">
        <f t="shared" si="2"/>
        <v>0</v>
      </c>
      <c r="F20" s="55"/>
      <c r="H20" s="70"/>
      <c r="I20" s="70"/>
      <c r="L20" s="75"/>
      <c r="M20" s="75">
        <f>[38]EGHIL!$B$20</f>
        <v>0</v>
      </c>
      <c r="N20" s="75">
        <f>[16]ELAK!B20</f>
        <v>0</v>
      </c>
    </row>
    <row r="21" spans="1:17">
      <c r="A21" s="294" t="s">
        <v>16</v>
      </c>
      <c r="B21" s="24">
        <f t="shared" si="0"/>
        <v>0</v>
      </c>
      <c r="C21" s="24"/>
      <c r="D21" s="75">
        <f t="shared" si="1"/>
        <v>0</v>
      </c>
      <c r="E21" s="26">
        <f t="shared" si="2"/>
        <v>0</v>
      </c>
      <c r="H21" s="70"/>
      <c r="I21" s="70"/>
      <c r="L21" s="75"/>
      <c r="M21" s="75">
        <f>[38]EGHIL!$B$21</f>
        <v>0</v>
      </c>
      <c r="N21" s="75">
        <f>[16]ELAK!B21</f>
        <v>0</v>
      </c>
    </row>
    <row r="22" spans="1:17">
      <c r="A22" s="294" t="s">
        <v>17</v>
      </c>
      <c r="B22" s="24">
        <f t="shared" si="0"/>
        <v>2676.5536314155256</v>
      </c>
      <c r="C22" s="24"/>
      <c r="D22" s="75">
        <f t="shared" si="1"/>
        <v>2676.5536314155256</v>
      </c>
      <c r="E22" s="26">
        <f t="shared" si="2"/>
        <v>0</v>
      </c>
      <c r="L22" s="75"/>
      <c r="M22" s="75">
        <f>[38]EGHIL!$B$22</f>
        <v>0</v>
      </c>
      <c r="N22" s="75">
        <f>[16]ELAK!$B$22</f>
        <v>2676.5536314155256</v>
      </c>
    </row>
    <row r="23" spans="1:17">
      <c r="A23" s="294" t="s">
        <v>18</v>
      </c>
      <c r="B23" s="24">
        <f t="shared" si="0"/>
        <v>0</v>
      </c>
      <c r="C23" s="24"/>
      <c r="D23" s="75">
        <f t="shared" si="1"/>
        <v>0</v>
      </c>
      <c r="E23" s="26">
        <f t="shared" si="2"/>
        <v>0</v>
      </c>
      <c r="L23" s="75"/>
      <c r="M23" s="75">
        <f>[38]EGHIL!$B$23</f>
        <v>0</v>
      </c>
      <c r="N23" s="75">
        <f>[16]ELAK!$B$23</f>
        <v>0</v>
      </c>
    </row>
    <row r="24" spans="1:17">
      <c r="A24" s="294" t="s">
        <v>19</v>
      </c>
      <c r="B24" s="24">
        <f t="shared" si="0"/>
        <v>28278.279899999998</v>
      </c>
      <c r="C24" s="24"/>
      <c r="D24" s="75">
        <f t="shared" si="1"/>
        <v>28278.279899999998</v>
      </c>
      <c r="E24" s="26">
        <f t="shared" si="2"/>
        <v>0</v>
      </c>
      <c r="L24" s="75"/>
      <c r="M24" s="75">
        <f>[38]EGHIL!$B$24</f>
        <v>0</v>
      </c>
      <c r="N24" s="75">
        <f>[16]ELAK!$B$24</f>
        <v>28278.279899999998</v>
      </c>
    </row>
    <row r="25" spans="1:17">
      <c r="A25" s="294" t="s">
        <v>20</v>
      </c>
      <c r="B25" s="24">
        <f t="shared" si="0"/>
        <v>0</v>
      </c>
      <c r="C25" s="24"/>
      <c r="D25" s="75">
        <f t="shared" si="1"/>
        <v>0</v>
      </c>
      <c r="E25" s="26">
        <f t="shared" si="2"/>
        <v>0</v>
      </c>
      <c r="L25" s="75"/>
      <c r="M25" s="75">
        <f>[38]EGHIL!$B$25</f>
        <v>0</v>
      </c>
      <c r="N25" s="75">
        <f>[16]ELAK!$B$25</f>
        <v>0</v>
      </c>
    </row>
    <row r="26" spans="1:17">
      <c r="A26" s="294" t="s">
        <v>21</v>
      </c>
      <c r="B26" s="24">
        <f t="shared" si="0"/>
        <v>0</v>
      </c>
      <c r="C26" s="24"/>
      <c r="D26" s="75">
        <f t="shared" si="1"/>
        <v>0</v>
      </c>
      <c r="E26" s="26">
        <f t="shared" si="2"/>
        <v>0</v>
      </c>
      <c r="L26" s="75"/>
      <c r="M26" s="75">
        <f>[38]EGHIL!$B$26</f>
        <v>0</v>
      </c>
      <c r="N26" s="75">
        <f>[16]ELAK!$B$26</f>
        <v>0</v>
      </c>
    </row>
    <row r="27" spans="1:17" ht="13.5" thickBot="1">
      <c r="A27" s="295" t="s">
        <v>22</v>
      </c>
      <c r="B27" s="24">
        <f t="shared" si="0"/>
        <v>2351100.1789171831</v>
      </c>
      <c r="C27" s="24"/>
      <c r="D27" s="75">
        <f t="shared" si="1"/>
        <v>2351100.1789171831</v>
      </c>
      <c r="E27" s="211">
        <f t="shared" si="2"/>
        <v>0</v>
      </c>
      <c r="H27" s="55"/>
      <c r="L27" s="75">
        <f>M27</f>
        <v>0</v>
      </c>
      <c r="M27" s="75">
        <f>[38]EGHIL!$B$27+[38]EGHIL!$B$17</f>
        <v>0</v>
      </c>
      <c r="N27" s="75">
        <f>[16]ELAK!$B$27+[16]ELAK!$B$17</f>
        <v>2351100.1789171831</v>
      </c>
    </row>
    <row r="28" spans="1:17" ht="13.5" thickBot="1">
      <c r="A28" s="296" t="s">
        <v>23</v>
      </c>
      <c r="B28" s="212">
        <f>SUM(B7:B27)</f>
        <v>6317614.0112614762</v>
      </c>
      <c r="C28" s="212">
        <f>SUM(C7:C27)</f>
        <v>0</v>
      </c>
      <c r="D28" s="213">
        <f>B28-C28</f>
        <v>6317614.0112614762</v>
      </c>
      <c r="E28" s="214">
        <f t="shared" si="2"/>
        <v>0</v>
      </c>
      <c r="L28" s="213"/>
      <c r="M28" s="212">
        <f>SUM(M7:M27)</f>
        <v>600000</v>
      </c>
      <c r="N28" s="212">
        <f>SUM(N7:N27)</f>
        <v>6317614.0112614762</v>
      </c>
    </row>
    <row r="29" spans="1:17">
      <c r="A29" s="297"/>
      <c r="B29" s="217"/>
      <c r="C29" s="215"/>
      <c r="D29" s="25"/>
      <c r="E29" s="26"/>
      <c r="L29" s="25"/>
      <c r="M29" s="25"/>
      <c r="N29" s="25"/>
    </row>
    <row r="30" spans="1:17">
      <c r="A30" s="298" t="s">
        <v>24</v>
      </c>
      <c r="B30" s="218"/>
      <c r="C30" s="116"/>
      <c r="D30" s="24"/>
      <c r="E30" s="26"/>
      <c r="L30" s="24"/>
      <c r="M30" s="24"/>
      <c r="N30" s="24"/>
    </row>
    <row r="31" spans="1:17">
      <c r="A31" s="294" t="s">
        <v>25</v>
      </c>
      <c r="B31" s="24">
        <f t="shared" ref="B31:B41" si="3">M31+N31-L31</f>
        <v>0</v>
      </c>
      <c r="C31" s="24"/>
      <c r="D31" s="25">
        <f t="shared" ref="D31:D43" si="4">B31-C31</f>
        <v>0</v>
      </c>
      <c r="E31" s="26">
        <f t="shared" ref="E31:E43" si="5">IFERROR(D31/C31,0)</f>
        <v>0</v>
      </c>
      <c r="H31" s="177"/>
      <c r="L31" s="25"/>
      <c r="M31" s="25">
        <f>[38]EGHIL!$B$31</f>
        <v>0</v>
      </c>
      <c r="N31" s="25">
        <f>[16]ELAK!B31</f>
        <v>0</v>
      </c>
    </row>
    <row r="32" spans="1:17">
      <c r="A32" s="294" t="s">
        <v>26</v>
      </c>
      <c r="B32" s="24">
        <f t="shared" si="3"/>
        <v>0</v>
      </c>
      <c r="C32" s="24"/>
      <c r="D32" s="25">
        <f t="shared" si="4"/>
        <v>0</v>
      </c>
      <c r="E32" s="26">
        <f t="shared" si="5"/>
        <v>0</v>
      </c>
      <c r="H32" s="177"/>
      <c r="L32" s="25"/>
      <c r="M32" s="25">
        <f>[38]EGHIL!$B$32</f>
        <v>0</v>
      </c>
      <c r="N32" s="25">
        <f>[39]ELAK!$B$32</f>
        <v>0</v>
      </c>
    </row>
    <row r="33" spans="1:14">
      <c r="A33" s="294" t="s">
        <v>27</v>
      </c>
      <c r="B33" s="24">
        <f t="shared" si="3"/>
        <v>0</v>
      </c>
      <c r="C33" s="24"/>
      <c r="D33" s="25">
        <f t="shared" si="4"/>
        <v>0</v>
      </c>
      <c r="E33" s="26">
        <f t="shared" si="5"/>
        <v>0</v>
      </c>
      <c r="L33" s="25"/>
      <c r="M33" s="25">
        <f>[38]EGHIL!$B$33</f>
        <v>0</v>
      </c>
      <c r="N33" s="25">
        <f>[39]ELAK!$B$33</f>
        <v>0</v>
      </c>
    </row>
    <row r="34" spans="1:14">
      <c r="A34" s="294" t="s">
        <v>28</v>
      </c>
      <c r="B34" s="24">
        <f t="shared" si="3"/>
        <v>0</v>
      </c>
      <c r="C34" s="24"/>
      <c r="D34" s="25">
        <f t="shared" si="4"/>
        <v>0</v>
      </c>
      <c r="E34" s="26">
        <f t="shared" si="5"/>
        <v>0</v>
      </c>
      <c r="L34" s="25"/>
      <c r="M34" s="25">
        <f>[38]EGHIL!$B$34</f>
        <v>0</v>
      </c>
      <c r="N34" s="25">
        <f>[39]ELAK!$B$34</f>
        <v>0</v>
      </c>
    </row>
    <row r="35" spans="1:14">
      <c r="A35" s="294" t="s">
        <v>29</v>
      </c>
      <c r="B35" s="24">
        <f t="shared" si="3"/>
        <v>0</v>
      </c>
      <c r="C35" s="24"/>
      <c r="D35" s="25">
        <f t="shared" si="4"/>
        <v>0</v>
      </c>
      <c r="E35" s="26">
        <f t="shared" si="5"/>
        <v>0</v>
      </c>
      <c r="L35" s="25"/>
      <c r="M35" s="25">
        <f>[38]EGHIL!$B$35</f>
        <v>0</v>
      </c>
      <c r="N35" s="25">
        <f>[39]ELAK!$B$35</f>
        <v>0</v>
      </c>
    </row>
    <row r="36" spans="1:14">
      <c r="A36" s="294" t="s">
        <v>30</v>
      </c>
      <c r="B36" s="24">
        <f t="shared" si="3"/>
        <v>0</v>
      </c>
      <c r="C36" s="24"/>
      <c r="D36" s="25">
        <f t="shared" si="4"/>
        <v>0</v>
      </c>
      <c r="E36" s="26">
        <f t="shared" si="5"/>
        <v>0</v>
      </c>
      <c r="J36" s="55"/>
      <c r="L36" s="25"/>
      <c r="M36" s="25">
        <f>[38]EGHIL!$B$36</f>
        <v>0</v>
      </c>
      <c r="N36" s="25">
        <f>[39]ELAK!$B$35</f>
        <v>0</v>
      </c>
    </row>
    <row r="37" spans="1:14">
      <c r="A37" s="294" t="s">
        <v>31</v>
      </c>
      <c r="B37" s="24">
        <f>M37+N37-L37</f>
        <v>0</v>
      </c>
      <c r="C37" s="24"/>
      <c r="D37" s="25">
        <f t="shared" si="4"/>
        <v>0</v>
      </c>
      <c r="E37" s="26">
        <f t="shared" si="5"/>
        <v>0</v>
      </c>
      <c r="J37" s="55"/>
      <c r="L37" s="25">
        <f>M37</f>
        <v>0</v>
      </c>
      <c r="M37" s="25">
        <v>0</v>
      </c>
      <c r="N37" s="25">
        <v>0</v>
      </c>
    </row>
    <row r="38" spans="1:14">
      <c r="A38" s="294" t="s">
        <v>32</v>
      </c>
      <c r="B38" s="24">
        <f t="shared" si="3"/>
        <v>0</v>
      </c>
      <c r="C38" s="24"/>
      <c r="D38" s="25">
        <f t="shared" si="4"/>
        <v>0</v>
      </c>
      <c r="E38" s="26">
        <f t="shared" si="5"/>
        <v>0</v>
      </c>
      <c r="G38" s="55"/>
      <c r="I38" s="71"/>
      <c r="L38" s="25"/>
      <c r="M38" s="25">
        <f>[38]EGHIL!$B$38</f>
        <v>0</v>
      </c>
      <c r="N38" s="25">
        <f>[16]ELAK!$B$38</f>
        <v>0</v>
      </c>
    </row>
    <row r="39" spans="1:14">
      <c r="A39" s="294" t="s">
        <v>33</v>
      </c>
      <c r="B39" s="24">
        <f t="shared" si="3"/>
        <v>0</v>
      </c>
      <c r="C39" s="24"/>
      <c r="D39" s="25">
        <f t="shared" si="4"/>
        <v>0</v>
      </c>
      <c r="E39" s="26">
        <f t="shared" si="5"/>
        <v>0</v>
      </c>
      <c r="G39" s="70"/>
      <c r="L39" s="25"/>
      <c r="M39" s="25">
        <f>[38]EGHIL!$B$39</f>
        <v>0</v>
      </c>
      <c r="N39" s="25">
        <f>[16]ELAK!$B$39</f>
        <v>0</v>
      </c>
    </row>
    <row r="40" spans="1:14">
      <c r="A40" s="294" t="s">
        <v>34</v>
      </c>
      <c r="B40" s="24">
        <f t="shared" si="3"/>
        <v>123524.04359999999</v>
      </c>
      <c r="C40" s="24"/>
      <c r="D40" s="25">
        <f t="shared" si="4"/>
        <v>123524.04359999999</v>
      </c>
      <c r="E40" s="26">
        <f t="shared" si="5"/>
        <v>0</v>
      </c>
      <c r="G40" s="71"/>
      <c r="L40" s="25"/>
      <c r="M40" s="25">
        <f>[38]EGHIL!$B$40</f>
        <v>0</v>
      </c>
      <c r="N40" s="25">
        <f>[16]ELAK!$B$40</f>
        <v>123524.04359999999</v>
      </c>
    </row>
    <row r="41" spans="1:14">
      <c r="A41" s="294" t="s">
        <v>35</v>
      </c>
      <c r="B41" s="24">
        <f t="shared" si="3"/>
        <v>0</v>
      </c>
      <c r="C41" s="24"/>
      <c r="D41" s="25">
        <f t="shared" si="4"/>
        <v>0</v>
      </c>
      <c r="E41" s="26">
        <f t="shared" si="5"/>
        <v>0</v>
      </c>
      <c r="L41" s="25"/>
      <c r="M41" s="25">
        <f>[38]EGHIL!$B$41</f>
        <v>0</v>
      </c>
      <c r="N41" s="25">
        <f>[16]ELAK!$B$41</f>
        <v>0</v>
      </c>
    </row>
    <row r="42" spans="1:14" ht="13.5" thickBot="1">
      <c r="A42" s="299" t="s">
        <v>36</v>
      </c>
      <c r="B42" s="24">
        <f>M42+N42-L42</f>
        <v>5146972.2944966061</v>
      </c>
      <c r="C42" s="24"/>
      <c r="D42" s="219">
        <f t="shared" si="4"/>
        <v>5146972.2944966061</v>
      </c>
      <c r="E42" s="220">
        <f t="shared" si="5"/>
        <v>0</v>
      </c>
      <c r="L42" s="219">
        <f>L27</f>
        <v>0</v>
      </c>
      <c r="M42" s="219">
        <f>[38]EGHIL!$B$42+[38]EGHIL!$B$37</f>
        <v>0</v>
      </c>
      <c r="N42" s="219">
        <f>[16]ELAK!$B$42+[16]ELAK!$B$37</f>
        <v>5146972.2944966061</v>
      </c>
    </row>
    <row r="43" spans="1:14" ht="13.5" thickBot="1">
      <c r="A43" s="296" t="s">
        <v>37</v>
      </c>
      <c r="B43" s="221">
        <f>SUM(B31:B42)</f>
        <v>5270496.3380966065</v>
      </c>
      <c r="C43" s="222">
        <f>SUM(C31:C42)</f>
        <v>0</v>
      </c>
      <c r="D43" s="213">
        <f t="shared" si="4"/>
        <v>5270496.3380966065</v>
      </c>
      <c r="E43" s="223">
        <f t="shared" si="5"/>
        <v>0</v>
      </c>
      <c r="L43" s="213"/>
      <c r="M43" s="213">
        <f>SUM(M31:M42)</f>
        <v>0</v>
      </c>
      <c r="N43" s="221">
        <f>SUM(N31:N42)</f>
        <v>5270496.3380966065</v>
      </c>
    </row>
    <row r="44" spans="1:14">
      <c r="A44" s="297"/>
      <c r="B44" s="216"/>
      <c r="C44" s="216"/>
      <c r="D44" s="25"/>
      <c r="E44" s="25"/>
      <c r="L44" s="25"/>
      <c r="M44" s="25"/>
      <c r="N44" s="25"/>
    </row>
    <row r="45" spans="1:14">
      <c r="A45" s="298" t="s">
        <v>38</v>
      </c>
      <c r="B45" s="193"/>
      <c r="C45" s="193"/>
      <c r="D45" s="24"/>
      <c r="E45" s="24"/>
      <c r="L45" s="24"/>
      <c r="M45" s="24"/>
      <c r="N45" s="24"/>
    </row>
    <row r="46" spans="1:14">
      <c r="A46" s="294" t="s">
        <v>39</v>
      </c>
      <c r="B46" s="24">
        <f t="shared" ref="B46:B52" si="6">M46+N46-L46</f>
        <v>600000</v>
      </c>
      <c r="C46" s="24"/>
      <c r="D46" s="24">
        <f t="shared" ref="D46:D53" si="7">B46-C46</f>
        <v>600000</v>
      </c>
      <c r="E46" s="26">
        <f t="shared" ref="E46:E53" si="8">IFERROR(D46/C46,0)</f>
        <v>0</v>
      </c>
      <c r="L46" s="24">
        <v>600000</v>
      </c>
      <c r="M46" s="927">
        <f>[38]EGHIL!$B$46</f>
        <v>600000</v>
      </c>
      <c r="N46" s="927">
        <f>[16]ELAK!$B$46</f>
        <v>600000</v>
      </c>
    </row>
    <row r="47" spans="1:14">
      <c r="A47" s="294" t="s">
        <v>40</v>
      </c>
      <c r="B47" s="24">
        <f t="shared" si="6"/>
        <v>0</v>
      </c>
      <c r="C47" s="24"/>
      <c r="D47" s="24">
        <f t="shared" si="7"/>
        <v>0</v>
      </c>
      <c r="E47" s="26">
        <f t="shared" si="8"/>
        <v>0</v>
      </c>
      <c r="F47" s="55"/>
      <c r="L47" s="24"/>
      <c r="M47" s="24">
        <f>[38]EGHIL!$B$47</f>
        <v>0</v>
      </c>
      <c r="N47" s="24">
        <f>[16]ELAK!$B$47</f>
        <v>0</v>
      </c>
    </row>
    <row r="48" spans="1:14">
      <c r="A48" s="294" t="s">
        <v>41</v>
      </c>
      <c r="B48" s="24">
        <f t="shared" si="6"/>
        <v>0</v>
      </c>
      <c r="C48" s="24"/>
      <c r="D48" s="24">
        <f t="shared" si="7"/>
        <v>0</v>
      </c>
      <c r="E48" s="26">
        <f t="shared" si="8"/>
        <v>0</v>
      </c>
      <c r="F48" s="55"/>
      <c r="L48" s="24"/>
      <c r="M48" s="24">
        <f>[38]EGHIL!$B$48</f>
        <v>0</v>
      </c>
      <c r="N48" s="24">
        <f>[16]ELAK!$B$48</f>
        <v>0</v>
      </c>
    </row>
    <row r="49" spans="1:15">
      <c r="A49" s="294" t="s">
        <v>42</v>
      </c>
      <c r="B49" s="24">
        <f t="shared" si="6"/>
        <v>447117.67316486844</v>
      </c>
      <c r="C49" s="24"/>
      <c r="D49" s="24">
        <f>B49-C49</f>
        <v>447117.67316486844</v>
      </c>
      <c r="E49" s="26">
        <f t="shared" si="8"/>
        <v>0</v>
      </c>
      <c r="F49" s="55"/>
      <c r="H49" s="55"/>
      <c r="I49" s="55"/>
      <c r="J49" s="55"/>
      <c r="K49" s="55"/>
      <c r="L49" s="24"/>
      <c r="M49" s="24">
        <f>[38]EGHIL!$B$49</f>
        <v>0</v>
      </c>
      <c r="N49" s="24">
        <f>[16]ELAK!$B$49</f>
        <v>447117.67316486844</v>
      </c>
    </row>
    <row r="50" spans="1:15">
      <c r="A50" s="294" t="s">
        <v>43</v>
      </c>
      <c r="B50" s="24">
        <f t="shared" si="6"/>
        <v>0</v>
      </c>
      <c r="C50" s="24"/>
      <c r="D50" s="24">
        <f t="shared" si="7"/>
        <v>0</v>
      </c>
      <c r="E50" s="26">
        <f t="shared" si="8"/>
        <v>0</v>
      </c>
      <c r="H50" s="55"/>
      <c r="I50" s="55"/>
      <c r="J50" s="179"/>
      <c r="K50" s="55"/>
      <c r="L50" s="24"/>
      <c r="M50" s="24">
        <f>[38]EGHIL!$B$50</f>
        <v>0</v>
      </c>
      <c r="N50" s="24">
        <f>[16]ELAK!$B$50</f>
        <v>0</v>
      </c>
      <c r="O50" s="55"/>
    </row>
    <row r="51" spans="1:15">
      <c r="A51" s="294" t="s">
        <v>44</v>
      </c>
      <c r="B51" s="24">
        <f t="shared" si="6"/>
        <v>0</v>
      </c>
      <c r="C51" s="24"/>
      <c r="D51" s="24">
        <f t="shared" si="7"/>
        <v>0</v>
      </c>
      <c r="E51" s="26">
        <f t="shared" si="8"/>
        <v>0</v>
      </c>
      <c r="H51" s="55"/>
      <c r="J51" s="55"/>
      <c r="K51" s="55"/>
      <c r="L51" s="24"/>
      <c r="M51" s="24">
        <f>[38]EGHIL!$B$51</f>
        <v>0</v>
      </c>
      <c r="N51" s="24">
        <f>[16]ELAK!$B$51</f>
        <v>0</v>
      </c>
    </row>
    <row r="52" spans="1:15" ht="13.5" thickBot="1">
      <c r="A52" s="299" t="s">
        <v>45</v>
      </c>
      <c r="B52" s="24">
        <f t="shared" si="6"/>
        <v>0</v>
      </c>
      <c r="C52" s="24"/>
      <c r="D52" s="224">
        <f t="shared" si="7"/>
        <v>0</v>
      </c>
      <c r="E52" s="220">
        <f t="shared" si="8"/>
        <v>0</v>
      </c>
      <c r="L52" s="224"/>
      <c r="M52" s="224">
        <f>[38]EGHIL!$B$52</f>
        <v>0</v>
      </c>
      <c r="N52" s="224">
        <f>[16]ELAK!$B$52</f>
        <v>0</v>
      </c>
    </row>
    <row r="53" spans="1:15" ht="13.5" thickBot="1">
      <c r="A53" s="296" t="s">
        <v>46</v>
      </c>
      <c r="B53" s="212">
        <f>SUM(B46:B52)</f>
        <v>1047117.6731648685</v>
      </c>
      <c r="C53" s="212">
        <f>SUM(C46:C52)</f>
        <v>0</v>
      </c>
      <c r="D53" s="225">
        <f t="shared" si="7"/>
        <v>1047117.6731648685</v>
      </c>
      <c r="E53" s="223">
        <f t="shared" si="8"/>
        <v>0</v>
      </c>
      <c r="L53" s="225"/>
      <c r="M53" s="212">
        <f>SUM(M46:M52)</f>
        <v>600000</v>
      </c>
      <c r="N53" s="212">
        <f>SUM(N46:N52)</f>
        <v>1047117.6731648685</v>
      </c>
    </row>
    <row r="54" spans="1:15" ht="13.5" thickBot="1">
      <c r="A54" s="300"/>
      <c r="B54" s="226"/>
      <c r="C54" s="226"/>
      <c r="D54" s="190"/>
      <c r="E54" s="190"/>
      <c r="L54" s="190"/>
      <c r="M54" s="226"/>
      <c r="N54" s="226"/>
    </row>
    <row r="55" spans="1:15" ht="13.5" thickBot="1">
      <c r="A55" s="296" t="s">
        <v>47</v>
      </c>
      <c r="B55" s="212">
        <f>B43+B53</f>
        <v>6317614.0112614753</v>
      </c>
      <c r="C55" s="212">
        <f>C43+C53</f>
        <v>0</v>
      </c>
      <c r="D55" s="225">
        <f>B55-C55</f>
        <v>6317614.0112614753</v>
      </c>
      <c r="E55" s="223">
        <f>IFERROR(D55/C55,0)</f>
        <v>0</v>
      </c>
      <c r="L55" s="225"/>
      <c r="M55" s="212">
        <f>M43+M53</f>
        <v>600000</v>
      </c>
      <c r="N55" s="212">
        <f>N43+N53</f>
        <v>6317614.0112614753</v>
      </c>
    </row>
    <row r="56" spans="1:15" ht="13.5" thickBot="1">
      <c r="A56" s="300"/>
      <c r="B56" s="191">
        <f>B55-B28</f>
        <v>0</v>
      </c>
      <c r="C56" s="191">
        <f>C55-C28</f>
        <v>0</v>
      </c>
      <c r="D56" s="191"/>
      <c r="E56" s="192"/>
      <c r="L56" s="191"/>
      <c r="M56" s="191">
        <f>M28-M55</f>
        <v>0</v>
      </c>
      <c r="N56" s="191">
        <f>N55-N28</f>
        <v>0</v>
      </c>
    </row>
    <row r="57" spans="1:15" ht="18">
      <c r="A57" s="1573" t="str">
        <f>A2</f>
        <v>Equity Insurance Group Holdings Ltd - Consolidated</v>
      </c>
      <c r="B57" s="1574"/>
      <c r="C57" s="1574"/>
      <c r="D57" s="436"/>
      <c r="E57" s="861"/>
      <c r="L57" s="436"/>
      <c r="M57" s="436"/>
      <c r="N57" s="436"/>
    </row>
    <row r="58" spans="1:15">
      <c r="A58" s="301" t="s">
        <v>48</v>
      </c>
      <c r="B58" s="1191">
        <f>B3</f>
        <v>45046</v>
      </c>
      <c r="C58" s="1191">
        <f>C3</f>
        <v>44681</v>
      </c>
      <c r="D58" s="1580" t="s">
        <v>85</v>
      </c>
      <c r="E58" s="1577" t="s">
        <v>86</v>
      </c>
      <c r="L58" s="1502"/>
      <c r="M58" s="1504">
        <f>B58</f>
        <v>45046</v>
      </c>
      <c r="N58" s="1504">
        <f>M58</f>
        <v>45046</v>
      </c>
    </row>
    <row r="59" spans="1:15">
      <c r="A59" s="301"/>
      <c r="B59" s="19" t="s">
        <v>97</v>
      </c>
      <c r="C59" s="19" t="s">
        <v>97</v>
      </c>
      <c r="D59" s="1538"/>
      <c r="E59" s="1572"/>
      <c r="L59" s="1503"/>
      <c r="M59" s="1501" t="str">
        <f>B59</f>
        <v>KShs '000</v>
      </c>
      <c r="N59" s="1501" t="str">
        <f>M59</f>
        <v>KShs '000</v>
      </c>
    </row>
    <row r="60" spans="1:15" ht="13.5" thickBot="1">
      <c r="A60" s="437"/>
      <c r="B60" s="438" t="s">
        <v>84</v>
      </c>
      <c r="C60" s="438" t="str">
        <f>C6</f>
        <v>(Un-Audited)</v>
      </c>
      <c r="D60" s="439"/>
      <c r="E60" s="439"/>
      <c r="L60" s="439"/>
      <c r="M60" s="438" t="str">
        <f>B60</f>
        <v>(Un-audited)</v>
      </c>
      <c r="N60" s="438" t="str">
        <f>M60</f>
        <v>(Un-audited)</v>
      </c>
    </row>
    <row r="61" spans="1:15">
      <c r="A61" s="297" t="s">
        <v>49</v>
      </c>
      <c r="B61" s="25"/>
      <c r="C61" s="25"/>
      <c r="D61" s="25"/>
      <c r="E61" s="26"/>
      <c r="L61" s="75"/>
      <c r="M61" s="25"/>
      <c r="N61" s="25"/>
    </row>
    <row r="62" spans="1:15">
      <c r="A62" s="294" t="s">
        <v>50</v>
      </c>
      <c r="B62" s="24">
        <f>M62+N62-L62</f>
        <v>0</v>
      </c>
      <c r="C62" s="24"/>
      <c r="D62" s="24">
        <f>B62-C62</f>
        <v>0</v>
      </c>
      <c r="E62" s="33">
        <f>IFERROR(D62/C62,0)</f>
        <v>0</v>
      </c>
      <c r="L62" s="218"/>
      <c r="M62" s="24">
        <f>[38]EGHIL!$B$62</f>
        <v>0</v>
      </c>
      <c r="N62" s="24">
        <f>[16]ELAK!$B$62</f>
        <v>0</v>
      </c>
    </row>
    <row r="63" spans="1:15">
      <c r="A63" s="294" t="s">
        <v>51</v>
      </c>
      <c r="B63" s="24">
        <f>M63+N63-L63</f>
        <v>84785.693150684921</v>
      </c>
      <c r="C63" s="24"/>
      <c r="D63" s="24">
        <f t="shared" ref="D63:D98" si="9">B63-C63</f>
        <v>84785.693150684921</v>
      </c>
      <c r="E63" s="33">
        <f t="shared" ref="E63:E98" si="10">IFERROR(D63/C63,0)</f>
        <v>0</v>
      </c>
      <c r="L63" s="218"/>
      <c r="M63" s="24">
        <f>[38]EGHIL!$B$63</f>
        <v>0</v>
      </c>
      <c r="N63" s="24">
        <f>[16]ELAK!$B$63</f>
        <v>84785.693150684921</v>
      </c>
    </row>
    <row r="64" spans="1:15">
      <c r="A64" s="294" t="s">
        <v>52</v>
      </c>
      <c r="B64" s="24">
        <f>M64+N64-L64</f>
        <v>0</v>
      </c>
      <c r="C64" s="24"/>
      <c r="D64" s="24">
        <f t="shared" si="9"/>
        <v>0</v>
      </c>
      <c r="E64" s="33">
        <f t="shared" si="10"/>
        <v>0</v>
      </c>
      <c r="L64" s="218"/>
      <c r="M64" s="24">
        <f>[38]EGHIL!$B$64</f>
        <v>0</v>
      </c>
      <c r="N64" s="24">
        <f>[16]ELAK!$B$65</f>
        <v>0</v>
      </c>
    </row>
    <row r="65" spans="1:14">
      <c r="A65" s="294" t="s">
        <v>53</v>
      </c>
      <c r="B65" s="24">
        <f>M65+N65-L65</f>
        <v>0</v>
      </c>
      <c r="C65" s="24"/>
      <c r="D65" s="24">
        <f t="shared" si="9"/>
        <v>0</v>
      </c>
      <c r="E65" s="33">
        <f t="shared" si="10"/>
        <v>0</v>
      </c>
      <c r="L65" s="218"/>
      <c r="M65" s="24">
        <f>[38]EGHIL!$B$65</f>
        <v>0</v>
      </c>
      <c r="N65" s="24">
        <v>0</v>
      </c>
    </row>
    <row r="66" spans="1:14">
      <c r="A66" s="303" t="s">
        <v>54</v>
      </c>
      <c r="B66" s="189">
        <f>SUM(B62:B65)</f>
        <v>84785.693150684921</v>
      </c>
      <c r="C66" s="189">
        <f>SUM(C62:C65)</f>
        <v>0</v>
      </c>
      <c r="D66" s="197">
        <f t="shared" si="9"/>
        <v>84785.693150684921</v>
      </c>
      <c r="E66" s="45">
        <f t="shared" si="10"/>
        <v>0</v>
      </c>
      <c r="L66" s="947"/>
      <c r="M66" s="197">
        <f>SUM(M62:M65)</f>
        <v>0</v>
      </c>
      <c r="N66" s="948">
        <f>SUM(N62:N65)</f>
        <v>84785.693150684921</v>
      </c>
    </row>
    <row r="67" spans="1:14">
      <c r="A67" s="298"/>
      <c r="B67" s="24"/>
      <c r="C67" s="24"/>
      <c r="D67" s="24"/>
      <c r="E67" s="33"/>
      <c r="L67" s="218"/>
      <c r="M67" s="24"/>
      <c r="N67" s="24"/>
    </row>
    <row r="68" spans="1:14">
      <c r="A68" s="298" t="s">
        <v>55</v>
      </c>
      <c r="B68" s="24"/>
      <c r="C68" s="24"/>
      <c r="D68" s="24"/>
      <c r="E68" s="33"/>
      <c r="L68" s="218"/>
      <c r="M68" s="24"/>
      <c r="N68" s="24"/>
    </row>
    <row r="69" spans="1:14">
      <c r="A69" s="294" t="s">
        <v>56</v>
      </c>
      <c r="B69" s="24">
        <f>M69+N69-L69</f>
        <v>0</v>
      </c>
      <c r="C69" s="24"/>
      <c r="D69" s="24">
        <f t="shared" si="9"/>
        <v>0</v>
      </c>
      <c r="E69" s="33">
        <f t="shared" si="10"/>
        <v>0</v>
      </c>
      <c r="L69" s="218"/>
      <c r="M69" s="24">
        <f>[38]EGHIL!$B$69</f>
        <v>0</v>
      </c>
      <c r="N69" s="24">
        <f>[16]ELAK!$B$69</f>
        <v>0</v>
      </c>
    </row>
    <row r="70" spans="1:14">
      <c r="A70" s="294" t="s">
        <v>57</v>
      </c>
      <c r="B70" s="24">
        <f>M70+N70-L70</f>
        <v>0</v>
      </c>
      <c r="C70" s="24"/>
      <c r="D70" s="24">
        <f t="shared" si="9"/>
        <v>0</v>
      </c>
      <c r="E70" s="33">
        <f t="shared" si="10"/>
        <v>0</v>
      </c>
      <c r="L70" s="218"/>
      <c r="M70" s="24">
        <f>[38]EGHIL!$B$70</f>
        <v>0</v>
      </c>
      <c r="N70" s="24">
        <f>[16]ELAK!$B$70</f>
        <v>0</v>
      </c>
    </row>
    <row r="71" spans="1:14">
      <c r="A71" s="294" t="s">
        <v>58</v>
      </c>
      <c r="B71" s="24">
        <f>M71+N71-L71</f>
        <v>343.38195194312573</v>
      </c>
      <c r="C71" s="24"/>
      <c r="D71" s="24">
        <f t="shared" si="9"/>
        <v>343.38195194312573</v>
      </c>
      <c r="E71" s="33">
        <f t="shared" si="10"/>
        <v>0</v>
      </c>
      <c r="G71" s="55"/>
      <c r="L71" s="218"/>
      <c r="M71" s="24">
        <f>[38]EGHIL!$B$71</f>
        <v>0</v>
      </c>
      <c r="N71" s="24">
        <f>[16]ELAK!$B$71</f>
        <v>343.38195194312573</v>
      </c>
    </row>
    <row r="72" spans="1:14">
      <c r="A72" s="303" t="s">
        <v>59</v>
      </c>
      <c r="B72" s="189">
        <f>SUM(B69:B71)</f>
        <v>343.38195194312573</v>
      </c>
      <c r="C72" s="189">
        <v>0</v>
      </c>
      <c r="D72" s="197">
        <f t="shared" si="9"/>
        <v>343.38195194312573</v>
      </c>
      <c r="E72" s="45">
        <f t="shared" si="10"/>
        <v>0</v>
      </c>
      <c r="L72" s="947"/>
      <c r="M72" s="197">
        <f>SUM(M69:M71)</f>
        <v>0</v>
      </c>
      <c r="N72" s="948">
        <f>SUM(N69:N71)</f>
        <v>343.38195194312573</v>
      </c>
    </row>
    <row r="73" spans="1:14">
      <c r="A73" s="303" t="s">
        <v>60</v>
      </c>
      <c r="B73" s="189">
        <f>B66-B72</f>
        <v>84442.311198741794</v>
      </c>
      <c r="C73" s="189">
        <f>C66</f>
        <v>0</v>
      </c>
      <c r="D73" s="197">
        <f t="shared" si="9"/>
        <v>84442.311198741794</v>
      </c>
      <c r="E73" s="45">
        <f t="shared" si="10"/>
        <v>0</v>
      </c>
      <c r="L73" s="947"/>
      <c r="M73" s="197">
        <f>M66-M72</f>
        <v>0</v>
      </c>
      <c r="N73" s="948">
        <f>N66-N72</f>
        <v>84442.311198741794</v>
      </c>
    </row>
    <row r="74" spans="1:14">
      <c r="A74" s="298"/>
      <c r="B74" s="24"/>
      <c r="C74" s="24"/>
      <c r="D74" s="24"/>
      <c r="E74" s="33"/>
      <c r="L74" s="218"/>
      <c r="M74" s="24"/>
      <c r="N74" s="24"/>
    </row>
    <row r="75" spans="1:14">
      <c r="A75" s="298" t="s">
        <v>61</v>
      </c>
      <c r="B75" s="24"/>
      <c r="C75" s="24"/>
      <c r="D75" s="24"/>
      <c r="E75" s="33"/>
      <c r="L75" s="218"/>
      <c r="M75" s="24"/>
      <c r="N75" s="24"/>
    </row>
    <row r="76" spans="1:14">
      <c r="A76" s="294" t="s">
        <v>62</v>
      </c>
      <c r="B76" s="24">
        <f>M76+N76-L76</f>
        <v>0</v>
      </c>
      <c r="C76" s="24"/>
      <c r="D76" s="24">
        <f t="shared" si="9"/>
        <v>0</v>
      </c>
      <c r="E76" s="33">
        <f t="shared" si="10"/>
        <v>0</v>
      </c>
      <c r="L76" s="218"/>
      <c r="M76" s="24">
        <f>[38]EGHIL!$B$76</f>
        <v>0</v>
      </c>
      <c r="N76" s="24">
        <f>[16]ELAK!$B$76</f>
        <v>0</v>
      </c>
    </row>
    <row r="77" spans="1:14">
      <c r="A77" s="294" t="s">
        <v>63</v>
      </c>
      <c r="B77" s="24">
        <f>M77+N77-L77</f>
        <v>280620.98011555185</v>
      </c>
      <c r="C77" s="24"/>
      <c r="D77" s="24">
        <f t="shared" si="9"/>
        <v>280620.98011555185</v>
      </c>
      <c r="E77" s="33">
        <f t="shared" si="10"/>
        <v>0</v>
      </c>
      <c r="L77" s="218"/>
      <c r="M77" s="24">
        <f>[38]EGHIL!$B$77</f>
        <v>0</v>
      </c>
      <c r="N77" s="24">
        <f>[16]ELAK!$B$77</f>
        <v>280620.98011555185</v>
      </c>
    </row>
    <row r="78" spans="1:14">
      <c r="A78" s="294" t="s">
        <v>64</v>
      </c>
      <c r="B78" s="24">
        <f>M78+N78-L78</f>
        <v>0</v>
      </c>
      <c r="C78" s="24"/>
      <c r="D78" s="24">
        <f t="shared" si="9"/>
        <v>0</v>
      </c>
      <c r="E78" s="33">
        <f t="shared" si="10"/>
        <v>0</v>
      </c>
      <c r="L78" s="218"/>
      <c r="M78" s="24">
        <f>[38]EGHIL!$B$78</f>
        <v>0</v>
      </c>
      <c r="N78" s="24">
        <f>[16]ELAK!$B$78</f>
        <v>0</v>
      </c>
    </row>
    <row r="79" spans="1:14">
      <c r="A79" s="294" t="s">
        <v>65</v>
      </c>
      <c r="B79" s="24">
        <f>M79+N79-L79</f>
        <v>0</v>
      </c>
      <c r="C79" s="24"/>
      <c r="D79" s="24">
        <f t="shared" si="9"/>
        <v>0</v>
      </c>
      <c r="E79" s="33">
        <f t="shared" si="10"/>
        <v>0</v>
      </c>
      <c r="J79" s="55"/>
      <c r="L79" s="218"/>
      <c r="M79" s="24">
        <f>[38]EGHIL!$B$79</f>
        <v>0</v>
      </c>
      <c r="N79" s="24">
        <f>[16]ELAK!$B$79</f>
        <v>0</v>
      </c>
    </row>
    <row r="80" spans="1:14">
      <c r="A80" s="294" t="s">
        <v>66</v>
      </c>
      <c r="B80" s="24">
        <f>M80+N80-L80</f>
        <v>0</v>
      </c>
      <c r="C80" s="24"/>
      <c r="D80" s="24">
        <f t="shared" si="9"/>
        <v>0</v>
      </c>
      <c r="E80" s="33">
        <f t="shared" si="10"/>
        <v>0</v>
      </c>
      <c r="K80" s="71"/>
      <c r="L80" s="218"/>
      <c r="M80" s="24">
        <f>[38]EGHIL!$B$80</f>
        <v>0</v>
      </c>
      <c r="N80" s="24">
        <f>[16]ELAK!$B$80</f>
        <v>0</v>
      </c>
    </row>
    <row r="81" spans="1:19">
      <c r="A81" s="303" t="s">
        <v>67</v>
      </c>
      <c r="B81" s="189">
        <f>SUM(B76:B80)</f>
        <v>280620.98011555185</v>
      </c>
      <c r="C81" s="189">
        <f>SUM(C76:C80)</f>
        <v>0</v>
      </c>
      <c r="D81" s="197">
        <f t="shared" si="9"/>
        <v>280620.98011555185</v>
      </c>
      <c r="E81" s="45">
        <f t="shared" si="10"/>
        <v>0</v>
      </c>
      <c r="L81" s="947"/>
      <c r="M81" s="197">
        <f>SUM(M76:M80)</f>
        <v>0</v>
      </c>
      <c r="N81" s="948">
        <f>SUM(N76:N80)</f>
        <v>280620.98011555185</v>
      </c>
    </row>
    <row r="82" spans="1:19">
      <c r="A82" s="303" t="s">
        <v>68</v>
      </c>
      <c r="B82" s="189">
        <f>B73+B81</f>
        <v>365063.29131429363</v>
      </c>
      <c r="C82" s="189">
        <f>C73+C81</f>
        <v>0</v>
      </c>
      <c r="D82" s="197">
        <f t="shared" si="9"/>
        <v>365063.29131429363</v>
      </c>
      <c r="E82" s="45">
        <f t="shared" si="10"/>
        <v>0</v>
      </c>
      <c r="L82" s="947"/>
      <c r="M82" s="197">
        <f>M73+M81</f>
        <v>0</v>
      </c>
      <c r="N82" s="948">
        <f>N73+N81</f>
        <v>365063.29131429363</v>
      </c>
    </row>
    <row r="83" spans="1:19">
      <c r="A83" s="298"/>
      <c r="B83" s="24"/>
      <c r="C83" s="24"/>
      <c r="D83" s="24"/>
      <c r="E83" s="33"/>
      <c r="L83" s="218"/>
      <c r="M83" s="24"/>
      <c r="N83" s="24"/>
    </row>
    <row r="84" spans="1:19">
      <c r="A84" s="298" t="s">
        <v>69</v>
      </c>
      <c r="B84" s="24">
        <f t="shared" ref="B84:B91" si="11">M84+N84-L84</f>
        <v>0</v>
      </c>
      <c r="C84" s="24"/>
      <c r="D84" s="24"/>
      <c r="E84" s="33"/>
      <c r="L84" s="218"/>
      <c r="M84" s="24"/>
      <c r="N84" s="24"/>
    </row>
    <row r="85" spans="1:19">
      <c r="A85" s="294" t="s">
        <v>70</v>
      </c>
      <c r="B85" s="24">
        <f t="shared" si="11"/>
        <v>0</v>
      </c>
      <c r="C85" s="24"/>
      <c r="D85" s="24">
        <f t="shared" si="9"/>
        <v>0</v>
      </c>
      <c r="E85" s="33">
        <f>IFERROR(D85/C85,0)</f>
        <v>0</v>
      </c>
      <c r="L85" s="218"/>
      <c r="M85" s="24">
        <f>[38]EGHIL!$B$85</f>
        <v>0</v>
      </c>
      <c r="N85" s="24">
        <f>[16]ELAK!$B$85</f>
        <v>0</v>
      </c>
    </row>
    <row r="86" spans="1:19">
      <c r="A86" s="294" t="s">
        <v>71</v>
      </c>
      <c r="B86" s="24">
        <f t="shared" si="11"/>
        <v>56022.736079999995</v>
      </c>
      <c r="C86" s="24"/>
      <c r="D86" s="24">
        <f t="shared" si="9"/>
        <v>56022.736079999995</v>
      </c>
      <c r="E86" s="33">
        <f t="shared" si="10"/>
        <v>0</v>
      </c>
      <c r="L86" s="218"/>
      <c r="M86" s="24">
        <f>[38]EGHIL!$B$86</f>
        <v>0</v>
      </c>
      <c r="N86" s="24">
        <f>[16]ELAK!$B$86</f>
        <v>56022.736079999995</v>
      </c>
    </row>
    <row r="87" spans="1:19">
      <c r="A87" s="294" t="s">
        <v>72</v>
      </c>
      <c r="B87" s="24">
        <f t="shared" si="11"/>
        <v>3059.9</v>
      </c>
      <c r="C87" s="24"/>
      <c r="D87" s="24">
        <f t="shared" si="9"/>
        <v>3059.9</v>
      </c>
      <c r="E87" s="33">
        <f t="shared" si="10"/>
        <v>0</v>
      </c>
      <c r="L87" s="218"/>
      <c r="M87" s="24">
        <f>[38]EGHIL!$B$87</f>
        <v>0</v>
      </c>
      <c r="N87" s="24">
        <f>[16]ELAK!$B$87</f>
        <v>3059.9</v>
      </c>
    </row>
    <row r="88" spans="1:19">
      <c r="A88" s="294" t="s">
        <v>73</v>
      </c>
      <c r="B88" s="24">
        <f t="shared" si="11"/>
        <v>0</v>
      </c>
      <c r="C88" s="24"/>
      <c r="D88" s="24">
        <f t="shared" si="9"/>
        <v>0</v>
      </c>
      <c r="E88" s="33">
        <f t="shared" si="10"/>
        <v>0</v>
      </c>
      <c r="L88" s="218"/>
      <c r="M88" s="24">
        <f>[38]EGHIL!$B$88</f>
        <v>0</v>
      </c>
      <c r="N88" s="24">
        <f>[16]ELAK!$B$88</f>
        <v>0</v>
      </c>
      <c r="R88" s="52">
        <v>-24738.719997016713</v>
      </c>
    </row>
    <row r="89" spans="1:19">
      <c r="A89" s="294" t="s">
        <v>74</v>
      </c>
      <c r="B89" s="24">
        <f t="shared" si="11"/>
        <v>2026.8021000000001</v>
      </c>
      <c r="C89" s="24"/>
      <c r="D89" s="24">
        <f t="shared" si="9"/>
        <v>2026.8021000000001</v>
      </c>
      <c r="E89" s="33">
        <f t="shared" si="10"/>
        <v>0</v>
      </c>
      <c r="L89" s="218"/>
      <c r="M89" s="24">
        <f>[38]EGHIL!$B$89</f>
        <v>0</v>
      </c>
      <c r="N89" s="24">
        <f>[16]ELAK!$B$89</f>
        <v>2026.8021000000001</v>
      </c>
    </row>
    <row r="90" spans="1:19">
      <c r="A90" s="294" t="s">
        <v>75</v>
      </c>
      <c r="B90" s="24">
        <f t="shared" si="11"/>
        <v>0</v>
      </c>
      <c r="C90" s="24"/>
      <c r="D90" s="24">
        <f t="shared" si="9"/>
        <v>0</v>
      </c>
      <c r="E90" s="33">
        <f>IFERROR(D90/C90,0)</f>
        <v>0</v>
      </c>
      <c r="J90" s="55"/>
      <c r="L90" s="218"/>
      <c r="M90" s="24">
        <f>[38]EGHIL!$B$90</f>
        <v>0</v>
      </c>
      <c r="N90" s="24">
        <f>[16]ELAK!$B$90</f>
        <v>0</v>
      </c>
      <c r="R90" s="52">
        <v>-25684.640264033224</v>
      </c>
      <c r="S90" s="52">
        <v>-945.92026701651048</v>
      </c>
    </row>
    <row r="91" spans="1:19">
      <c r="A91" s="294" t="s">
        <v>76</v>
      </c>
      <c r="B91" s="24">
        <f t="shared" si="11"/>
        <v>123924.56957622537</v>
      </c>
      <c r="C91" s="24"/>
      <c r="D91" s="24">
        <f t="shared" si="9"/>
        <v>123924.56957622537</v>
      </c>
      <c r="E91" s="33">
        <f t="shared" si="10"/>
        <v>0</v>
      </c>
      <c r="L91" s="218"/>
      <c r="M91" s="24">
        <f>[38]EGHIL!$B$91</f>
        <v>0</v>
      </c>
      <c r="N91" s="24">
        <f>[16]ELAK!$B$91</f>
        <v>123924.56957622537</v>
      </c>
    </row>
    <row r="92" spans="1:19">
      <c r="A92" s="303" t="s">
        <v>77</v>
      </c>
      <c r="B92" s="189">
        <f>SUM(B85:B91)</f>
        <v>185034.00775622536</v>
      </c>
      <c r="C92" s="189">
        <f>SUM(C85:C91)</f>
        <v>0</v>
      </c>
      <c r="D92" s="197">
        <f t="shared" si="9"/>
        <v>185034.00775622536</v>
      </c>
      <c r="E92" s="45">
        <f t="shared" si="10"/>
        <v>0</v>
      </c>
      <c r="L92" s="947"/>
      <c r="M92" s="197">
        <f>SUM(M85:M91)</f>
        <v>0</v>
      </c>
      <c r="N92" s="948">
        <f>SUM(N85:N91)</f>
        <v>185034.00775622536</v>
      </c>
      <c r="Q92" s="52">
        <v>680606.58169104531</v>
      </c>
      <c r="R92" s="55">
        <f>Q92-N92</f>
        <v>495572.57393481996</v>
      </c>
    </row>
    <row r="93" spans="1:19">
      <c r="A93" s="303" t="s">
        <v>78</v>
      </c>
      <c r="B93" s="189">
        <f>B82-B92</f>
        <v>180029.28355806827</v>
      </c>
      <c r="C93" s="189">
        <f>C82-C92</f>
        <v>0</v>
      </c>
      <c r="D93" s="197">
        <f t="shared" si="9"/>
        <v>180029.28355806827</v>
      </c>
      <c r="E93" s="45">
        <f t="shared" si="10"/>
        <v>0</v>
      </c>
      <c r="L93" s="947"/>
      <c r="M93" s="197">
        <f>M82-M92</f>
        <v>0</v>
      </c>
      <c r="N93" s="948">
        <f>N82-N92</f>
        <v>180029.28355806827</v>
      </c>
      <c r="Q93" s="52">
        <v>405206.39183135855</v>
      </c>
      <c r="R93" s="55">
        <f>Q93-N93</f>
        <v>225177.10827329027</v>
      </c>
    </row>
    <row r="94" spans="1:19">
      <c r="A94" s="294" t="s">
        <v>80</v>
      </c>
      <c r="B94" s="24">
        <v>0</v>
      </c>
      <c r="C94" s="24">
        <v>0</v>
      </c>
      <c r="D94" s="24">
        <f t="shared" si="9"/>
        <v>0</v>
      </c>
      <c r="E94" s="33">
        <f t="shared" si="10"/>
        <v>0</v>
      </c>
      <c r="L94" s="218"/>
      <c r="M94" s="24">
        <f>[38]EGHIL!$B$94</f>
        <v>0</v>
      </c>
      <c r="N94" s="24">
        <v>0</v>
      </c>
    </row>
    <row r="95" spans="1:19">
      <c r="A95" s="303" t="s">
        <v>81</v>
      </c>
      <c r="B95" s="189">
        <f>B93</f>
        <v>180029.28355806827</v>
      </c>
      <c r="C95" s="189">
        <f>C93</f>
        <v>0</v>
      </c>
      <c r="D95" s="197">
        <f t="shared" si="9"/>
        <v>180029.28355806827</v>
      </c>
      <c r="E95" s="45">
        <f t="shared" si="10"/>
        <v>0</v>
      </c>
      <c r="L95" s="947"/>
      <c r="M95" s="197">
        <f>M93</f>
        <v>0</v>
      </c>
      <c r="N95" s="948">
        <f>N93</f>
        <v>180029.28355806827</v>
      </c>
    </row>
    <row r="96" spans="1:19">
      <c r="A96" s="294" t="s">
        <v>91</v>
      </c>
      <c r="B96" s="24">
        <f>M96+N96-L96</f>
        <v>0</v>
      </c>
      <c r="C96" s="24"/>
      <c r="D96" s="24">
        <f t="shared" si="9"/>
        <v>0</v>
      </c>
      <c r="E96" s="33">
        <f t="shared" si="10"/>
        <v>0</v>
      </c>
      <c r="G96" s="178"/>
      <c r="L96" s="218"/>
      <c r="M96" s="24">
        <f>[38]EGHIL!$B$96</f>
        <v>0</v>
      </c>
      <c r="N96" s="612">
        <f>[16]ELAK!$B$96</f>
        <v>0</v>
      </c>
    </row>
    <row r="97" spans="1:14">
      <c r="A97" s="294" t="s">
        <v>92</v>
      </c>
      <c r="B97" s="24">
        <f>M97+N97-L97</f>
        <v>0</v>
      </c>
      <c r="C97" s="24"/>
      <c r="D97" s="24">
        <f t="shared" si="9"/>
        <v>0</v>
      </c>
      <c r="E97" s="33">
        <f t="shared" si="10"/>
        <v>0</v>
      </c>
      <c r="G97" s="177"/>
      <c r="L97" s="218"/>
      <c r="M97" s="24">
        <f>[38]EGHIL!$B$97</f>
        <v>0</v>
      </c>
      <c r="N97" s="390"/>
    </row>
    <row r="98" spans="1:14" ht="13.5" thickBot="1">
      <c r="A98" s="303" t="s">
        <v>93</v>
      </c>
      <c r="B98" s="189">
        <f>SUM(B95:B97)</f>
        <v>180029.28355806827</v>
      </c>
      <c r="C98" s="189">
        <f>SUM(C95:C97)</f>
        <v>0</v>
      </c>
      <c r="D98" s="197">
        <f t="shared" si="9"/>
        <v>180029.28355806827</v>
      </c>
      <c r="E98" s="45">
        <f t="shared" si="10"/>
        <v>0</v>
      </c>
      <c r="L98" s="949"/>
      <c r="M98" s="950">
        <f>SUM(M95:M97)</f>
        <v>0</v>
      </c>
      <c r="N98" s="951">
        <f>SUM(N95:N97)</f>
        <v>180029.28355806827</v>
      </c>
    </row>
    <row r="99" spans="1:14">
      <c r="A99" s="201"/>
    </row>
    <row r="100" spans="1:14">
      <c r="A100" s="201"/>
      <c r="B100" s="403"/>
      <c r="E100" s="52"/>
    </row>
    <row r="101" spans="1:14">
      <c r="A101" s="201"/>
      <c r="B101" s="71"/>
      <c r="E101" s="52"/>
    </row>
    <row r="102" spans="1:14">
      <c r="A102" s="201"/>
      <c r="E102" s="52"/>
    </row>
    <row r="103" spans="1:14">
      <c r="A103" s="201"/>
      <c r="E103" s="52"/>
    </row>
    <row r="104" spans="1:14">
      <c r="A104" s="201"/>
      <c r="E104" s="52"/>
    </row>
    <row r="105" spans="1:14">
      <c r="A105" s="201"/>
      <c r="E105" s="52"/>
    </row>
    <row r="106" spans="1:14">
      <c r="A106" s="201"/>
      <c r="E106" s="52"/>
    </row>
    <row r="107" spans="1:14">
      <c r="A107" s="201"/>
      <c r="E107" s="52"/>
    </row>
    <row r="108" spans="1:14">
      <c r="A108" s="201"/>
      <c r="E108" s="52"/>
    </row>
    <row r="109" spans="1:14">
      <c r="A109" s="201"/>
      <c r="E109" s="52"/>
    </row>
    <row r="110" spans="1:14">
      <c r="A110" s="201"/>
      <c r="E110" s="52"/>
    </row>
    <row r="111" spans="1:14">
      <c r="A111" s="201"/>
      <c r="E111" s="52"/>
    </row>
    <row r="112" spans="1:14">
      <c r="A112" s="201"/>
      <c r="E112" s="52"/>
    </row>
    <row r="113" spans="1:5">
      <c r="A113" s="201"/>
      <c r="E113" s="52"/>
    </row>
    <row r="114" spans="1:5">
      <c r="A114" s="201"/>
      <c r="E114" s="52"/>
    </row>
    <row r="115" spans="1:5">
      <c r="A115" s="201"/>
      <c r="E115" s="52"/>
    </row>
    <row r="116" spans="1:5">
      <c r="A116" s="201"/>
      <c r="E116" s="52"/>
    </row>
    <row r="117" spans="1:5">
      <c r="A117" s="201"/>
      <c r="E117" s="52"/>
    </row>
    <row r="118" spans="1:5">
      <c r="A118" s="201"/>
      <c r="E118" s="52"/>
    </row>
    <row r="119" spans="1:5">
      <c r="A119" s="201"/>
      <c r="E119" s="52"/>
    </row>
    <row r="120" spans="1:5">
      <c r="A120" s="201"/>
      <c r="E120" s="52"/>
    </row>
    <row r="121" spans="1:5">
      <c r="A121" s="201"/>
      <c r="E121" s="52"/>
    </row>
    <row r="122" spans="1:5">
      <c r="A122" s="201"/>
      <c r="E122" s="52"/>
    </row>
    <row r="123" spans="1:5">
      <c r="A123" s="201"/>
      <c r="E123" s="52"/>
    </row>
    <row r="124" spans="1:5">
      <c r="A124" s="201"/>
      <c r="E124" s="52"/>
    </row>
    <row r="125" spans="1:5">
      <c r="A125" s="201"/>
      <c r="E125" s="52"/>
    </row>
    <row r="126" spans="1:5">
      <c r="A126" s="201"/>
      <c r="E126" s="52"/>
    </row>
    <row r="127" spans="1:5">
      <c r="A127" s="201"/>
      <c r="E127" s="52"/>
    </row>
    <row r="128" spans="1:5">
      <c r="A128" s="201"/>
      <c r="E128" s="52"/>
    </row>
    <row r="129" spans="1:5">
      <c r="A129" s="201"/>
      <c r="E129" s="52"/>
    </row>
    <row r="130" spans="1:5">
      <c r="A130" s="201"/>
      <c r="E130" s="52"/>
    </row>
    <row r="131" spans="1:5">
      <c r="A131" s="201"/>
      <c r="E131" s="52"/>
    </row>
    <row r="132" spans="1:5">
      <c r="A132" s="201"/>
      <c r="E132" s="52"/>
    </row>
    <row r="133" spans="1:5">
      <c r="A133" s="201"/>
      <c r="E133" s="52"/>
    </row>
    <row r="134" spans="1:5">
      <c r="A134" s="201"/>
      <c r="E134" s="52"/>
    </row>
    <row r="135" spans="1:5">
      <c r="A135" s="201"/>
      <c r="E135" s="52"/>
    </row>
    <row r="136" spans="1:5">
      <c r="A136" s="201"/>
      <c r="E136" s="52"/>
    </row>
    <row r="137" spans="1:5">
      <c r="A137" s="201"/>
      <c r="E137" s="52"/>
    </row>
    <row r="138" spans="1:5">
      <c r="A138" s="201"/>
      <c r="E138" s="52"/>
    </row>
    <row r="139" spans="1:5">
      <c r="A139" s="201"/>
      <c r="E139" s="52"/>
    </row>
    <row r="140" spans="1:5">
      <c r="A140" s="201"/>
      <c r="E140" s="52"/>
    </row>
    <row r="141" spans="1:5">
      <c r="A141" s="201"/>
      <c r="E141" s="52"/>
    </row>
    <row r="142" spans="1:5">
      <c r="A142" s="201"/>
      <c r="E142" s="52"/>
    </row>
    <row r="143" spans="1:5">
      <c r="A143" s="201"/>
      <c r="E143" s="52"/>
    </row>
    <row r="144" spans="1:5">
      <c r="A144" s="201"/>
      <c r="E144" s="52"/>
    </row>
    <row r="145" spans="1:5">
      <c r="A145" s="201"/>
      <c r="E145" s="52"/>
    </row>
    <row r="146" spans="1:5">
      <c r="A146" s="201"/>
      <c r="E146" s="52"/>
    </row>
    <row r="147" spans="1:5">
      <c r="A147" s="201"/>
      <c r="E147" s="52"/>
    </row>
    <row r="148" spans="1:5">
      <c r="A148" s="201"/>
      <c r="E148" s="52"/>
    </row>
    <row r="149" spans="1:5">
      <c r="A149" s="201"/>
      <c r="E149" s="52"/>
    </row>
    <row r="150" spans="1:5">
      <c r="A150" s="201"/>
      <c r="E150" s="52"/>
    </row>
    <row r="151" spans="1:5">
      <c r="A151" s="201"/>
      <c r="E151" s="52"/>
    </row>
    <row r="152" spans="1:5">
      <c r="A152" s="201"/>
      <c r="E152" s="52"/>
    </row>
    <row r="153" spans="1:5">
      <c r="A153" s="201"/>
      <c r="E153" s="52"/>
    </row>
    <row r="154" spans="1:5">
      <c r="A154" s="201"/>
      <c r="E154" s="52"/>
    </row>
    <row r="155" spans="1:5">
      <c r="A155" s="201"/>
      <c r="E155" s="52"/>
    </row>
    <row r="156" spans="1:5">
      <c r="A156" s="201"/>
      <c r="E156" s="52"/>
    </row>
    <row r="157" spans="1:5">
      <c r="A157" s="201"/>
      <c r="E157" s="52"/>
    </row>
    <row r="158" spans="1:5">
      <c r="A158" s="201"/>
      <c r="E158" s="52"/>
    </row>
    <row r="159" spans="1:5">
      <c r="A159" s="201"/>
      <c r="E159" s="52"/>
    </row>
    <row r="160" spans="1:5">
      <c r="A160" s="201"/>
      <c r="E160" s="52"/>
    </row>
    <row r="161" spans="1:5">
      <c r="A161" s="201"/>
      <c r="E161" s="52"/>
    </row>
    <row r="162" spans="1:5">
      <c r="A162" s="201"/>
      <c r="E162" s="52"/>
    </row>
    <row r="163" spans="1:5">
      <c r="A163" s="201"/>
      <c r="E163" s="52"/>
    </row>
    <row r="164" spans="1:5">
      <c r="A164" s="201"/>
      <c r="E164" s="52"/>
    </row>
    <row r="165" spans="1:5">
      <c r="A165" s="201"/>
      <c r="E165" s="52"/>
    </row>
    <row r="166" spans="1:5">
      <c r="A166" s="201"/>
      <c r="E166" s="52"/>
    </row>
    <row r="167" spans="1:5">
      <c r="A167" s="201"/>
      <c r="E167" s="52"/>
    </row>
    <row r="168" spans="1:5">
      <c r="A168" s="201"/>
      <c r="E168" s="52"/>
    </row>
    <row r="169" spans="1:5">
      <c r="A169" s="201"/>
      <c r="E169" s="52"/>
    </row>
    <row r="170" spans="1:5">
      <c r="A170" s="201"/>
      <c r="E170" s="52"/>
    </row>
    <row r="171" spans="1:5">
      <c r="A171" s="201"/>
      <c r="E171" s="52"/>
    </row>
    <row r="172" spans="1:5">
      <c r="A172" s="201"/>
      <c r="E172" s="52"/>
    </row>
    <row r="173" spans="1:5">
      <c r="A173" s="201"/>
      <c r="E173" s="52"/>
    </row>
    <row r="174" spans="1:5">
      <c r="A174" s="201"/>
      <c r="E174" s="52"/>
    </row>
    <row r="175" spans="1:5">
      <c r="A175" s="201"/>
      <c r="E175" s="52"/>
    </row>
    <row r="176" spans="1:5">
      <c r="A176" s="201"/>
      <c r="E176" s="52"/>
    </row>
    <row r="177" spans="1:5">
      <c r="A177" s="201"/>
      <c r="E177" s="52"/>
    </row>
    <row r="178" spans="1:5">
      <c r="A178" s="201"/>
      <c r="E178" s="52"/>
    </row>
    <row r="179" spans="1:5">
      <c r="A179" s="201"/>
      <c r="E179" s="52"/>
    </row>
    <row r="180" spans="1:5">
      <c r="A180" s="201"/>
      <c r="E180" s="52"/>
    </row>
    <row r="181" spans="1:5">
      <c r="A181" s="201"/>
      <c r="E181" s="52"/>
    </row>
    <row r="182" spans="1:5">
      <c r="A182" s="201"/>
      <c r="E182" s="52"/>
    </row>
    <row r="183" spans="1:5">
      <c r="A183" s="201"/>
      <c r="E183" s="52"/>
    </row>
    <row r="184" spans="1:5">
      <c r="A184" s="201"/>
      <c r="E184" s="52"/>
    </row>
    <row r="185" spans="1:5">
      <c r="A185" s="201"/>
      <c r="E185" s="52"/>
    </row>
    <row r="186" spans="1:5">
      <c r="A186" s="201"/>
      <c r="E186" s="52"/>
    </row>
    <row r="187" spans="1:5">
      <c r="A187" s="201"/>
      <c r="E187" s="52"/>
    </row>
    <row r="188" spans="1:5">
      <c r="A188" s="201"/>
      <c r="E188" s="52"/>
    </row>
    <row r="189" spans="1:5">
      <c r="A189" s="201"/>
      <c r="E189" s="52"/>
    </row>
    <row r="190" spans="1:5">
      <c r="A190" s="201"/>
      <c r="E190" s="52"/>
    </row>
    <row r="191" spans="1:5">
      <c r="A191" s="201"/>
      <c r="E191" s="52"/>
    </row>
    <row r="192" spans="1:5">
      <c r="A192" s="201"/>
      <c r="E192" s="52"/>
    </row>
    <row r="193" spans="1:5">
      <c r="A193" s="201"/>
      <c r="E193" s="52"/>
    </row>
    <row r="194" spans="1:5">
      <c r="A194" s="201"/>
      <c r="E194" s="52"/>
    </row>
    <row r="195" spans="1:5">
      <c r="A195" s="201"/>
      <c r="E195" s="52"/>
    </row>
    <row r="196" spans="1:5">
      <c r="A196" s="201"/>
      <c r="E196" s="52"/>
    </row>
    <row r="197" spans="1:5">
      <c r="A197" s="201"/>
      <c r="E197" s="52"/>
    </row>
    <row r="198" spans="1:5">
      <c r="A198" s="201"/>
      <c r="E198" s="52"/>
    </row>
    <row r="199" spans="1:5">
      <c r="A199" s="201"/>
      <c r="E199" s="52"/>
    </row>
    <row r="200" spans="1:5">
      <c r="A200" s="201"/>
      <c r="E200" s="52"/>
    </row>
    <row r="201" spans="1:5">
      <c r="A201" s="201"/>
      <c r="E201" s="52"/>
    </row>
    <row r="202" spans="1:5">
      <c r="A202" s="201"/>
      <c r="E202" s="52"/>
    </row>
    <row r="203" spans="1:5">
      <c r="A203" s="201"/>
      <c r="E203" s="52"/>
    </row>
    <row r="204" spans="1:5">
      <c r="A204" s="201"/>
      <c r="E204" s="52"/>
    </row>
    <row r="205" spans="1:5">
      <c r="A205" s="201"/>
      <c r="E205" s="52"/>
    </row>
    <row r="206" spans="1:5">
      <c r="A206" s="201"/>
      <c r="E206" s="52"/>
    </row>
    <row r="207" spans="1:5">
      <c r="A207" s="201"/>
      <c r="E207" s="52"/>
    </row>
    <row r="208" spans="1:5">
      <c r="A208" s="201"/>
      <c r="E208" s="52"/>
    </row>
    <row r="209" spans="1:5">
      <c r="A209" s="201"/>
      <c r="E209" s="52"/>
    </row>
    <row r="210" spans="1:5">
      <c r="A210" s="201"/>
      <c r="E210" s="52"/>
    </row>
    <row r="211" spans="1:5">
      <c r="A211" s="201"/>
      <c r="E211" s="52"/>
    </row>
    <row r="212" spans="1:5">
      <c r="A212" s="201"/>
      <c r="E212" s="52"/>
    </row>
    <row r="213" spans="1:5">
      <c r="A213" s="201"/>
      <c r="E213" s="52"/>
    </row>
    <row r="214" spans="1:5">
      <c r="A214" s="201"/>
      <c r="E214" s="52"/>
    </row>
    <row r="215" spans="1:5">
      <c r="A215" s="201"/>
      <c r="E215" s="52"/>
    </row>
    <row r="216" spans="1:5">
      <c r="A216" s="201"/>
      <c r="E216" s="52"/>
    </row>
    <row r="217" spans="1:5">
      <c r="A217" s="201"/>
      <c r="E217" s="52"/>
    </row>
    <row r="218" spans="1:5">
      <c r="A218" s="201"/>
      <c r="E218" s="52"/>
    </row>
    <row r="219" spans="1:5">
      <c r="A219" s="201"/>
      <c r="E219" s="52"/>
    </row>
    <row r="220" spans="1:5">
      <c r="A220" s="201"/>
      <c r="E220" s="52"/>
    </row>
    <row r="221" spans="1:5">
      <c r="A221" s="201"/>
      <c r="E221" s="52"/>
    </row>
    <row r="222" spans="1:5">
      <c r="A222" s="201"/>
      <c r="E222" s="52"/>
    </row>
    <row r="223" spans="1:5">
      <c r="A223" s="201"/>
      <c r="E223" s="52"/>
    </row>
    <row r="224" spans="1:5">
      <c r="A224" s="201"/>
      <c r="E224" s="52"/>
    </row>
    <row r="225" spans="1:5">
      <c r="A225" s="201"/>
      <c r="E225" s="52"/>
    </row>
    <row r="226" spans="1:5">
      <c r="A226" s="201"/>
      <c r="E226" s="52"/>
    </row>
    <row r="227" spans="1:5">
      <c r="A227" s="201"/>
      <c r="E227" s="52"/>
    </row>
    <row r="228" spans="1:5">
      <c r="A228" s="201"/>
      <c r="E228" s="52"/>
    </row>
    <row r="229" spans="1:5">
      <c r="A229" s="201"/>
      <c r="E229" s="52"/>
    </row>
    <row r="230" spans="1:5">
      <c r="A230" s="201"/>
      <c r="E230" s="52"/>
    </row>
    <row r="231" spans="1:5">
      <c r="A231" s="201"/>
      <c r="E231" s="52"/>
    </row>
    <row r="232" spans="1:5">
      <c r="A232" s="201"/>
      <c r="E232" s="52"/>
    </row>
    <row r="233" spans="1:5">
      <c r="A233" s="201"/>
      <c r="E233" s="52"/>
    </row>
    <row r="234" spans="1:5">
      <c r="A234" s="201"/>
      <c r="E234" s="52"/>
    </row>
    <row r="235" spans="1:5">
      <c r="A235" s="201"/>
      <c r="E235" s="52"/>
    </row>
    <row r="236" spans="1:5">
      <c r="A236" s="201"/>
      <c r="E236" s="52"/>
    </row>
    <row r="237" spans="1:5">
      <c r="A237" s="201"/>
      <c r="E237" s="52"/>
    </row>
    <row r="238" spans="1:5">
      <c r="A238" s="201"/>
      <c r="E238" s="52"/>
    </row>
    <row r="239" spans="1:5">
      <c r="A239" s="201"/>
      <c r="E239" s="52"/>
    </row>
    <row r="240" spans="1:5">
      <c r="A240" s="201"/>
      <c r="E240" s="52"/>
    </row>
    <row r="241" spans="1:5">
      <c r="A241" s="201"/>
      <c r="E241" s="52"/>
    </row>
    <row r="242" spans="1:5">
      <c r="A242" s="201"/>
      <c r="E242" s="52"/>
    </row>
    <row r="243" spans="1:5">
      <c r="A243" s="201"/>
      <c r="E243" s="52"/>
    </row>
    <row r="244" spans="1:5">
      <c r="A244" s="201"/>
      <c r="E244" s="52"/>
    </row>
    <row r="245" spans="1:5">
      <c r="A245" s="201"/>
      <c r="E245" s="52"/>
    </row>
    <row r="246" spans="1:5">
      <c r="A246" s="201"/>
      <c r="E246" s="52"/>
    </row>
    <row r="247" spans="1:5">
      <c r="A247" s="201"/>
      <c r="E247" s="52"/>
    </row>
    <row r="248" spans="1:5">
      <c r="A248" s="201"/>
      <c r="E248" s="52"/>
    </row>
    <row r="249" spans="1:5">
      <c r="A249" s="201"/>
      <c r="E249" s="52"/>
    </row>
    <row r="250" spans="1:5">
      <c r="A250" s="201"/>
      <c r="E250" s="52"/>
    </row>
    <row r="251" spans="1:5">
      <c r="A251" s="201"/>
      <c r="E251" s="52"/>
    </row>
    <row r="252" spans="1:5">
      <c r="A252" s="201"/>
      <c r="E252" s="52"/>
    </row>
    <row r="253" spans="1:5">
      <c r="A253" s="201"/>
      <c r="E253" s="52"/>
    </row>
    <row r="254" spans="1:5">
      <c r="A254" s="201"/>
      <c r="E254" s="52"/>
    </row>
    <row r="255" spans="1:5">
      <c r="A255" s="201"/>
      <c r="E255" s="52"/>
    </row>
    <row r="256" spans="1:5">
      <c r="A256" s="201"/>
      <c r="E256" s="52"/>
    </row>
  </sheetData>
  <mergeCells count="6">
    <mergeCell ref="A2:C2"/>
    <mergeCell ref="D3:D4"/>
    <mergeCell ref="E3:E4"/>
    <mergeCell ref="A57:C57"/>
    <mergeCell ref="D58:D59"/>
    <mergeCell ref="E58:E59"/>
  </mergeCells>
  <pageMargins left="0.7" right="0.7" top="0.75" bottom="0.75" header="0.3" footer="0.3"/>
  <pageSetup paperSize="8" scale="51" orientation="portrait" r:id="rId1"/>
</worksheet>
</file>

<file path=docMetadata/LabelInfo.xml><?xml version="1.0" encoding="utf-8"?>
<clbl:labelList xmlns:clbl="http://schemas.microsoft.com/office/2020/mipLabelMetadata">
  <clbl:label id="{f886ab1d-51ff-47ab-9e3e-b20b22f1c1b7}" enabled="1" method="Privileged" siteId="{2d65fea0-8478-44f2-ac0f-1a58b1382aa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Reval rates</vt:lpstr>
      <vt:lpstr>Summary</vt:lpstr>
      <vt:lpstr>DB</vt:lpstr>
      <vt:lpstr>GROUP</vt:lpstr>
      <vt:lpstr>GROUP CAR - Mar 2023</vt:lpstr>
      <vt:lpstr>Intercompany 2023</vt:lpstr>
      <vt:lpstr>BCDC PPA Adjustments</vt:lpstr>
      <vt:lpstr>Consolidation  JVs</vt:lpstr>
      <vt:lpstr>JV summary</vt:lpstr>
      <vt:lpstr>NOSTRO BALANCES</vt:lpstr>
      <vt:lpstr>SOCE</vt:lpstr>
      <vt:lpstr>R_parties workings</vt:lpstr>
      <vt:lpstr>EGH Plc</vt:lpstr>
      <vt:lpstr>EBKL</vt:lpstr>
      <vt:lpstr>NCI comp</vt:lpstr>
      <vt:lpstr>E_BCDC</vt:lpstr>
      <vt:lpstr>EBSSL</vt:lpstr>
      <vt:lpstr>EBTL</vt:lpstr>
      <vt:lpstr>EBRL</vt:lpstr>
      <vt:lpstr>FinAL&amp;Azenia</vt:lpstr>
      <vt:lpstr>EBUL</vt:lpstr>
      <vt:lpstr>EIAL</vt:lpstr>
      <vt:lpstr>EIBL</vt:lpstr>
      <vt:lpstr>Others</vt:lpstr>
      <vt:lpstr>EIGHL&amp;ELAK</vt:lpstr>
      <vt:lpstr>EBKL!Print_Area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Ruth.oniango</dc:creator>
  <cp:lastModifiedBy>Shem Kimondo Mwangi</cp:lastModifiedBy>
  <cp:lastPrinted>2023-02-16T17:10:22Z</cp:lastPrinted>
  <dcterms:created xsi:type="dcterms:W3CDTF">2015-12-15T09:14:26Z</dcterms:created>
  <dcterms:modified xsi:type="dcterms:W3CDTF">2023-05-12T12:29:35Z</dcterms:modified>
</cp:coreProperties>
</file>