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IMPORTRANGE" sheetId="5" r:id="rId7"/>
    <sheet state="visible" name="Lecture Two QUERY Introduction" sheetId="6" r:id="rId8"/>
    <sheet state="visible" name="Lecture Three Query Advanced wi" sheetId="7" r:id="rId9"/>
    <sheet state="visible" name="Activity Analyze An Expense Dat" sheetId="8" r:id="rId10"/>
  </sheets>
  <definedNames>
    <definedName name="country_data">'Lecture One IMPORTRANGE'!$A$4:$H$238</definedName>
  </definedNames>
  <calcPr/>
</workbook>
</file>

<file path=xl/sharedStrings.xml><?xml version="1.0" encoding="utf-8"?>
<sst xmlns="http://schemas.openxmlformats.org/spreadsheetml/2006/main" count="781" uniqueCount="538">
  <si>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</si>
  <si>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</si>
  <si>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</si>
  <si>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</si>
  <si>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</si>
  <si>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</si>
  <si>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b/>
      </rPr>
      <t>Lecture One:</t>
    </r>
    <r>
      <t xml:space="preserve"> IMPORTRANGE</t>
    </r>
  </si>
  <si>
    <t>Learn how to connect your spreadsheets from across the internet!</t>
  </si>
  <si>
    <r>
      <rPr>
        <b/>
      </rPr>
      <t xml:space="preserve">Lecture Two: </t>
    </r>
    <r>
      <t>QUERY Introduction</t>
    </r>
  </si>
  <si>
    <t>Prepare for a crash course in SQL and QUERY! It's the best kept Google Sheets secret!</t>
  </si>
  <si>
    <r>
      <rPr>
        <b/>
      </rPr>
      <t>Lecture Three:</t>
    </r>
    <r>
      <t xml:space="preserve"> Query Advanced with IMPORTRANGE</t>
    </r>
  </si>
  <si>
    <t>Hone your skills using the QUERY function. Combine it with IMPORTRANGE for the ultimate data analytics machine!</t>
  </si>
  <si>
    <r>
      <rPr>
        <b/>
      </rPr>
      <t>Activity:</t>
    </r>
    <r>
      <t xml:space="preserve"> Analyze a Dataset</t>
    </r>
  </si>
  <si>
    <t>The final activity for this section!</t>
  </si>
  <si>
    <t>Query Examples</t>
  </si>
  <si>
    <t>These are in order of how they must be entered in the formula!</t>
  </si>
  <si>
    <t>SELECT</t>
  </si>
  <si>
    <t>SUM/COUNT/MIN/MAX</t>
  </si>
  <si>
    <t>FROM</t>
  </si>
  <si>
    <t>WHERE</t>
  </si>
  <si>
    <t>ORDER BY</t>
  </si>
  <si>
    <t>GROUP BY</t>
  </si>
  <si>
    <t>LIMIT</t>
  </si>
  <si>
    <t>LABEL</t>
  </si>
  <si>
    <t>Copyright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</si>
  <si>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</si>
  <si>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</si>
  <si>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</si>
  <si>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</si>
  <si>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</si>
  <si>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</si>
  <si>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</si>
  <si>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</si>
  <si>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</si>
  <si>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</si>
  <si>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</si>
  <si>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</si>
  <si>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</si>
  <si>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</si>
  <si>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</si>
  <si>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</si>
  <si>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</si>
  <si>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</si>
  <si>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</si>
  <si>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</si>
  <si>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</si>
  <si>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</si>
  <si>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</si>
  <si>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</si>
  <si>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</si>
  <si>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</si>
  <si>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</si>
  <si>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</si>
  <si>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</si>
  <si>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</si>
  <si>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</si>
  <si>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</si>
  <si>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</si>
  <si>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</si>
  <si>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</si>
  <si>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</si>
  <si>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</si>
  <si>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</si>
  <si>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</si>
  <si>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</si>
  <si>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</si>
  <si>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</si>
  <si>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</si>
  <si>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</si>
  <si>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</si>
  <si>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</si>
  <si>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</si>
  <si>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</si>
  <si>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</si>
  <si>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</si>
  <si>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</si>
  <si>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</si>
  <si>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</si>
  <si>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</si>
  <si>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</si>
  <si>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</si>
  <si>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</si>
  <si>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</si>
  <si>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</si>
  <si>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</si>
  <si>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</si>
  <si>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</si>
  <si>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</si>
  <si>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</si>
  <si>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</si>
  <si>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</si>
  <si>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</si>
  <si>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</si>
  <si>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</si>
  <si>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</si>
  <si>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</si>
  <si>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</si>
  <si>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</si>
  <si>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</si>
  <si>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</si>
  <si>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</si>
  <si>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</si>
  <si>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</si>
  <si>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</si>
  <si>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</si>
  <si>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</si>
  <si>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</si>
  <si>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</si>
  <si>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</si>
  <si>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</si>
  <si>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</si>
  <si>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</si>
  <si>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</si>
  <si>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</si>
  <si>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</si>
  <si>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</si>
  <si>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</si>
  <si>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</si>
  <si>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</si>
  <si>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</si>
  <si>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</si>
  <si>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</si>
  <si>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</si>
  <si>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</si>
  <si>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</si>
  <si>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</si>
  <si>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</si>
  <si>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</si>
  <si>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</si>
  <si>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</si>
  <si>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</si>
  <si>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</si>
  <si>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</si>
  <si>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</si>
  <si>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</si>
  <si>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</si>
  <si>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</si>
  <si>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</si>
  <si>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</si>
  <si>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</si>
  <si>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</si>
  <si>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</si>
  <si>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</si>
  <si>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</si>
  <si>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Delete rows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</si>
  <si>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</si>
  <si>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</si>
  <si>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</si>
  <si>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</si>
  <si>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</si>
  <si>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</si>
  <si>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</si>
  <si>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</si>
  <si>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</si>
  <si>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</si>
  <si>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</si>
  <si>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</si>
  <si>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</si>
  <si>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</si>
  <si>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</si>
  <si>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</si>
  <si>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</si>
  <si>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</si>
  <si>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</si>
  <si>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</si>
  <si>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</si>
  <si>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</si>
  <si>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</si>
  <si>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</si>
  <si>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</si>
  <si>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</si>
  <si>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</si>
  <si>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</si>
  <si>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</si>
  <si>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</si>
  <si>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</si>
  <si>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</si>
  <si>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</si>
  <si>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</si>
  <si>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</si>
  <si>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</si>
  <si>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</si>
  <si>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</si>
  <si>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</si>
  <si>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</si>
  <si>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</si>
  <si>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</si>
  <si>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</si>
  <si>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</si>
  <si>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</si>
  <si>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</si>
  <si>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</si>
  <si>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</si>
  <si>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</si>
  <si>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</si>
  <si>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</si>
  <si>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</si>
  <si>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</si>
  <si>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</si>
  <si>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</si>
  <si>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</si>
  <si>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</si>
  <si>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</si>
  <si>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</si>
  <si>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</si>
  <si>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</si>
  <si>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</si>
  <si>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</si>
  <si>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</si>
  <si>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</si>
  <si>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</si>
  <si>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</si>
  <si>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</si>
  <si>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</si>
  <si>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</si>
  <si>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</si>
  <si>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</si>
  <si>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</si>
  <si>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</si>
  <si>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</si>
  <si>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</si>
  <si>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</si>
  <si>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</si>
  <si>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</si>
  <si>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</si>
  <si>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</si>
  <si>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</si>
  <si>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</si>
  <si>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</si>
  <si>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</si>
  <si>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</si>
  <si>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</si>
  <si>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</si>
  <si>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</si>
  <si>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</si>
  <si>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</si>
  <si>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</si>
  <si>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</si>
  <si>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</si>
  <si>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</si>
  <si>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</si>
  <si>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</si>
  <si>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</si>
  <si>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</si>
  <si>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</si>
  <si>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</si>
  <si>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</si>
  <si>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</si>
  <si>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</si>
  <si>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</si>
  <si>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</si>
  <si>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</si>
  <si>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</si>
  <si>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</si>
  <si>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</si>
  <si>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</si>
  <si>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</si>
  <si>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</si>
  <si>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</si>
  <si>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</si>
  <si>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</si>
  <si>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</si>
  <si>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</si>
  <si>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</si>
  <si>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</si>
  <si>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</si>
  <si>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</si>
  <si>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</si>
  <si>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</si>
  <si>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</si>
  <si>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</si>
  <si>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</si>
  <si>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</si>
  <si>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</si>
  <si>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</si>
  <si>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</si>
  <si>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</si>
  <si>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</si>
  <si>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</si>
  <si>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</si>
  <si>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</si>
  <si>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</si>
  <si>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</si>
  <si>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</si>
  <si>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</si>
  <si>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</si>
  <si>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</si>
  <si>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</si>
  <si>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</si>
  <si>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</si>
  <si>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</si>
  <si>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</si>
  <si>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</si>
  <si>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</si>
  <si>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</si>
  <si>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</si>
  <si>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</si>
  <si>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</si>
  <si>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</si>
  <si>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</si>
  <si>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</si>
  <si>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</si>
  <si>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</si>
  <si>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</si>
  <si>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</si>
  <si>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</si>
  <si>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</si>
  <si>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</si>
  <si>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</si>
  <si>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</si>
  <si>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</si>
  <si>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</si>
  <si>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</si>
  <si>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</si>
  <si>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</si>
  <si>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</si>
  <si>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</si>
  <si>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</si>
  <si>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</si>
  <si>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</si>
  <si>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</si>
  <si>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</si>
  <si>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</si>
  <si>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</si>
  <si>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</si>
  <si>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</si>
  <si>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</si>
  <si>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</si>
  <si>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</si>
  <si>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</si>
  <si>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</si>
  <si>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</si>
  <si>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</si>
  <si>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</si>
  <si>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</si>
  <si>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</si>
  <si>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</si>
  <si>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</si>
  <si>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</si>
  <si>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</si>
  <si>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</si>
  <si>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</si>
  <si>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</si>
  <si>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</si>
  <si>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</si>
  <si>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</si>
  <si>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</si>
  <si>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</si>
  <si>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</si>
  <si>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</si>
  <si>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</si>
  <si>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</si>
  <si>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</si>
  <si>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</si>
  <si>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</si>
  <si>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</si>
  <si>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</si>
  <si>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</si>
  <si>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</si>
  <si>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</si>
  <si>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</si>
  <si>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</si>
  <si>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</si>
  <si>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</si>
  <si>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</si>
  <si>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</si>
  <si>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</si>
  <si>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</si>
  <si>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</si>
  <si>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</si>
  <si>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</si>
  <si>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</si>
  <si>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</si>
  <si>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</si>
  <si>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</si>
  <si>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</si>
  <si>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</si>
  <si>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</si>
  <si>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</si>
  <si>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</si>
  <si>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</si>
  <si>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</si>
  <si>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</si>
  <si>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</si>
  <si>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</si>
  <si>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</si>
  <si>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</si>
  <si>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</si>
  <si>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</si>
  <si>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</si>
  <si>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</si>
  <si>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</si>
  <si>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</si>
  <si>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</si>
  <si>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</si>
  <si>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</si>
  <si>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</si>
  <si>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</si>
  <si>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</si>
  <si>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</si>
  <si>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</si>
  <si>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</si>
  <si>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</si>
  <si>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</si>
  <si>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</si>
  <si>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</si>
  <si>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</si>
  <si>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</si>
  <si>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</si>
  <si>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</si>
  <si>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</si>
  <si>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</si>
  <si>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</si>
  <si>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</si>
  <si>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</si>
  <si>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</si>
  <si>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</si>
  <si>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</si>
  <si>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</si>
  <si>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</si>
  <si>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</si>
  <si>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</si>
  <si>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</si>
  <si>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</si>
  <si>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</si>
  <si>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</si>
  <si>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</si>
  <si>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</si>
  <si>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</si>
  <si>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</si>
  <si>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</si>
  <si>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</si>
  <si>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</si>
  <si>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</si>
  <si>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</si>
  <si>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</si>
  <si>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</si>
  <si>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</si>
  <si>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</si>
  <si>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</si>
  <si>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</si>
  <si>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</si>
  <si>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</si>
  <si>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</si>
  <si>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</si>
  <si>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</si>
  <si>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</si>
  <si>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</si>
  <si>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</si>
  <si>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</si>
  <si>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</si>
  <si>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</si>
  <si>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</si>
  <si>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</si>
  <si>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</si>
  <si>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</si>
  <si>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</si>
  <si>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</si>
  <si>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</si>
  <si>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</si>
  <si>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</si>
  <si>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</si>
  <si>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</si>
  <si>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</si>
  <si>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</si>
  <si>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</si>
  <si>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</si>
  <si>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</si>
  <si>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</si>
  <si>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</si>
  <si>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</si>
  <si>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Example of IMPORTRANGE</t>
  </si>
  <si>
    <t>Link Info</t>
  </si>
  <si>
    <t>https://docs.google.com/spreadsheets/d/14xg1a8bxZHt1l45B9IqqMlNbBrUbm2Y__xgmMWHLvhc/edit#gid=24644409</t>
  </si>
  <si>
    <t>Sheet Names</t>
  </si>
  <si>
    <t>Country Data</t>
  </si>
  <si>
    <t>COLUMNS</t>
  </si>
  <si>
    <t>A-M</t>
  </si>
  <si>
    <t>Example of Query</t>
  </si>
  <si>
    <t>Example II</t>
  </si>
  <si>
    <t>Hit the checkbox for some inspiration! :)</t>
  </si>
  <si>
    <t>Let's try QUERY to pull the data from the Lecture One: IMPORTRANGE tab to the space below</t>
  </si>
  <si>
    <t>Now that we have the data, let's try transforming it!</t>
  </si>
  <si>
    <t>Ideas</t>
  </si>
  <si>
    <t>Try reversing the rankings using ORDER BY</t>
  </si>
  <si>
    <t>Try getting rid of countries that have blank values for the Foods column</t>
  </si>
  <si>
    <t>Try alphabetizing the country list</t>
  </si>
  <si>
    <t>Try reverse alphabetizing the country list</t>
  </si>
  <si>
    <t>Try only getting countries with populations &gt;750,000</t>
  </si>
  <si>
    <t>Try only getting countries with populations &lt;750,000</t>
  </si>
  <si>
    <t>Try only getting the top 10 countries by population</t>
  </si>
  <si>
    <t>Try pulling countries with population growth &gt;1%</t>
  </si>
  <si>
    <t>Try pulling countries with population growth &lt;0%</t>
  </si>
  <si>
    <t>Try pulling only the country and food columns</t>
  </si>
  <si>
    <t>Try pulling only the country and food columns where population is &gt;750,000</t>
  </si>
  <si>
    <t>Try ordering by population growth</t>
  </si>
  <si>
    <t>Try figuring out which countries don't have foods</t>
  </si>
  <si>
    <t>Try and sum up the number of people in the world!</t>
  </si>
  <si>
    <t>Try to find the average population growth</t>
  </si>
  <si>
    <r>
      <t xml:space="preserve">Example using QUERY with IMPORTRANGE: Your ticket to </t>
    </r>
    <r>
      <rPr/>
      <t xml:space="preserve">instant </t>
    </r>
    <r>
      <t>analysis</t>
    </r>
  </si>
  <si>
    <t>Let's get some Movie Data: Let's pull all movies that were made before 1950 and &gt;75 Reviews</t>
  </si>
  <si>
    <t>Movie Data</t>
  </si>
  <si>
    <t>Range</t>
  </si>
  <si>
    <t>A:E</t>
  </si>
  <si>
    <t>Format for Tab Reference</t>
  </si>
  <si>
    <t>"Tab Name!A:E"</t>
  </si>
  <si>
    <t>Final Lecture Activity: Let's take it up a notch!</t>
  </si>
  <si>
    <t>Instructions &amp; Questions</t>
  </si>
  <si>
    <t>Information for Exercise</t>
  </si>
  <si>
    <t>1.</t>
  </si>
  <si>
    <t>Pull in the data using the info in columns I &amp; J with IMPORTRANGE &amp; QUERY</t>
  </si>
  <si>
    <t>Link to Dataset</t>
  </si>
  <si>
    <t>https://docs.google.com/spreadsheets/d/14xg1a8bxZHt1l45B9IqqMlNbBrUbm2Y__xgmMWHLvhc/edit#gid=1641919753</t>
  </si>
  <si>
    <t>2.</t>
  </si>
  <si>
    <t>Create a pivot of expenses by year.</t>
  </si>
  <si>
    <t>Tab of Interest</t>
  </si>
  <si>
    <t>Expenses</t>
  </si>
  <si>
    <t>3.</t>
  </si>
  <si>
    <t>Please answer the following questions :)
 a. How many total expenses are there ALL-TIME?
 b. What are the # expense totals by year? Create a chart to display this info.
 c. Which 3 months have the highest expenses? Create a chart to display this info.
 d. Which category was the most expensive? The cheapest?</t>
  </si>
  <si>
    <t>Range of Interest</t>
  </si>
  <si>
    <t>A:F</t>
  </si>
  <si>
    <t>4.</t>
  </si>
  <si>
    <t>Strenghten your formula by including in a dynamic Data Validation to filter based on category (use cell B8)</t>
  </si>
  <si>
    <t>4. &gt;&gt;&gt;</t>
  </si>
  <si>
    <t>Category of Interest</t>
  </si>
  <si>
    <t>Parent Category of Interest</t>
  </si>
  <si>
    <t>3D</t>
  </si>
  <si>
    <t>Most</t>
  </si>
  <si>
    <t>Veterinarian</t>
  </si>
  <si>
    <t>Least</t>
  </si>
  <si>
    <t>Wedding / Wedding shower</t>
  </si>
  <si>
    <t>2</t>
  </si>
  <si>
    <t>3A</t>
  </si>
  <si>
    <t>3B</t>
  </si>
  <si>
    <t>3C</t>
  </si>
  <si>
    <t>CATEGORY</t>
  </si>
  <si>
    <t>PARENT</t>
  </si>
  <si>
    <t>sum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</si>
</sst>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##0"/>
    <numFmt numFmtId="166" formatCode="&quot;$&quot;#,##0.00"/>
  </numFmts>
  <fonts count="23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name val="Nunito"/>
    </font>
    <font>
      <b/>
      <sz val="8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u/>
      <color rgb="FF0000FF"/>
      <name val="Source Sans Pro"/>
    </font>
    <font>
      <b/>
      <color rgb="FF000000"/>
      <name val="Source Sans Pro"/>
    </font>
    <font>
      <color rgb="FF000000"/>
      <name val="Source Sans Pro"/>
    </font>
    <font/>
    <font>
      <u/>
      <color rgb="FF1155CC"/>
      <name val="Source Sans Pro"/>
    </font>
    <font>
      <u/>
      <color rgb="FF1155CC"/>
      <name val="Source Sans Pr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</fills>
  <borders count="10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</border>
    <border>
      <right/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0" fillId="0" fontId="7" numFmtId="0" xfId="0" applyFont="1"/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7" numFmtId="0" xfId="0" applyAlignment="1" applyFont="1">
      <alignment shrinkToFit="0" wrapText="0"/>
    </xf>
    <xf borderId="1" fillId="2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0"/>
    </xf>
    <xf borderId="0" fillId="0" fontId="19" numFmtId="0" xfId="0" applyAlignment="1" applyFont="1">
      <alignment readingOrder="0"/>
    </xf>
    <xf borderId="0" fillId="0" fontId="7" numFmtId="3" xfId="0" applyFont="1" applyNumberFormat="1"/>
    <xf borderId="0" fillId="0" fontId="7" numFmtId="10" xfId="0" applyFont="1" applyNumberForma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0"/>
    </xf>
    <xf borderId="6" fillId="0" fontId="7" numFmtId="0" xfId="0" applyAlignment="1" applyBorder="1" applyFont="1">
      <alignment readingOrder="0"/>
    </xf>
    <xf borderId="7" fillId="2" fontId="7" numFmtId="0" xfId="0" applyAlignment="1" applyBorder="1" applyFont="1">
      <alignment shrinkToFit="0" vertical="center" wrapText="1"/>
    </xf>
    <xf borderId="0" fillId="0" fontId="20" numFmtId="0" xfId="0" applyFont="1"/>
    <xf borderId="0" fillId="0" fontId="18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right"/>
    </xf>
    <xf borderId="1" fillId="0" fontId="6" numFmtId="0" xfId="0" applyAlignment="1" applyBorder="1" applyFont="1">
      <alignment horizontal="right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6" numFmtId="0" xfId="0" applyAlignment="1" applyFont="1">
      <alignment vertical="bottom"/>
    </xf>
    <xf borderId="8" fillId="0" fontId="21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9" xfId="0" applyAlignment="1" applyFont="1" applyNumberFormat="1">
      <alignment horizontal="left"/>
    </xf>
    <xf borderId="0" fillId="0" fontId="7" numFmtId="165" xfId="0" applyAlignment="1" applyFont="1" applyNumberFormat="1">
      <alignment horizontal="left"/>
    </xf>
    <xf borderId="8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vertical="bottom"/>
    </xf>
    <xf borderId="0" fillId="0" fontId="7" numFmtId="166" xfId="0" applyAlignment="1" applyFont="1" applyNumberFormat="1">
      <alignment vertical="bottom"/>
    </xf>
    <xf borderId="9" fillId="0" fontId="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quotePrefix="1" borderId="0" fillId="0" fontId="6" numFmtId="0" xfId="0" applyAlignment="1" applyFont="1">
      <alignment horizontal="right" vertical="bottom"/>
    </xf>
    <xf borderId="8" fillId="3" fontId="18" numFmtId="0" xfId="0" applyAlignment="1" applyBorder="1" applyFont="1">
      <alignment shrinkToFit="0" vertical="bottom" wrapText="0"/>
    </xf>
    <xf borderId="8" fillId="0" fontId="22" numFmtId="0" xfId="0" applyAlignment="1" applyBorder="1" applyFont="1">
      <alignment shrinkToFit="0" vertical="bottom" wrapText="0"/>
    </xf>
    <xf quotePrefix="1" borderId="0" fillId="0" fontId="6" numFmtId="0" xfId="0" applyAlignment="1" applyFont="1">
      <alignment horizontal="right"/>
    </xf>
    <xf borderId="8" fillId="0" fontId="6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/>
    </xf>
    <xf quotePrefix="1" borderId="0" fillId="0" fontId="6" numFmtId="0" xfId="0" applyAlignment="1" applyFont="1">
      <alignment horizontal="right"/>
    </xf>
    <xf borderId="8" fillId="0" fontId="7" numFmtId="0" xfId="0" applyAlignment="1" applyBorder="1" applyFont="1">
      <alignment readingOrder="0" shrinkToFit="0" vertical="bottom" wrapText="0"/>
    </xf>
    <xf borderId="0" fillId="2" fontId="7" numFmtId="0" xfId="0" applyAlignment="1" applyFont="1">
      <alignment readingOrder="0" vertical="bottom"/>
    </xf>
    <xf borderId="0" fillId="0" fontId="7" numFmtId="166" xfId="0" applyAlignment="1" applyFont="1" applyNumberFormat="1">
      <alignment horizontal="right" vertical="bottom"/>
    </xf>
    <xf quotePrefix="1" borderId="0" fillId="0" fontId="7" numFmtId="0" xfId="0" applyAlignment="1" applyFont="1">
      <alignment vertical="bottom"/>
    </xf>
    <xf borderId="5" fillId="2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2" fontId="18" numFmtId="0" xfId="0" applyAlignment="1" applyFont="1">
      <alignment horizontal="center" vertical="bottom"/>
    </xf>
    <xf borderId="0" fillId="0" fontId="6" numFmtId="166" xfId="0" applyAlignment="1" applyFont="1" applyNumberFormat="1">
      <alignment horizontal="center"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vertical="bottom"/>
    </xf>
    <xf borderId="0" fillId="0" fontId="7" numFmtId="166" xfId="0" applyAlignment="1" applyFont="1" applyNumberFormat="1">
      <alignment horizontal="right" vertical="bottom"/>
    </xf>
    <xf borderId="0" fillId="0" fontId="7" numFmtId="0" xfId="0" applyAlignment="1" applyFont="1">
      <alignment horizontal="center" vertical="bottom"/>
    </xf>
    <xf borderId="0" fillId="0" fontId="7" numFmtId="166" xfId="0" applyAlignment="1" applyFont="1" applyNumberFormat="1">
      <alignment horizontal="center" vertical="bottom"/>
    </xf>
    <xf borderId="0" fillId="0" fontId="7" numFmtId="164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center"/>
    </xf>
    <xf borderId="0" fillId="0" fontId="7" numFmtId="166" xfId="0" applyAlignment="1" applyFont="1" applyNumberFormat="1">
      <alignment horizontal="center"/>
    </xf>
    <xf borderId="0" fillId="0" fontId="7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Expanses vs. Year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'Activity Analyze An Expense Dat'!$P$12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'Activity Analyze An Expense Dat'!$O$13:$O$15</c:f>
            </c:strRef>
          </c:cat>
          <c:val>
            <c:numRef>
              <c:f>'Activity Analyze An Expense Dat'!$P$13:$P$15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3C/sum Cost vs. 3C/Date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'Activity Analyze An Expense Dat'!$V$12</c:f>
            </c:strRef>
          </c:tx>
          <c:spPr>
            <a:solidFill>
              <a:srgbClr val="4285F4"/>
            </a:solidFill>
          </c:spPr>
          <c:cat>
            <c:strRef>
              <c:f>'Activity Analyze An Expense Dat'!$U$13:$U$15</c:f>
            </c:strRef>
          </c:cat>
          <c:val>
            <c:numRef>
              <c:f>'Activity Analyze An Expense Dat'!$V$13:$V$15</c:f>
              <c:numCache/>
            </c:numRef>
          </c:val>
        </c:ser>
        <c:axId val="496651446"/>
        <c:axId val="807304573"/>
      </c:barChart>
      <c:catAx>
        <c:axId val="496651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3C/Date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7304573"/>
      </c:catAx>
      <c:valAx>
        <c:axId val="8073045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3C/sum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6651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15</xdr:row>
      <xdr:rowOff>133350</xdr:rowOff>
    </xdr:from>
    <xdr:ext cx="1914525" cy="2009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47625</xdr:colOff>
      <xdr:row>15</xdr:row>
      <xdr:rowOff>47625</xdr:rowOff>
    </xdr:from>
    <xdr:ext cx="4743450" cy="2095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xg1a8bxZHt1l45B9IqqMlNbBrUbm2Y__xgmMWHLvhc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xg1a8bxZHt1l45B9IqqMlNbBrUbm2Y__xgmMWHLvhc/edi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xg1a8bxZHt1l45B9IqqMlNbBrUbm2Y__xgmMWHLvhc/edit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  <col customWidth="1" min="5" max="5" width="4.14"/>
    <col customWidth="1" min="6" max="6" width="59.14"/>
  </cols>
  <sheetData>
    <row r="1">
      <c r="A1" s="1"/>
      <c r="B1" s="2" t="s">
        <v>0</v>
      </c>
      <c r="C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10" t="s">
        <v>10</v>
      </c>
      <c r="C6" s="7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10" t="s">
        <v>12</v>
      </c>
      <c r="C7" s="7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5" t="s">
        <v>14</v>
      </c>
      <c r="C9" s="11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12" t="s">
        <v>16</v>
      </c>
      <c r="C10" s="13">
        <v>1.0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2" t="s">
        <v>17</v>
      </c>
      <c r="C11" s="13">
        <v>2.0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2" t="s">
        <v>18</v>
      </c>
      <c r="C12" s="13">
        <v>3.0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12" t="s">
        <v>19</v>
      </c>
      <c r="C13" s="13">
        <v>4.0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12" t="s">
        <v>20</v>
      </c>
      <c r="C14" s="13">
        <v>5.0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/>
      <c r="B15" s="12" t="s">
        <v>21</v>
      </c>
      <c r="C15" s="13">
        <v>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/>
      <c r="B16" s="12" t="s">
        <v>22</v>
      </c>
      <c r="C16" s="13">
        <v>7.0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9"/>
      <c r="B17" s="12" t="s">
        <v>23</v>
      </c>
      <c r="C17" s="13">
        <v>8.0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9"/>
      <c r="B18" s="9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9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5" t="s">
        <v>24</v>
      </c>
      <c r="B20" s="9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6" t="str">
        <f>IFERROR(__xludf.DUMMYFUNCTION("QUERY($W:$Y,""SELECT * WHERE W &lt;= ""&amp;E2&amp;"""",-1)"),"Index")</f>
        <v>Index</v>
      </c>
      <c r="B1" s="17" t="str">
        <f>IFERROR(__xludf.DUMMYFUNCTION("""COMPUTED_VALUE"""),"Function")</f>
        <v>Function</v>
      </c>
      <c r="C1" s="18" t="str">
        <f>IFERROR(__xludf.DUMMYFUNCTION("""COMPUTED_VALUE"""),"Description")</f>
        <v>Description</v>
      </c>
      <c r="E1" s="19" t="s">
        <v>25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6" t="s">
        <v>26</v>
      </c>
      <c r="X1" s="17" t="s">
        <v>27</v>
      </c>
      <c r="Y1" s="18" t="s">
        <v>1</v>
      </c>
      <c r="Z1" s="20"/>
    </row>
    <row r="2">
      <c r="A2" s="21"/>
      <c r="B2" s="22"/>
      <c r="C2" s="23"/>
      <c r="E2" s="24">
        <v>0.0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5" t="s">
        <v>28</v>
      </c>
      <c r="W2" s="21">
        <v>1.0</v>
      </c>
      <c r="X2" s="22" t="s">
        <v>29</v>
      </c>
      <c r="Y2" s="23" t="s">
        <v>30</v>
      </c>
      <c r="Z2" s="20"/>
    </row>
    <row r="3">
      <c r="A3" s="21"/>
      <c r="B3" s="22"/>
      <c r="C3" s="23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5" t="s">
        <v>28</v>
      </c>
      <c r="W3" s="21">
        <v>2.0</v>
      </c>
      <c r="X3" s="22" t="s">
        <v>31</v>
      </c>
      <c r="Y3" s="23" t="s">
        <v>32</v>
      </c>
      <c r="Z3" s="20"/>
    </row>
    <row r="4">
      <c r="A4" s="21"/>
      <c r="B4" s="22"/>
      <c r="C4" s="23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5" t="s">
        <v>28</v>
      </c>
      <c r="W4" s="21">
        <v>3.0</v>
      </c>
      <c r="X4" s="22" t="s">
        <v>33</v>
      </c>
      <c r="Y4" s="23" t="s">
        <v>34</v>
      </c>
      <c r="Z4" s="20"/>
    </row>
    <row r="5">
      <c r="A5" s="21"/>
      <c r="B5" s="22"/>
      <c r="C5" s="2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5" t="s">
        <v>28</v>
      </c>
      <c r="W5" s="21">
        <v>4.0</v>
      </c>
      <c r="X5" s="22" t="s">
        <v>35</v>
      </c>
      <c r="Y5" s="23" t="s">
        <v>36</v>
      </c>
      <c r="Z5" s="20"/>
    </row>
    <row r="6">
      <c r="A6" s="21"/>
      <c r="B6" s="22"/>
      <c r="C6" s="23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5" t="s">
        <v>28</v>
      </c>
      <c r="W6" s="21">
        <v>5.0</v>
      </c>
      <c r="X6" s="26" t="s">
        <v>37</v>
      </c>
      <c r="Y6" s="27" t="s">
        <v>38</v>
      </c>
      <c r="Z6" s="20"/>
    </row>
    <row r="7">
      <c r="A7" s="21"/>
      <c r="B7" s="22"/>
      <c r="C7" s="23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5" t="s">
        <v>28</v>
      </c>
      <c r="W7" s="21">
        <v>6.0</v>
      </c>
      <c r="X7" s="28" t="s">
        <v>39</v>
      </c>
      <c r="Y7" s="29" t="s">
        <v>40</v>
      </c>
      <c r="Z7" s="20"/>
    </row>
    <row r="8">
      <c r="A8" s="21"/>
      <c r="B8" s="22"/>
      <c r="C8" s="23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5" t="s">
        <v>28</v>
      </c>
      <c r="W8" s="21">
        <v>7.0</v>
      </c>
      <c r="X8" s="26" t="s">
        <v>41</v>
      </c>
      <c r="Y8" s="29" t="s">
        <v>42</v>
      </c>
      <c r="Z8" s="20"/>
    </row>
    <row r="9">
      <c r="A9" s="21"/>
      <c r="B9" s="22"/>
      <c r="C9" s="23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5" t="s">
        <v>28</v>
      </c>
      <c r="W9" s="21">
        <v>8.0</v>
      </c>
      <c r="X9" s="26" t="s">
        <v>43</v>
      </c>
      <c r="Y9" s="30" t="s">
        <v>44</v>
      </c>
      <c r="Z9" s="20"/>
    </row>
    <row r="10">
      <c r="A10" s="31"/>
      <c r="B10" s="28"/>
      <c r="C10" s="2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5" t="s">
        <v>28</v>
      </c>
      <c r="W10" s="31">
        <v>9.0</v>
      </c>
      <c r="X10" s="26" t="s">
        <v>45</v>
      </c>
      <c r="Y10" s="23" t="s">
        <v>46</v>
      </c>
      <c r="Z10" s="20"/>
    </row>
    <row r="11">
      <c r="A11" s="25"/>
      <c r="B11" s="26"/>
      <c r="C11" s="3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5" t="s">
        <v>28</v>
      </c>
      <c r="W11" s="25">
        <v>10.0</v>
      </c>
      <c r="X11" s="26" t="s">
        <v>47</v>
      </c>
      <c r="Y11" s="23" t="s">
        <v>48</v>
      </c>
      <c r="Z11" s="20"/>
    </row>
    <row r="12">
      <c r="A12" s="25"/>
      <c r="B12" s="26"/>
      <c r="C12" s="2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5" t="s">
        <v>28</v>
      </c>
      <c r="W12" s="25">
        <v>11.0</v>
      </c>
      <c r="X12" s="22" t="s">
        <v>49</v>
      </c>
      <c r="Y12" s="23" t="s">
        <v>50</v>
      </c>
      <c r="Z12" s="20"/>
    </row>
    <row r="13">
      <c r="A13" s="25"/>
      <c r="B13" s="26"/>
      <c r="C13" s="3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5" t="s">
        <v>28</v>
      </c>
      <c r="W13" s="25">
        <v>12.0</v>
      </c>
      <c r="X13" s="22" t="s">
        <v>51</v>
      </c>
      <c r="Y13" s="23" t="s">
        <v>52</v>
      </c>
      <c r="Z13" s="20"/>
    </row>
    <row r="14">
      <c r="A14" s="25"/>
      <c r="B14" s="26"/>
      <c r="C14" s="3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5" t="s">
        <v>28</v>
      </c>
      <c r="W14" s="25">
        <v>13.0</v>
      </c>
      <c r="X14" s="22" t="s">
        <v>53</v>
      </c>
      <c r="Y14" s="30" t="s">
        <v>54</v>
      </c>
      <c r="Z14" s="20"/>
    </row>
    <row r="15">
      <c r="A15" s="25"/>
      <c r="B15" s="26"/>
      <c r="C15" s="3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5" t="s">
        <v>28</v>
      </c>
      <c r="W15" s="25">
        <v>14.0</v>
      </c>
      <c r="X15" s="22" t="s">
        <v>55</v>
      </c>
      <c r="Y15" s="30" t="s">
        <v>56</v>
      </c>
      <c r="Z15" s="20"/>
    </row>
    <row r="16">
      <c r="A16" s="25"/>
      <c r="B16" s="26"/>
      <c r="C16" s="3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5" t="s">
        <v>28</v>
      </c>
      <c r="W16" s="25">
        <v>15.0</v>
      </c>
      <c r="X16" s="26" t="s">
        <v>57</v>
      </c>
      <c r="Y16" s="30" t="s">
        <v>58</v>
      </c>
      <c r="Z16" s="20"/>
    </row>
    <row r="17">
      <c r="A17" s="25"/>
      <c r="B17" s="26"/>
      <c r="C17" s="3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5" t="s">
        <v>28</v>
      </c>
      <c r="W17" s="25">
        <v>16.0</v>
      </c>
      <c r="X17" s="26" t="s">
        <v>59</v>
      </c>
      <c r="Y17" s="30" t="s">
        <v>60</v>
      </c>
      <c r="Z17" s="20"/>
    </row>
    <row r="18">
      <c r="A18" s="25"/>
      <c r="B18" s="26"/>
      <c r="C18" s="2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5" t="s">
        <v>28</v>
      </c>
      <c r="W18" s="25">
        <v>17.0</v>
      </c>
      <c r="X18" s="26" t="s">
        <v>61</v>
      </c>
      <c r="Y18" s="30" t="s">
        <v>62</v>
      </c>
      <c r="Z18" s="20"/>
    </row>
    <row r="19">
      <c r="A19" s="25"/>
      <c r="B19" s="26"/>
      <c r="C19" s="2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5" t="s">
        <v>28</v>
      </c>
      <c r="W19" s="25">
        <v>18.0</v>
      </c>
      <c r="X19" s="26" t="s">
        <v>63</v>
      </c>
      <c r="Y19" s="30" t="s">
        <v>64</v>
      </c>
      <c r="Z19" s="20"/>
    </row>
    <row r="20">
      <c r="A20" s="25"/>
      <c r="B20" s="26"/>
      <c r="C20" s="3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5" t="s">
        <v>28</v>
      </c>
      <c r="W20" s="25">
        <v>19.0</v>
      </c>
      <c r="X20" s="26" t="s">
        <v>65</v>
      </c>
      <c r="Y20" s="29" t="s">
        <v>66</v>
      </c>
      <c r="Z20" s="20"/>
    </row>
    <row r="21">
      <c r="A21" s="25"/>
      <c r="B21" s="26"/>
      <c r="C21" s="3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5" t="s">
        <v>28</v>
      </c>
      <c r="W21" s="25">
        <v>20.0</v>
      </c>
      <c r="X21" s="26" t="s">
        <v>67</v>
      </c>
      <c r="Y21" s="29" t="s">
        <v>68</v>
      </c>
      <c r="Z21" s="20"/>
    </row>
    <row r="22">
      <c r="A22" s="25"/>
      <c r="B22" s="26"/>
      <c r="C22" s="3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5" t="s">
        <v>28</v>
      </c>
      <c r="W22" s="25">
        <v>21.0</v>
      </c>
      <c r="X22" s="26" t="s">
        <v>69</v>
      </c>
      <c r="Y22" s="30" t="s">
        <v>70</v>
      </c>
      <c r="Z22" s="20"/>
    </row>
    <row r="23">
      <c r="A23" s="25"/>
      <c r="B23" s="26"/>
      <c r="C23" s="3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5" t="s">
        <v>28</v>
      </c>
      <c r="W23" s="25">
        <v>22.0</v>
      </c>
      <c r="X23" s="26" t="s">
        <v>71</v>
      </c>
      <c r="Y23" s="30" t="s">
        <v>72</v>
      </c>
      <c r="Z23" s="20"/>
    </row>
    <row r="24">
      <c r="A24" s="25"/>
      <c r="B24" s="26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5" t="s">
        <v>28</v>
      </c>
      <c r="W24" s="25">
        <v>23.0</v>
      </c>
      <c r="X24" s="26" t="s">
        <v>73</v>
      </c>
      <c r="Y24" s="30" t="s">
        <v>74</v>
      </c>
      <c r="Z24" s="20"/>
    </row>
    <row r="25">
      <c r="A25" s="25"/>
      <c r="B25" s="26"/>
      <c r="C25" s="2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5" t="s">
        <v>28</v>
      </c>
      <c r="W25" s="25">
        <v>24.0</v>
      </c>
      <c r="X25" s="26" t="s">
        <v>75</v>
      </c>
      <c r="Y25" s="30" t="s">
        <v>76</v>
      </c>
      <c r="Z25" s="20"/>
    </row>
    <row r="26">
      <c r="A26" s="25"/>
      <c r="B26" s="26"/>
      <c r="C26" s="3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5" t="s">
        <v>28</v>
      </c>
      <c r="W26" s="25">
        <v>25.0</v>
      </c>
      <c r="X26" s="26" t="s">
        <v>77</v>
      </c>
      <c r="Y26" s="29" t="s">
        <v>78</v>
      </c>
      <c r="Z26" s="20"/>
    </row>
    <row r="27">
      <c r="A27" s="25"/>
      <c r="B27" s="26"/>
      <c r="C27" s="3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5" t="s">
        <v>28</v>
      </c>
      <c r="W27" s="25">
        <v>26.0</v>
      </c>
      <c r="X27" s="26" t="s">
        <v>79</v>
      </c>
      <c r="Y27" s="29" t="s">
        <v>80</v>
      </c>
      <c r="Z27" s="20"/>
    </row>
    <row r="28">
      <c r="A28" s="25"/>
      <c r="B28" s="26"/>
      <c r="C28" s="3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5" t="s">
        <v>81</v>
      </c>
      <c r="W28" s="25">
        <v>27.0</v>
      </c>
      <c r="X28" s="26" t="s">
        <v>82</v>
      </c>
      <c r="Y28" s="30" t="s">
        <v>83</v>
      </c>
      <c r="Z28" s="20"/>
    </row>
    <row r="29">
      <c r="A29" s="25"/>
      <c r="B29" s="26"/>
      <c r="C29" s="2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5" t="s">
        <v>81</v>
      </c>
      <c r="W29" s="25">
        <v>28.0</v>
      </c>
      <c r="X29" s="26" t="s">
        <v>84</v>
      </c>
      <c r="Y29" s="30" t="s">
        <v>85</v>
      </c>
      <c r="Z29" s="20"/>
    </row>
    <row r="30">
      <c r="A30" s="25"/>
      <c r="B30" s="26"/>
      <c r="C30" s="3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5" t="s">
        <v>81</v>
      </c>
      <c r="W30" s="25">
        <v>29.0</v>
      </c>
      <c r="X30" s="26" t="s">
        <v>86</v>
      </c>
      <c r="Y30" s="29" t="s">
        <v>87</v>
      </c>
      <c r="Z30" s="20"/>
    </row>
    <row r="31">
      <c r="A31" s="25"/>
      <c r="B31" s="26"/>
      <c r="C31" s="3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5" t="s">
        <v>81</v>
      </c>
      <c r="W31" s="25">
        <v>30.0</v>
      </c>
      <c r="X31" s="26" t="s">
        <v>88</v>
      </c>
      <c r="Y31" s="30" t="s">
        <v>89</v>
      </c>
      <c r="Z31" s="20"/>
    </row>
    <row r="32">
      <c r="A32" s="25"/>
      <c r="B32" s="26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5" t="s">
        <v>81</v>
      </c>
      <c r="W32" s="25">
        <v>31.0</v>
      </c>
      <c r="X32" s="26" t="s">
        <v>90</v>
      </c>
      <c r="Y32" s="30" t="s">
        <v>91</v>
      </c>
      <c r="Z32" s="20"/>
    </row>
    <row r="33">
      <c r="A33" s="25"/>
      <c r="B33" s="26"/>
      <c r="C33" s="2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5" t="s">
        <v>81</v>
      </c>
      <c r="W33" s="25">
        <v>32.0</v>
      </c>
      <c r="X33" s="26" t="s">
        <v>92</v>
      </c>
      <c r="Y33" s="29" t="s">
        <v>93</v>
      </c>
      <c r="Z33" s="20"/>
    </row>
    <row r="34">
      <c r="A34" s="25"/>
      <c r="B34" s="26"/>
      <c r="C34" s="2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5" t="s">
        <v>94</v>
      </c>
      <c r="W34" s="25">
        <v>33.0</v>
      </c>
      <c r="X34" s="26" t="s">
        <v>95</v>
      </c>
      <c r="Y34" s="29" t="s">
        <v>96</v>
      </c>
      <c r="Z34" s="20"/>
    </row>
    <row r="35">
      <c r="A35" s="25"/>
      <c r="B35" s="26"/>
      <c r="C35" s="27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5" t="s">
        <v>94</v>
      </c>
      <c r="W35" s="25">
        <v>34.0</v>
      </c>
      <c r="X35" s="26" t="s">
        <v>97</v>
      </c>
      <c r="Y35" s="29" t="s">
        <v>98</v>
      </c>
      <c r="Z35" s="20"/>
    </row>
    <row r="36">
      <c r="A36" s="25"/>
      <c r="B36" s="26"/>
      <c r="C36" s="2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5" t="s">
        <v>94</v>
      </c>
      <c r="W36" s="25">
        <v>35.0</v>
      </c>
      <c r="X36" s="26" t="s">
        <v>99</v>
      </c>
      <c r="Y36" s="27" t="s">
        <v>100</v>
      </c>
      <c r="Z36" s="20"/>
    </row>
    <row r="37">
      <c r="A37" s="25"/>
      <c r="B37" s="26"/>
      <c r="C37" s="27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5" t="s">
        <v>94</v>
      </c>
      <c r="W37" s="25">
        <v>36.0</v>
      </c>
      <c r="X37" s="26" t="s">
        <v>101</v>
      </c>
      <c r="Y37" s="27" t="s">
        <v>102</v>
      </c>
      <c r="Z37" s="20"/>
    </row>
    <row r="38">
      <c r="A38" s="25"/>
      <c r="B38" s="26"/>
      <c r="C38" s="27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5" t="s">
        <v>103</v>
      </c>
      <c r="W38" s="25">
        <v>37.0</v>
      </c>
      <c r="X38" s="26" t="s">
        <v>104</v>
      </c>
      <c r="Y38" s="27" t="s">
        <v>105</v>
      </c>
      <c r="Z38" s="20"/>
    </row>
    <row r="39">
      <c r="A39" s="25"/>
      <c r="B39" s="26"/>
      <c r="C39" s="2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5" t="s">
        <v>103</v>
      </c>
      <c r="W39" s="25">
        <v>38.0</v>
      </c>
      <c r="X39" s="26" t="s">
        <v>106</v>
      </c>
      <c r="Y39" s="27" t="s">
        <v>107</v>
      </c>
      <c r="Z39" s="20"/>
    </row>
    <row r="40">
      <c r="A40" s="25"/>
      <c r="B40" s="26"/>
      <c r="C40" s="27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5" t="s">
        <v>108</v>
      </c>
      <c r="W40" s="25">
        <v>39.0</v>
      </c>
      <c r="X40" s="26" t="s">
        <v>109</v>
      </c>
      <c r="Y40" s="27" t="s">
        <v>110</v>
      </c>
      <c r="Z40" s="20"/>
    </row>
    <row r="41">
      <c r="A41" s="25"/>
      <c r="B41" s="26"/>
      <c r="C41" s="2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5" t="s">
        <v>108</v>
      </c>
      <c r="W41" s="25">
        <v>40.0</v>
      </c>
      <c r="X41" s="26" t="s">
        <v>111</v>
      </c>
      <c r="Y41" s="27" t="s">
        <v>112</v>
      </c>
      <c r="Z41" s="20"/>
    </row>
    <row r="42">
      <c r="A42" s="25"/>
      <c r="B42" s="26"/>
      <c r="C42" s="27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5" t="s">
        <v>108</v>
      </c>
      <c r="W42" s="25">
        <v>41.0</v>
      </c>
      <c r="X42" s="26" t="s">
        <v>113</v>
      </c>
      <c r="Y42" s="25" t="s">
        <v>114</v>
      </c>
      <c r="Z42" s="20"/>
    </row>
    <row r="43">
      <c r="A43" s="25"/>
      <c r="B43" s="26"/>
      <c r="C43" s="2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5" t="s">
        <v>108</v>
      </c>
      <c r="W43" s="25">
        <v>42.0</v>
      </c>
      <c r="X43" s="26" t="s">
        <v>115</v>
      </c>
      <c r="Y43" s="27" t="s">
        <v>116</v>
      </c>
      <c r="Z43" s="20"/>
    </row>
    <row r="44">
      <c r="A44" s="25"/>
      <c r="B44" s="26"/>
      <c r="C44" s="2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5" t="s">
        <v>108</v>
      </c>
      <c r="W44" s="25">
        <v>43.0</v>
      </c>
      <c r="X44" s="26" t="s">
        <v>117</v>
      </c>
      <c r="Y44" s="27" t="s">
        <v>118</v>
      </c>
      <c r="Z44" s="20"/>
    </row>
    <row r="45">
      <c r="A45" s="25"/>
      <c r="B45" s="26"/>
      <c r="C45" s="2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5" t="s">
        <v>108</v>
      </c>
      <c r="W45" s="25">
        <v>44.0</v>
      </c>
      <c r="X45" s="26" t="s">
        <v>119</v>
      </c>
      <c r="Y45" s="27" t="s">
        <v>120</v>
      </c>
      <c r="Z45" s="20"/>
    </row>
    <row r="46">
      <c r="A46" s="25"/>
      <c r="B46" s="26"/>
      <c r="C46" s="25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5" t="s">
        <v>108</v>
      </c>
      <c r="W46" s="25">
        <v>45.0</v>
      </c>
      <c r="X46" s="26" t="s">
        <v>121</v>
      </c>
      <c r="Y46" s="27" t="s">
        <v>122</v>
      </c>
      <c r="Z46" s="20"/>
    </row>
    <row r="47">
      <c r="A47" s="25"/>
      <c r="B47" s="26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5" t="s">
        <v>108</v>
      </c>
      <c r="W47" s="25">
        <v>46.0</v>
      </c>
      <c r="X47" s="26" t="s">
        <v>123</v>
      </c>
      <c r="Y47" s="25" t="s">
        <v>124</v>
      </c>
      <c r="Z47" s="20"/>
    </row>
    <row r="48">
      <c r="A48" s="25"/>
      <c r="B48" s="26"/>
      <c r="C48" s="25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5" t="s">
        <v>125</v>
      </c>
      <c r="W48" s="25">
        <v>47.0</v>
      </c>
      <c r="X48" s="26" t="s">
        <v>126</v>
      </c>
      <c r="Y48" s="25" t="s">
        <v>127</v>
      </c>
      <c r="Z48" s="20"/>
    </row>
    <row r="49">
      <c r="A49" s="25"/>
      <c r="B49" s="26"/>
      <c r="C49" s="25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5" t="s">
        <v>125</v>
      </c>
      <c r="W49" s="25">
        <v>48.0</v>
      </c>
      <c r="X49" s="26" t="s">
        <v>128</v>
      </c>
      <c r="Y49" s="20" t="s">
        <v>129</v>
      </c>
      <c r="Z49" s="20"/>
    </row>
    <row r="50">
      <c r="A50" s="25"/>
      <c r="B50" s="26"/>
      <c r="C50" s="2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5" t="s">
        <v>125</v>
      </c>
      <c r="W50" s="25">
        <v>49.0</v>
      </c>
      <c r="X50" s="26" t="s">
        <v>130</v>
      </c>
      <c r="Y50" s="25" t="s">
        <v>131</v>
      </c>
      <c r="Z50" s="20"/>
    </row>
    <row r="51">
      <c r="A51" s="25"/>
      <c r="B51" s="26"/>
      <c r="C51" s="25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5" t="s">
        <v>125</v>
      </c>
      <c r="W51" s="25">
        <v>50.0</v>
      </c>
      <c r="X51" s="26" t="s">
        <v>132</v>
      </c>
      <c r="Y51" s="25" t="s">
        <v>133</v>
      </c>
      <c r="Z51" s="20"/>
    </row>
    <row r="52">
      <c r="A52" s="25"/>
      <c r="B52" s="26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5" t="s">
        <v>125</v>
      </c>
      <c r="W52" s="25">
        <v>51.0</v>
      </c>
      <c r="X52" s="26" t="s">
        <v>134</v>
      </c>
      <c r="Y52" s="25" t="s">
        <v>135</v>
      </c>
      <c r="Z52" s="20"/>
    </row>
    <row r="53">
      <c r="A53" s="25"/>
      <c r="B53" s="26"/>
      <c r="C53" s="25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5" t="s">
        <v>125</v>
      </c>
      <c r="W53" s="25">
        <v>52.0</v>
      </c>
      <c r="X53" s="26" t="s">
        <v>136</v>
      </c>
      <c r="Y53" s="25" t="s">
        <v>137</v>
      </c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5" t="s">
        <v>125</v>
      </c>
      <c r="W54" s="25">
        <v>53.0</v>
      </c>
      <c r="X54" s="26" t="s">
        <v>138</v>
      </c>
      <c r="Y54" s="20" t="s">
        <v>139</v>
      </c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32" t="s">
        <v>140</v>
      </c>
      <c r="D1" s="33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4"/>
      <c r="B2" s="34"/>
      <c r="C2" s="34"/>
      <c r="D2" s="35" t="s">
        <v>141</v>
      </c>
      <c r="E2" s="36" t="s">
        <v>142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7" t="s">
        <v>143</v>
      </c>
      <c r="B3" s="38" t="s">
        <v>144</v>
      </c>
      <c r="C3" s="39" t="str">
        <f t="array" ref="C3">IF(D3="Mac", IFERROR(INDEX($A$5:$B$160,MATCH(B3,$A$5:$A$160,0),2),"&lt;--- Enter your Search"),IF(D3="PC",IFERROR(INDEX($A$5:$C$160,MATCH(B3,$A$5:$A$160,0),3),"&lt;--- Enter your Search")))</f>
        <v>⌘ + Option + - (with rows selected)
Ctrl + Option + e, then d</v>
      </c>
      <c r="D3" s="40" t="s">
        <v>145</v>
      </c>
      <c r="E3" s="41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2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2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3" t="s">
        <v>146</v>
      </c>
      <c r="B6" s="43" t="s">
        <v>145</v>
      </c>
      <c r="C6" s="43" t="s">
        <v>147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4" t="s">
        <v>148</v>
      </c>
      <c r="B7" s="45" t="s">
        <v>149</v>
      </c>
      <c r="C7" s="45" t="str">
        <f t="shared" ref="C7:C8" si="1">INDEX($C$43:$D$159,MATCH(A7,$C$43:$C$159,0),2)</f>
        <v>Ctrl + /</v>
      </c>
      <c r="D7" s="46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4" t="s">
        <v>150</v>
      </c>
      <c r="B8" s="45" t="s">
        <v>151</v>
      </c>
      <c r="C8" s="45" t="str">
        <f t="shared" si="1"/>
        <v>Ctrl + Home</v>
      </c>
      <c r="D8" s="47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8" t="s">
        <v>152</v>
      </c>
      <c r="B9" s="49" t="s">
        <v>153</v>
      </c>
      <c r="C9" s="49" t="s">
        <v>154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8" t="s">
        <v>155</v>
      </c>
      <c r="B10" s="49" t="s">
        <v>156</v>
      </c>
      <c r="C10" s="49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8" t="s">
        <v>157</v>
      </c>
      <c r="B11" s="49" t="s">
        <v>158</v>
      </c>
      <c r="C11" s="49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8" t="s">
        <v>159</v>
      </c>
      <c r="B12" s="49" t="s">
        <v>160</v>
      </c>
      <c r="C12" s="49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8" t="s">
        <v>161</v>
      </c>
      <c r="B13" s="49" t="s">
        <v>162</v>
      </c>
      <c r="C13" s="49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8" t="s">
        <v>163</v>
      </c>
      <c r="B14" s="49" t="s">
        <v>164</v>
      </c>
      <c r="C14" s="49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8" t="s">
        <v>165</v>
      </c>
      <c r="B15" s="49" t="s">
        <v>166</v>
      </c>
      <c r="C15" s="49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8" t="s">
        <v>167</v>
      </c>
      <c r="B16" s="49" t="s">
        <v>168</v>
      </c>
      <c r="C16" s="49" t="s">
        <v>169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8" t="s">
        <v>170</v>
      </c>
      <c r="B17" s="49" t="s">
        <v>171</v>
      </c>
      <c r="C17" s="49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8" t="s">
        <v>172</v>
      </c>
      <c r="B18" s="49" t="s">
        <v>173</v>
      </c>
      <c r="C18" s="49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8" t="s">
        <v>174</v>
      </c>
      <c r="B19" s="49" t="s">
        <v>175</v>
      </c>
      <c r="C19" s="49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8" t="s">
        <v>176</v>
      </c>
      <c r="B20" s="49" t="s">
        <v>177</v>
      </c>
      <c r="C20" s="49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8" t="s">
        <v>178</v>
      </c>
      <c r="B21" s="49" t="s">
        <v>179</v>
      </c>
      <c r="C21" s="49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4" t="s">
        <v>180</v>
      </c>
      <c r="B22" s="45" t="s">
        <v>181</v>
      </c>
      <c r="C22" s="49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4" t="s">
        <v>182</v>
      </c>
      <c r="B23" s="45" t="s">
        <v>183</v>
      </c>
      <c r="C23" s="49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4" t="s">
        <v>184</v>
      </c>
      <c r="B24" s="45" t="s">
        <v>185</v>
      </c>
      <c r="C24" s="49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8" t="s">
        <v>186</v>
      </c>
      <c r="B25" s="49" t="s">
        <v>187</v>
      </c>
      <c r="C25" s="49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8" t="s">
        <v>188</v>
      </c>
      <c r="B26" s="49" t="s">
        <v>189</v>
      </c>
      <c r="C26" s="49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4" t="s">
        <v>190</v>
      </c>
      <c r="B27" s="45" t="s">
        <v>191</v>
      </c>
      <c r="C27" s="49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8" t="s">
        <v>192</v>
      </c>
      <c r="B28" s="49" t="s">
        <v>193</v>
      </c>
      <c r="C28" s="49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8" t="s">
        <v>194</v>
      </c>
      <c r="B29" s="49" t="s">
        <v>195</v>
      </c>
      <c r="C29" s="49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8" t="s">
        <v>196</v>
      </c>
      <c r="B30" s="49" t="s">
        <v>197</v>
      </c>
      <c r="C30" s="49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8" t="s">
        <v>198</v>
      </c>
      <c r="B31" s="49" t="s">
        <v>199</v>
      </c>
      <c r="C31" s="49" t="str">
        <f t="shared" si="3"/>
        <v>Ctrl + Shift + 3</v>
      </c>
      <c r="D31" s="4"/>
      <c r="E31" s="50"/>
      <c r="F31" s="5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8" t="s">
        <v>200</v>
      </c>
      <c r="B32" s="49" t="s">
        <v>201</v>
      </c>
      <c r="C32" s="49" t="str">
        <f t="shared" si="3"/>
        <v>Ctrl + Shift + 4</v>
      </c>
      <c r="D32" s="4"/>
      <c r="E32" s="50"/>
      <c r="F32" s="5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8" t="s">
        <v>202</v>
      </c>
      <c r="B33" s="49" t="s">
        <v>203</v>
      </c>
      <c r="C33" s="49" t="str">
        <f t="shared" si="3"/>
        <v>Ctrl + Shift + 5</v>
      </c>
      <c r="D33" s="4"/>
      <c r="E33" s="50"/>
      <c r="F33" s="5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8" t="s">
        <v>204</v>
      </c>
      <c r="B34" s="49" t="s">
        <v>205</v>
      </c>
      <c r="C34" s="49" t="str">
        <f t="shared" si="3"/>
        <v>Ctrl + \</v>
      </c>
      <c r="D34" s="4"/>
      <c r="E34" s="50"/>
      <c r="F34" s="5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8" t="s">
        <v>206</v>
      </c>
      <c r="B35" s="49" t="s">
        <v>207</v>
      </c>
      <c r="C35" s="49" t="str">
        <f t="shared" si="3"/>
        <v>Alt + Shift + k</v>
      </c>
      <c r="D35" s="50"/>
      <c r="E35" s="50"/>
      <c r="F35" s="5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8" t="s">
        <v>208</v>
      </c>
      <c r="B36" s="49" t="s">
        <v>209</v>
      </c>
      <c r="C36" s="49" t="str">
        <f t="shared" si="3"/>
        <v>Alt + Shift + Right arrow</v>
      </c>
      <c r="D36" s="50"/>
      <c r="E36" s="50"/>
      <c r="F36" s="5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2" t="s">
        <v>210</v>
      </c>
      <c r="B37" s="53" t="s">
        <v>211</v>
      </c>
      <c r="C37" s="53" t="str">
        <f t="shared" si="3"/>
        <v>Alt + Shift + Left arrow</v>
      </c>
      <c r="D37" s="50"/>
      <c r="E37" s="50"/>
      <c r="F37" s="5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50"/>
      <c r="E38" s="50"/>
      <c r="F38" s="5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50"/>
      <c r="E39" s="50"/>
      <c r="F39" s="5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50"/>
      <c r="E40" s="50"/>
      <c r="F40" s="5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50"/>
      <c r="E41" s="50"/>
      <c r="F41" s="5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4" t="s">
        <v>145</v>
      </c>
      <c r="C42" s="54" t="s">
        <v>147</v>
      </c>
      <c r="E42" s="50"/>
      <c r="F42" s="5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5" t="s">
        <v>212</v>
      </c>
      <c r="B43" s="55"/>
      <c r="C43" s="55" t="s">
        <v>212</v>
      </c>
      <c r="D43" s="55"/>
      <c r="E43" s="50"/>
      <c r="F43" s="5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4" t="s">
        <v>213</v>
      </c>
      <c r="B44" s="45" t="s">
        <v>214</v>
      </c>
      <c r="C44" s="44" t="s">
        <v>213</v>
      </c>
      <c r="D44" s="45" t="s">
        <v>214</v>
      </c>
      <c r="E44" s="50"/>
      <c r="F44" s="5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4" t="s">
        <v>215</v>
      </c>
      <c r="B45" s="45" t="s">
        <v>216</v>
      </c>
      <c r="C45" s="44" t="s">
        <v>215</v>
      </c>
      <c r="D45" s="45" t="s">
        <v>216</v>
      </c>
      <c r="E45" s="50"/>
      <c r="F45" s="5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4" t="s">
        <v>217</v>
      </c>
      <c r="B46" s="45" t="s">
        <v>218</v>
      </c>
      <c r="C46" s="44" t="s">
        <v>217</v>
      </c>
      <c r="D46" s="45" t="s">
        <v>219</v>
      </c>
      <c r="E46" s="50"/>
      <c r="F46" s="5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4" t="s">
        <v>174</v>
      </c>
      <c r="B47" s="45" t="s">
        <v>175</v>
      </c>
      <c r="C47" s="44" t="s">
        <v>174</v>
      </c>
      <c r="D47" s="45" t="s">
        <v>220</v>
      </c>
      <c r="E47" s="50"/>
      <c r="F47" s="5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4" t="s">
        <v>176</v>
      </c>
      <c r="B48" s="45" t="s">
        <v>177</v>
      </c>
      <c r="C48" s="44" t="s">
        <v>176</v>
      </c>
      <c r="D48" s="45" t="s">
        <v>221</v>
      </c>
      <c r="E48" s="50"/>
      <c r="F48" s="5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4" t="s">
        <v>170</v>
      </c>
      <c r="B49" s="45" t="s">
        <v>171</v>
      </c>
      <c r="C49" s="44" t="s">
        <v>170</v>
      </c>
      <c r="D49" s="45" t="s">
        <v>222</v>
      </c>
      <c r="E49" s="50"/>
      <c r="F49" s="5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4" t="s">
        <v>172</v>
      </c>
      <c r="B50" s="45" t="s">
        <v>173</v>
      </c>
      <c r="C50" s="44" t="s">
        <v>172</v>
      </c>
      <c r="D50" s="45" t="s">
        <v>223</v>
      </c>
      <c r="E50" s="50"/>
      <c r="F50" s="5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4" t="s">
        <v>224</v>
      </c>
      <c r="B51" s="45" t="s">
        <v>225</v>
      </c>
      <c r="C51" s="44" t="s">
        <v>224</v>
      </c>
      <c r="D51" s="45" t="s">
        <v>226</v>
      </c>
      <c r="E51" s="50"/>
      <c r="F51" s="5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4" t="s">
        <v>159</v>
      </c>
      <c r="B52" s="45" t="s">
        <v>160</v>
      </c>
      <c r="C52" s="44" t="s">
        <v>159</v>
      </c>
      <c r="D52" s="45" t="s">
        <v>227</v>
      </c>
      <c r="E52" s="50"/>
      <c r="F52" s="5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4" t="s">
        <v>161</v>
      </c>
      <c r="B53" s="45" t="s">
        <v>162</v>
      </c>
      <c r="C53" s="44" t="s">
        <v>161</v>
      </c>
      <c r="D53" s="45" t="s">
        <v>228</v>
      </c>
      <c r="E53" s="50"/>
      <c r="F53" s="5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4" t="s">
        <v>229</v>
      </c>
      <c r="B54" s="45" t="s">
        <v>230</v>
      </c>
      <c r="C54" s="44" t="s">
        <v>229</v>
      </c>
      <c r="D54" s="45" t="s">
        <v>231</v>
      </c>
      <c r="E54" s="50"/>
      <c r="F54" s="5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4" t="s">
        <v>232</v>
      </c>
      <c r="B55" s="45" t="s">
        <v>233</v>
      </c>
      <c r="C55" s="44" t="s">
        <v>232</v>
      </c>
      <c r="D55" s="45" t="s">
        <v>234</v>
      </c>
      <c r="E55" s="50"/>
      <c r="F55" s="5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4" t="s">
        <v>235</v>
      </c>
      <c r="B56" s="45" t="s">
        <v>236</v>
      </c>
      <c r="C56" s="44" t="s">
        <v>235</v>
      </c>
      <c r="D56" s="45" t="s">
        <v>237</v>
      </c>
      <c r="E56" s="50"/>
      <c r="F56" s="5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4" t="s">
        <v>238</v>
      </c>
      <c r="B57" s="45" t="s">
        <v>239</v>
      </c>
      <c r="C57" s="44" t="s">
        <v>238</v>
      </c>
      <c r="D57" s="45" t="s">
        <v>240</v>
      </c>
      <c r="E57" s="50"/>
      <c r="F57" s="5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4" t="s">
        <v>241</v>
      </c>
      <c r="B58" s="45" t="s">
        <v>242</v>
      </c>
      <c r="C58" s="44" t="s">
        <v>241</v>
      </c>
      <c r="D58" s="45" t="s">
        <v>243</v>
      </c>
      <c r="E58" s="50"/>
      <c r="F58" s="5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4" t="s">
        <v>163</v>
      </c>
      <c r="B59" s="45" t="s">
        <v>164</v>
      </c>
      <c r="C59" s="44" t="s">
        <v>163</v>
      </c>
      <c r="D59" s="45" t="s">
        <v>244</v>
      </c>
      <c r="E59" s="50"/>
      <c r="F59" s="5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4" t="s">
        <v>165</v>
      </c>
      <c r="B60" s="45" t="s">
        <v>166</v>
      </c>
      <c r="C60" s="44" t="s">
        <v>165</v>
      </c>
      <c r="D60" s="45" t="s">
        <v>245</v>
      </c>
      <c r="E60" s="50"/>
      <c r="F60" s="5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4" t="s">
        <v>148</v>
      </c>
      <c r="B61" s="45" t="s">
        <v>149</v>
      </c>
      <c r="C61" s="44" t="s">
        <v>148</v>
      </c>
      <c r="D61" s="45" t="s">
        <v>246</v>
      </c>
      <c r="E61" s="50"/>
      <c r="F61" s="5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4" t="s">
        <v>247</v>
      </c>
      <c r="B62" s="45" t="s">
        <v>248</v>
      </c>
      <c r="C62" s="44" t="s">
        <v>249</v>
      </c>
      <c r="D62" s="45" t="s">
        <v>250</v>
      </c>
      <c r="E62" s="50"/>
      <c r="F62" s="5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4" t="s">
        <v>251</v>
      </c>
      <c r="B63" s="45" t="s">
        <v>252</v>
      </c>
      <c r="C63" s="44" t="s">
        <v>247</v>
      </c>
      <c r="D63" s="45" t="s">
        <v>248</v>
      </c>
      <c r="E63" s="50"/>
      <c r="F63" s="5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4" t="s">
        <v>253</v>
      </c>
      <c r="B64" s="45" t="s">
        <v>254</v>
      </c>
      <c r="C64" s="44" t="s">
        <v>251</v>
      </c>
      <c r="D64" s="45" t="s">
        <v>255</v>
      </c>
      <c r="E64" s="50"/>
      <c r="F64" s="5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6"/>
      <c r="B65" s="4"/>
      <c r="C65" s="50" t="s">
        <v>253</v>
      </c>
      <c r="D65" s="51" t="s">
        <v>256</v>
      </c>
      <c r="E65" s="50"/>
      <c r="F65" s="5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5" t="s">
        <v>257</v>
      </c>
      <c r="B66" s="55"/>
      <c r="C66" s="55" t="s">
        <v>257</v>
      </c>
      <c r="D66" s="55"/>
      <c r="E66" s="50"/>
      <c r="F66" s="5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4" t="s">
        <v>178</v>
      </c>
      <c r="B67" s="45" t="s">
        <v>179</v>
      </c>
      <c r="C67" s="44" t="s">
        <v>178</v>
      </c>
      <c r="D67" s="45" t="s">
        <v>258</v>
      </c>
      <c r="E67" s="50"/>
      <c r="F67" s="5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4" t="s">
        <v>259</v>
      </c>
      <c r="B68" s="45" t="s">
        <v>260</v>
      </c>
      <c r="C68" s="44" t="s">
        <v>259</v>
      </c>
      <c r="D68" s="45" t="s">
        <v>261</v>
      </c>
      <c r="E68" s="50"/>
      <c r="F68" s="5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4" t="s">
        <v>262</v>
      </c>
      <c r="B69" s="45" t="s">
        <v>263</v>
      </c>
      <c r="C69" s="44" t="s">
        <v>262</v>
      </c>
      <c r="D69" s="45" t="s">
        <v>264</v>
      </c>
      <c r="E69" s="50"/>
      <c r="F69" s="5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4" t="s">
        <v>265</v>
      </c>
      <c r="B70" s="45" t="s">
        <v>266</v>
      </c>
      <c r="C70" s="44" t="s">
        <v>265</v>
      </c>
      <c r="D70" s="45" t="s">
        <v>267</v>
      </c>
      <c r="E70" s="50"/>
      <c r="F70" s="5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4" t="s">
        <v>180</v>
      </c>
      <c r="B71" s="45" t="s">
        <v>181</v>
      </c>
      <c r="C71" s="44" t="s">
        <v>180</v>
      </c>
      <c r="D71" s="45" t="s">
        <v>268</v>
      </c>
      <c r="E71" s="50"/>
      <c r="F71" s="5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4" t="s">
        <v>182</v>
      </c>
      <c r="B72" s="45" t="s">
        <v>183</v>
      </c>
      <c r="C72" s="44" t="s">
        <v>182</v>
      </c>
      <c r="D72" s="45" t="s">
        <v>269</v>
      </c>
      <c r="E72" s="50"/>
      <c r="F72" s="5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4" t="s">
        <v>184</v>
      </c>
      <c r="B73" s="45" t="s">
        <v>185</v>
      </c>
      <c r="C73" s="44" t="s">
        <v>184</v>
      </c>
      <c r="D73" s="45" t="s">
        <v>270</v>
      </c>
      <c r="E73" s="50"/>
      <c r="F73" s="5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4" t="s">
        <v>271</v>
      </c>
      <c r="B74" s="45" t="s">
        <v>272</v>
      </c>
      <c r="C74" s="44" t="s">
        <v>271</v>
      </c>
      <c r="D74" s="45" t="s">
        <v>273</v>
      </c>
      <c r="E74" s="50"/>
      <c r="F74" s="5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4" t="s">
        <v>274</v>
      </c>
      <c r="B75" s="45" t="s">
        <v>275</v>
      </c>
      <c r="C75" s="44" t="s">
        <v>274</v>
      </c>
      <c r="D75" s="45" t="s">
        <v>276</v>
      </c>
      <c r="E75" s="50"/>
      <c r="F75" s="5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4" t="s">
        <v>186</v>
      </c>
      <c r="B76" s="45" t="s">
        <v>187</v>
      </c>
      <c r="C76" s="44" t="s">
        <v>186</v>
      </c>
      <c r="D76" s="45" t="s">
        <v>277</v>
      </c>
      <c r="E76" s="50"/>
      <c r="F76" s="5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4" t="s">
        <v>278</v>
      </c>
      <c r="B77" s="45" t="s">
        <v>279</v>
      </c>
      <c r="C77" s="44" t="s">
        <v>278</v>
      </c>
      <c r="D77" s="45" t="s">
        <v>280</v>
      </c>
      <c r="E77" s="50"/>
      <c r="F77" s="5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4" t="s">
        <v>190</v>
      </c>
      <c r="B78" s="45" t="s">
        <v>191</v>
      </c>
      <c r="C78" s="44" t="s">
        <v>190</v>
      </c>
      <c r="D78" s="45" t="s">
        <v>281</v>
      </c>
      <c r="E78" s="50"/>
      <c r="F78" s="5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4" t="s">
        <v>188</v>
      </c>
      <c r="B79" s="45" t="s">
        <v>189</v>
      </c>
      <c r="C79" s="44" t="s">
        <v>188</v>
      </c>
      <c r="D79" s="45" t="s">
        <v>282</v>
      </c>
      <c r="E79" s="50"/>
      <c r="F79" s="5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4" t="s">
        <v>192</v>
      </c>
      <c r="B80" s="45" t="s">
        <v>193</v>
      </c>
      <c r="C80" s="44" t="s">
        <v>192</v>
      </c>
      <c r="D80" s="45" t="s">
        <v>283</v>
      </c>
      <c r="E80" s="50"/>
      <c r="F80" s="5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4" t="s">
        <v>284</v>
      </c>
      <c r="B81" s="45" t="s">
        <v>285</v>
      </c>
      <c r="C81" s="44" t="s">
        <v>284</v>
      </c>
      <c r="D81" s="45" t="s">
        <v>286</v>
      </c>
      <c r="E81" s="50"/>
      <c r="F81" s="5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4" t="s">
        <v>287</v>
      </c>
      <c r="B82" s="45" t="s">
        <v>288</v>
      </c>
      <c r="C82" s="44" t="s">
        <v>287</v>
      </c>
      <c r="D82" s="45" t="s">
        <v>289</v>
      </c>
      <c r="E82" s="50"/>
      <c r="F82" s="5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4" t="s">
        <v>290</v>
      </c>
      <c r="B83" s="45" t="s">
        <v>291</v>
      </c>
      <c r="C83" s="44" t="s">
        <v>290</v>
      </c>
      <c r="D83" s="45" t="s">
        <v>292</v>
      </c>
      <c r="E83" s="50"/>
      <c r="F83" s="5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4" t="s">
        <v>194</v>
      </c>
      <c r="B84" s="45" t="s">
        <v>195</v>
      </c>
      <c r="C84" s="44" t="s">
        <v>194</v>
      </c>
      <c r="D84" s="45" t="s">
        <v>195</v>
      </c>
      <c r="E84" s="50"/>
      <c r="F84" s="5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4" t="s">
        <v>196</v>
      </c>
      <c r="B85" s="45" t="s">
        <v>197</v>
      </c>
      <c r="C85" s="44" t="s">
        <v>196</v>
      </c>
      <c r="D85" s="45" t="s">
        <v>197</v>
      </c>
      <c r="E85" s="50"/>
      <c r="F85" s="5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4" t="s">
        <v>198</v>
      </c>
      <c r="B86" s="45" t="s">
        <v>199</v>
      </c>
      <c r="C86" s="44" t="s">
        <v>198</v>
      </c>
      <c r="D86" s="45" t="s">
        <v>199</v>
      </c>
      <c r="E86" s="50"/>
      <c r="F86" s="5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4" t="s">
        <v>200</v>
      </c>
      <c r="B87" s="45" t="s">
        <v>201</v>
      </c>
      <c r="C87" s="44" t="s">
        <v>200</v>
      </c>
      <c r="D87" s="45" t="s">
        <v>201</v>
      </c>
      <c r="E87" s="50"/>
      <c r="F87" s="5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4" t="s">
        <v>202</v>
      </c>
      <c r="B88" s="45" t="s">
        <v>203</v>
      </c>
      <c r="C88" s="44" t="s">
        <v>202</v>
      </c>
      <c r="D88" s="45" t="s">
        <v>203</v>
      </c>
      <c r="E88" s="50"/>
      <c r="F88" s="5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4" t="s">
        <v>293</v>
      </c>
      <c r="B89" s="45" t="s">
        <v>294</v>
      </c>
      <c r="C89" s="44" t="s">
        <v>293</v>
      </c>
      <c r="D89" s="45" t="s">
        <v>294</v>
      </c>
      <c r="E89" s="50"/>
      <c r="F89" s="5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4" t="s">
        <v>204</v>
      </c>
      <c r="B90" s="45" t="s">
        <v>205</v>
      </c>
      <c r="C90" s="44" t="s">
        <v>204</v>
      </c>
      <c r="D90" s="45" t="s">
        <v>295</v>
      </c>
      <c r="E90" s="50"/>
      <c r="F90" s="5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5" t="s">
        <v>296</v>
      </c>
      <c r="B91" s="55"/>
      <c r="C91" s="55" t="s">
        <v>296</v>
      </c>
      <c r="D91" s="55"/>
      <c r="E91" s="50"/>
      <c r="F91" s="5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0" t="s">
        <v>297</v>
      </c>
      <c r="B92" s="51" t="s">
        <v>298</v>
      </c>
      <c r="C92" s="50" t="s">
        <v>297</v>
      </c>
      <c r="D92" s="51" t="s">
        <v>299</v>
      </c>
      <c r="E92" s="50"/>
      <c r="F92" s="5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0" t="s">
        <v>150</v>
      </c>
      <c r="B93" s="51" t="s">
        <v>151</v>
      </c>
      <c r="C93" s="50" t="s">
        <v>150</v>
      </c>
      <c r="D93" s="51" t="s">
        <v>300</v>
      </c>
      <c r="E93" s="50"/>
      <c r="F93" s="5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0" t="s">
        <v>301</v>
      </c>
      <c r="B94" s="51" t="s">
        <v>302</v>
      </c>
      <c r="C94" s="50" t="s">
        <v>301</v>
      </c>
      <c r="D94" s="51" t="s">
        <v>303</v>
      </c>
      <c r="E94" s="50"/>
      <c r="F94" s="5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0" t="s">
        <v>304</v>
      </c>
      <c r="B95" s="51" t="s">
        <v>305</v>
      </c>
      <c r="C95" s="50" t="s">
        <v>304</v>
      </c>
      <c r="D95" s="51" t="s">
        <v>306</v>
      </c>
      <c r="E95" s="50"/>
      <c r="F95" s="5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0" t="s">
        <v>307</v>
      </c>
      <c r="B96" s="51" t="s">
        <v>308</v>
      </c>
      <c r="C96" s="50" t="s">
        <v>307</v>
      </c>
      <c r="D96" s="51" t="s">
        <v>309</v>
      </c>
      <c r="E96" s="50"/>
      <c r="F96" s="5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0" t="s">
        <v>155</v>
      </c>
      <c r="B97" s="51" t="s">
        <v>156</v>
      </c>
      <c r="C97" s="50" t="s">
        <v>155</v>
      </c>
      <c r="D97" s="51" t="s">
        <v>310</v>
      </c>
      <c r="E97" s="50"/>
      <c r="F97" s="5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0" t="s">
        <v>157</v>
      </c>
      <c r="B98" s="51" t="s">
        <v>158</v>
      </c>
      <c r="C98" s="50" t="s">
        <v>157</v>
      </c>
      <c r="D98" s="51" t="s">
        <v>311</v>
      </c>
      <c r="E98" s="50"/>
      <c r="F98" s="5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0" t="s">
        <v>206</v>
      </c>
      <c r="B99" s="51" t="s">
        <v>207</v>
      </c>
      <c r="C99" s="50" t="s">
        <v>206</v>
      </c>
      <c r="D99" s="51" t="s">
        <v>312</v>
      </c>
      <c r="E99" s="50"/>
      <c r="F99" s="5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0" t="s">
        <v>313</v>
      </c>
      <c r="B100" s="51" t="s">
        <v>314</v>
      </c>
      <c r="C100" s="50" t="s">
        <v>313</v>
      </c>
      <c r="D100" s="51" t="s">
        <v>315</v>
      </c>
      <c r="E100" s="50"/>
      <c r="F100" s="5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0" t="s">
        <v>316</v>
      </c>
      <c r="B101" s="51" t="s">
        <v>317</v>
      </c>
      <c r="C101" s="50" t="s">
        <v>316</v>
      </c>
      <c r="D101" s="51" t="s">
        <v>318</v>
      </c>
      <c r="E101" s="50"/>
      <c r="F101" s="5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0" t="s">
        <v>319</v>
      </c>
      <c r="B102" s="51" t="s">
        <v>320</v>
      </c>
      <c r="C102" s="50" t="s">
        <v>319</v>
      </c>
      <c r="D102" s="51" t="s">
        <v>321</v>
      </c>
      <c r="E102" s="50"/>
      <c r="F102" s="5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0" t="s">
        <v>322</v>
      </c>
      <c r="B103" s="51" t="s">
        <v>323</v>
      </c>
      <c r="C103" s="50" t="s">
        <v>322</v>
      </c>
      <c r="D103" s="51" t="s">
        <v>324</v>
      </c>
      <c r="E103" s="50"/>
      <c r="F103" s="5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0" t="s">
        <v>325</v>
      </c>
      <c r="B104" s="51" t="s">
        <v>326</v>
      </c>
      <c r="C104" s="50" t="s">
        <v>325</v>
      </c>
      <c r="D104" s="51" t="s">
        <v>327</v>
      </c>
      <c r="E104" s="50"/>
      <c r="F104" s="5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0" t="s">
        <v>328</v>
      </c>
      <c r="B105" s="51" t="s">
        <v>329</v>
      </c>
      <c r="C105" s="50" t="s">
        <v>328</v>
      </c>
      <c r="D105" s="51" t="s">
        <v>330</v>
      </c>
      <c r="E105" s="50"/>
      <c r="F105" s="5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0" t="s">
        <v>331</v>
      </c>
      <c r="B106" s="51" t="s">
        <v>332</v>
      </c>
      <c r="C106" s="50" t="s">
        <v>331</v>
      </c>
      <c r="D106" s="51" t="s">
        <v>333</v>
      </c>
      <c r="E106" s="50"/>
      <c r="F106" s="5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0" t="s">
        <v>334</v>
      </c>
      <c r="B107" s="51" t="s">
        <v>335</v>
      </c>
      <c r="C107" s="50" t="s">
        <v>334</v>
      </c>
      <c r="D107" s="51" t="s">
        <v>335</v>
      </c>
      <c r="E107" s="50"/>
      <c r="F107" s="5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0" t="s">
        <v>336</v>
      </c>
      <c r="B108" s="51" t="s">
        <v>337</v>
      </c>
      <c r="C108" s="50" t="s">
        <v>336</v>
      </c>
      <c r="D108" s="51" t="s">
        <v>335</v>
      </c>
      <c r="E108" s="50"/>
      <c r="F108" s="5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5" t="s">
        <v>338</v>
      </c>
      <c r="B109" s="55"/>
      <c r="C109" s="55" t="s">
        <v>338</v>
      </c>
      <c r="D109" s="55"/>
      <c r="E109" s="50"/>
      <c r="F109" s="5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0" t="s">
        <v>339</v>
      </c>
      <c r="B110" s="51" t="s">
        <v>340</v>
      </c>
      <c r="C110" s="50" t="s">
        <v>339</v>
      </c>
      <c r="D110" s="51" t="s">
        <v>340</v>
      </c>
      <c r="E110" s="50"/>
      <c r="F110" s="5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0" t="s">
        <v>341</v>
      </c>
      <c r="B111" s="51" t="s">
        <v>342</v>
      </c>
      <c r="C111" s="50" t="s">
        <v>341</v>
      </c>
      <c r="D111" s="51" t="s">
        <v>343</v>
      </c>
      <c r="E111" s="50"/>
      <c r="F111" s="5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0" t="s">
        <v>344</v>
      </c>
      <c r="B112" s="51" t="s">
        <v>345</v>
      </c>
      <c r="C112" s="50" t="s">
        <v>344</v>
      </c>
      <c r="D112" s="51" t="s">
        <v>346</v>
      </c>
      <c r="E112" s="50"/>
      <c r="F112" s="5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0" t="s">
        <v>347</v>
      </c>
      <c r="B113" s="51" t="s">
        <v>348</v>
      </c>
      <c r="C113" s="50" t="s">
        <v>347</v>
      </c>
      <c r="D113" s="51" t="s">
        <v>349</v>
      </c>
      <c r="E113" s="50"/>
      <c r="F113" s="5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0" t="s">
        <v>350</v>
      </c>
      <c r="B114" s="51" t="s">
        <v>351</v>
      </c>
      <c r="C114" s="50" t="s">
        <v>350</v>
      </c>
      <c r="D114" s="51" t="s">
        <v>352</v>
      </c>
      <c r="E114" s="50"/>
      <c r="F114" s="5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0" t="s">
        <v>353</v>
      </c>
      <c r="B115" s="51" t="s">
        <v>354</v>
      </c>
      <c r="C115" s="50" t="s">
        <v>353</v>
      </c>
      <c r="D115" s="51" t="s">
        <v>355</v>
      </c>
      <c r="E115" s="50"/>
      <c r="F115" s="5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5" t="s">
        <v>356</v>
      </c>
      <c r="B116" s="55"/>
      <c r="C116" s="55" t="s">
        <v>356</v>
      </c>
      <c r="D116" s="55"/>
      <c r="E116" s="50"/>
      <c r="F116" s="5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0" t="s">
        <v>357</v>
      </c>
      <c r="B117" s="51" t="s">
        <v>358</v>
      </c>
      <c r="C117" s="50" t="s">
        <v>357</v>
      </c>
      <c r="D117" s="51" t="s">
        <v>359</v>
      </c>
      <c r="E117" s="50"/>
      <c r="F117" s="5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0" t="s">
        <v>360</v>
      </c>
      <c r="B118" s="51" t="s">
        <v>361</v>
      </c>
      <c r="C118" s="50" t="s">
        <v>360</v>
      </c>
      <c r="D118" s="51" t="s">
        <v>362</v>
      </c>
      <c r="E118" s="50"/>
      <c r="F118" s="5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0" t="s">
        <v>363</v>
      </c>
      <c r="B119" s="51" t="s">
        <v>169</v>
      </c>
      <c r="C119" s="50" t="s">
        <v>363</v>
      </c>
      <c r="D119" s="51" t="s">
        <v>364</v>
      </c>
      <c r="E119" s="50"/>
      <c r="F119" s="5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0" t="s">
        <v>365</v>
      </c>
      <c r="B120" s="51" t="s">
        <v>366</v>
      </c>
      <c r="C120" s="50" t="s">
        <v>365</v>
      </c>
      <c r="D120" s="51" t="s">
        <v>367</v>
      </c>
      <c r="E120" s="50"/>
      <c r="F120" s="5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0" t="s">
        <v>368</v>
      </c>
      <c r="B121" s="51" t="s">
        <v>369</v>
      </c>
      <c r="C121" s="50" t="s">
        <v>368</v>
      </c>
      <c r="D121" s="51" t="s">
        <v>370</v>
      </c>
      <c r="E121" s="50"/>
      <c r="F121" s="5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0" t="s">
        <v>371</v>
      </c>
      <c r="B122" s="51" t="s">
        <v>372</v>
      </c>
      <c r="C122" s="50" t="s">
        <v>371</v>
      </c>
      <c r="D122" s="51" t="s">
        <v>373</v>
      </c>
      <c r="E122" s="50"/>
      <c r="F122" s="5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0" t="s">
        <v>374</v>
      </c>
      <c r="B123" s="51" t="s">
        <v>375</v>
      </c>
      <c r="C123" s="50" t="s">
        <v>374</v>
      </c>
      <c r="D123" s="51" t="s">
        <v>376</v>
      </c>
      <c r="E123" s="50"/>
      <c r="F123" s="5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0" t="s">
        <v>377</v>
      </c>
      <c r="B124" s="51" t="s">
        <v>378</v>
      </c>
      <c r="C124" s="50" t="s">
        <v>377</v>
      </c>
      <c r="D124" s="51" t="s">
        <v>379</v>
      </c>
      <c r="E124" s="50"/>
      <c r="F124" s="5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0" t="s">
        <v>380</v>
      </c>
      <c r="B125" s="51" t="s">
        <v>381</v>
      </c>
      <c r="C125" s="50" t="s">
        <v>380</v>
      </c>
      <c r="D125" s="51" t="s">
        <v>382</v>
      </c>
      <c r="E125" s="50"/>
      <c r="F125" s="5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0" t="s">
        <v>383</v>
      </c>
      <c r="B126" s="51" t="s">
        <v>384</v>
      </c>
      <c r="C126" s="50" t="s">
        <v>383</v>
      </c>
      <c r="D126" s="51" t="s">
        <v>385</v>
      </c>
      <c r="E126" s="50"/>
      <c r="F126" s="5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0" t="s">
        <v>386</v>
      </c>
      <c r="B127" s="51" t="s">
        <v>387</v>
      </c>
      <c r="C127" s="50" t="s">
        <v>386</v>
      </c>
      <c r="D127" s="51" t="s">
        <v>388</v>
      </c>
      <c r="E127" s="50"/>
      <c r="F127" s="5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0" t="s">
        <v>389</v>
      </c>
      <c r="B128" s="51" t="s">
        <v>390</v>
      </c>
      <c r="C128" s="50" t="s">
        <v>389</v>
      </c>
      <c r="D128" s="51" t="s">
        <v>391</v>
      </c>
      <c r="E128" s="50"/>
      <c r="F128" s="5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0" t="s">
        <v>392</v>
      </c>
      <c r="B129" s="51" t="s">
        <v>393</v>
      </c>
      <c r="C129" s="50" t="s">
        <v>392</v>
      </c>
      <c r="D129" s="51" t="s">
        <v>394</v>
      </c>
      <c r="E129" s="50"/>
      <c r="F129" s="5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0" t="s">
        <v>395</v>
      </c>
      <c r="B130" s="51" t="s">
        <v>396</v>
      </c>
      <c r="C130" s="50" t="s">
        <v>395</v>
      </c>
      <c r="D130" s="51" t="s">
        <v>397</v>
      </c>
      <c r="E130" s="50"/>
      <c r="F130" s="5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0" t="s">
        <v>398</v>
      </c>
      <c r="B131" s="51" t="s">
        <v>399</v>
      </c>
      <c r="C131" s="50" t="s">
        <v>398</v>
      </c>
      <c r="D131" s="51" t="s">
        <v>400</v>
      </c>
      <c r="E131" s="50"/>
      <c r="F131" s="5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5" t="s">
        <v>401</v>
      </c>
      <c r="B132" s="55"/>
      <c r="C132" s="55" t="s">
        <v>401</v>
      </c>
      <c r="D132" s="55"/>
      <c r="E132" s="50"/>
      <c r="F132" s="5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4" t="s">
        <v>402</v>
      </c>
      <c r="B133" s="45" t="s">
        <v>403</v>
      </c>
      <c r="C133" s="44" t="s">
        <v>402</v>
      </c>
      <c r="D133" s="45" t="s">
        <v>404</v>
      </c>
      <c r="E133" s="50"/>
      <c r="F133" s="5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4" t="s">
        <v>405</v>
      </c>
      <c r="B134" s="45" t="s">
        <v>406</v>
      </c>
      <c r="C134" s="44" t="s">
        <v>405</v>
      </c>
      <c r="D134" s="45" t="s">
        <v>407</v>
      </c>
      <c r="E134" s="50"/>
      <c r="F134" s="5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4" t="s">
        <v>408</v>
      </c>
      <c r="B135" s="45" t="s">
        <v>409</v>
      </c>
      <c r="C135" s="44" t="s">
        <v>408</v>
      </c>
      <c r="D135" s="45" t="s">
        <v>410</v>
      </c>
      <c r="E135" s="50"/>
      <c r="F135" s="5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4" t="s">
        <v>411</v>
      </c>
      <c r="B136" s="45" t="s">
        <v>412</v>
      </c>
      <c r="C136" s="44" t="s">
        <v>411</v>
      </c>
      <c r="D136" s="45" t="s">
        <v>413</v>
      </c>
      <c r="E136" s="50"/>
      <c r="F136" s="5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4" t="s">
        <v>144</v>
      </c>
      <c r="B137" s="45" t="s">
        <v>414</v>
      </c>
      <c r="C137" s="44" t="s">
        <v>144</v>
      </c>
      <c r="D137" s="45" t="s">
        <v>415</v>
      </c>
      <c r="E137" s="50"/>
      <c r="F137" s="5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4" t="s">
        <v>416</v>
      </c>
      <c r="B138" s="45" t="s">
        <v>417</v>
      </c>
      <c r="C138" s="44" t="s">
        <v>416</v>
      </c>
      <c r="D138" s="45" t="s">
        <v>418</v>
      </c>
      <c r="E138" s="50"/>
      <c r="F138" s="5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4" t="s">
        <v>419</v>
      </c>
      <c r="B139" s="45" t="s">
        <v>420</v>
      </c>
      <c r="C139" s="44" t="s">
        <v>419</v>
      </c>
      <c r="D139" s="45" t="s">
        <v>421</v>
      </c>
      <c r="E139" s="50"/>
      <c r="F139" s="5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4" t="s">
        <v>422</v>
      </c>
      <c r="B140" s="45" t="s">
        <v>423</v>
      </c>
      <c r="C140" s="44" t="s">
        <v>422</v>
      </c>
      <c r="D140" s="45" t="s">
        <v>424</v>
      </c>
      <c r="E140" s="50"/>
      <c r="F140" s="5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4" t="s">
        <v>208</v>
      </c>
      <c r="B141" s="45" t="s">
        <v>209</v>
      </c>
      <c r="C141" s="44" t="s">
        <v>425</v>
      </c>
      <c r="D141" s="45" t="s">
        <v>426</v>
      </c>
      <c r="E141" s="50"/>
      <c r="F141" s="5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4" t="s">
        <v>210</v>
      </c>
      <c r="B142" s="45" t="s">
        <v>211</v>
      </c>
      <c r="C142" s="44" t="s">
        <v>427</v>
      </c>
      <c r="D142" s="45" t="s">
        <v>428</v>
      </c>
      <c r="E142" s="50"/>
      <c r="F142" s="5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4" t="s">
        <v>429</v>
      </c>
      <c r="B143" s="45" t="s">
        <v>430</v>
      </c>
      <c r="C143" s="44" t="s">
        <v>208</v>
      </c>
      <c r="D143" s="45" t="s">
        <v>431</v>
      </c>
      <c r="E143" s="50"/>
      <c r="F143" s="5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4" t="s">
        <v>432</v>
      </c>
      <c r="B144" s="45" t="s">
        <v>433</v>
      </c>
      <c r="C144" s="44" t="s">
        <v>210</v>
      </c>
      <c r="D144" s="45" t="s">
        <v>434</v>
      </c>
      <c r="E144" s="50"/>
      <c r="F144" s="5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4"/>
      <c r="B145" s="45"/>
      <c r="C145" s="44" t="s">
        <v>429</v>
      </c>
      <c r="D145" s="45" t="s">
        <v>435</v>
      </c>
      <c r="E145" s="50"/>
      <c r="F145" s="5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6"/>
      <c r="B146" s="4"/>
      <c r="C146" s="50" t="s">
        <v>432</v>
      </c>
      <c r="D146" s="51" t="s">
        <v>436</v>
      </c>
      <c r="E146" s="50"/>
      <c r="F146" s="5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5" t="s">
        <v>437</v>
      </c>
      <c r="B147" s="55"/>
      <c r="C147" s="55" t="s">
        <v>437</v>
      </c>
      <c r="D147" s="55"/>
      <c r="E147" s="50"/>
      <c r="F147" s="5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4" t="s">
        <v>438</v>
      </c>
      <c r="B148" s="45" t="s">
        <v>439</v>
      </c>
      <c r="C148" s="44" t="s">
        <v>438</v>
      </c>
      <c r="D148" s="45" t="s">
        <v>439</v>
      </c>
      <c r="E148" s="50"/>
      <c r="F148" s="5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4" t="s">
        <v>440</v>
      </c>
      <c r="B149" s="45" t="s">
        <v>441</v>
      </c>
      <c r="C149" s="44" t="s">
        <v>440</v>
      </c>
      <c r="D149" s="45" t="s">
        <v>442</v>
      </c>
      <c r="E149" s="50"/>
      <c r="F149" s="5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4" t="s">
        <v>443</v>
      </c>
      <c r="B150" s="45" t="s">
        <v>444</v>
      </c>
      <c r="C150" s="44" t="s">
        <v>443</v>
      </c>
      <c r="D150" s="45" t="s">
        <v>445</v>
      </c>
      <c r="E150" s="50"/>
      <c r="F150" s="5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4" t="s">
        <v>446</v>
      </c>
      <c r="B151" s="45" t="s">
        <v>447</v>
      </c>
      <c r="C151" s="44" t="s">
        <v>446</v>
      </c>
      <c r="D151" s="45" t="s">
        <v>448</v>
      </c>
      <c r="E151" s="50"/>
      <c r="F151" s="5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4" t="s">
        <v>449</v>
      </c>
      <c r="B152" s="45" t="s">
        <v>450</v>
      </c>
      <c r="C152" s="44" t="s">
        <v>449</v>
      </c>
      <c r="D152" s="45" t="s">
        <v>451</v>
      </c>
      <c r="E152" s="50"/>
      <c r="F152" s="5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4" t="s">
        <v>452</v>
      </c>
      <c r="B153" s="45" t="s">
        <v>453</v>
      </c>
      <c r="C153" s="44" t="s">
        <v>452</v>
      </c>
      <c r="D153" s="45" t="s">
        <v>454</v>
      </c>
      <c r="E153" s="50"/>
      <c r="F153" s="5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4" t="s">
        <v>455</v>
      </c>
      <c r="B154" s="45" t="s">
        <v>456</v>
      </c>
      <c r="C154" s="44" t="s">
        <v>455</v>
      </c>
      <c r="D154" s="45" t="s">
        <v>457</v>
      </c>
      <c r="E154" s="50"/>
      <c r="F154" s="5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0" t="s">
        <v>458</v>
      </c>
      <c r="B155" s="51" t="s">
        <v>459</v>
      </c>
      <c r="C155" s="50" t="s">
        <v>458</v>
      </c>
      <c r="D155" s="51" t="s">
        <v>460</v>
      </c>
      <c r="E155" s="50"/>
      <c r="F155" s="5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5" t="s">
        <v>461</v>
      </c>
      <c r="B156" s="55"/>
      <c r="C156" s="55" t="s">
        <v>461</v>
      </c>
      <c r="D156" s="55"/>
      <c r="E156" s="50"/>
      <c r="F156" s="5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7" t="s">
        <v>462</v>
      </c>
      <c r="B157" s="45" t="s">
        <v>463</v>
      </c>
      <c r="C157" s="57" t="s">
        <v>462</v>
      </c>
      <c r="D157" s="45" t="s">
        <v>464</v>
      </c>
      <c r="E157" s="50"/>
      <c r="F157" s="5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4" t="s">
        <v>465</v>
      </c>
      <c r="B158" s="45" t="s">
        <v>466</v>
      </c>
      <c r="C158" s="44" t="s">
        <v>465</v>
      </c>
      <c r="D158" s="45" t="s">
        <v>467</v>
      </c>
      <c r="E158" s="50"/>
      <c r="F158" s="5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4" t="s">
        <v>468</v>
      </c>
      <c r="B159" s="45" t="s">
        <v>469</v>
      </c>
      <c r="C159" s="44" t="s">
        <v>468</v>
      </c>
      <c r="D159" s="45" t="s">
        <v>470</v>
      </c>
      <c r="E159" s="50"/>
      <c r="F159" s="5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50"/>
      <c r="E160" s="50"/>
      <c r="F160" s="5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50"/>
      <c r="E161" s="50"/>
      <c r="F161" s="5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50"/>
      <c r="E162" s="50"/>
      <c r="F162" s="5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50"/>
      <c r="E163" s="50"/>
      <c r="F163" s="5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50"/>
      <c r="E164" s="50"/>
      <c r="F164" s="5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50"/>
      <c r="E165" s="50"/>
      <c r="F165" s="5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50"/>
      <c r="E166" s="50"/>
      <c r="F166" s="5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50"/>
      <c r="E167" s="50"/>
      <c r="F167" s="5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50"/>
      <c r="E168" s="50"/>
      <c r="F168" s="5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50"/>
      <c r="E169" s="50"/>
      <c r="F169" s="5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50"/>
      <c r="E170" s="50"/>
      <c r="F170" s="5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50"/>
      <c r="E171" s="50"/>
      <c r="F171" s="5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50"/>
      <c r="E172" s="50"/>
      <c r="F172" s="5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50"/>
      <c r="E173" s="50"/>
      <c r="F173" s="5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50"/>
      <c r="E174" s="50"/>
      <c r="F174" s="5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50"/>
      <c r="E175" s="50"/>
      <c r="F175" s="5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50"/>
      <c r="E176" s="50"/>
      <c r="F176" s="5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50"/>
      <c r="E177" s="50"/>
      <c r="F177" s="5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50"/>
      <c r="E178" s="50"/>
      <c r="F178" s="5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50"/>
      <c r="E179" s="50"/>
      <c r="F179" s="5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50"/>
      <c r="E180" s="50"/>
      <c r="F180" s="5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50"/>
      <c r="E181" s="50"/>
      <c r="F181" s="5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50"/>
      <c r="E182" s="50"/>
      <c r="F182" s="5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50"/>
      <c r="E183" s="50"/>
      <c r="F183" s="5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50"/>
      <c r="E184" s="50"/>
      <c r="F184" s="5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50"/>
      <c r="E185" s="50"/>
      <c r="F185" s="5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50"/>
      <c r="E186" s="50"/>
      <c r="F186" s="5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50"/>
      <c r="E187" s="50"/>
      <c r="F187" s="5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50"/>
      <c r="E188" s="50"/>
      <c r="F188" s="5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50"/>
      <c r="E189" s="50"/>
      <c r="F189" s="5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50"/>
      <c r="E190" s="50"/>
      <c r="F190" s="5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50"/>
      <c r="E191" s="50"/>
      <c r="F191" s="5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50"/>
      <c r="E192" s="50"/>
      <c r="F192" s="5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50"/>
      <c r="E193" s="50"/>
      <c r="F193" s="5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50"/>
      <c r="E194" s="50"/>
      <c r="F194" s="5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50"/>
      <c r="E195" s="50"/>
      <c r="F195" s="5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50"/>
      <c r="E196" s="50"/>
      <c r="F196" s="5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50"/>
      <c r="E197" s="50"/>
      <c r="F197" s="5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50"/>
      <c r="E198" s="50"/>
      <c r="F198" s="5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50"/>
      <c r="E199" s="50"/>
      <c r="F199" s="5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50"/>
      <c r="E200" s="50"/>
      <c r="F200" s="5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50"/>
      <c r="E201" s="50"/>
      <c r="F201" s="5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50"/>
      <c r="E202" s="50"/>
      <c r="F202" s="5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50"/>
      <c r="E203" s="50"/>
      <c r="F203" s="5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50"/>
      <c r="E204" s="50"/>
      <c r="F204" s="5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50"/>
      <c r="E205" s="50"/>
      <c r="F205" s="5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50"/>
      <c r="E206" s="50"/>
      <c r="F206" s="5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50"/>
      <c r="E207" s="50"/>
      <c r="F207" s="5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50"/>
      <c r="E208" s="50"/>
      <c r="F208" s="5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50"/>
      <c r="E209" s="50"/>
      <c r="F209" s="5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50"/>
      <c r="E210" s="50"/>
      <c r="F210" s="5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50"/>
      <c r="E211" s="50"/>
      <c r="F211" s="5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50"/>
      <c r="E212" s="50"/>
      <c r="F212" s="5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50"/>
      <c r="E213" s="50"/>
      <c r="F213" s="5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50"/>
      <c r="E214" s="50"/>
      <c r="F214" s="5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50"/>
      <c r="E215" s="50"/>
      <c r="F215" s="5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50"/>
      <c r="E216" s="50"/>
      <c r="F216" s="5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50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50"/>
      <c r="E218" s="50"/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50"/>
      <c r="E219" s="50"/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50"/>
      <c r="E220" s="50"/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50"/>
      <c r="E221" s="50"/>
      <c r="F221" s="5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50"/>
      <c r="E222" s="50"/>
      <c r="F222" s="5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50"/>
      <c r="E223" s="50"/>
      <c r="F223" s="5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50"/>
      <c r="E224" s="50"/>
      <c r="F224" s="5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50"/>
      <c r="E225" s="50"/>
      <c r="F225" s="5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50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50"/>
      <c r="E227" s="50"/>
      <c r="F227" s="5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50"/>
      <c r="E228" s="50"/>
      <c r="F228" s="5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50"/>
      <c r="E229" s="50"/>
      <c r="F229" s="5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50"/>
      <c r="E230" s="50"/>
      <c r="F230" s="5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50"/>
      <c r="E231" s="50"/>
      <c r="F231" s="5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50"/>
      <c r="E232" s="50"/>
      <c r="F232" s="5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50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50"/>
      <c r="E234" s="50"/>
      <c r="F234" s="5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50"/>
      <c r="E235" s="50"/>
      <c r="F235" s="5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50"/>
      <c r="E236" s="50"/>
      <c r="F236" s="5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50"/>
      <c r="E237" s="50"/>
      <c r="F237" s="5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50"/>
      <c r="E238" s="50"/>
      <c r="F238" s="5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50"/>
      <c r="E239" s="50"/>
      <c r="F239" s="5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50"/>
      <c r="E240" s="50"/>
      <c r="F240" s="5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50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50"/>
      <c r="E242" s="50"/>
      <c r="F242" s="5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50"/>
      <c r="E243" s="50"/>
      <c r="F243" s="5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50"/>
      <c r="E244" s="50"/>
      <c r="F244" s="5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50"/>
      <c r="E245" s="50"/>
      <c r="F245" s="5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50"/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50"/>
      <c r="E247" s="50"/>
      <c r="F247" s="5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50"/>
      <c r="E248" s="50"/>
      <c r="F248" s="5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50"/>
      <c r="E249" s="50"/>
      <c r="F249" s="5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50"/>
      <c r="E250" s="50"/>
      <c r="F250" s="5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50"/>
      <c r="E251" s="50"/>
      <c r="F251" s="5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50"/>
      <c r="E252" s="50"/>
      <c r="F252" s="5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50"/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50"/>
      <c r="E254" s="50"/>
      <c r="F254" s="5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50"/>
      <c r="E255" s="50"/>
      <c r="F255" s="5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50"/>
      <c r="E256" s="50"/>
      <c r="F256" s="5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50"/>
      <c r="E257" s="50"/>
      <c r="F257" s="5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50"/>
      <c r="E258" s="50"/>
      <c r="F258" s="5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50"/>
      <c r="E259" s="50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50"/>
      <c r="E260" s="50"/>
      <c r="F260" s="5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50"/>
      <c r="E261" s="50"/>
      <c r="F261" s="5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50"/>
      <c r="E262" s="50"/>
      <c r="F262" s="5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50"/>
      <c r="E263" s="50"/>
      <c r="F263" s="5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50"/>
      <c r="E264" s="50"/>
      <c r="F264" s="5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50"/>
      <c r="E265" s="50"/>
      <c r="F265" s="5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50"/>
      <c r="E266" s="50"/>
      <c r="F266" s="5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50"/>
      <c r="E267" s="50"/>
      <c r="F267" s="5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50"/>
      <c r="E268" s="50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50"/>
      <c r="E269" s="50"/>
      <c r="F269" s="5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50"/>
      <c r="E270" s="50"/>
      <c r="F270" s="5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50"/>
      <c r="E271" s="50"/>
      <c r="F271" s="5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50"/>
      <c r="E272" s="50"/>
      <c r="F272" s="5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50"/>
      <c r="E273" s="50"/>
      <c r="F273" s="5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50"/>
      <c r="E274" s="50"/>
      <c r="F274" s="5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50"/>
      <c r="E275" s="50"/>
      <c r="F275" s="5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50"/>
      <c r="E276" s="50"/>
      <c r="F276" s="5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50"/>
      <c r="E277" s="50"/>
      <c r="F277" s="5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50"/>
      <c r="E278" s="50"/>
      <c r="F278" s="5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50"/>
      <c r="E279" s="50"/>
      <c r="F279" s="5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50"/>
      <c r="E280" s="50"/>
      <c r="F280" s="5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50"/>
      <c r="E281" s="50"/>
      <c r="F281" s="5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50"/>
      <c r="E282" s="50"/>
      <c r="F282" s="5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50"/>
      <c r="E283" s="50"/>
      <c r="F283" s="5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50"/>
      <c r="E284" s="50"/>
      <c r="F284" s="5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50"/>
      <c r="E285" s="50"/>
      <c r="F285" s="5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50"/>
      <c r="E286" s="50"/>
      <c r="F286" s="5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50"/>
      <c r="E287" s="50"/>
      <c r="F287" s="5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50"/>
      <c r="E288" s="50"/>
      <c r="F288" s="5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50"/>
      <c r="E289" s="50"/>
      <c r="F289" s="5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50"/>
      <c r="E290" s="50"/>
      <c r="F290" s="5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50"/>
      <c r="E291" s="50"/>
      <c r="F291" s="5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50"/>
      <c r="E292" s="50"/>
      <c r="F292" s="5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50"/>
      <c r="E293" s="50"/>
      <c r="F293" s="5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50"/>
      <c r="E294" s="50"/>
      <c r="F294" s="5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50"/>
      <c r="E295" s="50"/>
      <c r="F295" s="5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50"/>
      <c r="E296" s="50"/>
      <c r="F296" s="5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50"/>
      <c r="E297" s="50"/>
      <c r="F297" s="5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50"/>
      <c r="E298" s="50"/>
      <c r="F298" s="5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50"/>
      <c r="E299" s="50"/>
      <c r="F299" s="5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50"/>
      <c r="E300" s="50"/>
      <c r="F300" s="5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50"/>
      <c r="E301" s="50"/>
      <c r="F301" s="5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50"/>
      <c r="E302" s="50"/>
      <c r="F302" s="5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50"/>
      <c r="E303" s="50"/>
      <c r="F303" s="5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50"/>
      <c r="E304" s="50"/>
      <c r="F304" s="5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50"/>
      <c r="E305" s="50"/>
      <c r="F305" s="5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50"/>
      <c r="E306" s="50"/>
      <c r="F306" s="5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50"/>
      <c r="E307" s="50"/>
      <c r="F307" s="5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50"/>
      <c r="E308" s="50"/>
      <c r="F308" s="5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50"/>
      <c r="E309" s="50"/>
      <c r="F309" s="5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50"/>
      <c r="E310" s="50"/>
      <c r="F310" s="5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50"/>
      <c r="E311" s="50"/>
      <c r="F311" s="5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50"/>
      <c r="E312" s="50"/>
      <c r="F312" s="5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50"/>
      <c r="E313" s="50"/>
      <c r="F313" s="5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50"/>
      <c r="E314" s="50"/>
      <c r="F314" s="5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50"/>
      <c r="E315" s="50"/>
      <c r="F315" s="5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50"/>
      <c r="E316" s="50"/>
      <c r="F316" s="5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50"/>
      <c r="E317" s="50"/>
      <c r="F317" s="5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50"/>
      <c r="E318" s="50"/>
      <c r="F318" s="5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50"/>
      <c r="E319" s="50"/>
      <c r="F319" s="5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50"/>
      <c r="E320" s="50"/>
      <c r="F320" s="5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50"/>
      <c r="E321" s="50"/>
      <c r="F321" s="5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50"/>
      <c r="E322" s="50"/>
      <c r="F322" s="5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50"/>
      <c r="E323" s="50"/>
      <c r="F323" s="5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50"/>
      <c r="E324" s="50"/>
      <c r="F324" s="5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50"/>
      <c r="E325" s="50"/>
      <c r="F325" s="5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50"/>
      <c r="E326" s="50"/>
      <c r="F326" s="5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50"/>
      <c r="E327" s="50"/>
      <c r="F327" s="5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50"/>
      <c r="E328" s="50"/>
      <c r="F328" s="5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50"/>
      <c r="E329" s="50"/>
      <c r="F329" s="5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50"/>
      <c r="E330" s="50"/>
      <c r="F330" s="5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50"/>
      <c r="E331" s="50"/>
      <c r="F331" s="5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50"/>
      <c r="E332" s="50"/>
      <c r="F332" s="5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50"/>
      <c r="E333" s="50"/>
      <c r="F333" s="5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50"/>
      <c r="E334" s="50"/>
      <c r="F334" s="5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50"/>
      <c r="E335" s="50"/>
      <c r="F335" s="5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50"/>
      <c r="E336" s="50"/>
      <c r="F336" s="5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50"/>
      <c r="E337" s="50"/>
      <c r="F337" s="5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50"/>
      <c r="E338" s="50"/>
      <c r="F338" s="5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50"/>
      <c r="E339" s="50"/>
      <c r="F339" s="5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50"/>
      <c r="E340" s="50"/>
      <c r="F340" s="5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50"/>
      <c r="E341" s="50"/>
      <c r="F341" s="5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50"/>
      <c r="E342" s="50"/>
      <c r="F342" s="5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50"/>
      <c r="E343" s="50"/>
      <c r="F343" s="5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50"/>
      <c r="E344" s="50"/>
      <c r="F344" s="5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50"/>
      <c r="E345" s="50"/>
      <c r="F345" s="5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50"/>
      <c r="E346" s="50"/>
      <c r="F346" s="5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50"/>
      <c r="E347" s="50"/>
      <c r="F347" s="5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50"/>
      <c r="E348" s="50"/>
      <c r="F348" s="5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50"/>
      <c r="E349" s="50"/>
      <c r="F349" s="5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50"/>
      <c r="E350" s="50"/>
      <c r="F350" s="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50"/>
      <c r="E351" s="50"/>
      <c r="F351" s="5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50"/>
      <c r="E352" s="50"/>
      <c r="F352" s="5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50"/>
      <c r="E353" s="50"/>
      <c r="F353" s="5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50"/>
      <c r="E354" s="50"/>
      <c r="F354" s="5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50"/>
      <c r="E355" s="50"/>
      <c r="F355" s="5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50"/>
      <c r="E356" s="50"/>
      <c r="F356" s="5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50"/>
      <c r="E357" s="50"/>
      <c r="F357" s="5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50"/>
      <c r="E358" s="50"/>
      <c r="F358" s="5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50"/>
      <c r="E359" s="50"/>
      <c r="F359" s="5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50"/>
      <c r="E360" s="50"/>
      <c r="F360" s="5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50"/>
      <c r="E361" s="50"/>
      <c r="F361" s="5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50"/>
      <c r="E362" s="50"/>
      <c r="F362" s="5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50"/>
      <c r="E363" s="50"/>
      <c r="F363" s="5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50"/>
      <c r="E364" s="50"/>
      <c r="F364" s="5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50"/>
      <c r="E365" s="50"/>
      <c r="F365" s="5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50"/>
      <c r="E366" s="50"/>
      <c r="F366" s="5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50"/>
      <c r="E367" s="50"/>
      <c r="F367" s="5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50"/>
      <c r="E368" s="50"/>
      <c r="F368" s="5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50"/>
      <c r="E369" s="50"/>
      <c r="F369" s="5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50"/>
      <c r="E370" s="50"/>
      <c r="F370" s="5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50"/>
      <c r="E371" s="50"/>
      <c r="F371" s="5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50"/>
      <c r="E372" s="50"/>
      <c r="F372" s="5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50"/>
      <c r="E373" s="50"/>
      <c r="F373" s="5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50"/>
      <c r="E374" s="50"/>
      <c r="F374" s="5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50"/>
      <c r="E375" s="50"/>
      <c r="F375" s="5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50"/>
      <c r="E376" s="50"/>
      <c r="F376" s="5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50"/>
      <c r="E377" s="50"/>
      <c r="F377" s="5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50"/>
      <c r="E378" s="50"/>
      <c r="F378" s="5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50"/>
      <c r="E379" s="50"/>
      <c r="F379" s="5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50"/>
      <c r="E380" s="50"/>
      <c r="F380" s="5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50"/>
      <c r="E381" s="50"/>
      <c r="F381" s="5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50"/>
      <c r="E382" s="50"/>
      <c r="F382" s="5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50"/>
      <c r="E383" s="50"/>
      <c r="F383" s="5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50"/>
      <c r="E384" s="50"/>
      <c r="F384" s="5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50"/>
      <c r="E385" s="50"/>
      <c r="F385" s="5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50"/>
      <c r="E386" s="50"/>
      <c r="F386" s="5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50"/>
      <c r="E387" s="50"/>
      <c r="F387" s="5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50"/>
      <c r="E388" s="50"/>
      <c r="F388" s="5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50"/>
      <c r="E389" s="50"/>
      <c r="F389" s="5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50"/>
      <c r="E390" s="50"/>
      <c r="F390" s="5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50"/>
      <c r="E391" s="50"/>
      <c r="F391" s="5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50"/>
      <c r="E392" s="50"/>
      <c r="F392" s="5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50"/>
      <c r="E393" s="50"/>
      <c r="F393" s="5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50"/>
      <c r="E394" s="50"/>
      <c r="F394" s="5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50"/>
      <c r="E395" s="50"/>
      <c r="F395" s="5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50"/>
      <c r="E396" s="50"/>
      <c r="F396" s="5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50"/>
      <c r="E397" s="50"/>
      <c r="F397" s="5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50"/>
      <c r="E398" s="50"/>
      <c r="F398" s="5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50"/>
      <c r="E399" s="50"/>
      <c r="F399" s="5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50"/>
      <c r="E400" s="50"/>
      <c r="F400" s="5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50"/>
      <c r="E401" s="50"/>
      <c r="F401" s="5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50"/>
      <c r="E402" s="50"/>
      <c r="F402" s="5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50"/>
      <c r="E403" s="50"/>
      <c r="F403" s="5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50"/>
      <c r="E404" s="50"/>
      <c r="F404" s="5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50"/>
      <c r="E405" s="50"/>
      <c r="F405" s="5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50"/>
      <c r="E406" s="50"/>
      <c r="F406" s="5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50"/>
      <c r="E407" s="50"/>
      <c r="F407" s="5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50"/>
      <c r="E408" s="50"/>
      <c r="F408" s="5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50"/>
      <c r="E409" s="50"/>
      <c r="F409" s="5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50"/>
      <c r="E410" s="50"/>
      <c r="F410" s="5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50"/>
      <c r="E411" s="50"/>
      <c r="F411" s="5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50"/>
      <c r="E412" s="50"/>
      <c r="F412" s="5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50"/>
      <c r="E413" s="50"/>
      <c r="F413" s="5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50"/>
      <c r="E414" s="50"/>
      <c r="F414" s="5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50"/>
      <c r="E415" s="50"/>
      <c r="F415" s="5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50"/>
      <c r="E416" s="50"/>
      <c r="F416" s="5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50"/>
      <c r="E417" s="50"/>
      <c r="F417" s="5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50"/>
      <c r="E418" s="50"/>
      <c r="F418" s="5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50"/>
      <c r="E419" s="50"/>
      <c r="F419" s="5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50"/>
      <c r="E420" s="50"/>
      <c r="F420" s="5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50"/>
      <c r="E421" s="50"/>
      <c r="F421" s="5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50"/>
      <c r="E422" s="50"/>
      <c r="F422" s="5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50"/>
      <c r="E423" s="50"/>
      <c r="F423" s="5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50"/>
      <c r="E424" s="50"/>
      <c r="F424" s="5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50"/>
      <c r="E425" s="50"/>
      <c r="F425" s="5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50"/>
      <c r="E426" s="50"/>
      <c r="F426" s="5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50"/>
      <c r="E427" s="50"/>
      <c r="F427" s="5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50"/>
      <c r="E428" s="50"/>
      <c r="F428" s="5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50"/>
      <c r="E429" s="50"/>
      <c r="F429" s="5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50"/>
      <c r="E430" s="50"/>
      <c r="F430" s="5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50"/>
      <c r="E431" s="50"/>
      <c r="F431" s="5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50"/>
      <c r="E432" s="50"/>
      <c r="F432" s="5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50"/>
      <c r="E433" s="50"/>
      <c r="F433" s="5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50"/>
      <c r="E434" s="50"/>
      <c r="F434" s="5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50"/>
      <c r="E435" s="50"/>
      <c r="F435" s="5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50"/>
      <c r="E436" s="50"/>
      <c r="F436" s="5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50"/>
      <c r="E437" s="50"/>
      <c r="F437" s="5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50"/>
      <c r="E438" s="50"/>
      <c r="F438" s="5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50"/>
      <c r="E439" s="50"/>
      <c r="F439" s="5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50"/>
      <c r="E440" s="50"/>
      <c r="F440" s="5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50"/>
      <c r="E441" s="50"/>
      <c r="F441" s="5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50"/>
      <c r="E442" s="50"/>
      <c r="F442" s="5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50"/>
      <c r="E443" s="50"/>
      <c r="F443" s="5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50"/>
      <c r="E444" s="50"/>
      <c r="F444" s="5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50"/>
      <c r="E445" s="50"/>
      <c r="F445" s="5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50"/>
      <c r="E446" s="50"/>
      <c r="F446" s="5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50"/>
      <c r="E447" s="50"/>
      <c r="F447" s="5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50"/>
      <c r="E448" s="50"/>
      <c r="F448" s="5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50"/>
      <c r="E449" s="50"/>
      <c r="F449" s="5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50"/>
      <c r="E450" s="50"/>
      <c r="F450" s="5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50"/>
      <c r="E451" s="50"/>
      <c r="F451" s="5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50"/>
      <c r="E452" s="50"/>
      <c r="F452" s="5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50"/>
      <c r="E453" s="50"/>
      <c r="F453" s="5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50"/>
      <c r="E454" s="50"/>
      <c r="F454" s="5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50"/>
      <c r="E455" s="50"/>
      <c r="F455" s="5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50"/>
      <c r="E456" s="50"/>
      <c r="F456" s="5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50"/>
      <c r="E457" s="50"/>
      <c r="F457" s="5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50"/>
      <c r="E458" s="50"/>
      <c r="F458" s="5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50"/>
      <c r="E459" s="50"/>
      <c r="F459" s="5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50"/>
      <c r="E460" s="50"/>
      <c r="F460" s="5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50"/>
      <c r="E461" s="50"/>
      <c r="F461" s="5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50"/>
      <c r="E462" s="50"/>
      <c r="F462" s="5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50"/>
      <c r="E463" s="50"/>
      <c r="F463" s="5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50"/>
      <c r="E464" s="50"/>
      <c r="F464" s="5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50"/>
      <c r="E465" s="50"/>
      <c r="F465" s="5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50"/>
      <c r="E466" s="50"/>
      <c r="F466" s="5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50"/>
      <c r="E467" s="50"/>
      <c r="F467" s="5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50"/>
      <c r="E468" s="50"/>
      <c r="F468" s="5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50"/>
      <c r="E469" s="50"/>
      <c r="F469" s="5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50"/>
      <c r="E470" s="50"/>
      <c r="F470" s="5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50"/>
      <c r="E471" s="50"/>
      <c r="F471" s="5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50"/>
      <c r="E472" s="50"/>
      <c r="F472" s="5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50"/>
      <c r="E473" s="50"/>
      <c r="F473" s="5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50"/>
      <c r="E474" s="50"/>
      <c r="F474" s="5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50"/>
      <c r="E475" s="50"/>
      <c r="F475" s="5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50"/>
      <c r="E476" s="50"/>
      <c r="F476" s="5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50"/>
      <c r="E477" s="50"/>
      <c r="F477" s="5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50"/>
      <c r="E478" s="50"/>
      <c r="F478" s="5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50"/>
      <c r="E479" s="50"/>
      <c r="F479" s="5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50"/>
      <c r="E480" s="50"/>
      <c r="F480" s="5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50"/>
      <c r="E481" s="50"/>
      <c r="F481" s="5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50"/>
      <c r="E482" s="50"/>
      <c r="F482" s="5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50"/>
      <c r="E483" s="50"/>
      <c r="F483" s="5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50"/>
      <c r="E484" s="50"/>
      <c r="F484" s="5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50"/>
      <c r="E485" s="50"/>
      <c r="F485" s="5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50"/>
      <c r="E486" s="50"/>
      <c r="F486" s="5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50"/>
      <c r="E487" s="50"/>
      <c r="F487" s="5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50"/>
      <c r="E488" s="50"/>
      <c r="F488" s="5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50"/>
      <c r="E489" s="50"/>
      <c r="F489" s="5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50"/>
      <c r="E490" s="50"/>
      <c r="F490" s="5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50"/>
      <c r="E491" s="50"/>
      <c r="F491" s="5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50"/>
      <c r="E492" s="50"/>
      <c r="F492" s="5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50"/>
      <c r="E493" s="50"/>
      <c r="F493" s="5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50"/>
      <c r="E494" s="50"/>
      <c r="F494" s="5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50"/>
      <c r="E495" s="50"/>
      <c r="F495" s="5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50"/>
      <c r="E496" s="50"/>
      <c r="F496" s="5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50"/>
      <c r="E497" s="50"/>
      <c r="F497" s="5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50"/>
      <c r="E498" s="50"/>
      <c r="F498" s="5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50"/>
      <c r="E499" s="50"/>
      <c r="F499" s="5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50"/>
      <c r="E500" s="50"/>
      <c r="F500" s="5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50"/>
      <c r="E501" s="50"/>
      <c r="F501" s="5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50"/>
      <c r="E502" s="50"/>
      <c r="F502" s="5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50"/>
      <c r="E503" s="50"/>
      <c r="F503" s="5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50"/>
      <c r="E504" s="50"/>
      <c r="F504" s="5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50"/>
      <c r="E505" s="50"/>
      <c r="F505" s="5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50"/>
      <c r="E506" s="50"/>
      <c r="F506" s="5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50"/>
      <c r="E507" s="50"/>
      <c r="F507" s="5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50"/>
      <c r="E508" s="50"/>
      <c r="F508" s="5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50"/>
      <c r="E509" s="50"/>
      <c r="F509" s="5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50"/>
      <c r="E510" s="50"/>
      <c r="F510" s="5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50"/>
      <c r="E511" s="50"/>
      <c r="F511" s="5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50"/>
      <c r="E512" s="50"/>
      <c r="F512" s="5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50"/>
      <c r="E513" s="50"/>
      <c r="F513" s="5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50"/>
      <c r="E514" s="50"/>
      <c r="F514" s="5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50"/>
      <c r="E515" s="50"/>
      <c r="F515" s="5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50"/>
      <c r="E516" s="50"/>
      <c r="F516" s="5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50"/>
      <c r="E517" s="50"/>
      <c r="F517" s="5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50"/>
      <c r="E518" s="50"/>
      <c r="F518" s="5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50"/>
      <c r="E519" s="50"/>
      <c r="F519" s="5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50"/>
      <c r="E520" s="50"/>
      <c r="F520" s="5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50"/>
      <c r="E521" s="50"/>
      <c r="F521" s="5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50"/>
      <c r="E522" s="50"/>
      <c r="F522" s="5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50"/>
      <c r="E523" s="50"/>
      <c r="F523" s="5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50"/>
      <c r="E524" s="50"/>
      <c r="F524" s="5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50"/>
      <c r="E525" s="50"/>
      <c r="F525" s="5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50"/>
      <c r="E526" s="50"/>
      <c r="F526" s="5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50"/>
      <c r="E527" s="50"/>
      <c r="F527" s="5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50"/>
      <c r="E528" s="50"/>
      <c r="F528" s="5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50"/>
      <c r="E529" s="50"/>
      <c r="F529" s="5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50"/>
      <c r="E530" s="50"/>
      <c r="F530" s="5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50"/>
      <c r="E531" s="50"/>
      <c r="F531" s="5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50"/>
      <c r="E532" s="50"/>
      <c r="F532" s="5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50"/>
      <c r="E533" s="50"/>
      <c r="F533" s="5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50"/>
      <c r="E534" s="50"/>
      <c r="F534" s="5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50"/>
      <c r="E535" s="50"/>
      <c r="F535" s="5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50"/>
      <c r="E536" s="50"/>
      <c r="F536" s="5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50"/>
      <c r="E537" s="50"/>
      <c r="F537" s="5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50"/>
      <c r="E538" s="50"/>
      <c r="F538" s="5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50"/>
      <c r="E539" s="50"/>
      <c r="F539" s="5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50"/>
      <c r="E540" s="50"/>
      <c r="F540" s="5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50"/>
      <c r="E541" s="50"/>
      <c r="F541" s="5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50"/>
      <c r="E542" s="50"/>
      <c r="F542" s="5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50"/>
      <c r="E543" s="50"/>
      <c r="F543" s="5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50"/>
      <c r="E544" s="50"/>
      <c r="F544" s="5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50"/>
      <c r="E545" s="50"/>
      <c r="F545" s="5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50"/>
      <c r="E546" s="50"/>
      <c r="F546" s="5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50"/>
      <c r="E547" s="50"/>
      <c r="F547" s="5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50"/>
      <c r="E548" s="50"/>
      <c r="F548" s="5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50"/>
      <c r="E549" s="50"/>
      <c r="F549" s="5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50"/>
      <c r="E550" s="50"/>
      <c r="F550" s="5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50"/>
      <c r="E551" s="50"/>
      <c r="F551" s="5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50"/>
      <c r="E552" s="50"/>
      <c r="F552" s="5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50"/>
      <c r="E553" s="50"/>
      <c r="F553" s="5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50"/>
      <c r="E554" s="50"/>
      <c r="F554" s="5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50"/>
      <c r="E555" s="50"/>
      <c r="F555" s="5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50"/>
      <c r="E556" s="50"/>
      <c r="F556" s="5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50"/>
      <c r="E557" s="50"/>
      <c r="F557" s="5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50"/>
      <c r="E558" s="50"/>
      <c r="F558" s="5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50"/>
      <c r="E559" s="50"/>
      <c r="F559" s="5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50"/>
      <c r="E560" s="50"/>
      <c r="F560" s="5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50"/>
      <c r="E561" s="50"/>
      <c r="F561" s="5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50"/>
      <c r="E562" s="50"/>
      <c r="F562" s="5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50"/>
      <c r="E563" s="50"/>
      <c r="F563" s="5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50"/>
      <c r="E564" s="50"/>
      <c r="F564" s="5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50"/>
      <c r="E565" s="50"/>
      <c r="F565" s="5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50"/>
      <c r="E566" s="50"/>
      <c r="F566" s="5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50"/>
      <c r="E567" s="50"/>
      <c r="F567" s="5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50"/>
      <c r="E568" s="50"/>
      <c r="F568" s="5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50"/>
      <c r="E569" s="50"/>
      <c r="F569" s="5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50"/>
      <c r="E570" s="50"/>
      <c r="F570" s="5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50"/>
      <c r="E571" s="50"/>
      <c r="F571" s="5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50"/>
      <c r="E572" s="50"/>
      <c r="F572" s="5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50"/>
      <c r="E573" s="50"/>
      <c r="F573" s="5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50"/>
      <c r="E574" s="50"/>
      <c r="F574" s="5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50"/>
      <c r="E575" s="50"/>
      <c r="F575" s="5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50"/>
      <c r="E576" s="50"/>
      <c r="F576" s="5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50"/>
      <c r="E577" s="50"/>
      <c r="F577" s="5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50"/>
      <c r="E578" s="50"/>
      <c r="F578" s="5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50"/>
      <c r="E579" s="50"/>
      <c r="F579" s="5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50"/>
      <c r="E580" s="50"/>
      <c r="F580" s="5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50"/>
      <c r="E581" s="50"/>
      <c r="F581" s="5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50"/>
      <c r="E582" s="50"/>
      <c r="F582" s="5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50"/>
      <c r="E583" s="50"/>
      <c r="F583" s="5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50"/>
      <c r="E584" s="50"/>
      <c r="F584" s="5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50"/>
      <c r="E585" s="50"/>
      <c r="F585" s="5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50"/>
      <c r="E586" s="50"/>
      <c r="F586" s="5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50"/>
      <c r="E587" s="50"/>
      <c r="F587" s="5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50"/>
      <c r="E588" s="50"/>
      <c r="F588" s="5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50"/>
      <c r="E589" s="50"/>
      <c r="F589" s="5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50"/>
      <c r="E590" s="50"/>
      <c r="F590" s="5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50"/>
      <c r="E591" s="50"/>
      <c r="F591" s="5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50"/>
      <c r="E592" s="50"/>
      <c r="F592" s="5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50"/>
      <c r="E593" s="50"/>
      <c r="F593" s="5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50"/>
      <c r="E594" s="50"/>
      <c r="F594" s="5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50"/>
      <c r="E595" s="50"/>
      <c r="F595" s="5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50"/>
      <c r="E596" s="50"/>
      <c r="F596" s="5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50"/>
      <c r="E597" s="50"/>
      <c r="F597" s="5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50"/>
      <c r="E598" s="50"/>
      <c r="F598" s="5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50"/>
      <c r="E599" s="50"/>
      <c r="F599" s="5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50"/>
      <c r="E600" s="50"/>
      <c r="F600" s="5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50"/>
      <c r="E601" s="50"/>
      <c r="F601" s="5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50"/>
      <c r="E602" s="50"/>
      <c r="F602" s="5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50"/>
      <c r="E603" s="50"/>
      <c r="F603" s="5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50"/>
      <c r="E604" s="50"/>
      <c r="F604" s="5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50"/>
      <c r="E605" s="50"/>
      <c r="F605" s="5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50"/>
      <c r="E606" s="50"/>
      <c r="F606" s="5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50"/>
      <c r="E607" s="50"/>
      <c r="F607" s="5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50"/>
      <c r="E608" s="50"/>
      <c r="F608" s="5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50"/>
      <c r="E609" s="50"/>
      <c r="F609" s="5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50"/>
      <c r="E610" s="50"/>
      <c r="F610" s="5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50"/>
      <c r="E611" s="50"/>
      <c r="F611" s="5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50"/>
      <c r="E612" s="50"/>
      <c r="F612" s="5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50"/>
      <c r="E613" s="50"/>
      <c r="F613" s="5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50"/>
      <c r="E614" s="50"/>
      <c r="F614" s="5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50"/>
      <c r="E615" s="50"/>
      <c r="F615" s="5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50"/>
      <c r="E616" s="50"/>
      <c r="F616" s="5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50"/>
      <c r="E617" s="50"/>
      <c r="F617" s="5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50"/>
      <c r="E618" s="50"/>
      <c r="F618" s="5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50"/>
      <c r="E619" s="50"/>
      <c r="F619" s="5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50"/>
      <c r="E620" s="50"/>
      <c r="F620" s="5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50"/>
      <c r="E621" s="50"/>
      <c r="F621" s="5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50"/>
      <c r="E622" s="50"/>
      <c r="F622" s="5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50"/>
      <c r="E623" s="50"/>
      <c r="F623" s="5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50"/>
      <c r="E624" s="50"/>
      <c r="F624" s="5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50"/>
      <c r="E625" s="50"/>
      <c r="F625" s="5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50"/>
      <c r="E626" s="50"/>
      <c r="F626" s="5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50"/>
      <c r="E627" s="50"/>
      <c r="F627" s="5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50"/>
      <c r="E628" s="50"/>
      <c r="F628" s="5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50"/>
      <c r="E629" s="50"/>
      <c r="F629" s="5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50"/>
      <c r="E630" s="50"/>
      <c r="F630" s="5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50"/>
      <c r="E631" s="50"/>
      <c r="F631" s="5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50"/>
      <c r="E632" s="50"/>
      <c r="F632" s="5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50"/>
      <c r="E633" s="50"/>
      <c r="F633" s="5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50"/>
      <c r="E634" s="50"/>
      <c r="F634" s="5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50"/>
      <c r="E635" s="50"/>
      <c r="F635" s="5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50"/>
      <c r="E636" s="50"/>
      <c r="F636" s="5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50"/>
      <c r="E637" s="50"/>
      <c r="F637" s="5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50"/>
      <c r="E638" s="50"/>
      <c r="F638" s="5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50"/>
      <c r="E639" s="50"/>
      <c r="F639" s="5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50"/>
      <c r="E640" s="50"/>
      <c r="F640" s="5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50"/>
      <c r="E641" s="50"/>
      <c r="F641" s="5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50"/>
      <c r="E642" s="50"/>
      <c r="F642" s="5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50"/>
      <c r="E643" s="50"/>
      <c r="F643" s="5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50"/>
      <c r="E644" s="50"/>
      <c r="F644" s="5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50"/>
      <c r="E645" s="50"/>
      <c r="F645" s="5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50"/>
      <c r="E646" s="50"/>
      <c r="F646" s="5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50"/>
      <c r="E647" s="50"/>
      <c r="F647" s="5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50"/>
      <c r="E648" s="50"/>
      <c r="F648" s="5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50"/>
      <c r="E649" s="50"/>
      <c r="F649" s="5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50"/>
      <c r="E650" s="50"/>
      <c r="F650" s="5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50"/>
      <c r="E651" s="50"/>
      <c r="F651" s="5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50"/>
      <c r="E652" s="50"/>
      <c r="F652" s="5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50"/>
      <c r="E653" s="50"/>
      <c r="F653" s="5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50"/>
      <c r="E654" s="50"/>
      <c r="F654" s="5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50"/>
      <c r="E655" s="50"/>
      <c r="F655" s="5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50"/>
      <c r="E656" s="50"/>
      <c r="F656" s="5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50"/>
      <c r="E657" s="50"/>
      <c r="F657" s="5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50"/>
      <c r="E658" s="50"/>
      <c r="F658" s="5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50"/>
      <c r="E659" s="50"/>
      <c r="F659" s="5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50"/>
      <c r="E660" s="50"/>
      <c r="F660" s="5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50"/>
      <c r="E661" s="50"/>
      <c r="F661" s="5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50"/>
      <c r="E662" s="50"/>
      <c r="F662" s="5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50"/>
      <c r="E663" s="50"/>
      <c r="F663" s="5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50"/>
      <c r="E664" s="50"/>
      <c r="F664" s="5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50"/>
      <c r="E665" s="50"/>
      <c r="F665" s="5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50"/>
      <c r="E666" s="50"/>
      <c r="F666" s="5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50"/>
      <c r="E667" s="50"/>
      <c r="F667" s="5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50"/>
      <c r="E668" s="50"/>
      <c r="F668" s="5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50"/>
      <c r="E669" s="50"/>
      <c r="F669" s="5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50"/>
      <c r="E670" s="50"/>
      <c r="F670" s="5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50"/>
      <c r="E671" s="50"/>
      <c r="F671" s="5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50"/>
      <c r="E672" s="50"/>
      <c r="F672" s="5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50"/>
      <c r="E673" s="50"/>
      <c r="F673" s="5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50"/>
      <c r="E674" s="50"/>
      <c r="F674" s="5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50"/>
      <c r="E675" s="50"/>
      <c r="F675" s="5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50"/>
      <c r="E676" s="50"/>
      <c r="F676" s="5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50"/>
      <c r="E677" s="50"/>
      <c r="F677" s="5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50"/>
      <c r="E678" s="50"/>
      <c r="F678" s="5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50"/>
      <c r="E679" s="50"/>
      <c r="F679" s="5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50"/>
      <c r="E680" s="50"/>
      <c r="F680" s="5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50"/>
      <c r="E681" s="50"/>
      <c r="F681" s="5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50"/>
      <c r="E682" s="50"/>
      <c r="F682" s="5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50"/>
      <c r="E683" s="50"/>
      <c r="F683" s="5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50"/>
      <c r="E684" s="50"/>
      <c r="F684" s="5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50"/>
      <c r="E685" s="50"/>
      <c r="F685" s="5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50"/>
      <c r="E686" s="50"/>
      <c r="F686" s="5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50"/>
      <c r="E687" s="50"/>
      <c r="F687" s="5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50"/>
      <c r="E688" s="50"/>
      <c r="F688" s="5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50"/>
      <c r="E689" s="50"/>
      <c r="F689" s="5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50"/>
      <c r="E690" s="50"/>
      <c r="F690" s="5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50"/>
      <c r="E691" s="50"/>
      <c r="F691" s="5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50"/>
      <c r="E692" s="50"/>
      <c r="F692" s="5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50"/>
      <c r="E693" s="50"/>
      <c r="F693" s="5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50"/>
      <c r="E694" s="50"/>
      <c r="F694" s="5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50"/>
      <c r="E695" s="50"/>
      <c r="F695" s="5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50"/>
      <c r="E696" s="50"/>
      <c r="F696" s="5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50"/>
      <c r="E697" s="50"/>
      <c r="F697" s="5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50"/>
      <c r="E698" s="50"/>
      <c r="F698" s="5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50"/>
      <c r="E699" s="50"/>
      <c r="F699" s="5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50"/>
      <c r="E700" s="50"/>
      <c r="F700" s="5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50"/>
      <c r="E701" s="50"/>
      <c r="F701" s="5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50"/>
      <c r="E702" s="50"/>
      <c r="F702" s="5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50"/>
      <c r="E703" s="50"/>
      <c r="F703" s="5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50"/>
      <c r="E704" s="50"/>
      <c r="F704" s="5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50"/>
      <c r="E705" s="50"/>
      <c r="F705" s="5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50"/>
      <c r="E706" s="50"/>
      <c r="F706" s="5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50"/>
      <c r="E707" s="50"/>
      <c r="F707" s="5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50"/>
      <c r="E708" s="50"/>
      <c r="F708" s="5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50"/>
      <c r="E709" s="50"/>
      <c r="F709" s="5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50"/>
      <c r="E710" s="50"/>
      <c r="F710" s="5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50"/>
      <c r="E711" s="50"/>
      <c r="F711" s="5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50"/>
      <c r="E712" s="50"/>
      <c r="F712" s="5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50"/>
      <c r="E713" s="50"/>
      <c r="F713" s="5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50"/>
      <c r="E714" s="50"/>
      <c r="F714" s="5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50"/>
      <c r="E715" s="50"/>
      <c r="F715" s="5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50"/>
      <c r="E716" s="50"/>
      <c r="F716" s="5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50"/>
      <c r="E717" s="50"/>
      <c r="F717" s="5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50"/>
      <c r="E718" s="50"/>
      <c r="F718" s="5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50"/>
      <c r="E719" s="50"/>
      <c r="F719" s="5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50"/>
      <c r="E720" s="50"/>
      <c r="F720" s="5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50"/>
      <c r="E721" s="50"/>
      <c r="F721" s="5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50"/>
      <c r="E722" s="50"/>
      <c r="F722" s="5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50"/>
      <c r="E723" s="50"/>
      <c r="F723" s="5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50"/>
      <c r="E724" s="50"/>
      <c r="F724" s="5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50"/>
      <c r="E725" s="50"/>
      <c r="F725" s="5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50"/>
      <c r="E726" s="50"/>
      <c r="F726" s="5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50"/>
      <c r="E727" s="50"/>
      <c r="F727" s="5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50"/>
      <c r="E728" s="50"/>
      <c r="F728" s="5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50"/>
      <c r="E729" s="50"/>
      <c r="F729" s="5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50"/>
      <c r="E730" s="50"/>
      <c r="F730" s="5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50"/>
      <c r="E731" s="50"/>
      <c r="F731" s="5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50"/>
      <c r="E732" s="50"/>
      <c r="F732" s="5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50"/>
      <c r="E733" s="50"/>
      <c r="F733" s="5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50"/>
      <c r="E734" s="50"/>
      <c r="F734" s="5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50"/>
      <c r="E735" s="50"/>
      <c r="F735" s="5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50"/>
      <c r="E736" s="50"/>
      <c r="F736" s="5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50"/>
      <c r="E737" s="50"/>
      <c r="F737" s="5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50"/>
      <c r="E738" s="50"/>
      <c r="F738" s="5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50"/>
      <c r="E739" s="50"/>
      <c r="F739" s="5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50"/>
      <c r="E740" s="50"/>
      <c r="F740" s="5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50"/>
      <c r="E741" s="50"/>
      <c r="F741" s="5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50"/>
      <c r="E742" s="50"/>
      <c r="F742" s="5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50"/>
      <c r="E743" s="50"/>
      <c r="F743" s="5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50"/>
      <c r="E744" s="50"/>
      <c r="F744" s="5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50"/>
      <c r="E745" s="50"/>
      <c r="F745" s="5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50"/>
      <c r="E746" s="50"/>
      <c r="F746" s="5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50"/>
      <c r="E747" s="50"/>
      <c r="F747" s="5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50"/>
      <c r="E748" s="50"/>
      <c r="F748" s="5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50"/>
      <c r="E749" s="50"/>
      <c r="F749" s="5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50"/>
      <c r="E750" s="50"/>
      <c r="F750" s="5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50"/>
      <c r="E751" s="50"/>
      <c r="F751" s="5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50"/>
      <c r="E752" s="50"/>
      <c r="F752" s="5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50"/>
      <c r="E753" s="50"/>
      <c r="F753" s="5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50"/>
      <c r="E754" s="50"/>
      <c r="F754" s="5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50"/>
      <c r="E755" s="50"/>
      <c r="F755" s="5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50"/>
      <c r="E756" s="50"/>
      <c r="F756" s="5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50"/>
      <c r="E757" s="50"/>
      <c r="F757" s="5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50"/>
      <c r="E758" s="50"/>
      <c r="F758" s="5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50"/>
      <c r="E759" s="50"/>
      <c r="F759" s="5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50"/>
      <c r="E760" s="50"/>
      <c r="F760" s="5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50"/>
      <c r="E761" s="50"/>
      <c r="F761" s="5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50"/>
      <c r="E762" s="50"/>
      <c r="F762" s="5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50"/>
      <c r="E763" s="50"/>
      <c r="F763" s="5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50"/>
      <c r="E764" s="50"/>
      <c r="F764" s="5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50"/>
      <c r="E765" s="50"/>
      <c r="F765" s="5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50"/>
      <c r="E766" s="50"/>
      <c r="F766" s="5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50"/>
      <c r="E767" s="50"/>
      <c r="F767" s="5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50"/>
      <c r="E768" s="50"/>
      <c r="F768" s="5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50"/>
      <c r="E769" s="50"/>
      <c r="F769" s="5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50"/>
      <c r="E770" s="50"/>
      <c r="F770" s="5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50"/>
      <c r="E771" s="50"/>
      <c r="F771" s="5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50"/>
      <c r="E772" s="50"/>
      <c r="F772" s="5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50"/>
      <c r="E773" s="50"/>
      <c r="F773" s="5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50"/>
      <c r="E774" s="50"/>
      <c r="F774" s="5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50"/>
      <c r="E775" s="50"/>
      <c r="F775" s="5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50"/>
      <c r="E776" s="50"/>
      <c r="F776" s="5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50"/>
      <c r="E777" s="50"/>
      <c r="F777" s="5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50"/>
      <c r="E778" s="50"/>
      <c r="F778" s="5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50"/>
      <c r="E779" s="50"/>
      <c r="F779" s="5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50"/>
      <c r="E780" s="50"/>
      <c r="F780" s="5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50"/>
      <c r="E781" s="50"/>
      <c r="F781" s="5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50"/>
      <c r="E782" s="50"/>
      <c r="F782" s="5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50"/>
      <c r="E783" s="50"/>
      <c r="F783" s="5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50"/>
      <c r="E784" s="50"/>
      <c r="F784" s="5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50"/>
      <c r="E785" s="50"/>
      <c r="F785" s="5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50"/>
      <c r="E786" s="50"/>
      <c r="F786" s="5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50"/>
      <c r="E787" s="50"/>
      <c r="F787" s="5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50"/>
      <c r="E788" s="50"/>
      <c r="F788" s="5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50"/>
      <c r="E789" s="50"/>
      <c r="F789" s="5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50"/>
      <c r="E790" s="50"/>
      <c r="F790" s="5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50"/>
      <c r="E791" s="50"/>
      <c r="F791" s="5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50"/>
      <c r="E792" s="50"/>
      <c r="F792" s="5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50"/>
      <c r="E793" s="50"/>
      <c r="F793" s="5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50"/>
      <c r="E794" s="50"/>
      <c r="F794" s="5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50"/>
      <c r="E795" s="50"/>
      <c r="F795" s="5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50"/>
      <c r="E796" s="50"/>
      <c r="F796" s="5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50"/>
      <c r="E797" s="50"/>
      <c r="F797" s="5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50"/>
      <c r="E798" s="50"/>
      <c r="F798" s="5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50"/>
      <c r="E799" s="50"/>
      <c r="F799" s="5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50"/>
      <c r="E800" s="50"/>
      <c r="F800" s="5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50"/>
      <c r="E801" s="50"/>
      <c r="F801" s="5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50"/>
      <c r="E802" s="50"/>
      <c r="F802" s="5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50"/>
      <c r="E803" s="50"/>
      <c r="F803" s="5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50"/>
      <c r="E804" s="50"/>
      <c r="F804" s="5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50"/>
      <c r="E805" s="50"/>
      <c r="F805" s="5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50"/>
      <c r="E806" s="50"/>
      <c r="F806" s="5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50"/>
      <c r="E807" s="50"/>
      <c r="F807" s="5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50"/>
      <c r="E808" s="50"/>
      <c r="F808" s="5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50"/>
      <c r="E809" s="50"/>
      <c r="F809" s="5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50"/>
      <c r="E810" s="50"/>
      <c r="F810" s="5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50"/>
      <c r="E811" s="50"/>
      <c r="F811" s="5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50"/>
      <c r="E812" s="50"/>
      <c r="F812" s="5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50"/>
      <c r="E813" s="50"/>
      <c r="F813" s="5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50"/>
      <c r="E814" s="50"/>
      <c r="F814" s="5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50"/>
      <c r="E815" s="50"/>
      <c r="F815" s="5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50"/>
      <c r="E816" s="50"/>
      <c r="F816" s="5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50"/>
      <c r="E817" s="50"/>
      <c r="F817" s="5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50"/>
      <c r="E818" s="50"/>
      <c r="F818" s="5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50"/>
      <c r="E819" s="50"/>
      <c r="F819" s="5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50"/>
      <c r="E820" s="50"/>
      <c r="F820" s="5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50"/>
      <c r="E821" s="50"/>
      <c r="F821" s="5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50"/>
      <c r="E822" s="50"/>
      <c r="F822" s="5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50"/>
      <c r="E823" s="50"/>
      <c r="F823" s="5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50"/>
      <c r="E824" s="50"/>
      <c r="F824" s="5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50"/>
      <c r="E825" s="50"/>
      <c r="F825" s="5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50"/>
      <c r="E826" s="50"/>
      <c r="F826" s="5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50"/>
      <c r="E827" s="50"/>
      <c r="F827" s="5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50"/>
      <c r="E828" s="50"/>
      <c r="F828" s="5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50"/>
      <c r="E829" s="50"/>
      <c r="F829" s="5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50"/>
      <c r="E830" s="50"/>
      <c r="F830" s="5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50"/>
      <c r="E831" s="50"/>
      <c r="F831" s="5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50"/>
      <c r="E832" s="50"/>
      <c r="F832" s="5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50"/>
      <c r="E833" s="50"/>
      <c r="F833" s="5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50"/>
      <c r="E834" s="50"/>
      <c r="F834" s="5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50"/>
      <c r="E835" s="50"/>
      <c r="F835" s="5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50"/>
      <c r="E836" s="50"/>
      <c r="F836" s="5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50"/>
      <c r="E837" s="50"/>
      <c r="F837" s="5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50"/>
      <c r="E838" s="50"/>
      <c r="F838" s="5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50"/>
      <c r="E839" s="50"/>
      <c r="F839" s="5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50"/>
      <c r="E840" s="50"/>
      <c r="F840" s="5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50"/>
      <c r="E841" s="50"/>
      <c r="F841" s="5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50"/>
      <c r="E842" s="50"/>
      <c r="F842" s="5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50"/>
      <c r="E843" s="50"/>
      <c r="F843" s="5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50"/>
      <c r="E844" s="50"/>
      <c r="F844" s="5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50"/>
      <c r="E845" s="50"/>
      <c r="F845" s="5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50"/>
      <c r="E846" s="50"/>
      <c r="F846" s="5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50"/>
      <c r="E847" s="50"/>
      <c r="F847" s="5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50"/>
      <c r="E848" s="50"/>
      <c r="F848" s="5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50"/>
      <c r="E849" s="50"/>
      <c r="F849" s="5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50"/>
      <c r="E850" s="50"/>
      <c r="F850" s="5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50"/>
      <c r="E851" s="50"/>
      <c r="F851" s="5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50"/>
      <c r="E852" s="50"/>
      <c r="F852" s="5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50"/>
      <c r="E853" s="50"/>
      <c r="F853" s="5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50"/>
      <c r="E854" s="50"/>
      <c r="F854" s="5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50"/>
      <c r="E855" s="50"/>
      <c r="F855" s="5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50"/>
      <c r="E856" s="50"/>
      <c r="F856" s="5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50"/>
      <c r="E857" s="50"/>
      <c r="F857" s="5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50"/>
      <c r="E858" s="50"/>
      <c r="F858" s="5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50"/>
      <c r="E859" s="50"/>
      <c r="F859" s="5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50"/>
      <c r="E860" s="50"/>
      <c r="F860" s="5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50"/>
      <c r="E861" s="50"/>
      <c r="F861" s="5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50"/>
      <c r="E862" s="50"/>
      <c r="F862" s="5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50"/>
      <c r="E863" s="50"/>
      <c r="F863" s="5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50"/>
      <c r="E864" s="50"/>
      <c r="F864" s="5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50"/>
      <c r="E865" s="50"/>
      <c r="F865" s="5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50"/>
      <c r="E866" s="50"/>
      <c r="F866" s="5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50"/>
      <c r="E867" s="50"/>
      <c r="F867" s="5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50"/>
      <c r="E868" s="50"/>
      <c r="F868" s="5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50"/>
      <c r="E869" s="50"/>
      <c r="F869" s="5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50"/>
      <c r="E870" s="50"/>
      <c r="F870" s="5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50"/>
      <c r="E871" s="50"/>
      <c r="F871" s="5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50"/>
      <c r="E872" s="50"/>
      <c r="F872" s="5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50"/>
      <c r="E873" s="50"/>
      <c r="F873" s="5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50"/>
      <c r="E874" s="50"/>
      <c r="F874" s="5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50"/>
      <c r="E875" s="50"/>
      <c r="F875" s="5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50"/>
      <c r="E876" s="50"/>
      <c r="F876" s="5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50"/>
      <c r="E877" s="50"/>
      <c r="F877" s="5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50"/>
      <c r="E878" s="50"/>
      <c r="F878" s="5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50"/>
      <c r="E879" s="50"/>
      <c r="F879" s="5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50"/>
      <c r="E880" s="50"/>
      <c r="F880" s="5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50"/>
      <c r="E881" s="50"/>
      <c r="F881" s="5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50"/>
      <c r="E882" s="50"/>
      <c r="F882" s="5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50"/>
      <c r="E883" s="50"/>
      <c r="F883" s="5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50"/>
      <c r="E884" s="50"/>
      <c r="F884" s="5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50"/>
      <c r="E885" s="50"/>
      <c r="F885" s="5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50"/>
      <c r="E886" s="50"/>
      <c r="F886" s="5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50"/>
      <c r="E887" s="50"/>
      <c r="F887" s="5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50"/>
      <c r="E888" s="50"/>
      <c r="F888" s="5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50"/>
      <c r="E889" s="50"/>
      <c r="F889" s="5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50"/>
      <c r="E890" s="50"/>
      <c r="F890" s="5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50"/>
      <c r="E891" s="50"/>
      <c r="F891" s="5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50"/>
      <c r="E892" s="50"/>
      <c r="F892" s="5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50"/>
      <c r="E893" s="50"/>
      <c r="F893" s="5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50"/>
      <c r="E894" s="50"/>
      <c r="F894" s="5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50"/>
      <c r="E895" s="50"/>
      <c r="F895" s="5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50"/>
      <c r="E896" s="50"/>
      <c r="F896" s="5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50"/>
      <c r="E897" s="50"/>
      <c r="F897" s="5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50"/>
      <c r="E898" s="50"/>
      <c r="F898" s="5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50"/>
      <c r="E899" s="50"/>
      <c r="F899" s="5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50"/>
      <c r="E900" s="50"/>
      <c r="F900" s="5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50"/>
      <c r="E901" s="50"/>
      <c r="F901" s="5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50"/>
      <c r="E902" s="50"/>
      <c r="F902" s="5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50"/>
      <c r="E903" s="50"/>
      <c r="F903" s="5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50"/>
      <c r="E904" s="50"/>
      <c r="F904" s="5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50"/>
      <c r="E905" s="50"/>
      <c r="F905" s="5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50"/>
      <c r="E906" s="50"/>
      <c r="F906" s="5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50"/>
      <c r="E907" s="50"/>
      <c r="F907" s="5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50"/>
      <c r="E908" s="50"/>
      <c r="F908" s="5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50"/>
      <c r="E909" s="50"/>
      <c r="F909" s="5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50"/>
      <c r="E910" s="50"/>
      <c r="F910" s="5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50"/>
      <c r="E911" s="50"/>
      <c r="F911" s="5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50"/>
      <c r="E912" s="50"/>
      <c r="F912" s="5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50"/>
      <c r="E913" s="50"/>
      <c r="F913" s="5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50"/>
      <c r="E914" s="50"/>
      <c r="F914" s="5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50"/>
      <c r="E915" s="50"/>
      <c r="F915" s="5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50"/>
      <c r="E916" s="50"/>
      <c r="F916" s="5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50"/>
      <c r="E917" s="50"/>
      <c r="F917" s="5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50"/>
      <c r="E918" s="50"/>
      <c r="F918" s="5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50"/>
      <c r="E919" s="50"/>
      <c r="F919" s="5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50"/>
      <c r="E920" s="50"/>
      <c r="F920" s="5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50"/>
      <c r="E921" s="50"/>
      <c r="F921" s="5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50"/>
      <c r="E922" s="50"/>
      <c r="F922" s="5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50"/>
      <c r="E923" s="50"/>
      <c r="F923" s="5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50"/>
      <c r="E924" s="50"/>
      <c r="F924" s="5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50"/>
      <c r="E925" s="50"/>
      <c r="F925" s="5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50"/>
      <c r="E926" s="50"/>
      <c r="F926" s="5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50"/>
      <c r="E927" s="50"/>
      <c r="F927" s="5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50"/>
      <c r="E928" s="50"/>
      <c r="F928" s="5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50"/>
      <c r="E929" s="50"/>
      <c r="F929" s="5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50"/>
      <c r="E930" s="50"/>
      <c r="F930" s="5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50"/>
      <c r="E931" s="50"/>
      <c r="F931" s="5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50"/>
      <c r="E932" s="50"/>
      <c r="F932" s="5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50"/>
      <c r="E933" s="50"/>
      <c r="F933" s="5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50"/>
      <c r="E934" s="50"/>
      <c r="F934" s="5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50"/>
      <c r="E935" s="50"/>
      <c r="F935" s="5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50"/>
      <c r="E936" s="50"/>
      <c r="F936" s="5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50"/>
      <c r="E937" s="50"/>
      <c r="F937" s="5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50"/>
      <c r="E938" s="50"/>
      <c r="F938" s="5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50"/>
      <c r="E939" s="50"/>
      <c r="F939" s="5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50"/>
      <c r="E940" s="50"/>
      <c r="F940" s="5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50"/>
      <c r="E941" s="50"/>
      <c r="F941" s="5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50"/>
      <c r="E942" s="50"/>
      <c r="F942" s="5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50"/>
      <c r="E943" s="50"/>
      <c r="F943" s="5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50"/>
      <c r="E944" s="50"/>
      <c r="F944" s="5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50"/>
      <c r="E945" s="50"/>
      <c r="F945" s="5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50"/>
      <c r="E946" s="50"/>
      <c r="F946" s="5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50"/>
      <c r="E947" s="50"/>
      <c r="F947" s="5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50"/>
      <c r="E948" s="50"/>
      <c r="F948" s="5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50"/>
      <c r="E949" s="50"/>
      <c r="F949" s="5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50"/>
      <c r="E950" s="50"/>
      <c r="F950" s="5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50"/>
      <c r="E951" s="50"/>
      <c r="F951" s="5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50"/>
      <c r="E952" s="50"/>
      <c r="F952" s="5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50"/>
      <c r="E953" s="50"/>
      <c r="F953" s="5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50"/>
      <c r="E954" s="50"/>
      <c r="F954" s="5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50"/>
      <c r="E955" s="50"/>
      <c r="F955" s="5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50"/>
      <c r="E956" s="50"/>
      <c r="F956" s="5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50"/>
      <c r="E957" s="50"/>
      <c r="F957" s="5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50"/>
      <c r="E958" s="50"/>
      <c r="F958" s="5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50"/>
      <c r="E959" s="50"/>
      <c r="F959" s="5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50"/>
      <c r="E960" s="50"/>
      <c r="F960" s="5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50"/>
      <c r="E961" s="50"/>
      <c r="F961" s="5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50"/>
      <c r="E962" s="50"/>
      <c r="F962" s="5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50"/>
      <c r="E963" s="50"/>
      <c r="F963" s="5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50"/>
      <c r="E964" s="50"/>
      <c r="F964" s="5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50"/>
      <c r="E965" s="50"/>
      <c r="F965" s="5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50"/>
      <c r="E966" s="50"/>
      <c r="F966" s="5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50"/>
      <c r="E967" s="50"/>
      <c r="F967" s="5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50"/>
      <c r="E968" s="50"/>
      <c r="F968" s="5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50"/>
      <c r="E969" s="50"/>
      <c r="F969" s="5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50"/>
      <c r="E970" s="50"/>
      <c r="F970" s="5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50"/>
      <c r="E971" s="50"/>
      <c r="F971" s="5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50"/>
      <c r="E972" s="50"/>
      <c r="F972" s="5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50"/>
      <c r="E973" s="50"/>
      <c r="F973" s="5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50"/>
      <c r="E974" s="50"/>
      <c r="F974" s="5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50"/>
      <c r="E975" s="50"/>
      <c r="F975" s="5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50"/>
      <c r="E976" s="50"/>
      <c r="F976" s="5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50"/>
      <c r="E977" s="50"/>
      <c r="F977" s="5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50"/>
      <c r="E978" s="50"/>
      <c r="F978" s="5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50"/>
      <c r="E979" s="50"/>
      <c r="F979" s="5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50"/>
      <c r="E980" s="50"/>
      <c r="F980" s="5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50"/>
      <c r="E981" s="50"/>
      <c r="F981" s="5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50"/>
      <c r="E982" s="50"/>
      <c r="F982" s="5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50"/>
      <c r="E983" s="50"/>
      <c r="F983" s="5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50"/>
      <c r="E984" s="50"/>
      <c r="F984" s="5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50"/>
      <c r="E985" s="50"/>
      <c r="F985" s="5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50"/>
      <c r="E986" s="50"/>
      <c r="F986" s="5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50"/>
      <c r="E987" s="50"/>
      <c r="F987" s="5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50"/>
      <c r="E988" s="50"/>
      <c r="F988" s="5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50"/>
      <c r="E989" s="50"/>
      <c r="F989" s="5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50"/>
      <c r="E990" s="50"/>
      <c r="F990" s="5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50"/>
      <c r="E991" s="50"/>
      <c r="F991" s="5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50"/>
      <c r="E992" s="50"/>
      <c r="F992" s="5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50"/>
      <c r="E993" s="50"/>
      <c r="F993" s="5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50"/>
      <c r="E994" s="50"/>
      <c r="F994" s="5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50"/>
      <c r="E995" s="50"/>
      <c r="F995" s="5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50"/>
      <c r="E996" s="50"/>
      <c r="F996" s="5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50"/>
      <c r="E997" s="50"/>
      <c r="F997" s="5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50"/>
      <c r="E998" s="50"/>
      <c r="F998" s="5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50"/>
      <c r="E999" s="50"/>
      <c r="F999" s="5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50"/>
      <c r="E1000" s="50"/>
      <c r="F1000" s="5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6.14"/>
    <col customWidth="1" min="3" max="3" width="16.86"/>
    <col customWidth="1" min="8" max="8" width="42.29"/>
  </cols>
  <sheetData>
    <row r="1">
      <c r="A1" s="58" t="s">
        <v>471</v>
      </c>
      <c r="B1" s="20"/>
      <c r="C1" s="58" t="s">
        <v>472</v>
      </c>
      <c r="D1" s="59" t="s">
        <v>473</v>
      </c>
      <c r="E1" s="20"/>
      <c r="F1" s="20"/>
      <c r="G1" s="20"/>
      <c r="H1" s="60"/>
      <c r="I1" s="20"/>
      <c r="J1" s="25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58" t="s">
        <v>474</v>
      </c>
      <c r="D2" s="25" t="s">
        <v>475</v>
      </c>
      <c r="E2" s="58" t="s">
        <v>476</v>
      </c>
      <c r="F2" s="25" t="s">
        <v>477</v>
      </c>
      <c r="G2" s="20"/>
      <c r="H2" s="60"/>
      <c r="I2" s="20"/>
      <c r="J2" s="25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I3" s="20"/>
      <c r="J3" s="25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61" t="str">
        <f>IFERROR(__xludf.DUMMYFUNCTION("IMPORTRANGE(D1,""Country Data!A1:H235"")"),"Rank")</f>
        <v>Rank</v>
      </c>
      <c r="B4" s="62" t="str">
        <f>IFERROR(__xludf.DUMMYFUNCTION("""COMPUTED_VALUE"""),"Country or area")</f>
        <v>Country or area</v>
      </c>
      <c r="C4" s="63" t="str">
        <f>IFERROR(__xludf.DUMMYFUNCTION("""COMPUTED_VALUE"""),"Continental Region")</f>
        <v>Continental Region</v>
      </c>
      <c r="D4" s="63" t="str">
        <f>IFERROR(__xludf.DUMMYFUNCTION("""COMPUTED_VALUE"""),"Region")</f>
        <v>Region</v>
      </c>
      <c r="E4" s="63" t="str">
        <f>IFERROR(__xludf.DUMMYFUNCTION("""COMPUTED_VALUE"""),"Population 2016")</f>
        <v>Population 2016</v>
      </c>
      <c r="F4" s="63" t="str">
        <f>IFERROR(__xludf.DUMMYFUNCTION("""COMPUTED_VALUE"""),"Population 2017")</f>
        <v>Population 2017</v>
      </c>
      <c r="G4" s="63" t="str">
        <f>IFERROR(__xludf.DUMMYFUNCTION("""COMPUTED_VALUE"""),"Change")</f>
        <v>Change</v>
      </c>
      <c r="H4" s="64" t="str">
        <f>IFERROR(__xludf.DUMMYFUNCTION("""COMPUTED_VALUE"""),"Foods")</f>
        <v>Foods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65">
        <f>IFERROR(__xludf.DUMMYFUNCTION("""COMPUTED_VALUE"""),1.0)</f>
        <v>1</v>
      </c>
      <c r="B5" s="65" t="str">
        <f>IFERROR(__xludf.DUMMYFUNCTION("""COMPUTED_VALUE"""),"China")</f>
        <v>China</v>
      </c>
      <c r="C5" s="20" t="str">
        <f>IFERROR(__xludf.DUMMYFUNCTION("""COMPUTED_VALUE"""),"Asia")</f>
        <v>Asia</v>
      </c>
      <c r="D5" s="20" t="str">
        <f>IFERROR(__xludf.DUMMYFUNCTION("""COMPUTED_VALUE"""),"Eastern Asia")</f>
        <v>Eastern Asia</v>
      </c>
      <c r="E5" s="66">
        <f>IFERROR(__xludf.DUMMYFUNCTION("""COMPUTED_VALUE"""),1.403500365E9)</f>
        <v>1403500365</v>
      </c>
      <c r="F5" s="66">
        <f>IFERROR(__xludf.DUMMYFUNCTION("""COMPUTED_VALUE"""),1.409517397E9)</f>
        <v>1409517397</v>
      </c>
      <c r="G5" s="67">
        <f>IFERROR(__xludf.DUMMYFUNCTION("""COMPUTED_VALUE"""),0.0043)</f>
        <v>0.0043</v>
      </c>
      <c r="H5" s="60" t="str">
        <f>IFERROR(__xludf.DUMMYFUNCTION("""COMPUTED_VALUE"""),"Peking Duck,  Lo mein, chow mein and lamian, fried rice, dumplings, Mao's braised pork")</f>
        <v>Peking Duck,  Lo mein, chow mein and lamian, fried rice, dumplings, Mao's braised pork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5">
        <f>IFERROR(__xludf.DUMMYFUNCTION("""COMPUTED_VALUE"""),2.0)</f>
        <v>2</v>
      </c>
      <c r="B6" s="65" t="str">
        <f>IFERROR(__xludf.DUMMYFUNCTION("""COMPUTED_VALUE"""),"India")</f>
        <v>India</v>
      </c>
      <c r="C6" s="20" t="str">
        <f>IFERROR(__xludf.DUMMYFUNCTION("""COMPUTED_VALUE"""),"Asia")</f>
        <v>Asia</v>
      </c>
      <c r="D6" s="20" t="str">
        <f>IFERROR(__xludf.DUMMYFUNCTION("""COMPUTED_VALUE"""),"Southern Asia")</f>
        <v>Southern Asia</v>
      </c>
      <c r="E6" s="66">
        <f>IFERROR(__xludf.DUMMYFUNCTION("""COMPUTED_VALUE"""),1.324171354E9)</f>
        <v>1324171354</v>
      </c>
      <c r="F6" s="66">
        <f>IFERROR(__xludf.DUMMYFUNCTION("""COMPUTED_VALUE"""),1.339180127E9)</f>
        <v>1339180127</v>
      </c>
      <c r="G6" s="67">
        <f>IFERROR(__xludf.DUMMYFUNCTION("""COMPUTED_VALUE"""),0.0113)</f>
        <v>0.0113</v>
      </c>
      <c r="H6" s="60" t="str">
        <f>IFERROR(__xludf.DUMMYFUNCTION("""COMPUTED_VALUE"""),"Achar, Dosa, Idli, Roti, Paratta, Bhindi, Samosa, Pav Bhaji, Baingan, Lassi, Paan, Tandoori Chicken, Rogan Josh, Chicken Tikka Masala, Chicken Vindaloo, Shami Kabab")</f>
        <v>Achar, Dosa, Idli, Roti, Paratta, Bhindi, Samosa, Pav Bhaji, Baingan, Lassi, Paan, Tandoori Chicken, Rogan Josh, Chicken Tikka Masala, Chicken Vindaloo, Shami Kabab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65">
        <f>IFERROR(__xludf.DUMMYFUNCTION("""COMPUTED_VALUE"""),3.0)</f>
        <v>3</v>
      </c>
      <c r="B7" s="65" t="str">
        <f>IFERROR(__xludf.DUMMYFUNCTION("""COMPUTED_VALUE"""),"United States")</f>
        <v>United States</v>
      </c>
      <c r="C7" s="20" t="str">
        <f>IFERROR(__xludf.DUMMYFUNCTION("""COMPUTED_VALUE"""),"Americas")</f>
        <v>Americas</v>
      </c>
      <c r="D7" s="20" t="str">
        <f>IFERROR(__xludf.DUMMYFUNCTION("""COMPUTED_VALUE"""),"Northern America")</f>
        <v>Northern America</v>
      </c>
      <c r="E7" s="66">
        <f>IFERROR(__xludf.DUMMYFUNCTION("""COMPUTED_VALUE"""),3.22179605E8)</f>
        <v>322179605</v>
      </c>
      <c r="F7" s="66">
        <f>IFERROR(__xludf.DUMMYFUNCTION("""COMPUTED_VALUE"""),3.24459463E8)</f>
        <v>324459463</v>
      </c>
      <c r="G7" s="67">
        <f>IFERROR(__xludf.DUMMYFUNCTION("""COMPUTED_VALUE"""),0.0071)</f>
        <v>0.0071</v>
      </c>
      <c r="H7" s="60" t="str">
        <f>IFERROR(__xludf.DUMMYFUNCTION("""COMPUTED_VALUE"""),"Apple pie, Hamburger, brownies")</f>
        <v>Apple pie, Hamburger, brownies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65">
        <f>IFERROR(__xludf.DUMMYFUNCTION("""COMPUTED_VALUE"""),4.0)</f>
        <v>4</v>
      </c>
      <c r="B8" s="65" t="str">
        <f>IFERROR(__xludf.DUMMYFUNCTION("""COMPUTED_VALUE"""),"Indonesia")</f>
        <v>Indonesia</v>
      </c>
      <c r="C8" s="20" t="str">
        <f>IFERROR(__xludf.DUMMYFUNCTION("""COMPUTED_VALUE"""),"Asia")</f>
        <v>Asia</v>
      </c>
      <c r="D8" s="20" t="str">
        <f>IFERROR(__xludf.DUMMYFUNCTION("""COMPUTED_VALUE"""),"South-eastern Asia")</f>
        <v>South-eastern Asia</v>
      </c>
      <c r="E8" s="66">
        <f>IFERROR(__xludf.DUMMYFUNCTION("""COMPUTED_VALUE"""),2.61115456E8)</f>
        <v>261115456</v>
      </c>
      <c r="F8" s="66">
        <f>IFERROR(__xludf.DUMMYFUNCTION("""COMPUTED_VALUE"""),2.63991379E8)</f>
        <v>263991379</v>
      </c>
      <c r="G8" s="67">
        <f>IFERROR(__xludf.DUMMYFUNCTION("""COMPUTED_VALUE"""),0.011)</f>
        <v>0.011</v>
      </c>
      <c r="H8" s="60" t="str">
        <f>IFERROR(__xludf.DUMMYFUNCTION("""COMPUTED_VALUE"""),"Soto, Rendang, Sate, Nasi goreng, Gado gado, Tumpeng,")</f>
        <v>Soto, Rendang, Sate, Nasi goreng, Gado gado, Tumpeng,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65">
        <f>IFERROR(__xludf.DUMMYFUNCTION("""COMPUTED_VALUE"""),5.0)</f>
        <v>5</v>
      </c>
      <c r="B9" s="65" t="str">
        <f>IFERROR(__xludf.DUMMYFUNCTION("""COMPUTED_VALUE"""),"Brazil")</f>
        <v>Brazil</v>
      </c>
      <c r="C9" s="20" t="str">
        <f>IFERROR(__xludf.DUMMYFUNCTION("""COMPUTED_VALUE"""),"Americas")</f>
        <v>Americas</v>
      </c>
      <c r="D9" s="20" t="str">
        <f>IFERROR(__xludf.DUMMYFUNCTION("""COMPUTED_VALUE"""),"South America")</f>
        <v>South America</v>
      </c>
      <c r="E9" s="66">
        <f>IFERROR(__xludf.DUMMYFUNCTION("""COMPUTED_VALUE"""),2.07652865E8)</f>
        <v>207652865</v>
      </c>
      <c r="F9" s="66">
        <f>IFERROR(__xludf.DUMMYFUNCTION("""COMPUTED_VALUE"""),2.09288278E8)</f>
        <v>209288278</v>
      </c>
      <c r="G9" s="67">
        <f>IFERROR(__xludf.DUMMYFUNCTION("""COMPUTED_VALUE"""),0.0079)</f>
        <v>0.0079</v>
      </c>
      <c r="H9" s="60" t="str">
        <f>IFERROR(__xludf.DUMMYFUNCTION("""COMPUTED_VALUE"""),"Feijoada")</f>
        <v>Feijoada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65">
        <f>IFERROR(__xludf.DUMMYFUNCTION("""COMPUTED_VALUE"""),6.0)</f>
        <v>6</v>
      </c>
      <c r="B10" s="65" t="str">
        <f>IFERROR(__xludf.DUMMYFUNCTION("""COMPUTED_VALUE"""),"Pakistan")</f>
        <v>Pakistan</v>
      </c>
      <c r="C10" s="20" t="str">
        <f>IFERROR(__xludf.DUMMYFUNCTION("""COMPUTED_VALUE"""),"Asia")</f>
        <v>Asia</v>
      </c>
      <c r="D10" s="20" t="str">
        <f>IFERROR(__xludf.DUMMYFUNCTION("""COMPUTED_VALUE"""),"Southern Asia")</f>
        <v>Southern Asia</v>
      </c>
      <c r="E10" s="66">
        <f>IFERROR(__xludf.DUMMYFUNCTION("""COMPUTED_VALUE"""),1.93203476E8)</f>
        <v>193203476</v>
      </c>
      <c r="F10" s="66">
        <f>IFERROR(__xludf.DUMMYFUNCTION("""COMPUTED_VALUE"""),1.97015955E8)</f>
        <v>197015955</v>
      </c>
      <c r="G10" s="67">
        <f>IFERROR(__xludf.DUMMYFUNCTION("""COMPUTED_VALUE"""),0.0197)</f>
        <v>0.0197</v>
      </c>
      <c r="H10" s="60" t="str">
        <f>IFERROR(__xludf.DUMMYFUNCTION("""COMPUTED_VALUE"""),"Kabab, Pulao, Nihari")</f>
        <v>Kabab, Pulao, Nihari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65">
        <f>IFERROR(__xludf.DUMMYFUNCTION("""COMPUTED_VALUE"""),7.0)</f>
        <v>7</v>
      </c>
      <c r="B11" s="65" t="str">
        <f>IFERROR(__xludf.DUMMYFUNCTION("""COMPUTED_VALUE"""),"Nigeria")</f>
        <v>Nigeria</v>
      </c>
      <c r="C11" s="20" t="str">
        <f>IFERROR(__xludf.DUMMYFUNCTION("""COMPUTED_VALUE"""),"Africa")</f>
        <v>Africa</v>
      </c>
      <c r="D11" s="20" t="str">
        <f>IFERROR(__xludf.DUMMYFUNCTION("""COMPUTED_VALUE"""),"Western Africa")</f>
        <v>Western Africa</v>
      </c>
      <c r="E11" s="66">
        <f>IFERROR(__xludf.DUMMYFUNCTION("""COMPUTED_VALUE"""),1.8598964E8)</f>
        <v>185989640</v>
      </c>
      <c r="F11" s="66">
        <f>IFERROR(__xludf.DUMMYFUNCTION("""COMPUTED_VALUE"""),1.90886311E8)</f>
        <v>190886311</v>
      </c>
      <c r="G11" s="67">
        <f>IFERROR(__xludf.DUMMYFUNCTION("""COMPUTED_VALUE"""),0.0263)</f>
        <v>0.0263</v>
      </c>
      <c r="H11" s="60" t="str">
        <f>IFERROR(__xludf.DUMMYFUNCTION("""COMPUTED_VALUE"""),"Fufu and Egusi soup")</f>
        <v>Fufu and Egusi soup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65">
        <f>IFERROR(__xludf.DUMMYFUNCTION("""COMPUTED_VALUE"""),8.0)</f>
        <v>8</v>
      </c>
      <c r="B12" s="65" t="str">
        <f>IFERROR(__xludf.DUMMYFUNCTION("""COMPUTED_VALUE"""),"Bangladesh")</f>
        <v>Bangladesh</v>
      </c>
      <c r="C12" s="20" t="str">
        <f>IFERROR(__xludf.DUMMYFUNCTION("""COMPUTED_VALUE"""),"Asia")</f>
        <v>Asia</v>
      </c>
      <c r="D12" s="20" t="str">
        <f>IFERROR(__xludf.DUMMYFUNCTION("""COMPUTED_VALUE"""),"Southern Asia")</f>
        <v>Southern Asia</v>
      </c>
      <c r="E12" s="66">
        <f>IFERROR(__xludf.DUMMYFUNCTION("""COMPUTED_VALUE"""),1.6295156E8)</f>
        <v>162951560</v>
      </c>
      <c r="F12" s="66">
        <f>IFERROR(__xludf.DUMMYFUNCTION("""COMPUTED_VALUE"""),1.64669751E8)</f>
        <v>164669751</v>
      </c>
      <c r="G12" s="67">
        <f>IFERROR(__xludf.DUMMYFUNCTION("""COMPUTED_VALUE"""),0.0105)</f>
        <v>0.0105</v>
      </c>
      <c r="H12" s="60" t="str">
        <f>IFERROR(__xludf.DUMMYFUNCTION("""COMPUTED_VALUE"""),"Rice and Ilish, Shorshe Ilish, Machh bhaja, Machher Jhol, Bhuna, Chicken Korma")</f>
        <v>Rice and Ilish, Shorshe Ilish, Machh bhaja, Machher Jhol, Bhuna, Chicken Korma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65">
        <f>IFERROR(__xludf.DUMMYFUNCTION("""COMPUTED_VALUE"""),9.0)</f>
        <v>9</v>
      </c>
      <c r="B13" s="65" t="str">
        <f>IFERROR(__xludf.DUMMYFUNCTION("""COMPUTED_VALUE"""),"Russia")</f>
        <v>Russia</v>
      </c>
      <c r="C13" s="20" t="str">
        <f>IFERROR(__xludf.DUMMYFUNCTION("""COMPUTED_VALUE"""),"Europe")</f>
        <v>Europe</v>
      </c>
      <c r="D13" s="20" t="str">
        <f>IFERROR(__xludf.DUMMYFUNCTION("""COMPUTED_VALUE"""),"Eastern Europe")</f>
        <v>Eastern Europe</v>
      </c>
      <c r="E13" s="66">
        <f>IFERROR(__xludf.DUMMYFUNCTION("""COMPUTED_VALUE"""),1.43964513E8)</f>
        <v>143964513</v>
      </c>
      <c r="F13" s="66">
        <f>IFERROR(__xludf.DUMMYFUNCTION("""COMPUTED_VALUE"""),1.43989754E8)</f>
        <v>143989754</v>
      </c>
      <c r="G13" s="67">
        <f>IFERROR(__xludf.DUMMYFUNCTION("""COMPUTED_VALUE"""),2.0E-4)</f>
        <v>0.0002</v>
      </c>
      <c r="H13" s="60" t="str">
        <f>IFERROR(__xludf.DUMMYFUNCTION("""COMPUTED_VALUE"""),"Pelmeni, Shchi, Kasha, Pirogi, Pirozhki")</f>
        <v>Pelmeni, Shchi, Kasha, Pirogi, Pirozhki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65">
        <f>IFERROR(__xludf.DUMMYFUNCTION("""COMPUTED_VALUE"""),10.0)</f>
        <v>10</v>
      </c>
      <c r="B14" s="65" t="str">
        <f>IFERROR(__xludf.DUMMYFUNCTION("""COMPUTED_VALUE"""),"Mexico")</f>
        <v>Mexico</v>
      </c>
      <c r="C14" s="20" t="str">
        <f>IFERROR(__xludf.DUMMYFUNCTION("""COMPUTED_VALUE"""),"Americas")</f>
        <v>Americas</v>
      </c>
      <c r="D14" s="20" t="str">
        <f>IFERROR(__xludf.DUMMYFUNCTION("""COMPUTED_VALUE"""),"Central America")</f>
        <v>Central America</v>
      </c>
      <c r="E14" s="66">
        <f>IFERROR(__xludf.DUMMYFUNCTION("""COMPUTED_VALUE"""),1.27540423E8)</f>
        <v>127540423</v>
      </c>
      <c r="F14" s="66">
        <f>IFERROR(__xludf.DUMMYFUNCTION("""COMPUTED_VALUE"""),1.29163276E8)</f>
        <v>129163276</v>
      </c>
      <c r="G14" s="67">
        <f>IFERROR(__xludf.DUMMYFUNCTION("""COMPUTED_VALUE"""),0.0127)</f>
        <v>0.0127</v>
      </c>
      <c r="H14" s="60" t="str">
        <f>IFERROR(__xludf.DUMMYFUNCTION("""COMPUTED_VALUE"""),"Tacos, Mole poblano, Chiles en nogada")</f>
        <v>Tacos, Mole poblano, Chiles en nogada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65">
        <f>IFERROR(__xludf.DUMMYFUNCTION("""COMPUTED_VALUE"""),11.0)</f>
        <v>11</v>
      </c>
      <c r="B15" s="65" t="str">
        <f>IFERROR(__xludf.DUMMYFUNCTION("""COMPUTED_VALUE"""),"Japan")</f>
        <v>Japan</v>
      </c>
      <c r="C15" s="20" t="str">
        <f>IFERROR(__xludf.DUMMYFUNCTION("""COMPUTED_VALUE"""),"Asia")</f>
        <v>Asia</v>
      </c>
      <c r="D15" s="20" t="str">
        <f>IFERROR(__xludf.DUMMYFUNCTION("""COMPUTED_VALUE"""),"Eastern Asia")</f>
        <v>Eastern Asia</v>
      </c>
      <c r="E15" s="66">
        <f>IFERROR(__xludf.DUMMYFUNCTION("""COMPUTED_VALUE"""),1.27748513E8)</f>
        <v>127748513</v>
      </c>
      <c r="F15" s="66">
        <f>IFERROR(__xludf.DUMMYFUNCTION("""COMPUTED_VALUE"""),1.2748445E8)</f>
        <v>127484450</v>
      </c>
      <c r="G15" s="67">
        <f>IFERROR(__xludf.DUMMYFUNCTION("""COMPUTED_VALUE"""),-0.0021)</f>
        <v>-0.0021</v>
      </c>
      <c r="H15" s="60" t="str">
        <f>IFERROR(__xludf.DUMMYFUNCTION("""COMPUTED_VALUE"""),"Sushi, Japanese curry, Ramen")</f>
        <v>Sushi, Japanese curry, Ramen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65">
        <f>IFERROR(__xludf.DUMMYFUNCTION("""COMPUTED_VALUE"""),12.0)</f>
        <v>12</v>
      </c>
      <c r="B16" s="65" t="str">
        <f>IFERROR(__xludf.DUMMYFUNCTION("""COMPUTED_VALUE"""),"Ethiopia")</f>
        <v>Ethiopia</v>
      </c>
      <c r="C16" s="20" t="str">
        <f>IFERROR(__xludf.DUMMYFUNCTION("""COMPUTED_VALUE"""),"Africa")</f>
        <v>Africa</v>
      </c>
      <c r="D16" s="20" t="str">
        <f>IFERROR(__xludf.DUMMYFUNCTION("""COMPUTED_VALUE"""),"Eastern Africa")</f>
        <v>Eastern Africa</v>
      </c>
      <c r="E16" s="66">
        <f>IFERROR(__xludf.DUMMYFUNCTION("""COMPUTED_VALUE"""),1.02403196E8)</f>
        <v>102403196</v>
      </c>
      <c r="F16" s="66">
        <f>IFERROR(__xludf.DUMMYFUNCTION("""COMPUTED_VALUE"""),1.04957438E8)</f>
        <v>104957438</v>
      </c>
      <c r="G16" s="67">
        <f>IFERROR(__xludf.DUMMYFUNCTION("""COMPUTED_VALUE"""),0.0249)</f>
        <v>0.0249</v>
      </c>
      <c r="H16" s="60" t="str">
        <f>IFERROR(__xludf.DUMMYFUNCTION("""COMPUTED_VALUE"""),"Kitfo; doro wat; injera")</f>
        <v>Kitfo; doro wat; injera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65">
        <f>IFERROR(__xludf.DUMMYFUNCTION("""COMPUTED_VALUE"""),13.0)</f>
        <v>13</v>
      </c>
      <c r="B17" s="65" t="str">
        <f>IFERROR(__xludf.DUMMYFUNCTION("""COMPUTED_VALUE"""),"Philippines")</f>
        <v>Philippines</v>
      </c>
      <c r="C17" s="20" t="str">
        <f>IFERROR(__xludf.DUMMYFUNCTION("""COMPUTED_VALUE"""),"Asia")</f>
        <v>Asia</v>
      </c>
      <c r="D17" s="20" t="str">
        <f>IFERROR(__xludf.DUMMYFUNCTION("""COMPUTED_VALUE"""),"South-eastern Asia")</f>
        <v>South-eastern Asia</v>
      </c>
      <c r="E17" s="66">
        <f>IFERROR(__xludf.DUMMYFUNCTION("""COMPUTED_VALUE"""),1.03320222E8)</f>
        <v>103320222</v>
      </c>
      <c r="F17" s="66">
        <f>IFERROR(__xludf.DUMMYFUNCTION("""COMPUTED_VALUE"""),1.0491809E8)</f>
        <v>104918090</v>
      </c>
      <c r="G17" s="67">
        <f>IFERROR(__xludf.DUMMYFUNCTION("""COMPUTED_VALUE"""),0.0155)</f>
        <v>0.0155</v>
      </c>
      <c r="H17" s="60" t="str">
        <f>IFERROR(__xludf.DUMMYFUNCTION("""COMPUTED_VALUE"""),"Adobo, Sinigang")</f>
        <v>Adobo, Sinigang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65">
        <f>IFERROR(__xludf.DUMMYFUNCTION("""COMPUTED_VALUE"""),14.0)</f>
        <v>14</v>
      </c>
      <c r="B18" s="65" t="str">
        <f>IFERROR(__xludf.DUMMYFUNCTION("""COMPUTED_VALUE"""),"Egypt")</f>
        <v>Egypt</v>
      </c>
      <c r="C18" s="20" t="str">
        <f>IFERROR(__xludf.DUMMYFUNCTION("""COMPUTED_VALUE"""),"Africa")</f>
        <v>Africa</v>
      </c>
      <c r="D18" s="20" t="str">
        <f>IFERROR(__xludf.DUMMYFUNCTION("""COMPUTED_VALUE"""),"Northern Africa")</f>
        <v>Northern Africa</v>
      </c>
      <c r="E18" s="66">
        <f>IFERROR(__xludf.DUMMYFUNCTION("""COMPUTED_VALUE"""),9.5688681E7)</f>
        <v>95688681</v>
      </c>
      <c r="F18" s="66">
        <f>IFERROR(__xludf.DUMMYFUNCTION("""COMPUTED_VALUE"""),9.7553151E7)</f>
        <v>97553151</v>
      </c>
      <c r="G18" s="67">
        <f>IFERROR(__xludf.DUMMYFUNCTION("""COMPUTED_VALUE"""),0.0195)</f>
        <v>0.0195</v>
      </c>
      <c r="H18" s="60" t="str">
        <f>IFERROR(__xludf.DUMMYFUNCTION("""COMPUTED_VALUE"""),"Ful medames, kushari, molokhia, falafel (popular street food)")</f>
        <v>Ful medames, kushari, molokhia, falafel (popular street food)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65">
        <f>IFERROR(__xludf.DUMMYFUNCTION("""COMPUTED_VALUE"""),15.0)</f>
        <v>15</v>
      </c>
      <c r="B19" s="65" t="str">
        <f>IFERROR(__xludf.DUMMYFUNCTION("""COMPUTED_VALUE"""),"Vietnam")</f>
        <v>Vietnam</v>
      </c>
      <c r="C19" s="20" t="str">
        <f>IFERROR(__xludf.DUMMYFUNCTION("""COMPUTED_VALUE"""),"Asia")</f>
        <v>Asia</v>
      </c>
      <c r="D19" s="20" t="str">
        <f>IFERROR(__xludf.DUMMYFUNCTION("""COMPUTED_VALUE"""),"South-eastern Asia")</f>
        <v>South-eastern Asia</v>
      </c>
      <c r="E19" s="66">
        <f>IFERROR(__xludf.DUMMYFUNCTION("""COMPUTED_VALUE"""),9.4569072E7)</f>
        <v>94569072</v>
      </c>
      <c r="F19" s="66">
        <f>IFERROR(__xludf.DUMMYFUNCTION("""COMPUTED_VALUE"""),9.55408E7)</f>
        <v>95540800</v>
      </c>
      <c r="G19" s="67">
        <f>IFERROR(__xludf.DUMMYFUNCTION("""COMPUTED_VALUE"""),0.0103)</f>
        <v>0.0103</v>
      </c>
      <c r="H19" s="60" t="str">
        <f>IFERROR(__xludf.DUMMYFUNCTION("""COMPUTED_VALUE"""),"Phở, Bún bò Huế, Bò kho")</f>
        <v>Phở, Bún bò Huế, Bò kho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65">
        <f>IFERROR(__xludf.DUMMYFUNCTION("""COMPUTED_VALUE"""),16.0)</f>
        <v>16</v>
      </c>
      <c r="B20" s="65" t="str">
        <f>IFERROR(__xludf.DUMMYFUNCTION("""COMPUTED_VALUE"""),"Germany")</f>
        <v>Germany</v>
      </c>
      <c r="C20" s="20" t="str">
        <f>IFERROR(__xludf.DUMMYFUNCTION("""COMPUTED_VALUE"""),"Europe")</f>
        <v>Europe</v>
      </c>
      <c r="D20" s="20" t="str">
        <f>IFERROR(__xludf.DUMMYFUNCTION("""COMPUTED_VALUE"""),"Western Europe")</f>
        <v>Western Europe</v>
      </c>
      <c r="E20" s="66">
        <f>IFERROR(__xludf.DUMMYFUNCTION("""COMPUTED_VALUE"""),8.1914672E7)</f>
        <v>81914672</v>
      </c>
      <c r="F20" s="66">
        <f>IFERROR(__xludf.DUMMYFUNCTION("""COMPUTED_VALUE"""),8.2114224E7)</f>
        <v>82114224</v>
      </c>
      <c r="G20" s="67">
        <f>IFERROR(__xludf.DUMMYFUNCTION("""COMPUTED_VALUE"""),0.0024)</f>
        <v>0.0024</v>
      </c>
      <c r="H20" s="60" t="str">
        <f>IFERROR(__xludf.DUMMYFUNCTION("""COMPUTED_VALUE"""),"Sauerbraten, Bratwurst, Eisbein (ham hock) with Sauerkraut (fermented cabbage)")</f>
        <v>Sauerbraten, Bratwurst, Eisbein (ham hock) with Sauerkraut (fermented cabbage)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65">
        <f>IFERROR(__xludf.DUMMYFUNCTION("""COMPUTED_VALUE"""),17.0)</f>
        <v>17</v>
      </c>
      <c r="B21" s="65" t="str">
        <f>IFERROR(__xludf.DUMMYFUNCTION("""COMPUTED_VALUE"""),"Democratic Republic of the Congo")</f>
        <v>Democratic Republic of the Congo</v>
      </c>
      <c r="C21" s="20" t="str">
        <f>IFERROR(__xludf.DUMMYFUNCTION("""COMPUTED_VALUE"""),"Africa")</f>
        <v>Africa</v>
      </c>
      <c r="D21" s="20" t="str">
        <f>IFERROR(__xludf.DUMMYFUNCTION("""COMPUTED_VALUE"""),"Middle Africa")</f>
        <v>Middle Africa</v>
      </c>
      <c r="E21" s="66">
        <f>IFERROR(__xludf.DUMMYFUNCTION("""COMPUTED_VALUE"""),7.8736153E7)</f>
        <v>78736153</v>
      </c>
      <c r="F21" s="66">
        <f>IFERROR(__xludf.DUMMYFUNCTION("""COMPUTED_VALUE"""),8.1339988E7)</f>
        <v>81339988</v>
      </c>
      <c r="G21" s="67">
        <f>IFERROR(__xludf.DUMMYFUNCTION("""COMPUTED_VALUE"""),0.0331)</f>
        <v>0.0331</v>
      </c>
      <c r="H21" s="60" t="str">
        <f>IFERROR(__xludf.DUMMYFUNCTION("""COMPUTED_VALUE"""),"Poulet à la Moambé")</f>
        <v>Poulet à la Moambé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65">
        <f>IFERROR(__xludf.DUMMYFUNCTION("""COMPUTED_VALUE"""),18.0)</f>
        <v>18</v>
      </c>
      <c r="B22" s="65" t="str">
        <f>IFERROR(__xludf.DUMMYFUNCTION("""COMPUTED_VALUE"""),"Iran")</f>
        <v>Iran</v>
      </c>
      <c r="C22" s="20" t="str">
        <f>IFERROR(__xludf.DUMMYFUNCTION("""COMPUTED_VALUE"""),"Asia")</f>
        <v>Asia</v>
      </c>
      <c r="D22" s="20" t="str">
        <f>IFERROR(__xludf.DUMMYFUNCTION("""COMPUTED_VALUE"""),"Southern Asia")</f>
        <v>Southern Asia</v>
      </c>
      <c r="E22" s="66">
        <f>IFERROR(__xludf.DUMMYFUNCTION("""COMPUTED_VALUE"""),8.0277428E7)</f>
        <v>80277428</v>
      </c>
      <c r="F22" s="66">
        <f>IFERROR(__xludf.DUMMYFUNCTION("""COMPUTED_VALUE"""),8.1162788E7)</f>
        <v>81162788</v>
      </c>
      <c r="G22" s="67">
        <f>IFERROR(__xludf.DUMMYFUNCTION("""COMPUTED_VALUE"""),0.011)</f>
        <v>0.011</v>
      </c>
      <c r="H22" s="60" t="str">
        <f>IFERROR(__xludf.DUMMYFUNCTION("""COMPUTED_VALUE"""),"Abgoosht, Fesenjan, Chelo kabab, Ghormeh sabzi")</f>
        <v>Abgoosht, Fesenjan, Chelo kabab, Ghormeh sabzi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65">
        <f>IFERROR(__xludf.DUMMYFUNCTION("""COMPUTED_VALUE"""),19.0)</f>
        <v>19</v>
      </c>
      <c r="B23" s="65" t="str">
        <f>IFERROR(__xludf.DUMMYFUNCTION("""COMPUTED_VALUE"""),"Turkey")</f>
        <v>Turkey</v>
      </c>
      <c r="C23" s="20" t="str">
        <f>IFERROR(__xludf.DUMMYFUNCTION("""COMPUTED_VALUE"""),"Asia")</f>
        <v>Asia</v>
      </c>
      <c r="D23" s="20" t="str">
        <f>IFERROR(__xludf.DUMMYFUNCTION("""COMPUTED_VALUE"""),"Western Asia")</f>
        <v>Western Asia</v>
      </c>
      <c r="E23" s="66">
        <f>IFERROR(__xludf.DUMMYFUNCTION("""COMPUTED_VALUE"""),7.9512426E7)</f>
        <v>79512426</v>
      </c>
      <c r="F23" s="66">
        <f>IFERROR(__xludf.DUMMYFUNCTION("""COMPUTED_VALUE"""),8.074502E7)</f>
        <v>80745020</v>
      </c>
      <c r="G23" s="67">
        <f>IFERROR(__xludf.DUMMYFUNCTION("""COMPUTED_VALUE"""),0.0155)</f>
        <v>0.0155</v>
      </c>
      <c r="H23" s="60" t="str">
        <f>IFERROR(__xludf.DUMMYFUNCTION("""COMPUTED_VALUE"""),"Döner, Kuru fasulye with pilav")</f>
        <v>Döner, Kuru fasulye with pilav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65">
        <f>IFERROR(__xludf.DUMMYFUNCTION("""COMPUTED_VALUE"""),20.0)</f>
        <v>20</v>
      </c>
      <c r="B24" s="65" t="str">
        <f>IFERROR(__xludf.DUMMYFUNCTION("""COMPUTED_VALUE"""),"Thailand")</f>
        <v>Thailand</v>
      </c>
      <c r="C24" s="20" t="str">
        <f>IFERROR(__xludf.DUMMYFUNCTION("""COMPUTED_VALUE"""),"Asia")</f>
        <v>Asia</v>
      </c>
      <c r="D24" s="20" t="str">
        <f>IFERROR(__xludf.DUMMYFUNCTION("""COMPUTED_VALUE"""),"South-eastern Asia")</f>
        <v>South-eastern Asia</v>
      </c>
      <c r="E24" s="66">
        <f>IFERROR(__xludf.DUMMYFUNCTION("""COMPUTED_VALUE"""),6.8863514E7)</f>
        <v>68863514</v>
      </c>
      <c r="F24" s="66">
        <f>IFERROR(__xludf.DUMMYFUNCTION("""COMPUTED_VALUE"""),6.9037513E7)</f>
        <v>69037513</v>
      </c>
      <c r="G24" s="67">
        <f>IFERROR(__xludf.DUMMYFUNCTION("""COMPUTED_VALUE"""),0.0025)</f>
        <v>0.0025</v>
      </c>
      <c r="H24" s="60" t="str">
        <f>IFERROR(__xludf.DUMMYFUNCTION("""COMPUTED_VALUE"""),"Pad Thai, Tom Yum Goong, Som tam")</f>
        <v>Pad Thai, Tom Yum Goong, Som tam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65">
        <f>IFERROR(__xludf.DUMMYFUNCTION("""COMPUTED_VALUE"""),21.0)</f>
        <v>21</v>
      </c>
      <c r="B25" s="65" t="str">
        <f>IFERROR(__xludf.DUMMYFUNCTION("""COMPUTED_VALUE"""),"United Kingdom")</f>
        <v>United Kingdom</v>
      </c>
      <c r="C25" s="20" t="str">
        <f>IFERROR(__xludf.DUMMYFUNCTION("""COMPUTED_VALUE"""),"Europe")</f>
        <v>Europe</v>
      </c>
      <c r="D25" s="20" t="str">
        <f>IFERROR(__xludf.DUMMYFUNCTION("""COMPUTED_VALUE"""),"Northern Europe")</f>
        <v>Northern Europe</v>
      </c>
      <c r="E25" s="66">
        <f>IFERROR(__xludf.DUMMYFUNCTION("""COMPUTED_VALUE"""),6.5788574E7)</f>
        <v>65788574</v>
      </c>
      <c r="F25" s="66">
        <f>IFERROR(__xludf.DUMMYFUNCTION("""COMPUTED_VALUE"""),6.6181585E7)</f>
        <v>66181585</v>
      </c>
      <c r="G25" s="67">
        <f>IFERROR(__xludf.DUMMYFUNCTION("""COMPUTED_VALUE"""),0.006)</f>
        <v>0.006</v>
      </c>
      <c r="H25" s="60" t="str">
        <f>IFERROR(__xludf.DUMMYFUNCTION("""COMPUTED_VALUE"""),"Fish and chips, Chicken tikka masala, Full breakfast, Shepherd's pie")</f>
        <v>Fish and chips, Chicken tikka masala, Full breakfast, Shepherd's pie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65">
        <f>IFERROR(__xludf.DUMMYFUNCTION("""COMPUTED_VALUE"""),22.0)</f>
        <v>22</v>
      </c>
      <c r="B26" s="65" t="str">
        <f>IFERROR(__xludf.DUMMYFUNCTION("""COMPUTED_VALUE"""),"France")</f>
        <v>France</v>
      </c>
      <c r="C26" s="20" t="str">
        <f>IFERROR(__xludf.DUMMYFUNCTION("""COMPUTED_VALUE"""),"Europe")</f>
        <v>Europe</v>
      </c>
      <c r="D26" s="20" t="str">
        <f>IFERROR(__xludf.DUMMYFUNCTION("""COMPUTED_VALUE"""),"Western Europe")</f>
        <v>Western Europe</v>
      </c>
      <c r="E26" s="66">
        <f>IFERROR(__xludf.DUMMYFUNCTION("""COMPUTED_VALUE"""),6.472069E7)</f>
        <v>64720690</v>
      </c>
      <c r="F26" s="66">
        <f>IFERROR(__xludf.DUMMYFUNCTION("""COMPUTED_VALUE"""),6.4979548E7)</f>
        <v>64979548</v>
      </c>
      <c r="G26" s="67">
        <f>IFERROR(__xludf.DUMMYFUNCTION("""COMPUTED_VALUE"""),0.004)</f>
        <v>0.004</v>
      </c>
      <c r="H26" s="60" t="str">
        <f>IFERROR(__xludf.DUMMYFUNCTION("""COMPUTED_VALUE"""),"Crêpe, Pot-au-feu, macarons, croissant, coq au vin, cassoulet, bouillabaisse")</f>
        <v>Crêpe, Pot-au-feu, macarons, croissant, coq au vin, cassoulet, bouillabaisse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65">
        <f>IFERROR(__xludf.DUMMYFUNCTION("""COMPUTED_VALUE"""),23.0)</f>
        <v>23</v>
      </c>
      <c r="B27" s="65" t="str">
        <f>IFERROR(__xludf.DUMMYFUNCTION("""COMPUTED_VALUE"""),"Italy")</f>
        <v>Italy</v>
      </c>
      <c r="C27" s="20" t="str">
        <f>IFERROR(__xludf.DUMMYFUNCTION("""COMPUTED_VALUE"""),"Europe")</f>
        <v>Europe</v>
      </c>
      <c r="D27" s="20" t="str">
        <f>IFERROR(__xludf.DUMMYFUNCTION("""COMPUTED_VALUE"""),"Southern Europe")</f>
        <v>Southern Europe</v>
      </c>
      <c r="E27" s="66">
        <f>IFERROR(__xludf.DUMMYFUNCTION("""COMPUTED_VALUE"""),5.9429938E7)</f>
        <v>59429938</v>
      </c>
      <c r="F27" s="66">
        <f>IFERROR(__xludf.DUMMYFUNCTION("""COMPUTED_VALUE"""),5.93599E7)</f>
        <v>59359900</v>
      </c>
      <c r="G27" s="67">
        <f>IFERROR(__xludf.DUMMYFUNCTION("""COMPUTED_VALUE"""),-0.0012)</f>
        <v>-0.0012</v>
      </c>
      <c r="H27" s="60" t="str">
        <f>IFERROR(__xludf.DUMMYFUNCTION("""COMPUTED_VALUE"""),"Pasta, Polenta, Pizza, Risotto")</f>
        <v>Pasta, Polenta, Pizza, Risotto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65">
        <f>IFERROR(__xludf.DUMMYFUNCTION("""COMPUTED_VALUE"""),24.0)</f>
        <v>24</v>
      </c>
      <c r="B28" s="65" t="str">
        <f>IFERROR(__xludf.DUMMYFUNCTION("""COMPUTED_VALUE"""),"Tanzania")</f>
        <v>Tanzania</v>
      </c>
      <c r="C28" s="20" t="str">
        <f>IFERROR(__xludf.DUMMYFUNCTION("""COMPUTED_VALUE"""),"Africa")</f>
        <v>Africa</v>
      </c>
      <c r="D28" s="20" t="str">
        <f>IFERROR(__xludf.DUMMYFUNCTION("""COMPUTED_VALUE"""),"Eastern Africa")</f>
        <v>Eastern Africa</v>
      </c>
      <c r="E28" s="66">
        <f>IFERROR(__xludf.DUMMYFUNCTION("""COMPUTED_VALUE"""),5.5572201E7)</f>
        <v>55572201</v>
      </c>
      <c r="F28" s="66">
        <f>IFERROR(__xludf.DUMMYFUNCTION("""COMPUTED_VALUE"""),5.7310019E7)</f>
        <v>57310019</v>
      </c>
      <c r="G28" s="67">
        <f>IFERROR(__xludf.DUMMYFUNCTION("""COMPUTED_VALUE"""),0.0313)</f>
        <v>0.0313</v>
      </c>
      <c r="H28" s="60" t="str">
        <f>IFERROR(__xludf.DUMMYFUNCTION("""COMPUTED_VALUE"""),"Ugali")</f>
        <v>Ugali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65">
        <f>IFERROR(__xludf.DUMMYFUNCTION("""COMPUTED_VALUE"""),25.0)</f>
        <v>25</v>
      </c>
      <c r="B29" s="65" t="str">
        <f>IFERROR(__xludf.DUMMYFUNCTION("""COMPUTED_VALUE"""),"South Africa")</f>
        <v>South Africa</v>
      </c>
      <c r="C29" s="20" t="str">
        <f>IFERROR(__xludf.DUMMYFUNCTION("""COMPUTED_VALUE"""),"Africa")</f>
        <v>Africa</v>
      </c>
      <c r="D29" s="20" t="str">
        <f>IFERROR(__xludf.DUMMYFUNCTION("""COMPUTED_VALUE"""),"Southern Africa")</f>
        <v>Southern Africa</v>
      </c>
      <c r="E29" s="66">
        <f>IFERROR(__xludf.DUMMYFUNCTION("""COMPUTED_VALUE"""),5.6015473E7)</f>
        <v>56015473</v>
      </c>
      <c r="F29" s="66">
        <f>IFERROR(__xludf.DUMMYFUNCTION("""COMPUTED_VALUE"""),5.6717156E7)</f>
        <v>56717156</v>
      </c>
      <c r="G29" s="67">
        <f>IFERROR(__xludf.DUMMYFUNCTION("""COMPUTED_VALUE"""),0.0125)</f>
        <v>0.0125</v>
      </c>
      <c r="H29" s="60" t="str">
        <f>IFERROR(__xludf.DUMMYFUNCTION("""COMPUTED_VALUE"""),"Bobotie")</f>
        <v>Bobotie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65">
        <f>IFERROR(__xludf.DUMMYFUNCTION("""COMPUTED_VALUE"""),26.0)</f>
        <v>26</v>
      </c>
      <c r="B30" s="65" t="str">
        <f>IFERROR(__xludf.DUMMYFUNCTION("""COMPUTED_VALUE"""),"Myanmar")</f>
        <v>Myanmar</v>
      </c>
      <c r="C30" s="20" t="str">
        <f>IFERROR(__xludf.DUMMYFUNCTION("""COMPUTED_VALUE"""),"Asia")</f>
        <v>Asia</v>
      </c>
      <c r="D30" s="20" t="str">
        <f>IFERROR(__xludf.DUMMYFUNCTION("""COMPUTED_VALUE"""),"South-eastern Asia")</f>
        <v>South-eastern Asia</v>
      </c>
      <c r="E30" s="66">
        <f>IFERROR(__xludf.DUMMYFUNCTION("""COMPUTED_VALUE"""),5.2885223E7)</f>
        <v>52885223</v>
      </c>
      <c r="F30" s="66">
        <f>IFERROR(__xludf.DUMMYFUNCTION("""COMPUTED_VALUE"""),5.3370609E7)</f>
        <v>53370609</v>
      </c>
      <c r="G30" s="67">
        <f>IFERROR(__xludf.DUMMYFUNCTION("""COMPUTED_VALUE"""),0.0092)</f>
        <v>0.0092</v>
      </c>
      <c r="H30" s="6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65">
        <f>IFERROR(__xludf.DUMMYFUNCTION("""COMPUTED_VALUE"""),27.0)</f>
        <v>27</v>
      </c>
      <c r="B31" s="65" t="str">
        <f>IFERROR(__xludf.DUMMYFUNCTION("""COMPUTED_VALUE"""),"South Korea")</f>
        <v>South Korea</v>
      </c>
      <c r="C31" s="20" t="str">
        <f>IFERROR(__xludf.DUMMYFUNCTION("""COMPUTED_VALUE"""),"Asia")</f>
        <v>Asia</v>
      </c>
      <c r="D31" s="20" t="str">
        <f>IFERROR(__xludf.DUMMYFUNCTION("""COMPUTED_VALUE"""),"Eastern Asia")</f>
        <v>Eastern Asia</v>
      </c>
      <c r="E31" s="66">
        <f>IFERROR(__xludf.DUMMYFUNCTION("""COMPUTED_VALUE"""),5.0791919E7)</f>
        <v>50791919</v>
      </c>
      <c r="F31" s="66">
        <f>IFERROR(__xludf.DUMMYFUNCTION("""COMPUTED_VALUE"""),5.0982212E7)</f>
        <v>50982212</v>
      </c>
      <c r="G31" s="67">
        <f>IFERROR(__xludf.DUMMYFUNCTION("""COMPUTED_VALUE"""),0.0037)</f>
        <v>0.0037</v>
      </c>
      <c r="H31" s="60" t="str">
        <f>IFERROR(__xludf.DUMMYFUNCTION("""COMPUTED_VALUE"""),"Budaejjigae, Kimchi, Bulgogi, Bibimbap, Galbi")</f>
        <v>Budaejjigae, Kimchi, Bulgogi, Bibimbap, Galbi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5">
        <f>IFERROR(__xludf.DUMMYFUNCTION("""COMPUTED_VALUE"""),28.0)</f>
        <v>28</v>
      </c>
      <c r="B32" s="65" t="str">
        <f>IFERROR(__xludf.DUMMYFUNCTION("""COMPUTED_VALUE"""),"Colombia")</f>
        <v>Colombia</v>
      </c>
      <c r="C32" s="20" t="str">
        <f>IFERROR(__xludf.DUMMYFUNCTION("""COMPUTED_VALUE"""),"Americas")</f>
        <v>Americas</v>
      </c>
      <c r="D32" s="20" t="str">
        <f>IFERROR(__xludf.DUMMYFUNCTION("""COMPUTED_VALUE"""),"South America")</f>
        <v>South America</v>
      </c>
      <c r="E32" s="66">
        <f>IFERROR(__xludf.DUMMYFUNCTION("""COMPUTED_VALUE"""),4.8653419E7)</f>
        <v>48653419</v>
      </c>
      <c r="F32" s="66">
        <f>IFERROR(__xludf.DUMMYFUNCTION("""COMPUTED_VALUE"""),4.9065615E7)</f>
        <v>49065615</v>
      </c>
      <c r="G32" s="67">
        <f>IFERROR(__xludf.DUMMYFUNCTION("""COMPUTED_VALUE"""),0.0085)</f>
        <v>0.0085</v>
      </c>
      <c r="H32" s="60" t="str">
        <f>IFERROR(__xludf.DUMMYFUNCTION("""COMPUTED_VALUE"""),"Sancocho, Ajiaco, Bandeja paisa,")</f>
        <v>Sancocho, Ajiaco, Bandeja paisa,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65">
        <f>IFERROR(__xludf.DUMMYFUNCTION("""COMPUTED_VALUE"""),29.0)</f>
        <v>29</v>
      </c>
      <c r="B33" s="65" t="str">
        <f>IFERROR(__xludf.DUMMYFUNCTION("""COMPUTED_VALUE"""),"Kenya")</f>
        <v>Kenya</v>
      </c>
      <c r="C33" s="20" t="str">
        <f>IFERROR(__xludf.DUMMYFUNCTION("""COMPUTED_VALUE"""),"Africa")</f>
        <v>Africa</v>
      </c>
      <c r="D33" s="20" t="str">
        <f>IFERROR(__xludf.DUMMYFUNCTION("""COMPUTED_VALUE"""),"Eastern Africa")</f>
        <v>Eastern Africa</v>
      </c>
      <c r="E33" s="66">
        <f>IFERROR(__xludf.DUMMYFUNCTION("""COMPUTED_VALUE"""),4.8461567E7)</f>
        <v>48461567</v>
      </c>
      <c r="F33" s="66">
        <f>IFERROR(__xludf.DUMMYFUNCTION("""COMPUTED_VALUE"""),4.9699862E7)</f>
        <v>49699862</v>
      </c>
      <c r="G33" s="67">
        <f>IFERROR(__xludf.DUMMYFUNCTION("""COMPUTED_VALUE"""),0.0256)</f>
        <v>0.0256</v>
      </c>
      <c r="H33" s="60" t="str">
        <f>IFERROR(__xludf.DUMMYFUNCTION("""COMPUTED_VALUE"""),"Ugali, Sukuma wiki, Nyama choma")</f>
        <v>Ugali, Sukuma wiki, Nyama choma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65">
        <f>IFERROR(__xludf.DUMMYFUNCTION("""COMPUTED_VALUE"""),30.0)</f>
        <v>30</v>
      </c>
      <c r="B34" s="65" t="str">
        <f>IFERROR(__xludf.DUMMYFUNCTION("""COMPUTED_VALUE"""),"Spain")</f>
        <v>Spain</v>
      </c>
      <c r="C34" s="20" t="str">
        <f>IFERROR(__xludf.DUMMYFUNCTION("""COMPUTED_VALUE"""),"Europe")</f>
        <v>Europe</v>
      </c>
      <c r="D34" s="20" t="str">
        <f>IFERROR(__xludf.DUMMYFUNCTION("""COMPUTED_VALUE"""),"Southern Europe")</f>
        <v>Southern Europe</v>
      </c>
      <c r="E34" s="66">
        <f>IFERROR(__xludf.DUMMYFUNCTION("""COMPUTED_VALUE"""),4.6347576E7)</f>
        <v>46347576</v>
      </c>
      <c r="F34" s="66">
        <f>IFERROR(__xludf.DUMMYFUNCTION("""COMPUTED_VALUE"""),4.6354321E7)</f>
        <v>46354321</v>
      </c>
      <c r="G34" s="67">
        <f>IFERROR(__xludf.DUMMYFUNCTION("""COMPUTED_VALUE"""),1.0E-4)</f>
        <v>0.0001</v>
      </c>
      <c r="H34" s="60" t="str">
        <f>IFERROR(__xludf.DUMMYFUNCTION("""COMPUTED_VALUE"""),"Tortilla española")</f>
        <v>Tortilla española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65">
        <f>IFERROR(__xludf.DUMMYFUNCTION("""COMPUTED_VALUE"""),31.0)</f>
        <v>31</v>
      </c>
      <c r="B35" s="65" t="str">
        <f>IFERROR(__xludf.DUMMYFUNCTION("""COMPUTED_VALUE"""),"Argentina")</f>
        <v>Argentina</v>
      </c>
      <c r="C35" s="20" t="str">
        <f>IFERROR(__xludf.DUMMYFUNCTION("""COMPUTED_VALUE"""),"Americas")</f>
        <v>Americas</v>
      </c>
      <c r="D35" s="20" t="str">
        <f>IFERROR(__xludf.DUMMYFUNCTION("""COMPUTED_VALUE"""),"South America")</f>
        <v>South America</v>
      </c>
      <c r="E35" s="66">
        <f>IFERROR(__xludf.DUMMYFUNCTION("""COMPUTED_VALUE"""),4.384743E7)</f>
        <v>43847430</v>
      </c>
      <c r="F35" s="66">
        <f>IFERROR(__xludf.DUMMYFUNCTION("""COMPUTED_VALUE"""),4.4271041E7)</f>
        <v>44271041</v>
      </c>
      <c r="G35" s="67">
        <f>IFERROR(__xludf.DUMMYFUNCTION("""COMPUTED_VALUE"""),0.0097)</f>
        <v>0.0097</v>
      </c>
      <c r="H35" s="60" t="str">
        <f>IFERROR(__xludf.DUMMYFUNCTION("""COMPUTED_VALUE"""),"Asado, Empanada, Locro, Milanesa, Choripán")</f>
        <v>Asado, Empanada, Locro, Milanesa, Choripán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65">
        <f>IFERROR(__xludf.DUMMYFUNCTION("""COMPUTED_VALUE"""),32.0)</f>
        <v>32</v>
      </c>
      <c r="B36" s="65" t="str">
        <f>IFERROR(__xludf.DUMMYFUNCTION("""COMPUTED_VALUE"""),"Ukraine")</f>
        <v>Ukraine</v>
      </c>
      <c r="C36" s="20" t="str">
        <f>IFERROR(__xludf.DUMMYFUNCTION("""COMPUTED_VALUE"""),"Europe")</f>
        <v>Europe</v>
      </c>
      <c r="D36" s="20" t="str">
        <f>IFERROR(__xludf.DUMMYFUNCTION("""COMPUTED_VALUE"""),"Eastern Europe")</f>
        <v>Eastern Europe</v>
      </c>
      <c r="E36" s="66">
        <f>IFERROR(__xludf.DUMMYFUNCTION("""COMPUTED_VALUE"""),4.4438625E7)</f>
        <v>44438625</v>
      </c>
      <c r="F36" s="66">
        <f>IFERROR(__xludf.DUMMYFUNCTION("""COMPUTED_VALUE"""),4.4222947E7)</f>
        <v>44222947</v>
      </c>
      <c r="G36" s="67">
        <f>IFERROR(__xludf.DUMMYFUNCTION("""COMPUTED_VALUE"""),-0.0049)</f>
        <v>-0.0049</v>
      </c>
      <c r="H36" s="60" t="str">
        <f>IFERROR(__xludf.DUMMYFUNCTION("""COMPUTED_VALUE"""),"Borscht, Varenyky")</f>
        <v>Borscht, Varenyky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65">
        <f>IFERROR(__xludf.DUMMYFUNCTION("""COMPUTED_VALUE"""),33.0)</f>
        <v>33</v>
      </c>
      <c r="B37" s="65" t="str">
        <f>IFERROR(__xludf.DUMMYFUNCTION("""COMPUTED_VALUE"""),"Uganda")</f>
        <v>Uganda</v>
      </c>
      <c r="C37" s="20" t="str">
        <f>IFERROR(__xludf.DUMMYFUNCTION("""COMPUTED_VALUE"""),"Africa")</f>
        <v>Africa</v>
      </c>
      <c r="D37" s="20" t="str">
        <f>IFERROR(__xludf.DUMMYFUNCTION("""COMPUTED_VALUE"""),"Eastern Africa")</f>
        <v>Eastern Africa</v>
      </c>
      <c r="E37" s="66">
        <f>IFERROR(__xludf.DUMMYFUNCTION("""COMPUTED_VALUE"""),4.1487965E7)</f>
        <v>41487965</v>
      </c>
      <c r="F37" s="66">
        <f>IFERROR(__xludf.DUMMYFUNCTION("""COMPUTED_VALUE"""),4.2862958E7)</f>
        <v>42862958</v>
      </c>
      <c r="G37" s="67">
        <f>IFERROR(__xludf.DUMMYFUNCTION("""COMPUTED_VALUE"""),0.0331)</f>
        <v>0.0331</v>
      </c>
      <c r="H37" s="60" t="str">
        <f>IFERROR(__xludf.DUMMYFUNCTION("""COMPUTED_VALUE"""),"Matoke")</f>
        <v>Matoke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65">
        <f>IFERROR(__xludf.DUMMYFUNCTION("""COMPUTED_VALUE"""),34.0)</f>
        <v>34</v>
      </c>
      <c r="B38" s="65" t="str">
        <f>IFERROR(__xludf.DUMMYFUNCTION("""COMPUTED_VALUE"""),"Algeria")</f>
        <v>Algeria</v>
      </c>
      <c r="C38" s="20" t="str">
        <f>IFERROR(__xludf.DUMMYFUNCTION("""COMPUTED_VALUE"""),"Africa")</f>
        <v>Africa</v>
      </c>
      <c r="D38" s="20" t="str">
        <f>IFERROR(__xludf.DUMMYFUNCTION("""COMPUTED_VALUE"""),"Northern Africa")</f>
        <v>Northern Africa</v>
      </c>
      <c r="E38" s="66">
        <f>IFERROR(__xludf.DUMMYFUNCTION("""COMPUTED_VALUE"""),4.0606052E7)</f>
        <v>40606052</v>
      </c>
      <c r="F38" s="66">
        <f>IFERROR(__xludf.DUMMYFUNCTION("""COMPUTED_VALUE"""),4.1318142E7)</f>
        <v>41318142</v>
      </c>
      <c r="G38" s="67">
        <f>IFERROR(__xludf.DUMMYFUNCTION("""COMPUTED_VALUE"""),0.0175)</f>
        <v>0.0175</v>
      </c>
      <c r="H38" s="60" t="str">
        <f>IFERROR(__xludf.DUMMYFUNCTION("""COMPUTED_VALUE"""),"Couscous, chakhchoukha")</f>
        <v>Couscous, chakhchoukha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65">
        <f>IFERROR(__xludf.DUMMYFUNCTION("""COMPUTED_VALUE"""),35.0)</f>
        <v>35</v>
      </c>
      <c r="B39" s="65" t="str">
        <f>IFERROR(__xludf.DUMMYFUNCTION("""COMPUTED_VALUE"""),"Sudan")</f>
        <v>Sudan</v>
      </c>
      <c r="C39" s="20" t="str">
        <f>IFERROR(__xludf.DUMMYFUNCTION("""COMPUTED_VALUE"""),"Africa")</f>
        <v>Africa</v>
      </c>
      <c r="D39" s="20" t="str">
        <f>IFERROR(__xludf.DUMMYFUNCTION("""COMPUTED_VALUE"""),"Northern Africa")</f>
        <v>Northern Africa</v>
      </c>
      <c r="E39" s="66">
        <f>IFERROR(__xludf.DUMMYFUNCTION("""COMPUTED_VALUE"""),3.9578828E7)</f>
        <v>39578828</v>
      </c>
      <c r="F39" s="66">
        <f>IFERROR(__xludf.DUMMYFUNCTION("""COMPUTED_VALUE"""),4.053333E7)</f>
        <v>40533330</v>
      </c>
      <c r="G39" s="67">
        <f>IFERROR(__xludf.DUMMYFUNCTION("""COMPUTED_VALUE"""),0.0241)</f>
        <v>0.0241</v>
      </c>
      <c r="H39" s="60" t="str">
        <f>IFERROR(__xludf.DUMMYFUNCTION("""COMPUTED_VALUE"""),"Ful medames")</f>
        <v>Ful medames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65">
        <f>IFERROR(__xludf.DUMMYFUNCTION("""COMPUTED_VALUE"""),36.0)</f>
        <v>36</v>
      </c>
      <c r="B40" s="65" t="str">
        <f>IFERROR(__xludf.DUMMYFUNCTION("""COMPUTED_VALUE"""),"Iraq")</f>
        <v>Iraq</v>
      </c>
      <c r="C40" s="20" t="str">
        <f>IFERROR(__xludf.DUMMYFUNCTION("""COMPUTED_VALUE"""),"Asia")</f>
        <v>Asia</v>
      </c>
      <c r="D40" s="20" t="str">
        <f>IFERROR(__xludf.DUMMYFUNCTION("""COMPUTED_VALUE"""),"Western Asia")</f>
        <v>Western Asia</v>
      </c>
      <c r="E40" s="66">
        <f>IFERROR(__xludf.DUMMYFUNCTION("""COMPUTED_VALUE"""),3.7202572E7)</f>
        <v>37202572</v>
      </c>
      <c r="F40" s="66">
        <f>IFERROR(__xludf.DUMMYFUNCTION("""COMPUTED_VALUE"""),3.8274618E7)</f>
        <v>38274618</v>
      </c>
      <c r="G40" s="67">
        <f>IFERROR(__xludf.DUMMYFUNCTION("""COMPUTED_VALUE"""),0.0288)</f>
        <v>0.0288</v>
      </c>
      <c r="H40" s="60" t="str">
        <f>IFERROR(__xludf.DUMMYFUNCTION("""COMPUTED_VALUE"""),"Dolma, Samak masgouf, Kleicha")</f>
        <v>Dolma, Samak masgouf, Kleicha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65">
        <f>IFERROR(__xludf.DUMMYFUNCTION("""COMPUTED_VALUE"""),37.0)</f>
        <v>37</v>
      </c>
      <c r="B41" s="65" t="str">
        <f>IFERROR(__xludf.DUMMYFUNCTION("""COMPUTED_VALUE"""),"Poland")</f>
        <v>Poland</v>
      </c>
      <c r="C41" s="20" t="str">
        <f>IFERROR(__xludf.DUMMYFUNCTION("""COMPUTED_VALUE"""),"Europe")</f>
        <v>Europe</v>
      </c>
      <c r="D41" s="20" t="str">
        <f>IFERROR(__xludf.DUMMYFUNCTION("""COMPUTED_VALUE"""),"Eastern Europe")</f>
        <v>Eastern Europe</v>
      </c>
      <c r="E41" s="66">
        <f>IFERROR(__xludf.DUMMYFUNCTION("""COMPUTED_VALUE"""),3.822441E7)</f>
        <v>38224410</v>
      </c>
      <c r="F41" s="66">
        <f>IFERROR(__xludf.DUMMYFUNCTION("""COMPUTED_VALUE"""),3.8170712E7)</f>
        <v>38170712</v>
      </c>
      <c r="G41" s="67">
        <f>IFERROR(__xludf.DUMMYFUNCTION("""COMPUTED_VALUE"""),-0.0014)</f>
        <v>-0.0014</v>
      </c>
      <c r="H41" s="60" t="str">
        <f>IFERROR(__xludf.DUMMYFUNCTION("""COMPUTED_VALUE"""),"Bigos, Pierogi, Kotlet schabowy, Żurek, Gołąbki")</f>
        <v>Bigos, Pierogi, Kotlet schabowy, Żurek, Gołąbki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65">
        <f>IFERROR(__xludf.DUMMYFUNCTION("""COMPUTED_VALUE"""),38.0)</f>
        <v>38</v>
      </c>
      <c r="B42" s="65" t="str">
        <f>IFERROR(__xludf.DUMMYFUNCTION("""COMPUTED_VALUE"""),"Canada")</f>
        <v>Canada</v>
      </c>
      <c r="C42" s="20" t="str">
        <f>IFERROR(__xludf.DUMMYFUNCTION("""COMPUTED_VALUE"""),"Americas")</f>
        <v>Americas</v>
      </c>
      <c r="D42" s="20" t="str">
        <f>IFERROR(__xludf.DUMMYFUNCTION("""COMPUTED_VALUE"""),"Northern America")</f>
        <v>Northern America</v>
      </c>
      <c r="E42" s="66">
        <f>IFERROR(__xludf.DUMMYFUNCTION("""COMPUTED_VALUE"""),3.6289822E7)</f>
        <v>36289822</v>
      </c>
      <c r="F42" s="66">
        <f>IFERROR(__xludf.DUMMYFUNCTION("""COMPUTED_VALUE"""),3.6624199E7)</f>
        <v>36624199</v>
      </c>
      <c r="G42" s="67">
        <f>IFERROR(__xludf.DUMMYFUNCTION("""COMPUTED_VALUE"""),0.0092)</f>
        <v>0.0092</v>
      </c>
      <c r="H42" s="60" t="str">
        <f>IFERROR(__xludf.DUMMYFUNCTION("""COMPUTED_VALUE"""),"Nanaimo bar, Poutine, Butter tarts, Tourtière")</f>
        <v>Nanaimo bar, Poutine, Butter tarts, Tourtière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65">
        <f>IFERROR(__xludf.DUMMYFUNCTION("""COMPUTED_VALUE"""),39.0)</f>
        <v>39</v>
      </c>
      <c r="B43" s="65" t="str">
        <f>IFERROR(__xludf.DUMMYFUNCTION("""COMPUTED_VALUE"""),"Morocco")</f>
        <v>Morocco</v>
      </c>
      <c r="C43" s="20" t="str">
        <f>IFERROR(__xludf.DUMMYFUNCTION("""COMPUTED_VALUE"""),"Africa")</f>
        <v>Africa</v>
      </c>
      <c r="D43" s="20" t="str">
        <f>IFERROR(__xludf.DUMMYFUNCTION("""COMPUTED_VALUE"""),"Northern Africa")</f>
        <v>Northern Africa</v>
      </c>
      <c r="E43" s="66">
        <f>IFERROR(__xludf.DUMMYFUNCTION("""COMPUTED_VALUE"""),3.5276786E7)</f>
        <v>35276786</v>
      </c>
      <c r="F43" s="66">
        <f>IFERROR(__xludf.DUMMYFUNCTION("""COMPUTED_VALUE"""),3.573958E7)</f>
        <v>35739580</v>
      </c>
      <c r="G43" s="67">
        <f>IFERROR(__xludf.DUMMYFUNCTION("""COMPUTED_VALUE"""),0.0131)</f>
        <v>0.0131</v>
      </c>
      <c r="H43" s="60" t="str">
        <f>IFERROR(__xludf.DUMMYFUNCTION("""COMPUTED_VALUE"""),"Couscous, Tagine, Pastilla")</f>
        <v>Couscous, Tagine, Pastilla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65">
        <f>IFERROR(__xludf.DUMMYFUNCTION("""COMPUTED_VALUE"""),40.0)</f>
        <v>40</v>
      </c>
      <c r="B44" s="65" t="str">
        <f>IFERROR(__xludf.DUMMYFUNCTION("""COMPUTED_VALUE"""),"Afghanistan")</f>
        <v>Afghanistan</v>
      </c>
      <c r="C44" s="20" t="str">
        <f>IFERROR(__xludf.DUMMYFUNCTION("""COMPUTED_VALUE"""),"Asia")</f>
        <v>Asia</v>
      </c>
      <c r="D44" s="20" t="str">
        <f>IFERROR(__xludf.DUMMYFUNCTION("""COMPUTED_VALUE"""),"Southern Asia")</f>
        <v>Southern Asia</v>
      </c>
      <c r="E44" s="66">
        <f>IFERROR(__xludf.DUMMYFUNCTION("""COMPUTED_VALUE"""),3.4656032E7)</f>
        <v>34656032</v>
      </c>
      <c r="F44" s="66">
        <f>IFERROR(__xludf.DUMMYFUNCTION("""COMPUTED_VALUE"""),3.5530081E7)</f>
        <v>35530081</v>
      </c>
      <c r="G44" s="67">
        <f>IFERROR(__xludf.DUMMYFUNCTION("""COMPUTED_VALUE"""),0.0252)</f>
        <v>0.0252</v>
      </c>
      <c r="H44" s="60" t="str">
        <f>IFERROR(__xludf.DUMMYFUNCTION("""COMPUTED_VALUE"""),"Kabuli Palaw")</f>
        <v>Kabuli Palaw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65">
        <f>IFERROR(__xludf.DUMMYFUNCTION("""COMPUTED_VALUE"""),41.0)</f>
        <v>41</v>
      </c>
      <c r="B45" s="65" t="str">
        <f>IFERROR(__xludf.DUMMYFUNCTION("""COMPUTED_VALUE"""),"Saudi Arabia")</f>
        <v>Saudi Arabia</v>
      </c>
      <c r="C45" s="20" t="str">
        <f>IFERROR(__xludf.DUMMYFUNCTION("""COMPUTED_VALUE"""),"Asia")</f>
        <v>Asia</v>
      </c>
      <c r="D45" s="20" t="str">
        <f>IFERROR(__xludf.DUMMYFUNCTION("""COMPUTED_VALUE"""),"Western Asia")</f>
        <v>Western Asia</v>
      </c>
      <c r="E45" s="66">
        <f>IFERROR(__xludf.DUMMYFUNCTION("""COMPUTED_VALUE"""),3.2275687E7)</f>
        <v>32275687</v>
      </c>
      <c r="F45" s="66">
        <f>IFERROR(__xludf.DUMMYFUNCTION("""COMPUTED_VALUE"""),3.2938213E7)</f>
        <v>32938213</v>
      </c>
      <c r="G45" s="67">
        <f>IFERROR(__xludf.DUMMYFUNCTION("""COMPUTED_VALUE"""),0.0205)</f>
        <v>0.0205</v>
      </c>
      <c r="H45" s="60" t="str">
        <f>IFERROR(__xludf.DUMMYFUNCTION("""COMPUTED_VALUE"""),"Kabsa, Saleeg")</f>
        <v>Kabsa, Saleeg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65">
        <f>IFERROR(__xludf.DUMMYFUNCTION("""COMPUTED_VALUE"""),42.0)</f>
        <v>42</v>
      </c>
      <c r="B46" s="65" t="str">
        <f>IFERROR(__xludf.DUMMYFUNCTION("""COMPUTED_VALUE"""),"Peru")</f>
        <v>Peru</v>
      </c>
      <c r="C46" s="20" t="str">
        <f>IFERROR(__xludf.DUMMYFUNCTION("""COMPUTED_VALUE"""),"Americas")</f>
        <v>Americas</v>
      </c>
      <c r="D46" s="20" t="str">
        <f>IFERROR(__xludf.DUMMYFUNCTION("""COMPUTED_VALUE"""),"South America")</f>
        <v>South America</v>
      </c>
      <c r="E46" s="66">
        <f>IFERROR(__xludf.DUMMYFUNCTION("""COMPUTED_VALUE"""),3.1773839E7)</f>
        <v>31773839</v>
      </c>
      <c r="F46" s="66">
        <f>IFERROR(__xludf.DUMMYFUNCTION("""COMPUTED_VALUE"""),3.2165485E7)</f>
        <v>32165485</v>
      </c>
      <c r="G46" s="67">
        <f>IFERROR(__xludf.DUMMYFUNCTION("""COMPUTED_VALUE"""),0.0123)</f>
        <v>0.0123</v>
      </c>
      <c r="H46" s="60" t="str">
        <f>IFERROR(__xludf.DUMMYFUNCTION("""COMPUTED_VALUE"""),"Ceviche")</f>
        <v>Ceviche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65">
        <f>IFERROR(__xludf.DUMMYFUNCTION("""COMPUTED_VALUE"""),43.0)</f>
        <v>43</v>
      </c>
      <c r="B47" s="65" t="str">
        <f>IFERROR(__xludf.DUMMYFUNCTION("""COMPUTED_VALUE"""),"Venezuela")</f>
        <v>Venezuela</v>
      </c>
      <c r="C47" s="20" t="str">
        <f>IFERROR(__xludf.DUMMYFUNCTION("""COMPUTED_VALUE"""),"Americas")</f>
        <v>Americas</v>
      </c>
      <c r="D47" s="20" t="str">
        <f>IFERROR(__xludf.DUMMYFUNCTION("""COMPUTED_VALUE"""),"South America")</f>
        <v>South America</v>
      </c>
      <c r="E47" s="66">
        <f>IFERROR(__xludf.DUMMYFUNCTION("""COMPUTED_VALUE"""),3.1568179E7)</f>
        <v>31568179</v>
      </c>
      <c r="F47" s="66">
        <f>IFERROR(__xludf.DUMMYFUNCTION("""COMPUTED_VALUE"""),3.1977065E7)</f>
        <v>31977065</v>
      </c>
      <c r="G47" s="67">
        <f>IFERROR(__xludf.DUMMYFUNCTION("""COMPUTED_VALUE"""),0.013)</f>
        <v>0.013</v>
      </c>
      <c r="H47" s="60" t="str">
        <f>IFERROR(__xludf.DUMMYFUNCTION("""COMPUTED_VALUE"""),"Pabellón criollo")</f>
        <v>Pabellón criollo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65">
        <f>IFERROR(__xludf.DUMMYFUNCTION("""COMPUTED_VALUE"""),44.0)</f>
        <v>44</v>
      </c>
      <c r="B48" s="65" t="str">
        <f>IFERROR(__xludf.DUMMYFUNCTION("""COMPUTED_VALUE"""),"Uzbekistan")</f>
        <v>Uzbekistan</v>
      </c>
      <c r="C48" s="20" t="str">
        <f>IFERROR(__xludf.DUMMYFUNCTION("""COMPUTED_VALUE"""),"Asia")</f>
        <v>Asia</v>
      </c>
      <c r="D48" s="20" t="str">
        <f>IFERROR(__xludf.DUMMYFUNCTION("""COMPUTED_VALUE"""),"Central Asia")</f>
        <v>Central Asia</v>
      </c>
      <c r="E48" s="66">
        <f>IFERROR(__xludf.DUMMYFUNCTION("""COMPUTED_VALUE"""),3.1446795E7)</f>
        <v>31446795</v>
      </c>
      <c r="F48" s="66">
        <f>IFERROR(__xludf.DUMMYFUNCTION("""COMPUTED_VALUE"""),3.1910641E7)</f>
        <v>31910641</v>
      </c>
      <c r="G48" s="67">
        <f>IFERROR(__xludf.DUMMYFUNCTION("""COMPUTED_VALUE"""),0.0148)</f>
        <v>0.0148</v>
      </c>
      <c r="H48" s="60" t="str">
        <f>IFERROR(__xludf.DUMMYFUNCTION("""COMPUTED_VALUE"""),"O'sh (pilaf)")</f>
        <v>O'sh (pilaf)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65">
        <f>IFERROR(__xludf.DUMMYFUNCTION("""COMPUTED_VALUE"""),45.0)</f>
        <v>45</v>
      </c>
      <c r="B49" s="65" t="str">
        <f>IFERROR(__xludf.DUMMYFUNCTION("""COMPUTED_VALUE"""),"Malaysia")</f>
        <v>Malaysia</v>
      </c>
      <c r="C49" s="20" t="str">
        <f>IFERROR(__xludf.DUMMYFUNCTION("""COMPUTED_VALUE"""),"Asia")</f>
        <v>Asia</v>
      </c>
      <c r="D49" s="20" t="str">
        <f>IFERROR(__xludf.DUMMYFUNCTION("""COMPUTED_VALUE"""),"South-eastern Asia")</f>
        <v>South-eastern Asia</v>
      </c>
      <c r="E49" s="66">
        <f>IFERROR(__xludf.DUMMYFUNCTION("""COMPUTED_VALUE"""),3.1187265E7)</f>
        <v>31187265</v>
      </c>
      <c r="F49" s="66">
        <f>IFERROR(__xludf.DUMMYFUNCTION("""COMPUTED_VALUE"""),3.1624264E7)</f>
        <v>31624264</v>
      </c>
      <c r="G49" s="67">
        <f>IFERROR(__xludf.DUMMYFUNCTION("""COMPUTED_VALUE"""),0.014)</f>
        <v>0.014</v>
      </c>
      <c r="H49" s="60" t="str">
        <f>IFERROR(__xludf.DUMMYFUNCTION("""COMPUTED_VALUE"""),"Nasi lemak, Satay, Laksa, Roti canai")</f>
        <v>Nasi lemak, Satay, Laksa, Roti canai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65">
        <f>IFERROR(__xludf.DUMMYFUNCTION("""COMPUTED_VALUE"""),46.0)</f>
        <v>46</v>
      </c>
      <c r="B50" s="65" t="str">
        <f>IFERROR(__xludf.DUMMYFUNCTION("""COMPUTED_VALUE"""),"Angola")</f>
        <v>Angola</v>
      </c>
      <c r="C50" s="20" t="str">
        <f>IFERROR(__xludf.DUMMYFUNCTION("""COMPUTED_VALUE"""),"Africa")</f>
        <v>Africa</v>
      </c>
      <c r="D50" s="20" t="str">
        <f>IFERROR(__xludf.DUMMYFUNCTION("""COMPUTED_VALUE"""),"Middle Africa")</f>
        <v>Middle Africa</v>
      </c>
      <c r="E50" s="66">
        <f>IFERROR(__xludf.DUMMYFUNCTION("""COMPUTED_VALUE"""),2.8813463E7)</f>
        <v>28813463</v>
      </c>
      <c r="F50" s="66">
        <f>IFERROR(__xludf.DUMMYFUNCTION("""COMPUTED_VALUE"""),2.9784193E7)</f>
        <v>29784193</v>
      </c>
      <c r="G50" s="67">
        <f>IFERROR(__xludf.DUMMYFUNCTION("""COMPUTED_VALUE"""),0.0337)</f>
        <v>0.0337</v>
      </c>
      <c r="H50" s="60" t="str">
        <f>IFERROR(__xludf.DUMMYFUNCTION("""COMPUTED_VALUE"""),"Moamba de galinha")</f>
        <v>Moamba de galinha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65">
        <f>IFERROR(__xludf.DUMMYFUNCTION("""COMPUTED_VALUE"""),47.0)</f>
        <v>47</v>
      </c>
      <c r="B51" s="65" t="str">
        <f>IFERROR(__xludf.DUMMYFUNCTION("""COMPUTED_VALUE"""),"Mozambique")</f>
        <v>Mozambique</v>
      </c>
      <c r="C51" s="20" t="str">
        <f>IFERROR(__xludf.DUMMYFUNCTION("""COMPUTED_VALUE"""),"Africa")</f>
        <v>Africa</v>
      </c>
      <c r="D51" s="20" t="str">
        <f>IFERROR(__xludf.DUMMYFUNCTION("""COMPUTED_VALUE"""),"Eastern Africa")</f>
        <v>Eastern Africa</v>
      </c>
      <c r="E51" s="66">
        <f>IFERROR(__xludf.DUMMYFUNCTION("""COMPUTED_VALUE"""),2.8829476E7)</f>
        <v>28829476</v>
      </c>
      <c r="F51" s="66">
        <f>IFERROR(__xludf.DUMMYFUNCTION("""COMPUTED_VALUE"""),2.9668834E7)</f>
        <v>29668834</v>
      </c>
      <c r="G51" s="67">
        <f>IFERROR(__xludf.DUMMYFUNCTION("""COMPUTED_VALUE"""),0.0291)</f>
        <v>0.0291</v>
      </c>
      <c r="H51" s="60" t="str">
        <f>IFERROR(__xludf.DUMMYFUNCTION("""COMPUTED_VALUE"""),"Frango (piri piri chicken)")</f>
        <v>Frango (piri piri chicken)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65">
        <f>IFERROR(__xludf.DUMMYFUNCTION("""COMPUTED_VALUE"""),48.0)</f>
        <v>48</v>
      </c>
      <c r="B52" s="65" t="str">
        <f>IFERROR(__xludf.DUMMYFUNCTION("""COMPUTED_VALUE"""),"Nepal")</f>
        <v>Nepal</v>
      </c>
      <c r="C52" s="20" t="str">
        <f>IFERROR(__xludf.DUMMYFUNCTION("""COMPUTED_VALUE"""),"Asia")</f>
        <v>Asia</v>
      </c>
      <c r="D52" s="20" t="str">
        <f>IFERROR(__xludf.DUMMYFUNCTION("""COMPUTED_VALUE"""),"Southern Asia")</f>
        <v>Southern Asia</v>
      </c>
      <c r="E52" s="66">
        <f>IFERROR(__xludf.DUMMYFUNCTION("""COMPUTED_VALUE"""),2.8982771E7)</f>
        <v>28982771</v>
      </c>
      <c r="F52" s="66">
        <f>IFERROR(__xludf.DUMMYFUNCTION("""COMPUTED_VALUE"""),2.9304998E7)</f>
        <v>29304998</v>
      </c>
      <c r="G52" s="67">
        <f>IFERROR(__xludf.DUMMYFUNCTION("""COMPUTED_VALUE"""),0.0111)</f>
        <v>0.0111</v>
      </c>
      <c r="H52" s="60" t="str">
        <f>IFERROR(__xludf.DUMMYFUNCTION("""COMPUTED_VALUE"""),"Dal bhat")</f>
        <v>Dal bhat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65">
        <f>IFERROR(__xludf.DUMMYFUNCTION("""COMPUTED_VALUE"""),49.0)</f>
        <v>49</v>
      </c>
      <c r="B53" s="65" t="str">
        <f>IFERROR(__xludf.DUMMYFUNCTION("""COMPUTED_VALUE"""),"Ghana")</f>
        <v>Ghana</v>
      </c>
      <c r="C53" s="20" t="str">
        <f>IFERROR(__xludf.DUMMYFUNCTION("""COMPUTED_VALUE"""),"Africa")</f>
        <v>Africa</v>
      </c>
      <c r="D53" s="20" t="str">
        <f>IFERROR(__xludf.DUMMYFUNCTION("""COMPUTED_VALUE"""),"Western Africa")</f>
        <v>Western Africa</v>
      </c>
      <c r="E53" s="66">
        <f>IFERROR(__xludf.DUMMYFUNCTION("""COMPUTED_VALUE"""),2.8206728E7)</f>
        <v>28206728</v>
      </c>
      <c r="F53" s="66">
        <f>IFERROR(__xludf.DUMMYFUNCTION("""COMPUTED_VALUE"""),2.8833629E7)</f>
        <v>28833629</v>
      </c>
      <c r="G53" s="67">
        <f>IFERROR(__xludf.DUMMYFUNCTION("""COMPUTED_VALUE"""),0.0222)</f>
        <v>0.0222</v>
      </c>
      <c r="H53" s="60" t="str">
        <f>IFERROR(__xludf.DUMMYFUNCTION("""COMPUTED_VALUE"""),"Fufu, Banku, Jollof Rice")</f>
        <v>Fufu, Banku, Jollof Rice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65">
        <f>IFERROR(__xludf.DUMMYFUNCTION("""COMPUTED_VALUE"""),50.0)</f>
        <v>50</v>
      </c>
      <c r="B54" s="65" t="str">
        <f>IFERROR(__xludf.DUMMYFUNCTION("""COMPUTED_VALUE"""),"Yemen")</f>
        <v>Yemen</v>
      </c>
      <c r="C54" s="20" t="str">
        <f>IFERROR(__xludf.DUMMYFUNCTION("""COMPUTED_VALUE"""),"Asia")</f>
        <v>Asia</v>
      </c>
      <c r="D54" s="20" t="str">
        <f>IFERROR(__xludf.DUMMYFUNCTION("""COMPUTED_VALUE"""),"Western Asia")</f>
        <v>Western Asia</v>
      </c>
      <c r="E54" s="66">
        <f>IFERROR(__xludf.DUMMYFUNCTION("""COMPUTED_VALUE"""),2.7584213E7)</f>
        <v>27584213</v>
      </c>
      <c r="F54" s="66">
        <f>IFERROR(__xludf.DUMMYFUNCTION("""COMPUTED_VALUE"""),2.825042E7)</f>
        <v>28250420</v>
      </c>
      <c r="G54" s="67">
        <f>IFERROR(__xludf.DUMMYFUNCTION("""COMPUTED_VALUE"""),0.0242)</f>
        <v>0.0242</v>
      </c>
      <c r="H54" s="60" t="str">
        <f>IFERROR(__xludf.DUMMYFUNCTION("""COMPUTED_VALUE"""),"Kabsa, Haneeth, Saltah, Mandi (food)")</f>
        <v>Kabsa, Haneeth, Saltah, Mandi (food)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65">
        <f>IFERROR(__xludf.DUMMYFUNCTION("""COMPUTED_VALUE"""),51.0)</f>
        <v>51</v>
      </c>
      <c r="B55" s="65" t="str">
        <f>IFERROR(__xludf.DUMMYFUNCTION("""COMPUTED_VALUE"""),"Madagascar")</f>
        <v>Madagascar</v>
      </c>
      <c r="C55" s="20" t="str">
        <f>IFERROR(__xludf.DUMMYFUNCTION("""COMPUTED_VALUE"""),"Africa")</f>
        <v>Africa</v>
      </c>
      <c r="D55" s="20" t="str">
        <f>IFERROR(__xludf.DUMMYFUNCTION("""COMPUTED_VALUE"""),"Eastern Africa")</f>
        <v>Eastern Africa</v>
      </c>
      <c r="E55" s="66">
        <f>IFERROR(__xludf.DUMMYFUNCTION("""COMPUTED_VALUE"""),2.4894551E7)</f>
        <v>24894551</v>
      </c>
      <c r="F55" s="66">
        <f>IFERROR(__xludf.DUMMYFUNCTION("""COMPUTED_VALUE"""),2.5570895E7)</f>
        <v>25570895</v>
      </c>
      <c r="G55" s="67">
        <f>IFERROR(__xludf.DUMMYFUNCTION("""COMPUTED_VALUE"""),0.0272)</f>
        <v>0.0272</v>
      </c>
      <c r="H55" s="60" t="str">
        <f>IFERROR(__xludf.DUMMYFUNCTION("""COMPUTED_VALUE"""),"Romazava")</f>
        <v>Romazava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65">
        <f>IFERROR(__xludf.DUMMYFUNCTION("""COMPUTED_VALUE"""),52.0)</f>
        <v>52</v>
      </c>
      <c r="B56" s="65" t="str">
        <f>IFERROR(__xludf.DUMMYFUNCTION("""COMPUTED_VALUE"""),"North Korea")</f>
        <v>North Korea</v>
      </c>
      <c r="C56" s="20" t="str">
        <f>IFERROR(__xludf.DUMMYFUNCTION("""COMPUTED_VALUE"""),"Asia")</f>
        <v>Asia</v>
      </c>
      <c r="D56" s="20" t="str">
        <f>IFERROR(__xludf.DUMMYFUNCTION("""COMPUTED_VALUE"""),"Eastern Asia")</f>
        <v>Eastern Asia</v>
      </c>
      <c r="E56" s="66">
        <f>IFERROR(__xludf.DUMMYFUNCTION("""COMPUTED_VALUE"""),2.536862E7)</f>
        <v>25368620</v>
      </c>
      <c r="F56" s="66">
        <f>IFERROR(__xludf.DUMMYFUNCTION("""COMPUTED_VALUE"""),2.5490965E7)</f>
        <v>25490965</v>
      </c>
      <c r="G56" s="67">
        <f>IFERROR(__xludf.DUMMYFUNCTION("""COMPUTED_VALUE"""),0.0048)</f>
        <v>0.0048</v>
      </c>
      <c r="H56" s="60" t="str">
        <f>IFERROR(__xludf.DUMMYFUNCTION("""COMPUTED_VALUE"""),"Kimchi, Naengmyeon, Bulgogi, Bosintang")</f>
        <v>Kimchi, Naengmyeon, Bulgogi, Bosintang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65">
        <f>IFERROR(__xludf.DUMMYFUNCTION("""COMPUTED_VALUE"""),53.0)</f>
        <v>53</v>
      </c>
      <c r="B57" s="65" t="str">
        <f>IFERROR(__xludf.DUMMYFUNCTION("""COMPUTED_VALUE"""),"Australia[g]")</f>
        <v>Australia[g]</v>
      </c>
      <c r="C57" s="20" t="str">
        <f>IFERROR(__xludf.DUMMYFUNCTION("""COMPUTED_VALUE"""),"Oceania")</f>
        <v>Oceania</v>
      </c>
      <c r="D57" s="20" t="str">
        <f>IFERROR(__xludf.DUMMYFUNCTION("""COMPUTED_VALUE"""),"Australia and New Zealand")</f>
        <v>Australia and New Zealand</v>
      </c>
      <c r="E57" s="66">
        <f>IFERROR(__xludf.DUMMYFUNCTION("""COMPUTED_VALUE"""),2.4125848E7)</f>
        <v>24125848</v>
      </c>
      <c r="F57" s="66">
        <f>IFERROR(__xludf.DUMMYFUNCTION("""COMPUTED_VALUE"""),2.4450561E7)</f>
        <v>24450561</v>
      </c>
      <c r="G57" s="67">
        <f>IFERROR(__xludf.DUMMYFUNCTION("""COMPUTED_VALUE"""),0.0135)</f>
        <v>0.0135</v>
      </c>
      <c r="H57" s="6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65">
        <f>IFERROR(__xludf.DUMMYFUNCTION("""COMPUTED_VALUE"""),54.0)</f>
        <v>54</v>
      </c>
      <c r="B58" s="65" t="str">
        <f>IFERROR(__xludf.DUMMYFUNCTION("""COMPUTED_VALUE"""),"Ivory Coast")</f>
        <v>Ivory Coast</v>
      </c>
      <c r="C58" s="20" t="str">
        <f>IFERROR(__xludf.DUMMYFUNCTION("""COMPUTED_VALUE"""),"Africa")</f>
        <v>Africa</v>
      </c>
      <c r="D58" s="20" t="str">
        <f>IFERROR(__xludf.DUMMYFUNCTION("""COMPUTED_VALUE"""),"Western Africa")</f>
        <v>Western Africa</v>
      </c>
      <c r="E58" s="66">
        <f>IFERROR(__xludf.DUMMYFUNCTION("""COMPUTED_VALUE"""),2.3695919E7)</f>
        <v>23695919</v>
      </c>
      <c r="F58" s="66">
        <f>IFERROR(__xludf.DUMMYFUNCTION("""COMPUTED_VALUE"""),2.429475E7)</f>
        <v>24294750</v>
      </c>
      <c r="G58" s="67">
        <f>IFERROR(__xludf.DUMMYFUNCTION("""COMPUTED_VALUE"""),0.0253)</f>
        <v>0.0253</v>
      </c>
      <c r="H58" s="60" t="str">
        <f>IFERROR(__xludf.DUMMYFUNCTION("""COMPUTED_VALUE"""),"Fufu, Kedjenou")</f>
        <v>Fufu, Kedjenou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65">
        <f>IFERROR(__xludf.DUMMYFUNCTION("""COMPUTED_VALUE"""),55.0)</f>
        <v>55</v>
      </c>
      <c r="B59" s="65" t="str">
        <f>IFERROR(__xludf.DUMMYFUNCTION("""COMPUTED_VALUE"""),"Cameroon")</f>
        <v>Cameroon</v>
      </c>
      <c r="C59" s="20" t="str">
        <f>IFERROR(__xludf.DUMMYFUNCTION("""COMPUTED_VALUE"""),"Africa")</f>
        <v>Africa</v>
      </c>
      <c r="D59" s="20" t="str">
        <f>IFERROR(__xludf.DUMMYFUNCTION("""COMPUTED_VALUE"""),"Middle Africa")</f>
        <v>Middle Africa</v>
      </c>
      <c r="E59" s="66">
        <f>IFERROR(__xludf.DUMMYFUNCTION("""COMPUTED_VALUE"""),2.3439189E7)</f>
        <v>23439189</v>
      </c>
      <c r="F59" s="66">
        <f>IFERROR(__xludf.DUMMYFUNCTION("""COMPUTED_VALUE"""),2.4053727E7)</f>
        <v>24053727</v>
      </c>
      <c r="G59" s="67">
        <f>IFERROR(__xludf.DUMMYFUNCTION("""COMPUTED_VALUE"""),0.0262)</f>
        <v>0.0262</v>
      </c>
      <c r="H59" s="60" t="str">
        <f>IFERROR(__xludf.DUMMYFUNCTION("""COMPUTED_VALUE"""),"Ndolé")</f>
        <v>Ndolé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65">
        <f>IFERROR(__xludf.DUMMYFUNCTION("""COMPUTED_VALUE"""),56.0)</f>
        <v>56</v>
      </c>
      <c r="B60" s="65" t="str">
        <f>IFERROR(__xludf.DUMMYFUNCTION("""COMPUTED_VALUE"""),"Taiwan")</f>
        <v>Taiwan</v>
      </c>
      <c r="C60" s="20" t="str">
        <f>IFERROR(__xludf.DUMMYFUNCTION("""COMPUTED_VALUE"""),"Asia")</f>
        <v>Asia</v>
      </c>
      <c r="D60" s="20" t="str">
        <f>IFERROR(__xludf.DUMMYFUNCTION("""COMPUTED_VALUE"""),"Eastern Asia")</f>
        <v>Eastern Asia</v>
      </c>
      <c r="E60" s="66">
        <f>IFERROR(__xludf.DUMMYFUNCTION("""COMPUTED_VALUE"""),2.3556706E7)</f>
        <v>23556706</v>
      </c>
      <c r="F60" s="66">
        <f>IFERROR(__xludf.DUMMYFUNCTION("""COMPUTED_VALUE"""),2.3626456E7)</f>
        <v>23626456</v>
      </c>
      <c r="G60" s="67">
        <f>IFERROR(__xludf.DUMMYFUNCTION("""COMPUTED_VALUE"""),0.003)</f>
        <v>0.003</v>
      </c>
      <c r="H60" s="60" t="str">
        <f>IFERROR(__xludf.DUMMYFUNCTION("""COMPUTED_VALUE"""),"Beef noodle soup, Minced pork rice")</f>
        <v>Beef noodle soup, Minced pork rice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65">
        <f>IFERROR(__xludf.DUMMYFUNCTION("""COMPUTED_VALUE"""),57.0)</f>
        <v>57</v>
      </c>
      <c r="B61" s="65" t="str">
        <f>IFERROR(__xludf.DUMMYFUNCTION("""COMPUTED_VALUE"""),"Niger")</f>
        <v>Niger</v>
      </c>
      <c r="C61" s="20" t="str">
        <f>IFERROR(__xludf.DUMMYFUNCTION("""COMPUTED_VALUE"""),"Africa")</f>
        <v>Africa</v>
      </c>
      <c r="D61" s="20" t="str">
        <f>IFERROR(__xludf.DUMMYFUNCTION("""COMPUTED_VALUE"""),"Western Africa")</f>
        <v>Western Africa</v>
      </c>
      <c r="E61" s="66">
        <f>IFERROR(__xludf.DUMMYFUNCTION("""COMPUTED_VALUE"""),2.0672987E7)</f>
        <v>20672987</v>
      </c>
      <c r="F61" s="66">
        <f>IFERROR(__xludf.DUMMYFUNCTION("""COMPUTED_VALUE"""),2.1477348E7)</f>
        <v>21477348</v>
      </c>
      <c r="G61" s="67">
        <f>IFERROR(__xludf.DUMMYFUNCTION("""COMPUTED_VALUE"""),0.0389)</f>
        <v>0.0389</v>
      </c>
      <c r="H61" s="60" t="str">
        <f>IFERROR(__xludf.DUMMYFUNCTION("""COMPUTED_VALUE"""),"Djerma Stew, Jollof rice")</f>
        <v>Djerma Stew, Jollof rice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65">
        <f>IFERROR(__xludf.DUMMYFUNCTION("""COMPUTED_VALUE"""),58.0)</f>
        <v>58</v>
      </c>
      <c r="B62" s="65" t="str">
        <f>IFERROR(__xludf.DUMMYFUNCTION("""COMPUTED_VALUE"""),"Sri Lanka")</f>
        <v>Sri Lanka</v>
      </c>
      <c r="C62" s="20" t="str">
        <f>IFERROR(__xludf.DUMMYFUNCTION("""COMPUTED_VALUE"""),"Asia")</f>
        <v>Asia</v>
      </c>
      <c r="D62" s="20" t="str">
        <f>IFERROR(__xludf.DUMMYFUNCTION("""COMPUTED_VALUE"""),"Southern Asia")</f>
        <v>Southern Asia</v>
      </c>
      <c r="E62" s="66">
        <f>IFERROR(__xludf.DUMMYFUNCTION("""COMPUTED_VALUE"""),2.0798492E7)</f>
        <v>20798492</v>
      </c>
      <c r="F62" s="66">
        <f>IFERROR(__xludf.DUMMYFUNCTION("""COMPUTED_VALUE"""),2.0876917E7)</f>
        <v>20876917</v>
      </c>
      <c r="G62" s="67">
        <f>IFERROR(__xludf.DUMMYFUNCTION("""COMPUTED_VALUE"""),0.0038)</f>
        <v>0.0038</v>
      </c>
      <c r="H62" s="60" t="str">
        <f>IFERROR(__xludf.DUMMYFUNCTION("""COMPUTED_VALUE"""),"Rice and curry, Kottu, Kiribath")</f>
        <v>Rice and curry, Kottu, Kiribath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65">
        <f>IFERROR(__xludf.DUMMYFUNCTION("""COMPUTED_VALUE"""),59.0)</f>
        <v>59</v>
      </c>
      <c r="B63" s="65" t="str">
        <f>IFERROR(__xludf.DUMMYFUNCTION("""COMPUTED_VALUE"""),"Romania")</f>
        <v>Romania</v>
      </c>
      <c r="C63" s="20" t="str">
        <f>IFERROR(__xludf.DUMMYFUNCTION("""COMPUTED_VALUE"""),"Europe")</f>
        <v>Europe</v>
      </c>
      <c r="D63" s="20" t="str">
        <f>IFERROR(__xludf.DUMMYFUNCTION("""COMPUTED_VALUE"""),"Eastern Europe")</f>
        <v>Eastern Europe</v>
      </c>
      <c r="E63" s="66">
        <f>IFERROR(__xludf.DUMMYFUNCTION("""COMPUTED_VALUE"""),1.9778083E7)</f>
        <v>19778083</v>
      </c>
      <c r="F63" s="66">
        <f>IFERROR(__xludf.DUMMYFUNCTION("""COMPUTED_VALUE"""),1.9679306E7)</f>
        <v>19679306</v>
      </c>
      <c r="G63" s="67">
        <f>IFERROR(__xludf.DUMMYFUNCTION("""COMPUTED_VALUE"""),-0.005)</f>
        <v>-0.005</v>
      </c>
      <c r="H63" s="60" t="str">
        <f>IFERROR(__xludf.DUMMYFUNCTION("""COMPUTED_VALUE"""),"Mămăligă, Sarmale, Mici")</f>
        <v>Mămăligă, Sarmale, Mici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65">
        <f>IFERROR(__xludf.DUMMYFUNCTION("""COMPUTED_VALUE"""),60.0)</f>
        <v>60</v>
      </c>
      <c r="B64" s="65" t="str">
        <f>IFERROR(__xludf.DUMMYFUNCTION("""COMPUTED_VALUE"""),"Burkina Faso")</f>
        <v>Burkina Faso</v>
      </c>
      <c r="C64" s="20" t="str">
        <f>IFERROR(__xludf.DUMMYFUNCTION("""COMPUTED_VALUE"""),"Africa")</f>
        <v>Africa</v>
      </c>
      <c r="D64" s="20" t="str">
        <f>IFERROR(__xludf.DUMMYFUNCTION("""COMPUTED_VALUE"""),"Western Africa")</f>
        <v>Western Africa</v>
      </c>
      <c r="E64" s="66">
        <f>IFERROR(__xludf.DUMMYFUNCTION("""COMPUTED_VALUE"""),1.8646433E7)</f>
        <v>18646433</v>
      </c>
      <c r="F64" s="66">
        <f>IFERROR(__xludf.DUMMYFUNCTION("""COMPUTED_VALUE"""),1.9193382E7)</f>
        <v>19193382</v>
      </c>
      <c r="G64" s="67">
        <f>IFERROR(__xludf.DUMMYFUNCTION("""COMPUTED_VALUE"""),0.0293)</f>
        <v>0.0293</v>
      </c>
      <c r="H64" s="60" t="str">
        <f>IFERROR(__xludf.DUMMYFUNCTION("""COMPUTED_VALUE"""),"Riz Gras")</f>
        <v>Riz Gras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65">
        <f>IFERROR(__xludf.DUMMYFUNCTION("""COMPUTED_VALUE"""),61.0)</f>
        <v>61</v>
      </c>
      <c r="B65" s="65" t="str">
        <f>IFERROR(__xludf.DUMMYFUNCTION("""COMPUTED_VALUE"""),"Malawi")</f>
        <v>Malawi</v>
      </c>
      <c r="C65" s="20" t="str">
        <f>IFERROR(__xludf.DUMMYFUNCTION("""COMPUTED_VALUE"""),"Africa")</f>
        <v>Africa</v>
      </c>
      <c r="D65" s="20" t="str">
        <f>IFERROR(__xludf.DUMMYFUNCTION("""COMPUTED_VALUE"""),"Eastern Africa")</f>
        <v>Eastern Africa</v>
      </c>
      <c r="E65" s="66">
        <f>IFERROR(__xludf.DUMMYFUNCTION("""COMPUTED_VALUE"""),1.8091575E7)</f>
        <v>18091575</v>
      </c>
      <c r="F65" s="66">
        <f>IFERROR(__xludf.DUMMYFUNCTION("""COMPUTED_VALUE"""),1.8622104E7)</f>
        <v>18622104</v>
      </c>
      <c r="G65" s="67">
        <f>IFERROR(__xludf.DUMMYFUNCTION("""COMPUTED_VALUE"""),0.0293)</f>
        <v>0.0293</v>
      </c>
      <c r="H65" s="60" t="str">
        <f>IFERROR(__xludf.DUMMYFUNCTION("""COMPUTED_VALUE"""),"Nshima")</f>
        <v>Nshima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65">
        <f>IFERROR(__xludf.DUMMYFUNCTION("""COMPUTED_VALUE"""),62.0)</f>
        <v>62</v>
      </c>
      <c r="B66" s="65" t="str">
        <f>IFERROR(__xludf.DUMMYFUNCTION("""COMPUTED_VALUE"""),"Mali")</f>
        <v>Mali</v>
      </c>
      <c r="C66" s="20" t="str">
        <f>IFERROR(__xludf.DUMMYFUNCTION("""COMPUTED_VALUE"""),"Africa")</f>
        <v>Africa</v>
      </c>
      <c r="D66" s="20" t="str">
        <f>IFERROR(__xludf.DUMMYFUNCTION("""COMPUTED_VALUE"""),"Western Africa")</f>
        <v>Western Africa</v>
      </c>
      <c r="E66" s="66">
        <f>IFERROR(__xludf.DUMMYFUNCTION("""COMPUTED_VALUE"""),1.7994837E7)</f>
        <v>17994837</v>
      </c>
      <c r="F66" s="66">
        <f>IFERROR(__xludf.DUMMYFUNCTION("""COMPUTED_VALUE"""),1.854198E7)</f>
        <v>18541980</v>
      </c>
      <c r="G66" s="67">
        <f>IFERROR(__xludf.DUMMYFUNCTION("""COMPUTED_VALUE"""),0.0304)</f>
        <v>0.0304</v>
      </c>
      <c r="H66" s="60" t="str">
        <f>IFERROR(__xludf.DUMMYFUNCTION("""COMPUTED_VALUE"""),"Maafe, To et Tokorodji, Tiguadege Na")</f>
        <v>Maafe, To et Tokorodji, Tiguadege Na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65">
        <f>IFERROR(__xludf.DUMMYFUNCTION("""COMPUTED_VALUE"""),63.0)</f>
        <v>63</v>
      </c>
      <c r="B67" s="65" t="str">
        <f>IFERROR(__xludf.DUMMYFUNCTION("""COMPUTED_VALUE"""),"Syria")</f>
        <v>Syria</v>
      </c>
      <c r="C67" s="20" t="str">
        <f>IFERROR(__xludf.DUMMYFUNCTION("""COMPUTED_VALUE"""),"Asia")</f>
        <v>Asia</v>
      </c>
      <c r="D67" s="20" t="str">
        <f>IFERROR(__xludf.DUMMYFUNCTION("""COMPUTED_VALUE"""),"Western Asia")</f>
        <v>Western Asia</v>
      </c>
      <c r="E67" s="66">
        <f>IFERROR(__xludf.DUMMYFUNCTION("""COMPUTED_VALUE"""),1.8430453E7)</f>
        <v>18430453</v>
      </c>
      <c r="F67" s="66">
        <f>IFERROR(__xludf.DUMMYFUNCTION("""COMPUTED_VALUE"""),1.8269868E7)</f>
        <v>18269868</v>
      </c>
      <c r="G67" s="67">
        <f>IFERROR(__xludf.DUMMYFUNCTION("""COMPUTED_VALUE"""),-0.0087)</f>
        <v>-0.0087</v>
      </c>
      <c r="H67" s="60" t="str">
        <f>IFERROR(__xludf.DUMMYFUNCTION("""COMPUTED_VALUE"""),"Kibbeh")</f>
        <v>Kibbeh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65">
        <f>IFERROR(__xludf.DUMMYFUNCTION("""COMPUTED_VALUE"""),64.0)</f>
        <v>64</v>
      </c>
      <c r="B68" s="65" t="str">
        <f>IFERROR(__xludf.DUMMYFUNCTION("""COMPUTED_VALUE"""),"Kazakhstan")</f>
        <v>Kazakhstan</v>
      </c>
      <c r="C68" s="20" t="str">
        <f>IFERROR(__xludf.DUMMYFUNCTION("""COMPUTED_VALUE"""),"Asia")</f>
        <v>Asia</v>
      </c>
      <c r="D68" s="20" t="str">
        <f>IFERROR(__xludf.DUMMYFUNCTION("""COMPUTED_VALUE"""),"Central Asia")</f>
        <v>Central Asia</v>
      </c>
      <c r="E68" s="66">
        <f>IFERROR(__xludf.DUMMYFUNCTION("""COMPUTED_VALUE"""),1.7987736E7)</f>
        <v>17987736</v>
      </c>
      <c r="F68" s="66">
        <f>IFERROR(__xludf.DUMMYFUNCTION("""COMPUTED_VALUE"""),1.8204499E7)</f>
        <v>18204499</v>
      </c>
      <c r="G68" s="67">
        <f>IFERROR(__xludf.DUMMYFUNCTION("""COMPUTED_VALUE"""),0.0121)</f>
        <v>0.0121</v>
      </c>
      <c r="H68" s="60" t="str">
        <f>IFERROR(__xludf.DUMMYFUNCTION("""COMPUTED_VALUE"""),"Beshbarmak, Shalgam")</f>
        <v>Beshbarmak, Shalgam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65">
        <f>IFERROR(__xludf.DUMMYFUNCTION("""COMPUTED_VALUE"""),65.0)</f>
        <v>65</v>
      </c>
      <c r="B69" s="65" t="str">
        <f>IFERROR(__xludf.DUMMYFUNCTION("""COMPUTED_VALUE"""),"Chile")</f>
        <v>Chile</v>
      </c>
      <c r="C69" s="20" t="str">
        <f>IFERROR(__xludf.DUMMYFUNCTION("""COMPUTED_VALUE"""),"Americas")</f>
        <v>Americas</v>
      </c>
      <c r="D69" s="20" t="str">
        <f>IFERROR(__xludf.DUMMYFUNCTION("""COMPUTED_VALUE"""),"South America")</f>
        <v>South America</v>
      </c>
      <c r="E69" s="66">
        <f>IFERROR(__xludf.DUMMYFUNCTION("""COMPUTED_VALUE"""),1.7909754E7)</f>
        <v>17909754</v>
      </c>
      <c r="F69" s="66">
        <f>IFERROR(__xludf.DUMMYFUNCTION("""COMPUTED_VALUE"""),1.8054726E7)</f>
        <v>18054726</v>
      </c>
      <c r="G69" s="67">
        <f>IFERROR(__xludf.DUMMYFUNCTION("""COMPUTED_VALUE"""),0.0081)</f>
        <v>0.0081</v>
      </c>
      <c r="H69" s="60" t="str">
        <f>IFERROR(__xludf.DUMMYFUNCTION("""COMPUTED_VALUE"""),"Empanada, Pastel de choclo")</f>
        <v>Empanada, Pastel de choclo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65">
        <f>IFERROR(__xludf.DUMMYFUNCTION("""COMPUTED_VALUE"""),66.0)</f>
        <v>66</v>
      </c>
      <c r="B70" s="65" t="str">
        <f>IFERROR(__xludf.DUMMYFUNCTION("""COMPUTED_VALUE"""),"Zambia")</f>
        <v>Zambia</v>
      </c>
      <c r="C70" s="20" t="str">
        <f>IFERROR(__xludf.DUMMYFUNCTION("""COMPUTED_VALUE"""),"Africa")</f>
        <v>Africa</v>
      </c>
      <c r="D70" s="20" t="str">
        <f>IFERROR(__xludf.DUMMYFUNCTION("""COMPUTED_VALUE"""),"Eastern Africa")</f>
        <v>Eastern Africa</v>
      </c>
      <c r="E70" s="66">
        <f>IFERROR(__xludf.DUMMYFUNCTION("""COMPUTED_VALUE"""),1.659139E7)</f>
        <v>16591390</v>
      </c>
      <c r="F70" s="66">
        <f>IFERROR(__xludf.DUMMYFUNCTION("""COMPUTED_VALUE"""),1.709413E7)</f>
        <v>17094130</v>
      </c>
      <c r="G70" s="67">
        <f>IFERROR(__xludf.DUMMYFUNCTION("""COMPUTED_VALUE"""),0.0303)</f>
        <v>0.0303</v>
      </c>
      <c r="H70" s="60" t="str">
        <f>IFERROR(__xludf.DUMMYFUNCTION("""COMPUTED_VALUE"""),"Nshima")</f>
        <v>Nshima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65">
        <f>IFERROR(__xludf.DUMMYFUNCTION("""COMPUTED_VALUE"""),67.0)</f>
        <v>67</v>
      </c>
      <c r="B71" s="65" t="str">
        <f>IFERROR(__xludf.DUMMYFUNCTION("""COMPUTED_VALUE"""),"Netherlands")</f>
        <v>Netherlands</v>
      </c>
      <c r="C71" s="20" t="str">
        <f>IFERROR(__xludf.DUMMYFUNCTION("""COMPUTED_VALUE"""),"Europe")</f>
        <v>Europe</v>
      </c>
      <c r="D71" s="20" t="str">
        <f>IFERROR(__xludf.DUMMYFUNCTION("""COMPUTED_VALUE"""),"Western Europe")</f>
        <v>Western Europe</v>
      </c>
      <c r="E71" s="66">
        <f>IFERROR(__xludf.DUMMYFUNCTION("""COMPUTED_VALUE"""),1.698733E7)</f>
        <v>16987330</v>
      </c>
      <c r="F71" s="66">
        <f>IFERROR(__xludf.DUMMYFUNCTION("""COMPUTED_VALUE"""),1.7035938E7)</f>
        <v>17035938</v>
      </c>
      <c r="G71" s="67">
        <f>IFERROR(__xludf.DUMMYFUNCTION("""COMPUTED_VALUE"""),0.0029)</f>
        <v>0.0029</v>
      </c>
      <c r="H71" s="60" t="str">
        <f>IFERROR(__xludf.DUMMYFUNCTION("""COMPUTED_VALUE"""),"Stamppot, hutspot")</f>
        <v>Stamppot, hutspot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65">
        <f>IFERROR(__xludf.DUMMYFUNCTION("""COMPUTED_VALUE"""),68.0)</f>
        <v>68</v>
      </c>
      <c r="B72" s="65" t="str">
        <f>IFERROR(__xludf.DUMMYFUNCTION("""COMPUTED_VALUE"""),"Guatemala")</f>
        <v>Guatemala</v>
      </c>
      <c r="C72" s="20" t="str">
        <f>IFERROR(__xludf.DUMMYFUNCTION("""COMPUTED_VALUE"""),"Americas")</f>
        <v>Americas</v>
      </c>
      <c r="D72" s="20" t="str">
        <f>IFERROR(__xludf.DUMMYFUNCTION("""COMPUTED_VALUE"""),"Central America")</f>
        <v>Central America</v>
      </c>
      <c r="E72" s="66">
        <f>IFERROR(__xludf.DUMMYFUNCTION("""COMPUTED_VALUE"""),1.6582469E7)</f>
        <v>16582469</v>
      </c>
      <c r="F72" s="66">
        <f>IFERROR(__xludf.DUMMYFUNCTION("""COMPUTED_VALUE"""),1.6913503E7)</f>
        <v>16913503</v>
      </c>
      <c r="G72" s="67">
        <f>IFERROR(__xludf.DUMMYFUNCTION("""COMPUTED_VALUE"""),0.02)</f>
        <v>0.02</v>
      </c>
      <c r="H72" s="60" t="str">
        <f>IFERROR(__xludf.DUMMYFUNCTION("""COMPUTED_VALUE"""),"Fiambre, Pepian (hearty meat stew)")</f>
        <v>Fiambre, Pepian (hearty meat stew)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65">
        <f>IFERROR(__xludf.DUMMYFUNCTION("""COMPUTED_VALUE"""),69.0)</f>
        <v>69</v>
      </c>
      <c r="B73" s="65" t="str">
        <f>IFERROR(__xludf.DUMMYFUNCTION("""COMPUTED_VALUE"""),"Ecuador")</f>
        <v>Ecuador</v>
      </c>
      <c r="C73" s="20" t="str">
        <f>IFERROR(__xludf.DUMMYFUNCTION("""COMPUTED_VALUE"""),"Americas")</f>
        <v>Americas</v>
      </c>
      <c r="D73" s="20" t="str">
        <f>IFERROR(__xludf.DUMMYFUNCTION("""COMPUTED_VALUE"""),"South America")</f>
        <v>South America</v>
      </c>
      <c r="E73" s="66">
        <f>IFERROR(__xludf.DUMMYFUNCTION("""COMPUTED_VALUE"""),1.6385068E7)</f>
        <v>16385068</v>
      </c>
      <c r="F73" s="66">
        <f>IFERROR(__xludf.DUMMYFUNCTION("""COMPUTED_VALUE"""),1.6624858E7)</f>
        <v>16624858</v>
      </c>
      <c r="G73" s="67">
        <f>IFERROR(__xludf.DUMMYFUNCTION("""COMPUTED_VALUE"""),0.0146)</f>
        <v>0.0146</v>
      </c>
      <c r="H73" s="60" t="str">
        <f>IFERROR(__xludf.DUMMYFUNCTION("""COMPUTED_VALUE"""),"Encebollado, Fritada, Guatitas, Ceviche")</f>
        <v>Encebollado, Fritada, Guatitas, Ceviche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65">
        <f>IFERROR(__xludf.DUMMYFUNCTION("""COMPUTED_VALUE"""),70.0)</f>
        <v>70</v>
      </c>
      <c r="B74" s="65" t="str">
        <f>IFERROR(__xludf.DUMMYFUNCTION("""COMPUTED_VALUE"""),"Zimbabwe")</f>
        <v>Zimbabwe</v>
      </c>
      <c r="C74" s="20" t="str">
        <f>IFERROR(__xludf.DUMMYFUNCTION("""COMPUTED_VALUE"""),"Africa")</f>
        <v>Africa</v>
      </c>
      <c r="D74" s="20" t="str">
        <f>IFERROR(__xludf.DUMMYFUNCTION("""COMPUTED_VALUE"""),"Eastern Africa")</f>
        <v>Eastern Africa</v>
      </c>
      <c r="E74" s="66">
        <f>IFERROR(__xludf.DUMMYFUNCTION("""COMPUTED_VALUE"""),1.6150362E7)</f>
        <v>16150362</v>
      </c>
      <c r="F74" s="66">
        <f>IFERROR(__xludf.DUMMYFUNCTION("""COMPUTED_VALUE"""),1.6529904E7)</f>
        <v>16529904</v>
      </c>
      <c r="G74" s="67">
        <f>IFERROR(__xludf.DUMMYFUNCTION("""COMPUTED_VALUE"""),0.0235)</f>
        <v>0.0235</v>
      </c>
      <c r="H74" s="60" t="str">
        <f>IFERROR(__xludf.DUMMYFUNCTION("""COMPUTED_VALUE"""),"Sadza")</f>
        <v>Sadza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65">
        <f>IFERROR(__xludf.DUMMYFUNCTION("""COMPUTED_VALUE"""),71.0)</f>
        <v>71</v>
      </c>
      <c r="B75" s="65" t="str">
        <f>IFERROR(__xludf.DUMMYFUNCTION("""COMPUTED_VALUE"""),"Cambodia")</f>
        <v>Cambodia</v>
      </c>
      <c r="C75" s="20" t="str">
        <f>IFERROR(__xludf.DUMMYFUNCTION("""COMPUTED_VALUE"""),"Asia")</f>
        <v>Asia</v>
      </c>
      <c r="D75" s="20" t="str">
        <f>IFERROR(__xludf.DUMMYFUNCTION("""COMPUTED_VALUE"""),"South-eastern Asia")</f>
        <v>South-eastern Asia</v>
      </c>
      <c r="E75" s="66">
        <f>IFERROR(__xludf.DUMMYFUNCTION("""COMPUTED_VALUE"""),1.576237E7)</f>
        <v>15762370</v>
      </c>
      <c r="F75" s="66">
        <f>IFERROR(__xludf.DUMMYFUNCTION("""COMPUTED_VALUE"""),1.6005373E7)</f>
        <v>16005373</v>
      </c>
      <c r="G75" s="67">
        <f>IFERROR(__xludf.DUMMYFUNCTION("""COMPUTED_VALUE"""),0.0154)</f>
        <v>0.0154</v>
      </c>
      <c r="H75" s="60" t="str">
        <f>IFERROR(__xludf.DUMMYFUNCTION("""COMPUTED_VALUE"""),"Amok trey, Samlor Kako")</f>
        <v>Amok trey, Samlor Kako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65">
        <f>IFERROR(__xludf.DUMMYFUNCTION("""COMPUTED_VALUE"""),72.0)</f>
        <v>72</v>
      </c>
      <c r="B76" s="65" t="str">
        <f>IFERROR(__xludf.DUMMYFUNCTION("""COMPUTED_VALUE"""),"Senegal")</f>
        <v>Senegal</v>
      </c>
      <c r="C76" s="20" t="str">
        <f>IFERROR(__xludf.DUMMYFUNCTION("""COMPUTED_VALUE"""),"Africa")</f>
        <v>Africa</v>
      </c>
      <c r="D76" s="20" t="str">
        <f>IFERROR(__xludf.DUMMYFUNCTION("""COMPUTED_VALUE"""),"Western Africa")</f>
        <v>Western Africa</v>
      </c>
      <c r="E76" s="66">
        <f>IFERROR(__xludf.DUMMYFUNCTION("""COMPUTED_VALUE"""),1.5411614E7)</f>
        <v>15411614</v>
      </c>
      <c r="F76" s="66">
        <f>IFERROR(__xludf.DUMMYFUNCTION("""COMPUTED_VALUE"""),1.5850567E7)</f>
        <v>15850567</v>
      </c>
      <c r="G76" s="67">
        <f>IFERROR(__xludf.DUMMYFUNCTION("""COMPUTED_VALUE"""),0.0285)</f>
        <v>0.0285</v>
      </c>
      <c r="H76" s="60" t="str">
        <f>IFERROR(__xludf.DUMMYFUNCTION("""COMPUTED_VALUE"""),"Thieboudienne, Poulet Yassa")</f>
        <v>Thieboudienne, Poulet Yassa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65">
        <f>IFERROR(__xludf.DUMMYFUNCTION("""COMPUTED_VALUE"""),73.0)</f>
        <v>73</v>
      </c>
      <c r="B77" s="65" t="str">
        <f>IFERROR(__xludf.DUMMYFUNCTION("""COMPUTED_VALUE"""),"Chad")</f>
        <v>Chad</v>
      </c>
      <c r="C77" s="20" t="str">
        <f>IFERROR(__xludf.DUMMYFUNCTION("""COMPUTED_VALUE"""),"Africa")</f>
        <v>Africa</v>
      </c>
      <c r="D77" s="20" t="str">
        <f>IFERROR(__xludf.DUMMYFUNCTION("""COMPUTED_VALUE"""),"Middle Africa")</f>
        <v>Middle Africa</v>
      </c>
      <c r="E77" s="66">
        <f>IFERROR(__xludf.DUMMYFUNCTION("""COMPUTED_VALUE"""),1.4452543E7)</f>
        <v>14452543</v>
      </c>
      <c r="F77" s="66">
        <f>IFERROR(__xludf.DUMMYFUNCTION("""COMPUTED_VALUE"""),1.4899994E7)</f>
        <v>14899994</v>
      </c>
      <c r="G77" s="67">
        <f>IFERROR(__xludf.DUMMYFUNCTION("""COMPUTED_VALUE"""),0.031)</f>
        <v>0.031</v>
      </c>
      <c r="H77" s="60" t="str">
        <f>IFERROR(__xludf.DUMMYFUNCTION("""COMPUTED_VALUE"""),"Boule")</f>
        <v>Boule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65">
        <f>IFERROR(__xludf.DUMMYFUNCTION("""COMPUTED_VALUE"""),74.0)</f>
        <v>74</v>
      </c>
      <c r="B78" s="65" t="str">
        <f>IFERROR(__xludf.DUMMYFUNCTION("""COMPUTED_VALUE"""),"Somalia")</f>
        <v>Somalia</v>
      </c>
      <c r="C78" s="20" t="str">
        <f>IFERROR(__xludf.DUMMYFUNCTION("""COMPUTED_VALUE"""),"Africa")</f>
        <v>Africa</v>
      </c>
      <c r="D78" s="20" t="str">
        <f>IFERROR(__xludf.DUMMYFUNCTION("""COMPUTED_VALUE"""),"Eastern Africa")</f>
        <v>Eastern Africa</v>
      </c>
      <c r="E78" s="66">
        <f>IFERROR(__xludf.DUMMYFUNCTION("""COMPUTED_VALUE"""),1.4317996E7)</f>
        <v>14317996</v>
      </c>
      <c r="F78" s="66">
        <f>IFERROR(__xludf.DUMMYFUNCTION("""COMPUTED_VALUE"""),1.4742523E7)</f>
        <v>14742523</v>
      </c>
      <c r="G78" s="67">
        <f>IFERROR(__xludf.DUMMYFUNCTION("""COMPUTED_VALUE"""),0.0296)</f>
        <v>0.0296</v>
      </c>
      <c r="H78" s="60" t="str">
        <f>IFERROR(__xludf.DUMMYFUNCTION("""COMPUTED_VALUE"""),"Canjeero with goat stew, Lahoh, Gashaato (coconut confection)")</f>
        <v>Canjeero with goat stew, Lahoh, Gashaato (coconut confection)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65">
        <f>IFERROR(__xludf.DUMMYFUNCTION("""COMPUTED_VALUE"""),75.0)</f>
        <v>75</v>
      </c>
      <c r="B79" s="65" t="str">
        <f>IFERROR(__xludf.DUMMYFUNCTION("""COMPUTED_VALUE"""),"Guinea")</f>
        <v>Guinea</v>
      </c>
      <c r="C79" s="20" t="str">
        <f>IFERROR(__xludf.DUMMYFUNCTION("""COMPUTED_VALUE"""),"Africa")</f>
        <v>Africa</v>
      </c>
      <c r="D79" s="20" t="str">
        <f>IFERROR(__xludf.DUMMYFUNCTION("""COMPUTED_VALUE"""),"Western Africa")</f>
        <v>Western Africa</v>
      </c>
      <c r="E79" s="66">
        <f>IFERROR(__xludf.DUMMYFUNCTION("""COMPUTED_VALUE"""),1.2395924E7)</f>
        <v>12395924</v>
      </c>
      <c r="F79" s="66">
        <f>IFERROR(__xludf.DUMMYFUNCTION("""COMPUTED_VALUE"""),1.2717176E7)</f>
        <v>12717176</v>
      </c>
      <c r="G79" s="67">
        <f>IFERROR(__xludf.DUMMYFUNCTION("""COMPUTED_VALUE"""),0.0259)</f>
        <v>0.0259</v>
      </c>
      <c r="H79" s="60" t="str">
        <f>IFERROR(__xludf.DUMMYFUNCTION("""COMPUTED_VALUE"""),"Poulet Yassa")</f>
        <v>Poulet Yassa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65">
        <f>IFERROR(__xludf.DUMMYFUNCTION("""COMPUTED_VALUE"""),76.0)</f>
        <v>76</v>
      </c>
      <c r="B80" s="65" t="str">
        <f>IFERROR(__xludf.DUMMYFUNCTION("""COMPUTED_VALUE"""),"South Sudan")</f>
        <v>South Sudan</v>
      </c>
      <c r="C80" s="20" t="str">
        <f>IFERROR(__xludf.DUMMYFUNCTION("""COMPUTED_VALUE"""),"Africa")</f>
        <v>Africa</v>
      </c>
      <c r="D80" s="20" t="str">
        <f>IFERROR(__xludf.DUMMYFUNCTION("""COMPUTED_VALUE"""),"Eastern Africa")</f>
        <v>Eastern Africa</v>
      </c>
      <c r="E80" s="66">
        <f>IFERROR(__xludf.DUMMYFUNCTION("""COMPUTED_VALUE"""),1.223073E7)</f>
        <v>12230730</v>
      </c>
      <c r="F80" s="66">
        <f>IFERROR(__xludf.DUMMYFUNCTION("""COMPUTED_VALUE"""),1.2575714E7)</f>
        <v>12575714</v>
      </c>
      <c r="G80" s="67">
        <f>IFERROR(__xludf.DUMMYFUNCTION("""COMPUTED_VALUE"""),0.0282)</f>
        <v>0.0282</v>
      </c>
      <c r="H80" s="6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65">
        <f>IFERROR(__xludf.DUMMYFUNCTION("""COMPUTED_VALUE"""),77.0)</f>
        <v>77</v>
      </c>
      <c r="B81" s="65" t="str">
        <f>IFERROR(__xludf.DUMMYFUNCTION("""COMPUTED_VALUE"""),"Rwanda")</f>
        <v>Rwanda</v>
      </c>
      <c r="C81" s="20" t="str">
        <f>IFERROR(__xludf.DUMMYFUNCTION("""COMPUTED_VALUE"""),"Africa")</f>
        <v>Africa</v>
      </c>
      <c r="D81" s="20" t="str">
        <f>IFERROR(__xludf.DUMMYFUNCTION("""COMPUTED_VALUE"""),"Eastern Africa")</f>
        <v>Eastern Africa</v>
      </c>
      <c r="E81" s="66">
        <f>IFERROR(__xludf.DUMMYFUNCTION("""COMPUTED_VALUE"""),1.1917508E7)</f>
        <v>11917508</v>
      </c>
      <c r="F81" s="66">
        <f>IFERROR(__xludf.DUMMYFUNCTION("""COMPUTED_VALUE"""),1.2208407E7)</f>
        <v>12208407</v>
      </c>
      <c r="G81" s="67">
        <f>IFERROR(__xludf.DUMMYFUNCTION("""COMPUTED_VALUE"""),0.0244)</f>
        <v>0.0244</v>
      </c>
      <c r="H81" s="60" t="str">
        <f>IFERROR(__xludf.DUMMYFUNCTION("""COMPUTED_VALUE"""),"Ugali")</f>
        <v>Ugali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65">
        <f>IFERROR(__xludf.DUMMYFUNCTION("""COMPUTED_VALUE"""),78.0)</f>
        <v>78</v>
      </c>
      <c r="B82" s="65" t="str">
        <f>IFERROR(__xludf.DUMMYFUNCTION("""COMPUTED_VALUE"""),"Tunisia")</f>
        <v>Tunisia</v>
      </c>
      <c r="C82" s="20" t="str">
        <f>IFERROR(__xludf.DUMMYFUNCTION("""COMPUTED_VALUE"""),"Africa")</f>
        <v>Africa</v>
      </c>
      <c r="D82" s="20" t="str">
        <f>IFERROR(__xludf.DUMMYFUNCTION("""COMPUTED_VALUE"""),"Northern Africa")</f>
        <v>Northern Africa</v>
      </c>
      <c r="E82" s="66">
        <f>IFERROR(__xludf.DUMMYFUNCTION("""COMPUTED_VALUE"""),1.1403248E7)</f>
        <v>11403248</v>
      </c>
      <c r="F82" s="66">
        <f>IFERROR(__xludf.DUMMYFUNCTION("""COMPUTED_VALUE"""),1.1532127E7)</f>
        <v>11532127</v>
      </c>
      <c r="G82" s="67">
        <f>IFERROR(__xludf.DUMMYFUNCTION("""COMPUTED_VALUE"""),0.0113)</f>
        <v>0.0113</v>
      </c>
      <c r="H82" s="60" t="str">
        <f>IFERROR(__xludf.DUMMYFUNCTION("""COMPUTED_VALUE"""),"Couscous, Kabkabou")</f>
        <v>Couscous, Kabkabou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65">
        <f>IFERROR(__xludf.DUMMYFUNCTION("""COMPUTED_VALUE"""),79.0)</f>
        <v>79</v>
      </c>
      <c r="B83" s="65" t="str">
        <f>IFERROR(__xludf.DUMMYFUNCTION("""COMPUTED_VALUE"""),"Cuba")</f>
        <v>Cuba</v>
      </c>
      <c r="C83" s="20" t="str">
        <f>IFERROR(__xludf.DUMMYFUNCTION("""COMPUTED_VALUE"""),"Americas")</f>
        <v>Americas</v>
      </c>
      <c r="D83" s="20" t="str">
        <f>IFERROR(__xludf.DUMMYFUNCTION("""COMPUTED_VALUE"""),"Caribbean")</f>
        <v>Caribbean</v>
      </c>
      <c r="E83" s="66">
        <f>IFERROR(__xludf.DUMMYFUNCTION("""COMPUTED_VALUE"""),1.1475982E7)</f>
        <v>11475982</v>
      </c>
      <c r="F83" s="66">
        <f>IFERROR(__xludf.DUMMYFUNCTION("""COMPUTED_VALUE"""),1.1484636E7)</f>
        <v>11484636</v>
      </c>
      <c r="G83" s="67">
        <f>IFERROR(__xludf.DUMMYFUNCTION("""COMPUTED_VALUE"""),8.0E-4)</f>
        <v>0.0008</v>
      </c>
      <c r="H83" s="60" t="str">
        <f>IFERROR(__xludf.DUMMYFUNCTION("""COMPUTED_VALUE"""),"Ropa vieja, Moros y cristianos")</f>
        <v>Ropa vieja, Moros y cristianos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65">
        <f>IFERROR(__xludf.DUMMYFUNCTION("""COMPUTED_VALUE"""),80.0)</f>
        <v>80</v>
      </c>
      <c r="B84" s="65" t="str">
        <f>IFERROR(__xludf.DUMMYFUNCTION("""COMPUTED_VALUE"""),"Belgium")</f>
        <v>Belgium</v>
      </c>
      <c r="C84" s="20" t="str">
        <f>IFERROR(__xludf.DUMMYFUNCTION("""COMPUTED_VALUE"""),"Europe")</f>
        <v>Europe</v>
      </c>
      <c r="D84" s="20" t="str">
        <f>IFERROR(__xludf.DUMMYFUNCTION("""COMPUTED_VALUE"""),"Western Europe")</f>
        <v>Western Europe</v>
      </c>
      <c r="E84" s="66">
        <f>IFERROR(__xludf.DUMMYFUNCTION("""COMPUTED_VALUE"""),1.1358379E7)</f>
        <v>11358379</v>
      </c>
      <c r="F84" s="66">
        <f>IFERROR(__xludf.DUMMYFUNCTION("""COMPUTED_VALUE"""),1.1429336E7)</f>
        <v>11429336</v>
      </c>
      <c r="G84" s="67">
        <f>IFERROR(__xludf.DUMMYFUNCTION("""COMPUTED_VALUE"""),0.0062)</f>
        <v>0.0062</v>
      </c>
      <c r="H84" s="60" t="str">
        <f>IFERROR(__xludf.DUMMYFUNCTION("""COMPUTED_VALUE"""),"Moules-frites, Belgian waffle, frites")</f>
        <v>Moules-frites, Belgian waffle, frites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65">
        <f>IFERROR(__xludf.DUMMYFUNCTION("""COMPUTED_VALUE"""),81.0)</f>
        <v>81</v>
      </c>
      <c r="B85" s="65" t="str">
        <f>IFERROR(__xludf.DUMMYFUNCTION("""COMPUTED_VALUE"""),"Benin")</f>
        <v>Benin</v>
      </c>
      <c r="C85" s="20" t="str">
        <f>IFERROR(__xludf.DUMMYFUNCTION("""COMPUTED_VALUE"""),"Africa")</f>
        <v>Africa</v>
      </c>
      <c r="D85" s="20" t="str">
        <f>IFERROR(__xludf.DUMMYFUNCTION("""COMPUTED_VALUE"""),"Western Africa")</f>
        <v>Western Africa</v>
      </c>
      <c r="E85" s="66">
        <f>IFERROR(__xludf.DUMMYFUNCTION("""COMPUTED_VALUE"""),1.0872298E7)</f>
        <v>10872298</v>
      </c>
      <c r="F85" s="66">
        <f>IFERROR(__xludf.DUMMYFUNCTION("""COMPUTED_VALUE"""),1.1175692E7)</f>
        <v>11175692</v>
      </c>
      <c r="G85" s="67">
        <f>IFERROR(__xludf.DUMMYFUNCTION("""COMPUTED_VALUE"""),0.0279)</f>
        <v>0.0279</v>
      </c>
      <c r="H85" s="60" t="str">
        <f>IFERROR(__xludf.DUMMYFUNCTION("""COMPUTED_VALUE"""),"Kuli Kuli")</f>
        <v>Kuli Kuli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65">
        <f>IFERROR(__xludf.DUMMYFUNCTION("""COMPUTED_VALUE"""),82.0)</f>
        <v>82</v>
      </c>
      <c r="B86" s="65" t="str">
        <f>IFERROR(__xludf.DUMMYFUNCTION("""COMPUTED_VALUE"""),"Greece")</f>
        <v>Greece</v>
      </c>
      <c r="C86" s="20" t="str">
        <f>IFERROR(__xludf.DUMMYFUNCTION("""COMPUTED_VALUE"""),"Europe")</f>
        <v>Europe</v>
      </c>
      <c r="D86" s="20" t="str">
        <f>IFERROR(__xludf.DUMMYFUNCTION("""COMPUTED_VALUE"""),"Southern Europe")</f>
        <v>Southern Europe</v>
      </c>
      <c r="E86" s="66">
        <f>IFERROR(__xludf.DUMMYFUNCTION("""COMPUTED_VALUE"""),1.1183716E7)</f>
        <v>11183716</v>
      </c>
      <c r="F86" s="66">
        <f>IFERROR(__xludf.DUMMYFUNCTION("""COMPUTED_VALUE"""),1.1159773E7)</f>
        <v>11159773</v>
      </c>
      <c r="G86" s="67">
        <f>IFERROR(__xludf.DUMMYFUNCTION("""COMPUTED_VALUE"""),-0.0021)</f>
        <v>-0.0021</v>
      </c>
      <c r="H86" s="60" t="str">
        <f>IFERROR(__xludf.DUMMYFUNCTION("""COMPUTED_VALUE"""),"Gyro, moussaka, Souvlaki, Magiritsa, Kokoretsi; Fasolada,")</f>
        <v>Gyro, moussaka, Souvlaki, Magiritsa, Kokoretsi; Fasolada,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65">
        <f>IFERROR(__xludf.DUMMYFUNCTION("""COMPUTED_VALUE"""),83.0)</f>
        <v>83</v>
      </c>
      <c r="B87" s="65" t="str">
        <f>IFERROR(__xludf.DUMMYFUNCTION("""COMPUTED_VALUE"""),"Bolivia")</f>
        <v>Bolivia</v>
      </c>
      <c r="C87" s="20" t="str">
        <f>IFERROR(__xludf.DUMMYFUNCTION("""COMPUTED_VALUE"""),"Americas")</f>
        <v>Americas</v>
      </c>
      <c r="D87" s="20" t="str">
        <f>IFERROR(__xludf.DUMMYFUNCTION("""COMPUTED_VALUE"""),"South America")</f>
        <v>South America</v>
      </c>
      <c r="E87" s="66">
        <f>IFERROR(__xludf.DUMMYFUNCTION("""COMPUTED_VALUE"""),1.0887882E7)</f>
        <v>10887882</v>
      </c>
      <c r="F87" s="66">
        <f>IFERROR(__xludf.DUMMYFUNCTION("""COMPUTED_VALUE"""),1.10516E7)</f>
        <v>11051600</v>
      </c>
      <c r="G87" s="67">
        <f>IFERROR(__xludf.DUMMYFUNCTION("""COMPUTED_VALUE"""),0.015)</f>
        <v>0.015</v>
      </c>
      <c r="H87" s="60" t="str">
        <f>IFERROR(__xludf.DUMMYFUNCTION("""COMPUTED_VALUE"""),"Salteñas")</f>
        <v>Salteñas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65">
        <f>IFERROR(__xludf.DUMMYFUNCTION("""COMPUTED_VALUE"""),84.0)</f>
        <v>84</v>
      </c>
      <c r="B88" s="65" t="str">
        <f>IFERROR(__xludf.DUMMYFUNCTION("""COMPUTED_VALUE"""),"Haiti")</f>
        <v>Haiti</v>
      </c>
      <c r="C88" s="20" t="str">
        <f>IFERROR(__xludf.DUMMYFUNCTION("""COMPUTED_VALUE"""),"Americas")</f>
        <v>Americas</v>
      </c>
      <c r="D88" s="20" t="str">
        <f>IFERROR(__xludf.DUMMYFUNCTION("""COMPUTED_VALUE"""),"Caribbean")</f>
        <v>Caribbean</v>
      </c>
      <c r="E88" s="66">
        <f>IFERROR(__xludf.DUMMYFUNCTION("""COMPUTED_VALUE"""),1.0847334E7)</f>
        <v>10847334</v>
      </c>
      <c r="F88" s="66">
        <f>IFERROR(__xludf.DUMMYFUNCTION("""COMPUTED_VALUE"""),1.0981229E7)</f>
        <v>10981229</v>
      </c>
      <c r="G88" s="67">
        <f>IFERROR(__xludf.DUMMYFUNCTION("""COMPUTED_VALUE"""),0.0123)</f>
        <v>0.0123</v>
      </c>
      <c r="H88" s="60" t="str">
        <f>IFERROR(__xludf.DUMMYFUNCTION("""COMPUTED_VALUE"""),"Red beans and rice (unofficial), Diri ak djon djon")</f>
        <v>Red beans and rice (unofficial), Diri ak djon djon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65">
        <f>IFERROR(__xludf.DUMMYFUNCTION("""COMPUTED_VALUE"""),85.0)</f>
        <v>85</v>
      </c>
      <c r="B89" s="65" t="str">
        <f>IFERROR(__xludf.DUMMYFUNCTION("""COMPUTED_VALUE"""),"Burundi")</f>
        <v>Burundi</v>
      </c>
      <c r="C89" s="20" t="str">
        <f>IFERROR(__xludf.DUMMYFUNCTION("""COMPUTED_VALUE"""),"Africa")</f>
        <v>Africa</v>
      </c>
      <c r="D89" s="20" t="str">
        <f>IFERROR(__xludf.DUMMYFUNCTION("""COMPUTED_VALUE"""),"Eastern Africa")</f>
        <v>Eastern Africa</v>
      </c>
      <c r="E89" s="66">
        <f>IFERROR(__xludf.DUMMYFUNCTION("""COMPUTED_VALUE"""),1.0524117E7)</f>
        <v>10524117</v>
      </c>
      <c r="F89" s="66">
        <f>IFERROR(__xludf.DUMMYFUNCTION("""COMPUTED_VALUE"""),1.0864245E7)</f>
        <v>10864245</v>
      </c>
      <c r="G89" s="67">
        <f>IFERROR(__xludf.DUMMYFUNCTION("""COMPUTED_VALUE"""),0.0323)</f>
        <v>0.0323</v>
      </c>
      <c r="H89" s="60" t="str">
        <f>IFERROR(__xludf.DUMMYFUNCTION("""COMPUTED_VALUE"""),"Elephant soup")</f>
        <v>Elephant soup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65">
        <f>IFERROR(__xludf.DUMMYFUNCTION("""COMPUTED_VALUE"""),86.0)</f>
        <v>86</v>
      </c>
      <c r="B90" s="65" t="str">
        <f>IFERROR(__xludf.DUMMYFUNCTION("""COMPUTED_VALUE"""),"Dominican Republic")</f>
        <v>Dominican Republic</v>
      </c>
      <c r="C90" s="20" t="str">
        <f>IFERROR(__xludf.DUMMYFUNCTION("""COMPUTED_VALUE"""),"Americas")</f>
        <v>Americas</v>
      </c>
      <c r="D90" s="20" t="str">
        <f>IFERROR(__xludf.DUMMYFUNCTION("""COMPUTED_VALUE"""),"Caribbean")</f>
        <v>Caribbean</v>
      </c>
      <c r="E90" s="66">
        <f>IFERROR(__xludf.DUMMYFUNCTION("""COMPUTED_VALUE"""),1.0648791E7)</f>
        <v>10648791</v>
      </c>
      <c r="F90" s="66">
        <f>IFERROR(__xludf.DUMMYFUNCTION("""COMPUTED_VALUE"""),1.0766998E7)</f>
        <v>10766998</v>
      </c>
      <c r="G90" s="67">
        <f>IFERROR(__xludf.DUMMYFUNCTION("""COMPUTED_VALUE"""),0.0111)</f>
        <v>0.0111</v>
      </c>
      <c r="H90" s="60" t="str">
        <f>IFERROR(__xludf.DUMMYFUNCTION("""COMPUTED_VALUE"""),"La Bandera (""The Flag""; rice, red beans, and meat (beef, chicken, pork, or fish), Sancocho")</f>
        <v>La Bandera ("The Flag"; rice, red beans, and meat (beef, chicken, pork, or fish), Sancocho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65">
        <f>IFERROR(__xludf.DUMMYFUNCTION("""COMPUTED_VALUE"""),87.0)</f>
        <v>87</v>
      </c>
      <c r="B91" s="65" t="str">
        <f>IFERROR(__xludf.DUMMYFUNCTION("""COMPUTED_VALUE"""),"Czech Republic")</f>
        <v>Czech Republic</v>
      </c>
      <c r="C91" s="20" t="str">
        <f>IFERROR(__xludf.DUMMYFUNCTION("""COMPUTED_VALUE"""),"Europe")</f>
        <v>Europe</v>
      </c>
      <c r="D91" s="20" t="str">
        <f>IFERROR(__xludf.DUMMYFUNCTION("""COMPUTED_VALUE"""),"Eastern Europe")</f>
        <v>Eastern Europe</v>
      </c>
      <c r="E91" s="66">
        <f>IFERROR(__xludf.DUMMYFUNCTION("""COMPUTED_VALUE"""),1.0610947E7)</f>
        <v>10610947</v>
      </c>
      <c r="F91" s="66">
        <f>IFERROR(__xludf.DUMMYFUNCTION("""COMPUTED_VALUE"""),1.0618303E7)</f>
        <v>10618303</v>
      </c>
      <c r="G91" s="67">
        <f>IFERROR(__xludf.DUMMYFUNCTION("""COMPUTED_VALUE"""),7.0E-4)</f>
        <v>0.0007</v>
      </c>
      <c r="H91" s="60" t="str">
        <f>IFERROR(__xludf.DUMMYFUNCTION("""COMPUTED_VALUE"""),"Vepřo knedlo zelo (roast pork with dumplings and sauerkraut), Svíčková")</f>
        <v>Vepřo knedlo zelo (roast pork with dumplings and sauerkraut), Svíčková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65">
        <f>IFERROR(__xludf.DUMMYFUNCTION("""COMPUTED_VALUE"""),88.0)</f>
        <v>88</v>
      </c>
      <c r="B92" s="65" t="str">
        <f>IFERROR(__xludf.DUMMYFUNCTION("""COMPUTED_VALUE"""),"Portugal")</f>
        <v>Portugal</v>
      </c>
      <c r="C92" s="20" t="str">
        <f>IFERROR(__xludf.DUMMYFUNCTION("""COMPUTED_VALUE"""),"Europe")</f>
        <v>Europe</v>
      </c>
      <c r="D92" s="20" t="str">
        <f>IFERROR(__xludf.DUMMYFUNCTION("""COMPUTED_VALUE"""),"Southern Europe")</f>
        <v>Southern Europe</v>
      </c>
      <c r="E92" s="66">
        <f>IFERROR(__xludf.DUMMYFUNCTION("""COMPUTED_VALUE"""),1.0371627E7)</f>
        <v>10371627</v>
      </c>
      <c r="F92" s="66">
        <f>IFERROR(__xludf.DUMMYFUNCTION("""COMPUTED_VALUE"""),1.0329506E7)</f>
        <v>10329506</v>
      </c>
      <c r="G92" s="67">
        <f>IFERROR(__xludf.DUMMYFUNCTION("""COMPUTED_VALUE"""),-0.0041)</f>
        <v>-0.0041</v>
      </c>
      <c r="H92" s="60" t="str">
        <f>IFERROR(__xludf.DUMMYFUNCTION("""COMPUTED_VALUE"""),"Cozido à Portuguesa, Bacalhau, Francesinha")</f>
        <v>Cozido à Portuguesa, Bacalhau, Francesinha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65">
        <f>IFERROR(__xludf.DUMMYFUNCTION("""COMPUTED_VALUE"""),89.0)</f>
        <v>89</v>
      </c>
      <c r="B93" s="65" t="str">
        <f>IFERROR(__xludf.DUMMYFUNCTION("""COMPUTED_VALUE"""),"Sweden")</f>
        <v>Sweden</v>
      </c>
      <c r="C93" s="20" t="str">
        <f>IFERROR(__xludf.DUMMYFUNCTION("""COMPUTED_VALUE"""),"Europe")</f>
        <v>Europe</v>
      </c>
      <c r="D93" s="20" t="str">
        <f>IFERROR(__xludf.DUMMYFUNCTION("""COMPUTED_VALUE"""),"Northern Europe")</f>
        <v>Northern Europe</v>
      </c>
      <c r="E93" s="66">
        <f>IFERROR(__xludf.DUMMYFUNCTION("""COMPUTED_VALUE"""),9837533.0)</f>
        <v>9837533</v>
      </c>
      <c r="F93" s="66">
        <f>IFERROR(__xludf.DUMMYFUNCTION("""COMPUTED_VALUE"""),9910701.0)</f>
        <v>9910701</v>
      </c>
      <c r="G93" s="67">
        <f>IFERROR(__xludf.DUMMYFUNCTION("""COMPUTED_VALUE"""),0.0074)</f>
        <v>0.0074</v>
      </c>
      <c r="H93" s="60" t="str">
        <f>IFERROR(__xludf.DUMMYFUNCTION("""COMPUTED_VALUE"""),"Köttbullar, Kräftskiva, Surströmming, Ostkaka")</f>
        <v>Köttbullar, Kräftskiva, Surströmming, Ostkaka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65">
        <f>IFERROR(__xludf.DUMMYFUNCTION("""COMPUTED_VALUE"""),90.0)</f>
        <v>90</v>
      </c>
      <c r="B94" s="65" t="str">
        <f>IFERROR(__xludf.DUMMYFUNCTION("""COMPUTED_VALUE"""),"Azerbaijan")</f>
        <v>Azerbaijan</v>
      </c>
      <c r="C94" s="20" t="str">
        <f>IFERROR(__xludf.DUMMYFUNCTION("""COMPUTED_VALUE"""),"Asia")</f>
        <v>Asia</v>
      </c>
      <c r="D94" s="20" t="str">
        <f>IFERROR(__xludf.DUMMYFUNCTION("""COMPUTED_VALUE"""),"Western Asia")</f>
        <v>Western Asia</v>
      </c>
      <c r="E94" s="66">
        <f>IFERROR(__xludf.DUMMYFUNCTION("""COMPUTED_VALUE"""),9725376.0)</f>
        <v>9725376</v>
      </c>
      <c r="F94" s="66">
        <f>IFERROR(__xludf.DUMMYFUNCTION("""COMPUTED_VALUE"""),9827589.0)</f>
        <v>9827589</v>
      </c>
      <c r="G94" s="67">
        <f>IFERROR(__xludf.DUMMYFUNCTION("""COMPUTED_VALUE"""),0.0105)</f>
        <v>0.0105</v>
      </c>
      <c r="H94" s="60" t="str">
        <f>IFERROR(__xludf.DUMMYFUNCTION("""COMPUTED_VALUE"""),"Dolma, qutab")</f>
        <v>Dolma, qutab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65">
        <f>IFERROR(__xludf.DUMMYFUNCTION("""COMPUTED_VALUE"""),91.0)</f>
        <v>91</v>
      </c>
      <c r="B95" s="65" t="str">
        <f>IFERROR(__xludf.DUMMYFUNCTION("""COMPUTED_VALUE"""),"Hungary")</f>
        <v>Hungary</v>
      </c>
      <c r="C95" s="20" t="str">
        <f>IFERROR(__xludf.DUMMYFUNCTION("""COMPUTED_VALUE"""),"Europe")</f>
        <v>Europe</v>
      </c>
      <c r="D95" s="20" t="str">
        <f>IFERROR(__xludf.DUMMYFUNCTION("""COMPUTED_VALUE"""),"Eastern Europe")</f>
        <v>Eastern Europe</v>
      </c>
      <c r="E95" s="66">
        <f>IFERROR(__xludf.DUMMYFUNCTION("""COMPUTED_VALUE"""),9753281.0)</f>
        <v>9753281</v>
      </c>
      <c r="F95" s="66">
        <f>IFERROR(__xludf.DUMMYFUNCTION("""COMPUTED_VALUE"""),9721559.0)</f>
        <v>9721559</v>
      </c>
      <c r="G95" s="67">
        <f>IFERROR(__xludf.DUMMYFUNCTION("""COMPUTED_VALUE"""),-0.0033)</f>
        <v>-0.0033</v>
      </c>
      <c r="H95" s="60" t="str">
        <f>IFERROR(__xludf.DUMMYFUNCTION("""COMPUTED_VALUE"""),"Gulyás, chicken paprikash (paprikás csirke), Lecsó")</f>
        <v>Gulyás, chicken paprikash (paprikás csirke), Lecsó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65">
        <f>IFERROR(__xludf.DUMMYFUNCTION("""COMPUTED_VALUE"""),92.0)</f>
        <v>92</v>
      </c>
      <c r="B96" s="65" t="str">
        <f>IFERROR(__xludf.DUMMYFUNCTION("""COMPUTED_VALUE"""),"Jordan")</f>
        <v>Jordan</v>
      </c>
      <c r="C96" s="20" t="str">
        <f>IFERROR(__xludf.DUMMYFUNCTION("""COMPUTED_VALUE"""),"Asia")</f>
        <v>Asia</v>
      </c>
      <c r="D96" s="20" t="str">
        <f>IFERROR(__xludf.DUMMYFUNCTION("""COMPUTED_VALUE"""),"Western Asia")</f>
        <v>Western Asia</v>
      </c>
      <c r="E96" s="66">
        <f>IFERROR(__xludf.DUMMYFUNCTION("""COMPUTED_VALUE"""),9455802.0)</f>
        <v>9455802</v>
      </c>
      <c r="F96" s="66">
        <f>IFERROR(__xludf.DUMMYFUNCTION("""COMPUTED_VALUE"""),9702353.0)</f>
        <v>9702353</v>
      </c>
      <c r="G96" s="67">
        <f>IFERROR(__xludf.DUMMYFUNCTION("""COMPUTED_VALUE"""),0.0261)</f>
        <v>0.0261</v>
      </c>
      <c r="H96" s="60" t="str">
        <f>IFERROR(__xludf.DUMMYFUNCTION("""COMPUTED_VALUE"""),"Mansaf")</f>
        <v>Mansaf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65">
        <f>IFERROR(__xludf.DUMMYFUNCTION("""COMPUTED_VALUE"""),93.0)</f>
        <v>93</v>
      </c>
      <c r="B97" s="65" t="str">
        <f>IFERROR(__xludf.DUMMYFUNCTION("""COMPUTED_VALUE"""),"Belarus")</f>
        <v>Belarus</v>
      </c>
      <c r="C97" s="20" t="str">
        <f>IFERROR(__xludf.DUMMYFUNCTION("""COMPUTED_VALUE"""),"Europe")</f>
        <v>Europe</v>
      </c>
      <c r="D97" s="20" t="str">
        <f>IFERROR(__xludf.DUMMYFUNCTION("""COMPUTED_VALUE"""),"Eastern Europe")</f>
        <v>Eastern Europe</v>
      </c>
      <c r="E97" s="66">
        <f>IFERROR(__xludf.DUMMYFUNCTION("""COMPUTED_VALUE"""),9480042.0)</f>
        <v>9480042</v>
      </c>
      <c r="F97" s="66">
        <f>IFERROR(__xludf.DUMMYFUNCTION("""COMPUTED_VALUE"""),9468338.0)</f>
        <v>9468338</v>
      </c>
      <c r="G97" s="67">
        <f>IFERROR(__xludf.DUMMYFUNCTION("""COMPUTED_VALUE"""),-0.0012)</f>
        <v>-0.0012</v>
      </c>
      <c r="H97" s="60" t="str">
        <f>IFERROR(__xludf.DUMMYFUNCTION("""COMPUTED_VALUE"""),"Draniki")</f>
        <v>Draniki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65">
        <f>IFERROR(__xludf.DUMMYFUNCTION("""COMPUTED_VALUE"""),94.0)</f>
        <v>94</v>
      </c>
      <c r="B98" s="65" t="str">
        <f>IFERROR(__xludf.DUMMYFUNCTION("""COMPUTED_VALUE"""),"United Arab Emirates")</f>
        <v>United Arab Emirates</v>
      </c>
      <c r="C98" s="20" t="str">
        <f>IFERROR(__xludf.DUMMYFUNCTION("""COMPUTED_VALUE"""),"Asia")</f>
        <v>Asia</v>
      </c>
      <c r="D98" s="20" t="str">
        <f>IFERROR(__xludf.DUMMYFUNCTION("""COMPUTED_VALUE"""),"Western Asia")</f>
        <v>Western Asia</v>
      </c>
      <c r="E98" s="66">
        <f>IFERROR(__xludf.DUMMYFUNCTION("""COMPUTED_VALUE"""),9269612.0)</f>
        <v>9269612</v>
      </c>
      <c r="F98" s="66">
        <f>IFERROR(__xludf.DUMMYFUNCTION("""COMPUTED_VALUE"""),9400145.0)</f>
        <v>9400145</v>
      </c>
      <c r="G98" s="67">
        <f>IFERROR(__xludf.DUMMYFUNCTION("""COMPUTED_VALUE"""),0.0141)</f>
        <v>0.0141</v>
      </c>
      <c r="H98" s="60" t="str">
        <f>IFERROR(__xludf.DUMMYFUNCTION("""COMPUTED_VALUE"""),"Biryani")</f>
        <v>Biryani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65">
        <f>IFERROR(__xludf.DUMMYFUNCTION("""COMPUTED_VALUE"""),95.0)</f>
        <v>95</v>
      </c>
      <c r="B99" s="65" t="str">
        <f>IFERROR(__xludf.DUMMYFUNCTION("""COMPUTED_VALUE"""),"Honduras")</f>
        <v>Honduras</v>
      </c>
      <c r="C99" s="20" t="str">
        <f>IFERROR(__xludf.DUMMYFUNCTION("""COMPUTED_VALUE"""),"Americas")</f>
        <v>Americas</v>
      </c>
      <c r="D99" s="20" t="str">
        <f>IFERROR(__xludf.DUMMYFUNCTION("""COMPUTED_VALUE"""),"Central America")</f>
        <v>Central America</v>
      </c>
      <c r="E99" s="66">
        <f>IFERROR(__xludf.DUMMYFUNCTION("""COMPUTED_VALUE"""),9112867.0)</f>
        <v>9112867</v>
      </c>
      <c r="F99" s="66">
        <f>IFERROR(__xludf.DUMMYFUNCTION("""COMPUTED_VALUE"""),9265067.0)</f>
        <v>9265067</v>
      </c>
      <c r="G99" s="67">
        <f>IFERROR(__xludf.DUMMYFUNCTION("""COMPUTED_VALUE"""),0.0167)</f>
        <v>0.0167</v>
      </c>
      <c r="H99" s="60" t="str">
        <f>IFERROR(__xludf.DUMMYFUNCTION("""COMPUTED_VALUE"""),"Baleada, Carne asada, Sopa de caracol")</f>
        <v>Baleada, Carne asada, Sopa de caracol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65">
        <f>IFERROR(__xludf.DUMMYFUNCTION("""COMPUTED_VALUE"""),96.0)</f>
        <v>96</v>
      </c>
      <c r="B100" s="65" t="str">
        <f>IFERROR(__xludf.DUMMYFUNCTION("""COMPUTED_VALUE"""),"Tajikistan")</f>
        <v>Tajikistan</v>
      </c>
      <c r="C100" s="20" t="str">
        <f>IFERROR(__xludf.DUMMYFUNCTION("""COMPUTED_VALUE"""),"Asia")</f>
        <v>Asia</v>
      </c>
      <c r="D100" s="20" t="str">
        <f>IFERROR(__xludf.DUMMYFUNCTION("""COMPUTED_VALUE"""),"Central Asia")</f>
        <v>Central Asia</v>
      </c>
      <c r="E100" s="66">
        <f>IFERROR(__xludf.DUMMYFUNCTION("""COMPUTED_VALUE"""),8734951.0)</f>
        <v>8734951</v>
      </c>
      <c r="F100" s="66">
        <f>IFERROR(__xludf.DUMMYFUNCTION("""COMPUTED_VALUE"""),8921343.0)</f>
        <v>8921343</v>
      </c>
      <c r="G100" s="67">
        <f>IFERROR(__xludf.DUMMYFUNCTION("""COMPUTED_VALUE"""),0.0213)</f>
        <v>0.0213</v>
      </c>
      <c r="H100" s="60" t="str">
        <f>IFERROR(__xludf.DUMMYFUNCTION("""COMPUTED_VALUE"""),"O'sh (pilaf)")</f>
        <v>O'sh (pilaf)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65">
        <f>IFERROR(__xludf.DUMMYFUNCTION("""COMPUTED_VALUE"""),97.0)</f>
        <v>97</v>
      </c>
      <c r="B101" s="65" t="str">
        <f>IFERROR(__xludf.DUMMYFUNCTION("""COMPUTED_VALUE"""),"Serbia")</f>
        <v>Serbia</v>
      </c>
      <c r="C101" s="20" t="str">
        <f>IFERROR(__xludf.DUMMYFUNCTION("""COMPUTED_VALUE"""),"Europe")</f>
        <v>Europe</v>
      </c>
      <c r="D101" s="20" t="str">
        <f>IFERROR(__xludf.DUMMYFUNCTION("""COMPUTED_VALUE"""),"Southern Europe")</f>
        <v>Southern Europe</v>
      </c>
      <c r="E101" s="66">
        <f>IFERROR(__xludf.DUMMYFUNCTION("""COMPUTED_VALUE"""),8820083.0)</f>
        <v>8820083</v>
      </c>
      <c r="F101" s="66">
        <f>IFERROR(__xludf.DUMMYFUNCTION("""COMPUTED_VALUE"""),8790574.0)</f>
        <v>8790574</v>
      </c>
      <c r="G101" s="67">
        <f>IFERROR(__xludf.DUMMYFUNCTION("""COMPUTED_VALUE"""),-0.0033)</f>
        <v>-0.0033</v>
      </c>
      <c r="H101" s="60" t="str">
        <f>IFERROR(__xludf.DUMMYFUNCTION("""COMPUTED_VALUE"""),"Ćevapčići (grilled meat sausages), Pljeskavica (meat patty), Ražnjići (skewered meat), Gibanica (pastry), Pasulj (bean soup), Punjena paprika (filled peppers)")</f>
        <v>Ćevapčići (grilled meat sausages), Pljeskavica (meat patty), Ražnjići (skewered meat), Gibanica (pastry), Pasulj (bean soup), Punjena paprika (filled peppers)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65">
        <f>IFERROR(__xludf.DUMMYFUNCTION("""COMPUTED_VALUE"""),98.0)</f>
        <v>98</v>
      </c>
      <c r="B102" s="65" t="str">
        <f>IFERROR(__xludf.DUMMYFUNCTION("""COMPUTED_VALUE"""),"Austria")</f>
        <v>Austria</v>
      </c>
      <c r="C102" s="20" t="str">
        <f>IFERROR(__xludf.DUMMYFUNCTION("""COMPUTED_VALUE"""),"Europe")</f>
        <v>Europe</v>
      </c>
      <c r="D102" s="20" t="str">
        <f>IFERROR(__xludf.DUMMYFUNCTION("""COMPUTED_VALUE"""),"Western Europe")</f>
        <v>Western Europe</v>
      </c>
      <c r="E102" s="66">
        <f>IFERROR(__xludf.DUMMYFUNCTION("""COMPUTED_VALUE"""),8712137.0)</f>
        <v>8712137</v>
      </c>
      <c r="F102" s="66">
        <f>IFERROR(__xludf.DUMMYFUNCTION("""COMPUTED_VALUE"""),8735453.0)</f>
        <v>8735453</v>
      </c>
      <c r="G102" s="67">
        <f>IFERROR(__xludf.DUMMYFUNCTION("""COMPUTED_VALUE"""),0.0027)</f>
        <v>0.0027</v>
      </c>
      <c r="H102" s="60" t="str">
        <f>IFERROR(__xludf.DUMMYFUNCTION("""COMPUTED_VALUE"""),"Wiener Schnitzel, Tafelspitz")</f>
        <v>Wiener Schnitzel, Tafelspitz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65">
        <f>IFERROR(__xludf.DUMMYFUNCTION("""COMPUTED_VALUE"""),99.0)</f>
        <v>99</v>
      </c>
      <c r="B103" s="65" t="str">
        <f>IFERROR(__xludf.DUMMYFUNCTION("""COMPUTED_VALUE"""),"Switzerland")</f>
        <v>Switzerland</v>
      </c>
      <c r="C103" s="20" t="str">
        <f>IFERROR(__xludf.DUMMYFUNCTION("""COMPUTED_VALUE"""),"Europe")</f>
        <v>Europe</v>
      </c>
      <c r="D103" s="20" t="str">
        <f>IFERROR(__xludf.DUMMYFUNCTION("""COMPUTED_VALUE"""),"Western Europe")</f>
        <v>Western Europe</v>
      </c>
      <c r="E103" s="66">
        <f>IFERROR(__xludf.DUMMYFUNCTION("""COMPUTED_VALUE"""),8401739.0)</f>
        <v>8401739</v>
      </c>
      <c r="F103" s="66">
        <f>IFERROR(__xludf.DUMMYFUNCTION("""COMPUTED_VALUE"""),8476005.0)</f>
        <v>8476005</v>
      </c>
      <c r="G103" s="67">
        <f>IFERROR(__xludf.DUMMYFUNCTION("""COMPUTED_VALUE"""),0.0088)</f>
        <v>0.0088</v>
      </c>
      <c r="H103" s="60" t="str">
        <f>IFERROR(__xludf.DUMMYFUNCTION("""COMPUTED_VALUE"""),"Cervelat, Fondue, Rösti")</f>
        <v>Cervelat, Fondue, Rösti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65">
        <f>IFERROR(__xludf.DUMMYFUNCTION("""COMPUTED_VALUE"""),100.0)</f>
        <v>100</v>
      </c>
      <c r="B104" s="65" t="str">
        <f>IFERROR(__xludf.DUMMYFUNCTION("""COMPUTED_VALUE"""),"Israel")</f>
        <v>Israel</v>
      </c>
      <c r="C104" s="20" t="str">
        <f>IFERROR(__xludf.DUMMYFUNCTION("""COMPUTED_VALUE"""),"Asia")</f>
        <v>Asia</v>
      </c>
      <c r="D104" s="20" t="str">
        <f>IFERROR(__xludf.DUMMYFUNCTION("""COMPUTED_VALUE"""),"Western Asia")</f>
        <v>Western Asia</v>
      </c>
      <c r="E104" s="66">
        <f>IFERROR(__xludf.DUMMYFUNCTION("""COMPUTED_VALUE"""),8191828.0)</f>
        <v>8191828</v>
      </c>
      <c r="F104" s="66">
        <f>IFERROR(__xludf.DUMMYFUNCTION("""COMPUTED_VALUE"""),8321570.0)</f>
        <v>8321570</v>
      </c>
      <c r="G104" s="67">
        <f>IFERROR(__xludf.DUMMYFUNCTION("""COMPUTED_VALUE"""),0.0158)</f>
        <v>0.0158</v>
      </c>
      <c r="H104" s="60" t="str">
        <f>IFERROR(__xludf.DUMMYFUNCTION("""COMPUTED_VALUE"""),"Meorav Yerushalmi, Hummus, Falafel")</f>
        <v>Meorav Yerushalmi, Hummus, Falafel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65">
        <f>IFERROR(__xludf.DUMMYFUNCTION("""COMPUTED_VALUE"""),101.0)</f>
        <v>101</v>
      </c>
      <c r="B105" s="65" t="str">
        <f>IFERROR(__xludf.DUMMYFUNCTION("""COMPUTED_VALUE"""),"Papua New Guinea")</f>
        <v>Papua New Guinea</v>
      </c>
      <c r="C105" s="20" t="str">
        <f>IFERROR(__xludf.DUMMYFUNCTION("""COMPUTED_VALUE"""),"Oceania")</f>
        <v>Oceania</v>
      </c>
      <c r="D105" s="20" t="str">
        <f>IFERROR(__xludf.DUMMYFUNCTION("""COMPUTED_VALUE"""),"Melanesia")</f>
        <v>Melanesia</v>
      </c>
      <c r="E105" s="66">
        <f>IFERROR(__xludf.DUMMYFUNCTION("""COMPUTED_VALUE"""),8084991.0)</f>
        <v>8084991</v>
      </c>
      <c r="F105" s="66">
        <f>IFERROR(__xludf.DUMMYFUNCTION("""COMPUTED_VALUE"""),8251162.0)</f>
        <v>8251162</v>
      </c>
      <c r="G105" s="67">
        <f>IFERROR(__xludf.DUMMYFUNCTION("""COMPUTED_VALUE"""),0.0206)</f>
        <v>0.0206</v>
      </c>
      <c r="H105" s="60" t="str">
        <f>IFERROR(__xludf.DUMMYFUNCTION("""COMPUTED_VALUE"""),"Mumu")</f>
        <v>Mumu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65">
        <f>IFERROR(__xludf.DUMMYFUNCTION("""COMPUTED_VALUE"""),102.0)</f>
        <v>102</v>
      </c>
      <c r="B106" s="65" t="str">
        <f>IFERROR(__xludf.DUMMYFUNCTION("""COMPUTED_VALUE"""),"Togo")</f>
        <v>Togo</v>
      </c>
      <c r="C106" s="20" t="str">
        <f>IFERROR(__xludf.DUMMYFUNCTION("""COMPUTED_VALUE"""),"Africa")</f>
        <v>Africa</v>
      </c>
      <c r="D106" s="20" t="str">
        <f>IFERROR(__xludf.DUMMYFUNCTION("""COMPUTED_VALUE"""),"Western Africa")</f>
        <v>Western Africa</v>
      </c>
      <c r="E106" s="66">
        <f>IFERROR(__xludf.DUMMYFUNCTION("""COMPUTED_VALUE"""),7606374.0)</f>
        <v>7606374</v>
      </c>
      <c r="F106" s="66">
        <f>IFERROR(__xludf.DUMMYFUNCTION("""COMPUTED_VALUE"""),7797694.0)</f>
        <v>7797694</v>
      </c>
      <c r="G106" s="67">
        <f>IFERROR(__xludf.DUMMYFUNCTION("""COMPUTED_VALUE"""),0.0252)</f>
        <v>0.0252</v>
      </c>
      <c r="H106" s="60" t="str">
        <f>IFERROR(__xludf.DUMMYFUNCTION("""COMPUTED_VALUE"""),"Yeyebessissi")</f>
        <v>Yeyebessissi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65">
        <f>IFERROR(__xludf.DUMMYFUNCTION("""COMPUTED_VALUE"""),103.0)</f>
        <v>103</v>
      </c>
      <c r="B107" s="65" t="str">
        <f>IFERROR(__xludf.DUMMYFUNCTION("""COMPUTED_VALUE"""),"Sierra Leone")</f>
        <v>Sierra Leone</v>
      </c>
      <c r="C107" s="20" t="str">
        <f>IFERROR(__xludf.DUMMYFUNCTION("""COMPUTED_VALUE"""),"Africa")</f>
        <v>Africa</v>
      </c>
      <c r="D107" s="20" t="str">
        <f>IFERROR(__xludf.DUMMYFUNCTION("""COMPUTED_VALUE"""),"Western Africa")</f>
        <v>Western Africa</v>
      </c>
      <c r="E107" s="66">
        <f>IFERROR(__xludf.DUMMYFUNCTION("""COMPUTED_VALUE"""),7396190.0)</f>
        <v>7396190</v>
      </c>
      <c r="F107" s="66">
        <f>IFERROR(__xludf.DUMMYFUNCTION("""COMPUTED_VALUE"""),7557212.0)</f>
        <v>7557212</v>
      </c>
      <c r="G107" s="67">
        <f>IFERROR(__xludf.DUMMYFUNCTION("""COMPUTED_VALUE"""),0.0218)</f>
        <v>0.0218</v>
      </c>
      <c r="H107" s="60" t="str">
        <f>IFERROR(__xludf.DUMMYFUNCTION("""COMPUTED_VALUE"""),"Cassava leaves")</f>
        <v>Cassava leaves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65">
        <f>IFERROR(__xludf.DUMMYFUNCTION("""COMPUTED_VALUE"""),104.0)</f>
        <v>104</v>
      </c>
      <c r="B108" s="65" t="str">
        <f>IFERROR(__xludf.DUMMYFUNCTION("""COMPUTED_VALUE"""),"Hong Kong")</f>
        <v>Hong Kong</v>
      </c>
      <c r="C108" s="20" t="str">
        <f>IFERROR(__xludf.DUMMYFUNCTION("""COMPUTED_VALUE"""),"Asia")</f>
        <v>Asia</v>
      </c>
      <c r="D108" s="20" t="str">
        <f>IFERROR(__xludf.DUMMYFUNCTION("""COMPUTED_VALUE"""),"Eastern Asia")</f>
        <v>Eastern Asia</v>
      </c>
      <c r="E108" s="66">
        <f>IFERROR(__xludf.DUMMYFUNCTION("""COMPUTED_VALUE"""),7302843.0)</f>
        <v>7302843</v>
      </c>
      <c r="F108" s="66">
        <f>IFERROR(__xludf.DUMMYFUNCTION("""COMPUTED_VALUE"""),7364883.0)</f>
        <v>7364883</v>
      </c>
      <c r="G108" s="67">
        <f>IFERROR(__xludf.DUMMYFUNCTION("""COMPUTED_VALUE"""),0.0085)</f>
        <v>0.0085</v>
      </c>
      <c r="H108" s="6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65">
        <f>IFERROR(__xludf.DUMMYFUNCTION("""COMPUTED_VALUE"""),105.0)</f>
        <v>105</v>
      </c>
      <c r="B109" s="65" t="str">
        <f>IFERROR(__xludf.DUMMYFUNCTION("""COMPUTED_VALUE"""),"Bulgaria")</f>
        <v>Bulgaria</v>
      </c>
      <c r="C109" s="20" t="str">
        <f>IFERROR(__xludf.DUMMYFUNCTION("""COMPUTED_VALUE"""),"Europe")</f>
        <v>Europe</v>
      </c>
      <c r="D109" s="20" t="str">
        <f>IFERROR(__xludf.DUMMYFUNCTION("""COMPUTED_VALUE"""),"Eastern Europe")</f>
        <v>Eastern Europe</v>
      </c>
      <c r="E109" s="66">
        <f>IFERROR(__xludf.DUMMYFUNCTION("""COMPUTED_VALUE"""),7131494.0)</f>
        <v>7131494</v>
      </c>
      <c r="F109" s="66">
        <f>IFERROR(__xludf.DUMMYFUNCTION("""COMPUTED_VALUE"""),7084571.0)</f>
        <v>7084571</v>
      </c>
      <c r="G109" s="67">
        <f>IFERROR(__xludf.DUMMYFUNCTION("""COMPUTED_VALUE"""),-0.0066)</f>
        <v>-0.0066</v>
      </c>
      <c r="H109" s="60" t="str">
        <f>IFERROR(__xludf.DUMMYFUNCTION("""COMPUTED_VALUE"""),"Banitsa, Bob chorba")</f>
        <v>Banitsa, Bob chorba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65">
        <f>IFERROR(__xludf.DUMMYFUNCTION("""COMPUTED_VALUE"""),106.0)</f>
        <v>106</v>
      </c>
      <c r="B110" s="65" t="str">
        <f>IFERROR(__xludf.DUMMYFUNCTION("""COMPUTED_VALUE"""),"Laos")</f>
        <v>Laos</v>
      </c>
      <c r="C110" s="20" t="str">
        <f>IFERROR(__xludf.DUMMYFUNCTION("""COMPUTED_VALUE"""),"Asia")</f>
        <v>Asia</v>
      </c>
      <c r="D110" s="20" t="str">
        <f>IFERROR(__xludf.DUMMYFUNCTION("""COMPUTED_VALUE"""),"South-eastern Asia")</f>
        <v>South-eastern Asia</v>
      </c>
      <c r="E110" s="66">
        <f>IFERROR(__xludf.DUMMYFUNCTION("""COMPUTED_VALUE"""),6758353.0)</f>
        <v>6758353</v>
      </c>
      <c r="F110" s="66">
        <f>IFERROR(__xludf.DUMMYFUNCTION("""COMPUTED_VALUE"""),6858160.0)</f>
        <v>6858160</v>
      </c>
      <c r="G110" s="67">
        <f>IFERROR(__xludf.DUMMYFUNCTION("""COMPUTED_VALUE"""),0.0148)</f>
        <v>0.0148</v>
      </c>
      <c r="H110" s="60" t="str">
        <f>IFERROR(__xludf.DUMMYFUNCTION("""COMPUTED_VALUE"""),"Tum Mak Hoong (Green papaya salad), Larb with sticky rice")</f>
        <v>Tum Mak Hoong (Green papaya salad), Larb with sticky rice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65">
        <f>IFERROR(__xludf.DUMMYFUNCTION("""COMPUTED_VALUE"""),107.0)</f>
        <v>107</v>
      </c>
      <c r="B111" s="65" t="str">
        <f>IFERROR(__xludf.DUMMYFUNCTION("""COMPUTED_VALUE"""),"Paraguay")</f>
        <v>Paraguay</v>
      </c>
      <c r="C111" s="20" t="str">
        <f>IFERROR(__xludf.DUMMYFUNCTION("""COMPUTED_VALUE"""),"Americas")</f>
        <v>Americas</v>
      </c>
      <c r="D111" s="20" t="str">
        <f>IFERROR(__xludf.DUMMYFUNCTION("""COMPUTED_VALUE"""),"South America")</f>
        <v>South America</v>
      </c>
      <c r="E111" s="66">
        <f>IFERROR(__xludf.DUMMYFUNCTION("""COMPUTED_VALUE"""),6725308.0)</f>
        <v>6725308</v>
      </c>
      <c r="F111" s="66">
        <f>IFERROR(__xludf.DUMMYFUNCTION("""COMPUTED_VALUE"""),6811297.0)</f>
        <v>6811297</v>
      </c>
      <c r="G111" s="67">
        <f>IFERROR(__xludf.DUMMYFUNCTION("""COMPUTED_VALUE"""),0.0128)</f>
        <v>0.0128</v>
      </c>
      <c r="H111" s="60" t="str">
        <f>IFERROR(__xludf.DUMMYFUNCTION("""COMPUTED_VALUE"""),"Sopa paraguaya")</f>
        <v>Sopa paraguaya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65">
        <f>IFERROR(__xludf.DUMMYFUNCTION("""COMPUTED_VALUE"""),108.0)</f>
        <v>108</v>
      </c>
      <c r="B112" s="65" t="str">
        <f>IFERROR(__xludf.DUMMYFUNCTION("""COMPUTED_VALUE"""),"El Salvador")</f>
        <v>El Salvador</v>
      </c>
      <c r="C112" s="20" t="str">
        <f>IFERROR(__xludf.DUMMYFUNCTION("""COMPUTED_VALUE"""),"Americas")</f>
        <v>Americas</v>
      </c>
      <c r="D112" s="20" t="str">
        <f>IFERROR(__xludf.DUMMYFUNCTION("""COMPUTED_VALUE"""),"Central America")</f>
        <v>Central America</v>
      </c>
      <c r="E112" s="66">
        <f>IFERROR(__xludf.DUMMYFUNCTION("""COMPUTED_VALUE"""),6344722.0)</f>
        <v>6344722</v>
      </c>
      <c r="F112" s="66">
        <f>IFERROR(__xludf.DUMMYFUNCTION("""COMPUTED_VALUE"""),6377853.0)</f>
        <v>6377853</v>
      </c>
      <c r="G112" s="67">
        <f>IFERROR(__xludf.DUMMYFUNCTION("""COMPUTED_VALUE"""),0.0052)</f>
        <v>0.0052</v>
      </c>
      <c r="H112" s="60" t="str">
        <f>IFERROR(__xludf.DUMMYFUNCTION("""COMPUTED_VALUE"""),"Pupusa")</f>
        <v>Pupusa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65">
        <f>IFERROR(__xludf.DUMMYFUNCTION("""COMPUTED_VALUE"""),109.0)</f>
        <v>109</v>
      </c>
      <c r="B113" s="65" t="str">
        <f>IFERROR(__xludf.DUMMYFUNCTION("""COMPUTED_VALUE"""),"Libya")</f>
        <v>Libya</v>
      </c>
      <c r="C113" s="20" t="str">
        <f>IFERROR(__xludf.DUMMYFUNCTION("""COMPUTED_VALUE"""),"Africa")</f>
        <v>Africa</v>
      </c>
      <c r="D113" s="20" t="str">
        <f>IFERROR(__xludf.DUMMYFUNCTION("""COMPUTED_VALUE"""),"Northern Africa")</f>
        <v>Northern Africa</v>
      </c>
      <c r="E113" s="66">
        <f>IFERROR(__xludf.DUMMYFUNCTION("""COMPUTED_VALUE"""),6293253.0)</f>
        <v>6293253</v>
      </c>
      <c r="F113" s="66">
        <f>IFERROR(__xludf.DUMMYFUNCTION("""COMPUTED_VALUE"""),6374616.0)</f>
        <v>6374616</v>
      </c>
      <c r="G113" s="67">
        <f>IFERROR(__xludf.DUMMYFUNCTION("""COMPUTED_VALUE"""),0.0129)</f>
        <v>0.0129</v>
      </c>
      <c r="H113" s="60" t="str">
        <f>IFERROR(__xludf.DUMMYFUNCTION("""COMPUTED_VALUE"""),"Bazeen, Usban")</f>
        <v>Bazeen, Usban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65">
        <f>IFERROR(__xludf.DUMMYFUNCTION("""COMPUTED_VALUE"""),110.0)</f>
        <v>110</v>
      </c>
      <c r="B114" s="65" t="str">
        <f>IFERROR(__xludf.DUMMYFUNCTION("""COMPUTED_VALUE"""),"Nicaragua")</f>
        <v>Nicaragua</v>
      </c>
      <c r="C114" s="20" t="str">
        <f>IFERROR(__xludf.DUMMYFUNCTION("""COMPUTED_VALUE"""),"Americas")</f>
        <v>Americas</v>
      </c>
      <c r="D114" s="20" t="str">
        <f>IFERROR(__xludf.DUMMYFUNCTION("""COMPUTED_VALUE"""),"Central America")</f>
        <v>Central America</v>
      </c>
      <c r="E114" s="66">
        <f>IFERROR(__xludf.DUMMYFUNCTION("""COMPUTED_VALUE"""),6149928.0)</f>
        <v>6149928</v>
      </c>
      <c r="F114" s="66">
        <f>IFERROR(__xludf.DUMMYFUNCTION("""COMPUTED_VALUE"""),6217581.0)</f>
        <v>6217581</v>
      </c>
      <c r="G114" s="67">
        <f>IFERROR(__xludf.DUMMYFUNCTION("""COMPUTED_VALUE"""),0.011)</f>
        <v>0.011</v>
      </c>
      <c r="H114" s="60" t="str">
        <f>IFERROR(__xludf.DUMMYFUNCTION("""COMPUTED_VALUE"""),"Gallo pinto")</f>
        <v>Gallo pinto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65">
        <f>IFERROR(__xludf.DUMMYFUNCTION("""COMPUTED_VALUE"""),111.0)</f>
        <v>111</v>
      </c>
      <c r="B115" s="65" t="str">
        <f>IFERROR(__xludf.DUMMYFUNCTION("""COMPUTED_VALUE"""),"Lebanon")</f>
        <v>Lebanon</v>
      </c>
      <c r="C115" s="20" t="str">
        <f>IFERROR(__xludf.DUMMYFUNCTION("""COMPUTED_VALUE"""),"Asia")</f>
        <v>Asia</v>
      </c>
      <c r="D115" s="20" t="str">
        <f>IFERROR(__xludf.DUMMYFUNCTION("""COMPUTED_VALUE"""),"Western Asia")</f>
        <v>Western Asia</v>
      </c>
      <c r="E115" s="66">
        <f>IFERROR(__xludf.DUMMYFUNCTION("""COMPUTED_VALUE"""),6006668.0)</f>
        <v>6006668</v>
      </c>
      <c r="F115" s="66">
        <f>IFERROR(__xludf.DUMMYFUNCTION("""COMPUTED_VALUE"""),6082357.0)</f>
        <v>6082357</v>
      </c>
      <c r="G115" s="67">
        <f>IFERROR(__xludf.DUMMYFUNCTION("""COMPUTED_VALUE"""),0.0126)</f>
        <v>0.0126</v>
      </c>
      <c r="H115" s="60" t="str">
        <f>IFERROR(__xludf.DUMMYFUNCTION("""COMPUTED_VALUE"""),"Kibbeh, tabbouleh")</f>
        <v>Kibbeh, tabbouleh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65">
        <f>IFERROR(__xludf.DUMMYFUNCTION("""COMPUTED_VALUE"""),112.0)</f>
        <v>112</v>
      </c>
      <c r="B116" s="65" t="str">
        <f>IFERROR(__xludf.DUMMYFUNCTION("""COMPUTED_VALUE"""),"Kyrgyzstan")</f>
        <v>Kyrgyzstan</v>
      </c>
      <c r="C116" s="20" t="str">
        <f>IFERROR(__xludf.DUMMYFUNCTION("""COMPUTED_VALUE"""),"Asia")</f>
        <v>Asia</v>
      </c>
      <c r="D116" s="20" t="str">
        <f>IFERROR(__xludf.DUMMYFUNCTION("""COMPUTED_VALUE"""),"Central Asia")</f>
        <v>Central Asia</v>
      </c>
      <c r="E116" s="66">
        <f>IFERROR(__xludf.DUMMYFUNCTION("""COMPUTED_VALUE"""),5955734.0)</f>
        <v>5955734</v>
      </c>
      <c r="F116" s="66">
        <f>IFERROR(__xludf.DUMMYFUNCTION("""COMPUTED_VALUE"""),6045117.0)</f>
        <v>6045117</v>
      </c>
      <c r="G116" s="67">
        <f>IFERROR(__xludf.DUMMYFUNCTION("""COMPUTED_VALUE"""),0.015)</f>
        <v>0.015</v>
      </c>
      <c r="H116" s="60" t="str">
        <f>IFERROR(__xludf.DUMMYFUNCTION("""COMPUTED_VALUE"""),"Beshbarmak, Laghman, Kuurdak")</f>
        <v>Beshbarmak, Laghman, Kuurdak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65">
        <f>IFERROR(__xludf.DUMMYFUNCTION("""COMPUTED_VALUE"""),113.0)</f>
        <v>113</v>
      </c>
      <c r="B117" s="65" t="str">
        <f>IFERROR(__xludf.DUMMYFUNCTION("""COMPUTED_VALUE"""),"Turkmenistan")</f>
        <v>Turkmenistan</v>
      </c>
      <c r="C117" s="20" t="str">
        <f>IFERROR(__xludf.DUMMYFUNCTION("""COMPUTED_VALUE"""),"Asia")</f>
        <v>Asia</v>
      </c>
      <c r="D117" s="20" t="str">
        <f>IFERROR(__xludf.DUMMYFUNCTION("""COMPUTED_VALUE"""),"Central Asia")</f>
        <v>Central Asia</v>
      </c>
      <c r="E117" s="66">
        <f>IFERROR(__xludf.DUMMYFUNCTION("""COMPUTED_VALUE"""),5662544.0)</f>
        <v>5662544</v>
      </c>
      <c r="F117" s="66">
        <f>IFERROR(__xludf.DUMMYFUNCTION("""COMPUTED_VALUE"""),5758075.0)</f>
        <v>5758075</v>
      </c>
      <c r="G117" s="67">
        <f>IFERROR(__xludf.DUMMYFUNCTION("""COMPUTED_VALUE"""),0.0169)</f>
        <v>0.0169</v>
      </c>
      <c r="H117" s="60" t="str">
        <f>IFERROR(__xludf.DUMMYFUNCTION("""COMPUTED_VALUE"""),"Palaw")</f>
        <v>Palaw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65">
        <f>IFERROR(__xludf.DUMMYFUNCTION("""COMPUTED_VALUE"""),114.0)</f>
        <v>114</v>
      </c>
      <c r="B118" s="65" t="str">
        <f>IFERROR(__xludf.DUMMYFUNCTION("""COMPUTED_VALUE"""),"Denmark")</f>
        <v>Denmark</v>
      </c>
      <c r="C118" s="20" t="str">
        <f>IFERROR(__xludf.DUMMYFUNCTION("""COMPUTED_VALUE"""),"Europe")</f>
        <v>Europe</v>
      </c>
      <c r="D118" s="20" t="str">
        <f>IFERROR(__xludf.DUMMYFUNCTION("""COMPUTED_VALUE"""),"Northern Europe")</f>
        <v>Northern Europe</v>
      </c>
      <c r="E118" s="66">
        <f>IFERROR(__xludf.DUMMYFUNCTION("""COMPUTED_VALUE"""),5711870.0)</f>
        <v>5711870</v>
      </c>
      <c r="F118" s="66">
        <f>IFERROR(__xludf.DUMMYFUNCTION("""COMPUTED_VALUE"""),5733551.0)</f>
        <v>5733551</v>
      </c>
      <c r="G118" s="67">
        <f>IFERROR(__xludf.DUMMYFUNCTION("""COMPUTED_VALUE"""),0.0038)</f>
        <v>0.0038</v>
      </c>
      <c r="H118" s="60" t="str">
        <f>IFERROR(__xludf.DUMMYFUNCTION("""COMPUTED_VALUE"""),"Stegt Flæsk fried pork and potato-based dish, Bøfsandwich, Frikadeller and Smørrebrød")</f>
        <v>Stegt Flæsk fried pork and potato-based dish, Bøfsandwich, Frikadeller and Smørrebrød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65">
        <f>IFERROR(__xludf.DUMMYFUNCTION("""COMPUTED_VALUE"""),115.0)</f>
        <v>115</v>
      </c>
      <c r="B119" s="65" t="str">
        <f>IFERROR(__xludf.DUMMYFUNCTION("""COMPUTED_VALUE"""),"Singapore")</f>
        <v>Singapore</v>
      </c>
      <c r="C119" s="20" t="str">
        <f>IFERROR(__xludf.DUMMYFUNCTION("""COMPUTED_VALUE"""),"Asia")</f>
        <v>Asia</v>
      </c>
      <c r="D119" s="20" t="str">
        <f>IFERROR(__xludf.DUMMYFUNCTION("""COMPUTED_VALUE"""),"South-eastern Asia")</f>
        <v>South-eastern Asia</v>
      </c>
      <c r="E119" s="66">
        <f>IFERROR(__xludf.DUMMYFUNCTION("""COMPUTED_VALUE"""),5622455.0)</f>
        <v>5622455</v>
      </c>
      <c r="F119" s="66">
        <f>IFERROR(__xludf.DUMMYFUNCTION("""COMPUTED_VALUE"""),5708844.0)</f>
        <v>5708844</v>
      </c>
      <c r="G119" s="67">
        <f>IFERROR(__xludf.DUMMYFUNCTION("""COMPUTED_VALUE"""),0.0154)</f>
        <v>0.0154</v>
      </c>
      <c r="H119" s="60" t="str">
        <f>IFERROR(__xludf.DUMMYFUNCTION("""COMPUTED_VALUE"""),"Chilli crab, Hainanese Chicken Rice")</f>
        <v>Chilli crab, Hainanese Chicken Rice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65">
        <f>IFERROR(__xludf.DUMMYFUNCTION("""COMPUTED_VALUE"""),116.0)</f>
        <v>116</v>
      </c>
      <c r="B120" s="65" t="str">
        <f>IFERROR(__xludf.DUMMYFUNCTION("""COMPUTED_VALUE"""),"Finland")</f>
        <v>Finland</v>
      </c>
      <c r="C120" s="20" t="str">
        <f>IFERROR(__xludf.DUMMYFUNCTION("""COMPUTED_VALUE"""),"Europe")</f>
        <v>Europe</v>
      </c>
      <c r="D120" s="20" t="str">
        <f>IFERROR(__xludf.DUMMYFUNCTION("""COMPUTED_VALUE"""),"Northern Europe")</f>
        <v>Northern Europe</v>
      </c>
      <c r="E120" s="66">
        <f>IFERROR(__xludf.DUMMYFUNCTION("""COMPUTED_VALUE"""),5503132.0)</f>
        <v>5503132</v>
      </c>
      <c r="F120" s="66">
        <f>IFERROR(__xludf.DUMMYFUNCTION("""COMPUTED_VALUE"""),5523231.0)</f>
        <v>5523231</v>
      </c>
      <c r="G120" s="67">
        <f>IFERROR(__xludf.DUMMYFUNCTION("""COMPUTED_VALUE"""),0.0037)</f>
        <v>0.0037</v>
      </c>
      <c r="H120" s="60" t="str">
        <f>IFERROR(__xludf.DUMMYFUNCTION("""COMPUTED_VALUE"""),"Karjalanpaisti, Mämmi, Sautéed reindeer")</f>
        <v>Karjalanpaisti, Mämmi, Sautéed reindeer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65">
        <f>IFERROR(__xludf.DUMMYFUNCTION("""COMPUTED_VALUE"""),117.0)</f>
        <v>117</v>
      </c>
      <c r="B121" s="65" t="str">
        <f>IFERROR(__xludf.DUMMYFUNCTION("""COMPUTED_VALUE"""),"Slovakia")</f>
        <v>Slovakia</v>
      </c>
      <c r="C121" s="20" t="str">
        <f>IFERROR(__xludf.DUMMYFUNCTION("""COMPUTED_VALUE"""),"Europe")</f>
        <v>Europe</v>
      </c>
      <c r="D121" s="20" t="str">
        <f>IFERROR(__xludf.DUMMYFUNCTION("""COMPUTED_VALUE"""),"Eastern Europe")</f>
        <v>Eastern Europe</v>
      </c>
      <c r="E121" s="66">
        <f>IFERROR(__xludf.DUMMYFUNCTION("""COMPUTED_VALUE"""),5444218.0)</f>
        <v>5444218</v>
      </c>
      <c r="F121" s="66">
        <f>IFERROR(__xludf.DUMMYFUNCTION("""COMPUTED_VALUE"""),5447662.0)</f>
        <v>5447662</v>
      </c>
      <c r="G121" s="67">
        <f>IFERROR(__xludf.DUMMYFUNCTION("""COMPUTED_VALUE"""),6.0E-4)</f>
        <v>0.0006</v>
      </c>
      <c r="H121" s="60" t="str">
        <f>IFERROR(__xludf.DUMMYFUNCTION("""COMPUTED_VALUE"""),"Bryndzové halušky")</f>
        <v>Bryndzové halušky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65">
        <f>IFERROR(__xludf.DUMMYFUNCTION("""COMPUTED_VALUE"""),118.0)</f>
        <v>118</v>
      </c>
      <c r="B122" s="65" t="str">
        <f>IFERROR(__xludf.DUMMYFUNCTION("""COMPUTED_VALUE"""),"Norway")</f>
        <v>Norway</v>
      </c>
      <c r="C122" s="20" t="str">
        <f>IFERROR(__xludf.DUMMYFUNCTION("""COMPUTED_VALUE"""),"Europe")</f>
        <v>Europe</v>
      </c>
      <c r="D122" s="20" t="str">
        <f>IFERROR(__xludf.DUMMYFUNCTION("""COMPUTED_VALUE"""),"Northern Europe")</f>
        <v>Northern Europe</v>
      </c>
      <c r="E122" s="66">
        <f>IFERROR(__xludf.DUMMYFUNCTION("""COMPUTED_VALUE"""),5254694.0)</f>
        <v>5254694</v>
      </c>
      <c r="F122" s="66">
        <f>IFERROR(__xludf.DUMMYFUNCTION("""COMPUTED_VALUE"""),5305383.0)</f>
        <v>5305383</v>
      </c>
      <c r="G122" s="67">
        <f>IFERROR(__xludf.DUMMYFUNCTION("""COMPUTED_VALUE"""),0.0096)</f>
        <v>0.0096</v>
      </c>
      <c r="H122" s="60" t="str">
        <f>IFERROR(__xludf.DUMMYFUNCTION("""COMPUTED_VALUE"""),"Fårikål")</f>
        <v>Fårikål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65">
        <f>IFERROR(__xludf.DUMMYFUNCTION("""COMPUTED_VALUE"""),119.0)</f>
        <v>119</v>
      </c>
      <c r="B123" s="65" t="str">
        <f>IFERROR(__xludf.DUMMYFUNCTION("""COMPUTED_VALUE"""),"Congo")</f>
        <v>Congo</v>
      </c>
      <c r="C123" s="20" t="str">
        <f>IFERROR(__xludf.DUMMYFUNCTION("""COMPUTED_VALUE"""),"Africa")</f>
        <v>Africa</v>
      </c>
      <c r="D123" s="20" t="str">
        <f>IFERROR(__xludf.DUMMYFUNCTION("""COMPUTED_VALUE"""),"Middle Africa")</f>
        <v>Middle Africa</v>
      </c>
      <c r="E123" s="66">
        <f>IFERROR(__xludf.DUMMYFUNCTION("""COMPUTED_VALUE"""),5125821.0)</f>
        <v>5125821</v>
      </c>
      <c r="F123" s="66">
        <f>IFERROR(__xludf.DUMMYFUNCTION("""COMPUTED_VALUE"""),5260750.0)</f>
        <v>5260750</v>
      </c>
      <c r="G123" s="67">
        <f>IFERROR(__xludf.DUMMYFUNCTION("""COMPUTED_VALUE"""),0.0263)</f>
        <v>0.0263</v>
      </c>
      <c r="H123" s="6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65">
        <f>IFERROR(__xludf.DUMMYFUNCTION("""COMPUTED_VALUE"""),120.0)</f>
        <v>120</v>
      </c>
      <c r="B124" s="65" t="str">
        <f>IFERROR(__xludf.DUMMYFUNCTION("""COMPUTED_VALUE"""),"Eritrea")</f>
        <v>Eritrea</v>
      </c>
      <c r="C124" s="20" t="str">
        <f>IFERROR(__xludf.DUMMYFUNCTION("""COMPUTED_VALUE"""),"Africa")</f>
        <v>Africa</v>
      </c>
      <c r="D124" s="20" t="str">
        <f>IFERROR(__xludf.DUMMYFUNCTION("""COMPUTED_VALUE"""),"Eastern Africa")</f>
        <v>Eastern Africa</v>
      </c>
      <c r="E124" s="66">
        <f>IFERROR(__xludf.DUMMYFUNCTION("""COMPUTED_VALUE"""),4954645.0)</f>
        <v>4954645</v>
      </c>
      <c r="F124" s="66">
        <f>IFERROR(__xludf.DUMMYFUNCTION("""COMPUTED_VALUE"""),5068831.0)</f>
        <v>5068831</v>
      </c>
      <c r="G124" s="67">
        <f>IFERROR(__xludf.DUMMYFUNCTION("""COMPUTED_VALUE"""),0.023)</f>
        <v>0.023</v>
      </c>
      <c r="H124" s="60" t="str">
        <f>IFERROR(__xludf.DUMMYFUNCTION("""COMPUTED_VALUE"""),"Zigini with injera, Gored gored")</f>
        <v>Zigini with injera, Gored gored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65">
        <f>IFERROR(__xludf.DUMMYFUNCTION("""COMPUTED_VALUE"""),121.0)</f>
        <v>121</v>
      </c>
      <c r="B125" s="65" t="str">
        <f>IFERROR(__xludf.DUMMYFUNCTION("""COMPUTED_VALUE"""),"Palestine")</f>
        <v>Palestine</v>
      </c>
      <c r="C125" s="20" t="str">
        <f>IFERROR(__xludf.DUMMYFUNCTION("""COMPUTED_VALUE"""),"Asia")</f>
        <v>Asia</v>
      </c>
      <c r="D125" s="20" t="str">
        <f>IFERROR(__xludf.DUMMYFUNCTION("""COMPUTED_VALUE"""),"Western Asia")</f>
        <v>Western Asia</v>
      </c>
      <c r="E125" s="66">
        <f>IFERROR(__xludf.DUMMYFUNCTION("""COMPUTED_VALUE"""),4790705.0)</f>
        <v>4790705</v>
      </c>
      <c r="F125" s="66">
        <f>IFERROR(__xludf.DUMMYFUNCTION("""COMPUTED_VALUE"""),4920724.0)</f>
        <v>4920724</v>
      </c>
      <c r="G125" s="67">
        <f>IFERROR(__xludf.DUMMYFUNCTION("""COMPUTED_VALUE"""),0.0271)</f>
        <v>0.0271</v>
      </c>
      <c r="H125" s="60" t="str">
        <f>IFERROR(__xludf.DUMMYFUNCTION("""COMPUTED_VALUE"""),"Arab salad, Falafel, Mujaddara, Musakhan, Hummus with tahini")</f>
        <v>Arab salad, Falafel, Mujaddara, Musakhan, Hummus with tahini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65">
        <f>IFERROR(__xludf.DUMMYFUNCTION("""COMPUTED_VALUE"""),122.0)</f>
        <v>122</v>
      </c>
      <c r="B126" s="65" t="str">
        <f>IFERROR(__xludf.DUMMYFUNCTION("""COMPUTED_VALUE"""),"Costa Rica")</f>
        <v>Costa Rica</v>
      </c>
      <c r="C126" s="20" t="str">
        <f>IFERROR(__xludf.DUMMYFUNCTION("""COMPUTED_VALUE"""),"Americas")</f>
        <v>Americas</v>
      </c>
      <c r="D126" s="20" t="str">
        <f>IFERROR(__xludf.DUMMYFUNCTION("""COMPUTED_VALUE"""),"Central America")</f>
        <v>Central America</v>
      </c>
      <c r="E126" s="66">
        <f>IFERROR(__xludf.DUMMYFUNCTION("""COMPUTED_VALUE"""),4857274.0)</f>
        <v>4857274</v>
      </c>
      <c r="F126" s="66">
        <f>IFERROR(__xludf.DUMMYFUNCTION("""COMPUTED_VALUE"""),4905769.0)</f>
        <v>4905769</v>
      </c>
      <c r="G126" s="67">
        <f>IFERROR(__xludf.DUMMYFUNCTION("""COMPUTED_VALUE"""),0.01)</f>
        <v>0.01</v>
      </c>
      <c r="H126" s="60" t="str">
        <f>IFERROR(__xludf.DUMMYFUNCTION("""COMPUTED_VALUE"""),"Gallo pinto")</f>
        <v>Gallo pinto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65">
        <f>IFERROR(__xludf.DUMMYFUNCTION("""COMPUTED_VALUE"""),123.0)</f>
        <v>123</v>
      </c>
      <c r="B127" s="65" t="str">
        <f>IFERROR(__xludf.DUMMYFUNCTION("""COMPUTED_VALUE"""),"Ireland")</f>
        <v>Ireland</v>
      </c>
      <c r="C127" s="20" t="str">
        <f>IFERROR(__xludf.DUMMYFUNCTION("""COMPUTED_VALUE"""),"Europe")</f>
        <v>Europe</v>
      </c>
      <c r="D127" s="20" t="str">
        <f>IFERROR(__xludf.DUMMYFUNCTION("""COMPUTED_VALUE"""),"Northern Europe")</f>
        <v>Northern Europe</v>
      </c>
      <c r="E127" s="66">
        <f>IFERROR(__xludf.DUMMYFUNCTION("""COMPUTED_VALUE"""),4726078.0)</f>
        <v>4726078</v>
      </c>
      <c r="F127" s="66">
        <f>IFERROR(__xludf.DUMMYFUNCTION("""COMPUTED_VALUE"""),4761657.0)</f>
        <v>4761657</v>
      </c>
      <c r="G127" s="67">
        <f>IFERROR(__xludf.DUMMYFUNCTION("""COMPUTED_VALUE"""),0.0075)</f>
        <v>0.0075</v>
      </c>
      <c r="H127" s="60" t="str">
        <f>IFERROR(__xludf.DUMMYFUNCTION("""COMPUTED_VALUE"""),"Irish stew, Colcannon")</f>
        <v>Irish stew, Colcannon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65">
        <f>IFERROR(__xludf.DUMMYFUNCTION("""COMPUTED_VALUE"""),124.0)</f>
        <v>124</v>
      </c>
      <c r="B128" s="65" t="str">
        <f>IFERROR(__xludf.DUMMYFUNCTION("""COMPUTED_VALUE"""),"Liberia")</f>
        <v>Liberia</v>
      </c>
      <c r="C128" s="20" t="str">
        <f>IFERROR(__xludf.DUMMYFUNCTION("""COMPUTED_VALUE"""),"Africa")</f>
        <v>Africa</v>
      </c>
      <c r="D128" s="20" t="str">
        <f>IFERROR(__xludf.DUMMYFUNCTION("""COMPUTED_VALUE"""),"Western Africa")</f>
        <v>Western Africa</v>
      </c>
      <c r="E128" s="66">
        <f>IFERROR(__xludf.DUMMYFUNCTION("""COMPUTED_VALUE"""),4613823.0)</f>
        <v>4613823</v>
      </c>
      <c r="F128" s="66">
        <f>IFERROR(__xludf.DUMMYFUNCTION("""COMPUTED_VALUE"""),4731906.0)</f>
        <v>4731906</v>
      </c>
      <c r="G128" s="67">
        <f>IFERROR(__xludf.DUMMYFUNCTION("""COMPUTED_VALUE"""),0.0256)</f>
        <v>0.0256</v>
      </c>
      <c r="H128" s="60" t="str">
        <f>IFERROR(__xludf.DUMMYFUNCTION("""COMPUTED_VALUE"""),"Dumboy")</f>
        <v>Dumboy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65">
        <f>IFERROR(__xludf.DUMMYFUNCTION("""COMPUTED_VALUE"""),125.0)</f>
        <v>125</v>
      </c>
      <c r="B129" s="65" t="str">
        <f>IFERROR(__xludf.DUMMYFUNCTION("""COMPUTED_VALUE"""),"New Zealand")</f>
        <v>New Zealand</v>
      </c>
      <c r="C129" s="20" t="str">
        <f>IFERROR(__xludf.DUMMYFUNCTION("""COMPUTED_VALUE"""),"Oceania")</f>
        <v>Oceania</v>
      </c>
      <c r="D129" s="20" t="str">
        <f>IFERROR(__xludf.DUMMYFUNCTION("""COMPUTED_VALUE"""),"Australia and New Zealand")</f>
        <v>Australia and New Zealand</v>
      </c>
      <c r="E129" s="66">
        <f>IFERROR(__xludf.DUMMYFUNCTION("""COMPUTED_VALUE"""),4660833.0)</f>
        <v>4660833</v>
      </c>
      <c r="F129" s="66">
        <f>IFERROR(__xludf.DUMMYFUNCTION("""COMPUTED_VALUE"""),4705818.0)</f>
        <v>4705818</v>
      </c>
      <c r="G129" s="67">
        <f>IFERROR(__xludf.DUMMYFUNCTION("""COMPUTED_VALUE"""),0.0097)</f>
        <v>0.0097</v>
      </c>
      <c r="H129" s="60" t="str">
        <f>IFERROR(__xludf.DUMMYFUNCTION("""COMPUTED_VALUE"""),"Bacon and egg pie, lamb")</f>
        <v>Bacon and egg pie, lamb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65">
        <f>IFERROR(__xludf.DUMMYFUNCTION("""COMPUTED_VALUE"""),126.0)</f>
        <v>126</v>
      </c>
      <c r="B130" s="65" t="str">
        <f>IFERROR(__xludf.DUMMYFUNCTION("""COMPUTED_VALUE"""),"Central African Republic")</f>
        <v>Central African Republic</v>
      </c>
      <c r="C130" s="20" t="str">
        <f>IFERROR(__xludf.DUMMYFUNCTION("""COMPUTED_VALUE"""),"Africa")</f>
        <v>Africa</v>
      </c>
      <c r="D130" s="20" t="str">
        <f>IFERROR(__xludf.DUMMYFUNCTION("""COMPUTED_VALUE"""),"Middle Africa")</f>
        <v>Middle Africa</v>
      </c>
      <c r="E130" s="66">
        <f>IFERROR(__xludf.DUMMYFUNCTION("""COMPUTED_VALUE"""),4594621.0)</f>
        <v>4594621</v>
      </c>
      <c r="F130" s="66">
        <f>IFERROR(__xludf.DUMMYFUNCTION("""COMPUTED_VALUE"""),4659080.0)</f>
        <v>4659080</v>
      </c>
      <c r="G130" s="67">
        <f>IFERROR(__xludf.DUMMYFUNCTION("""COMPUTED_VALUE"""),0.014)</f>
        <v>0.014</v>
      </c>
      <c r="H130" s="60" t="str">
        <f>IFERROR(__xludf.DUMMYFUNCTION("""COMPUTED_VALUE"""),"Cassava fufu, Peanut soup")</f>
        <v>Cassava fufu, Peanut soup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65">
        <f>IFERROR(__xludf.DUMMYFUNCTION("""COMPUTED_VALUE"""),127.0)</f>
        <v>127</v>
      </c>
      <c r="B131" s="65" t="str">
        <f>IFERROR(__xludf.DUMMYFUNCTION("""COMPUTED_VALUE"""),"Oman")</f>
        <v>Oman</v>
      </c>
      <c r="C131" s="20" t="str">
        <f>IFERROR(__xludf.DUMMYFUNCTION("""COMPUTED_VALUE"""),"Asia")</f>
        <v>Asia</v>
      </c>
      <c r="D131" s="20" t="str">
        <f>IFERROR(__xludf.DUMMYFUNCTION("""COMPUTED_VALUE"""),"Western Asia")</f>
        <v>Western Asia</v>
      </c>
      <c r="E131" s="66">
        <f>IFERROR(__xludf.DUMMYFUNCTION("""COMPUTED_VALUE"""),4424762.0)</f>
        <v>4424762</v>
      </c>
      <c r="F131" s="66">
        <f>IFERROR(__xludf.DUMMYFUNCTION("""COMPUTED_VALUE"""),4636262.0)</f>
        <v>4636262</v>
      </c>
      <c r="G131" s="67">
        <f>IFERROR(__xludf.DUMMYFUNCTION("""COMPUTED_VALUE"""),0.0478)</f>
        <v>0.0478</v>
      </c>
      <c r="H131" s="60" t="str">
        <f>IFERROR(__xludf.DUMMYFUNCTION("""COMPUTED_VALUE"""),"Shuwa")</f>
        <v>Shuwa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65">
        <f>IFERROR(__xludf.DUMMYFUNCTION("""COMPUTED_VALUE"""),128.0)</f>
        <v>128</v>
      </c>
      <c r="B132" s="65" t="str">
        <f>IFERROR(__xludf.DUMMYFUNCTION("""COMPUTED_VALUE"""),"Mauritania")</f>
        <v>Mauritania</v>
      </c>
      <c r="C132" s="20" t="str">
        <f>IFERROR(__xludf.DUMMYFUNCTION("""COMPUTED_VALUE"""),"Africa")</f>
        <v>Africa</v>
      </c>
      <c r="D132" s="20" t="str">
        <f>IFERROR(__xludf.DUMMYFUNCTION("""COMPUTED_VALUE"""),"Western Africa")</f>
        <v>Western Africa</v>
      </c>
      <c r="E132" s="66">
        <f>IFERROR(__xludf.DUMMYFUNCTION("""COMPUTED_VALUE"""),4301018.0)</f>
        <v>4301018</v>
      </c>
      <c r="F132" s="66">
        <f>IFERROR(__xludf.DUMMYFUNCTION("""COMPUTED_VALUE"""),4420184.0)</f>
        <v>4420184</v>
      </c>
      <c r="G132" s="67">
        <f>IFERROR(__xludf.DUMMYFUNCTION("""COMPUTED_VALUE"""),0.0277)</f>
        <v>0.0277</v>
      </c>
      <c r="H132" s="60" t="str">
        <f>IFERROR(__xludf.DUMMYFUNCTION("""COMPUTED_VALUE"""),"Thieboudienne, Couscous")</f>
        <v>Thieboudienne, Couscous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65">
        <f>IFERROR(__xludf.DUMMYFUNCTION("""COMPUTED_VALUE"""),129.0)</f>
        <v>129</v>
      </c>
      <c r="B133" s="65" t="str">
        <f>IFERROR(__xludf.DUMMYFUNCTION("""COMPUTED_VALUE"""),"Croatia")</f>
        <v>Croatia</v>
      </c>
      <c r="C133" s="20" t="str">
        <f>IFERROR(__xludf.DUMMYFUNCTION("""COMPUTED_VALUE"""),"Europe")</f>
        <v>Europe</v>
      </c>
      <c r="D133" s="20" t="str">
        <f>IFERROR(__xludf.DUMMYFUNCTION("""COMPUTED_VALUE"""),"Southern Europe")</f>
        <v>Southern Europe</v>
      </c>
      <c r="E133" s="66">
        <f>IFERROR(__xludf.DUMMYFUNCTION("""COMPUTED_VALUE"""),4213265.0)</f>
        <v>4213265</v>
      </c>
      <c r="F133" s="66">
        <f>IFERROR(__xludf.DUMMYFUNCTION("""COMPUTED_VALUE"""),4189353.0)</f>
        <v>4189353</v>
      </c>
      <c r="G133" s="67">
        <f>IFERROR(__xludf.DUMMYFUNCTION("""COMPUTED_VALUE"""),-0.0057)</f>
        <v>-0.0057</v>
      </c>
      <c r="H133" s="60" t="str">
        <f>IFERROR(__xludf.DUMMYFUNCTION("""COMPUTED_VALUE"""),"Zagorski Štrukli, Mlinci, Brudet, Kulen, Istrian stew")</f>
        <v>Zagorski Štrukli, Mlinci, Brudet, Kulen, Istrian stew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65">
        <f>IFERROR(__xludf.DUMMYFUNCTION("""COMPUTED_VALUE"""),130.0)</f>
        <v>130</v>
      </c>
      <c r="B134" s="65" t="str">
        <f>IFERROR(__xludf.DUMMYFUNCTION("""COMPUTED_VALUE"""),"Kuwait")</f>
        <v>Kuwait</v>
      </c>
      <c r="C134" s="20" t="str">
        <f>IFERROR(__xludf.DUMMYFUNCTION("""COMPUTED_VALUE"""),"Asia")</f>
        <v>Asia</v>
      </c>
      <c r="D134" s="20" t="str">
        <f>IFERROR(__xludf.DUMMYFUNCTION("""COMPUTED_VALUE"""),"Western Asia")</f>
        <v>Western Asia</v>
      </c>
      <c r="E134" s="66">
        <f>IFERROR(__xludf.DUMMYFUNCTION("""COMPUTED_VALUE"""),4052584.0)</f>
        <v>4052584</v>
      </c>
      <c r="F134" s="66">
        <f>IFERROR(__xludf.DUMMYFUNCTION("""COMPUTED_VALUE"""),4136528.0)</f>
        <v>4136528</v>
      </c>
      <c r="G134" s="67">
        <f>IFERROR(__xludf.DUMMYFUNCTION("""COMPUTED_VALUE"""),0.0207)</f>
        <v>0.0207</v>
      </c>
      <c r="H134" s="60" t="str">
        <f>IFERROR(__xludf.DUMMYFUNCTION("""COMPUTED_VALUE"""),"Machboos")</f>
        <v>Machboos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65">
        <f>IFERROR(__xludf.DUMMYFUNCTION("""COMPUTED_VALUE"""),131.0)</f>
        <v>131</v>
      </c>
      <c r="B135" s="65" t="str">
        <f>IFERROR(__xludf.DUMMYFUNCTION("""COMPUTED_VALUE"""),"Panama")</f>
        <v>Panama</v>
      </c>
      <c r="C135" s="20" t="str">
        <f>IFERROR(__xludf.DUMMYFUNCTION("""COMPUTED_VALUE"""),"Americas")</f>
        <v>Americas</v>
      </c>
      <c r="D135" s="20" t="str">
        <f>IFERROR(__xludf.DUMMYFUNCTION("""COMPUTED_VALUE"""),"Central America")</f>
        <v>Central America</v>
      </c>
      <c r="E135" s="66">
        <f>IFERROR(__xludf.DUMMYFUNCTION("""COMPUTED_VALUE"""),4034119.0)</f>
        <v>4034119</v>
      </c>
      <c r="F135" s="66">
        <f>IFERROR(__xludf.DUMMYFUNCTION("""COMPUTED_VALUE"""),4098587.0)</f>
        <v>4098587</v>
      </c>
      <c r="G135" s="67">
        <f>IFERROR(__xludf.DUMMYFUNCTION("""COMPUTED_VALUE"""),0.016)</f>
        <v>0.016</v>
      </c>
      <c r="H135" s="60" t="str">
        <f>IFERROR(__xludf.DUMMYFUNCTION("""COMPUTED_VALUE"""),"Sancocho de gallina")</f>
        <v>Sancocho de gallina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65">
        <f>IFERROR(__xludf.DUMMYFUNCTION("""COMPUTED_VALUE"""),132.0)</f>
        <v>132</v>
      </c>
      <c r="B136" s="65" t="str">
        <f>IFERROR(__xludf.DUMMYFUNCTION("""COMPUTED_VALUE"""),"Moldova")</f>
        <v>Moldova</v>
      </c>
      <c r="C136" s="20" t="str">
        <f>IFERROR(__xludf.DUMMYFUNCTION("""COMPUTED_VALUE"""),"Europe")</f>
        <v>Europe</v>
      </c>
      <c r="D136" s="20" t="str">
        <f>IFERROR(__xludf.DUMMYFUNCTION("""COMPUTED_VALUE"""),"Eastern Europe")</f>
        <v>Eastern Europe</v>
      </c>
      <c r="E136" s="66">
        <f>IFERROR(__xludf.DUMMYFUNCTION("""COMPUTED_VALUE"""),4059608.0)</f>
        <v>4059608</v>
      </c>
      <c r="F136" s="66">
        <f>IFERROR(__xludf.DUMMYFUNCTION("""COMPUTED_VALUE"""),4051212.0)</f>
        <v>4051212</v>
      </c>
      <c r="G136" s="67">
        <f>IFERROR(__xludf.DUMMYFUNCTION("""COMPUTED_VALUE"""),-0.0021)</f>
        <v>-0.0021</v>
      </c>
      <c r="H136" s="60" t="str">
        <f>IFERROR(__xludf.DUMMYFUNCTION("""COMPUTED_VALUE"""),"Mămăligă, Sarmale, Mici")</f>
        <v>Mămăligă, Sarmale, Mici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65">
        <f>IFERROR(__xludf.DUMMYFUNCTION("""COMPUTED_VALUE"""),133.0)</f>
        <v>133</v>
      </c>
      <c r="B137" s="65" t="str">
        <f>IFERROR(__xludf.DUMMYFUNCTION("""COMPUTED_VALUE"""),"Georgia")</f>
        <v>Georgia</v>
      </c>
      <c r="C137" s="20" t="str">
        <f>IFERROR(__xludf.DUMMYFUNCTION("""COMPUTED_VALUE"""),"Asia")</f>
        <v>Asia</v>
      </c>
      <c r="D137" s="20" t="str">
        <f>IFERROR(__xludf.DUMMYFUNCTION("""COMPUTED_VALUE"""),"Western Asia")</f>
        <v>Western Asia</v>
      </c>
      <c r="E137" s="66">
        <f>IFERROR(__xludf.DUMMYFUNCTION("""COMPUTED_VALUE"""),3925405.0)</f>
        <v>3925405</v>
      </c>
      <c r="F137" s="66">
        <f>IFERROR(__xludf.DUMMYFUNCTION("""COMPUTED_VALUE"""),3912061.0)</f>
        <v>3912061</v>
      </c>
      <c r="G137" s="67">
        <f>IFERROR(__xludf.DUMMYFUNCTION("""COMPUTED_VALUE"""),-0.0034)</f>
        <v>-0.0034</v>
      </c>
      <c r="H137" s="60" t="str">
        <f>IFERROR(__xludf.DUMMYFUNCTION("""COMPUTED_VALUE"""),"Khachapuri, Khinkali")</f>
        <v>Khachapuri, Khinkali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65">
        <f>IFERROR(__xludf.DUMMYFUNCTION("""COMPUTED_VALUE"""),134.0)</f>
        <v>134</v>
      </c>
      <c r="B138" s="65" t="str">
        <f>IFERROR(__xludf.DUMMYFUNCTION("""COMPUTED_VALUE"""),"Puerto Rico")</f>
        <v>Puerto Rico</v>
      </c>
      <c r="C138" s="20" t="str">
        <f>IFERROR(__xludf.DUMMYFUNCTION("""COMPUTED_VALUE"""),"Americas")</f>
        <v>Americas</v>
      </c>
      <c r="D138" s="20" t="str">
        <f>IFERROR(__xludf.DUMMYFUNCTION("""COMPUTED_VALUE"""),"Caribbean")</f>
        <v>Caribbean</v>
      </c>
      <c r="E138" s="66">
        <f>IFERROR(__xludf.DUMMYFUNCTION("""COMPUTED_VALUE"""),3667903.0)</f>
        <v>3667903</v>
      </c>
      <c r="F138" s="66">
        <f>IFERROR(__xludf.DUMMYFUNCTION("""COMPUTED_VALUE"""),3663131.0)</f>
        <v>3663131</v>
      </c>
      <c r="G138" s="67">
        <f>IFERROR(__xludf.DUMMYFUNCTION("""COMPUTED_VALUE"""),-0.0013)</f>
        <v>-0.0013</v>
      </c>
      <c r="H138" s="60" t="str">
        <f>IFERROR(__xludf.DUMMYFUNCTION("""COMPUTED_VALUE"""),"Arroz con gandules, Lechon, Mofongo")</f>
        <v>Arroz con gandules, Lechon, Mofongo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65">
        <f>IFERROR(__xludf.DUMMYFUNCTION("""COMPUTED_VALUE"""),135.0)</f>
        <v>135</v>
      </c>
      <c r="B139" s="65" t="str">
        <f>IFERROR(__xludf.DUMMYFUNCTION("""COMPUTED_VALUE"""),"Bosnia and Herzegovina")</f>
        <v>Bosnia and Herzegovina</v>
      </c>
      <c r="C139" s="20" t="str">
        <f>IFERROR(__xludf.DUMMYFUNCTION("""COMPUTED_VALUE"""),"Europe")</f>
        <v>Europe</v>
      </c>
      <c r="D139" s="20" t="str">
        <f>IFERROR(__xludf.DUMMYFUNCTION("""COMPUTED_VALUE"""),"Southern Europe")</f>
        <v>Southern Europe</v>
      </c>
      <c r="E139" s="66">
        <f>IFERROR(__xludf.DUMMYFUNCTION("""COMPUTED_VALUE"""),3516816.0)</f>
        <v>3516816</v>
      </c>
      <c r="F139" s="66">
        <f>IFERROR(__xludf.DUMMYFUNCTION("""COMPUTED_VALUE"""),3507017.0)</f>
        <v>3507017</v>
      </c>
      <c r="G139" s="67">
        <f>IFERROR(__xludf.DUMMYFUNCTION("""COMPUTED_VALUE"""),-0.0028)</f>
        <v>-0.0028</v>
      </c>
      <c r="H139" s="60" t="str">
        <f>IFERROR(__xludf.DUMMYFUNCTION("""COMPUTED_VALUE"""),"Bosnian pot, Ćevapi")</f>
        <v>Bosnian pot, Ćevapi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65">
        <f>IFERROR(__xludf.DUMMYFUNCTION("""COMPUTED_VALUE"""),136.0)</f>
        <v>136</v>
      </c>
      <c r="B140" s="65" t="str">
        <f>IFERROR(__xludf.DUMMYFUNCTION("""COMPUTED_VALUE"""),"Uruguay")</f>
        <v>Uruguay</v>
      </c>
      <c r="C140" s="20" t="str">
        <f>IFERROR(__xludf.DUMMYFUNCTION("""COMPUTED_VALUE"""),"Americas")</f>
        <v>Americas</v>
      </c>
      <c r="D140" s="20" t="str">
        <f>IFERROR(__xludf.DUMMYFUNCTION("""COMPUTED_VALUE"""),"South America")</f>
        <v>South America</v>
      </c>
      <c r="E140" s="66">
        <f>IFERROR(__xludf.DUMMYFUNCTION("""COMPUTED_VALUE"""),3444006.0)</f>
        <v>3444006</v>
      </c>
      <c r="F140" s="66">
        <f>IFERROR(__xludf.DUMMYFUNCTION("""COMPUTED_VALUE"""),3456750.0)</f>
        <v>3456750</v>
      </c>
      <c r="G140" s="67">
        <f>IFERROR(__xludf.DUMMYFUNCTION("""COMPUTED_VALUE"""),0.0037)</f>
        <v>0.0037</v>
      </c>
      <c r="H140" s="60" t="str">
        <f>IFERROR(__xludf.DUMMYFUNCTION("""COMPUTED_VALUE"""),"Asado, Chivito")</f>
        <v>Asado, Chivito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65">
        <f>IFERROR(__xludf.DUMMYFUNCTION("""COMPUTED_VALUE"""),137.0)</f>
        <v>137</v>
      </c>
      <c r="B141" s="65" t="str">
        <f>IFERROR(__xludf.DUMMYFUNCTION("""COMPUTED_VALUE"""),"Mongolia")</f>
        <v>Mongolia</v>
      </c>
      <c r="C141" s="20" t="str">
        <f>IFERROR(__xludf.DUMMYFUNCTION("""COMPUTED_VALUE"""),"Asia")</f>
        <v>Asia</v>
      </c>
      <c r="D141" s="20" t="str">
        <f>IFERROR(__xludf.DUMMYFUNCTION("""COMPUTED_VALUE"""),"Eastern Asia")</f>
        <v>Eastern Asia</v>
      </c>
      <c r="E141" s="66">
        <f>IFERROR(__xludf.DUMMYFUNCTION("""COMPUTED_VALUE"""),3027398.0)</f>
        <v>3027398</v>
      </c>
      <c r="F141" s="66">
        <f>IFERROR(__xludf.DUMMYFUNCTION("""COMPUTED_VALUE"""),3075647.0)</f>
        <v>3075647</v>
      </c>
      <c r="G141" s="67">
        <f>IFERROR(__xludf.DUMMYFUNCTION("""COMPUTED_VALUE"""),0.0159)</f>
        <v>0.0159</v>
      </c>
      <c r="H141" s="60" t="str">
        <f>IFERROR(__xludf.DUMMYFUNCTION("""COMPUTED_VALUE"""),"Buuz")</f>
        <v>Buuz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65">
        <f>IFERROR(__xludf.DUMMYFUNCTION("""COMPUTED_VALUE"""),138.0)</f>
        <v>138</v>
      </c>
      <c r="B142" s="65" t="str">
        <f>IFERROR(__xludf.DUMMYFUNCTION("""COMPUTED_VALUE"""),"Armenia")</f>
        <v>Armenia</v>
      </c>
      <c r="C142" s="20" t="str">
        <f>IFERROR(__xludf.DUMMYFUNCTION("""COMPUTED_VALUE"""),"Asia")</f>
        <v>Asia</v>
      </c>
      <c r="D142" s="20" t="str">
        <f>IFERROR(__xludf.DUMMYFUNCTION("""COMPUTED_VALUE"""),"Western Asia")</f>
        <v>Western Asia</v>
      </c>
      <c r="E142" s="66">
        <f>IFERROR(__xludf.DUMMYFUNCTION("""COMPUTED_VALUE"""),2924816.0)</f>
        <v>2924816</v>
      </c>
      <c r="F142" s="66">
        <f>IFERROR(__xludf.DUMMYFUNCTION("""COMPUTED_VALUE"""),2930450.0)</f>
        <v>2930450</v>
      </c>
      <c r="G142" s="67">
        <f>IFERROR(__xludf.DUMMYFUNCTION("""COMPUTED_VALUE"""),0.0019)</f>
        <v>0.0019</v>
      </c>
      <c r="H142" s="60" t="str">
        <f>IFERROR(__xludf.DUMMYFUNCTION("""COMPUTED_VALUE"""),"Khash, Harissa, Dolma, Khorovats")</f>
        <v>Khash, Harissa, Dolma, Khorovats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65">
        <f>IFERROR(__xludf.DUMMYFUNCTION("""COMPUTED_VALUE"""),139.0)</f>
        <v>139</v>
      </c>
      <c r="B143" s="65" t="str">
        <f>IFERROR(__xludf.DUMMYFUNCTION("""COMPUTED_VALUE"""),"Albania")</f>
        <v>Albania</v>
      </c>
      <c r="C143" s="20" t="str">
        <f>IFERROR(__xludf.DUMMYFUNCTION("""COMPUTED_VALUE"""),"Europe")</f>
        <v>Europe</v>
      </c>
      <c r="D143" s="20" t="str">
        <f>IFERROR(__xludf.DUMMYFUNCTION("""COMPUTED_VALUE"""),"Southern Europe")</f>
        <v>Southern Europe</v>
      </c>
      <c r="E143" s="66">
        <f>IFERROR(__xludf.DUMMYFUNCTION("""COMPUTED_VALUE"""),2926348.0)</f>
        <v>2926348</v>
      </c>
      <c r="F143" s="66">
        <f>IFERROR(__xludf.DUMMYFUNCTION("""COMPUTED_VALUE"""),2930187.0)</f>
        <v>2930187</v>
      </c>
      <c r="G143" s="67">
        <f>IFERROR(__xludf.DUMMYFUNCTION("""COMPUTED_VALUE"""),0.0013)</f>
        <v>0.0013</v>
      </c>
      <c r="H143" s="60" t="str">
        <f>IFERROR(__xludf.DUMMYFUNCTION("""COMPUTED_VALUE"""),"Tavë kosi")</f>
        <v>Tavë kosi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65">
        <f>IFERROR(__xludf.DUMMYFUNCTION("""COMPUTED_VALUE"""),140.0)</f>
        <v>140</v>
      </c>
      <c r="B144" s="65" t="str">
        <f>IFERROR(__xludf.DUMMYFUNCTION("""COMPUTED_VALUE"""),"Jamaica")</f>
        <v>Jamaica</v>
      </c>
      <c r="C144" s="20" t="str">
        <f>IFERROR(__xludf.DUMMYFUNCTION("""COMPUTED_VALUE"""),"Americas")</f>
        <v>Americas</v>
      </c>
      <c r="D144" s="20" t="str">
        <f>IFERROR(__xludf.DUMMYFUNCTION("""COMPUTED_VALUE"""),"Caribbean")</f>
        <v>Caribbean</v>
      </c>
      <c r="E144" s="66">
        <f>IFERROR(__xludf.DUMMYFUNCTION("""COMPUTED_VALUE"""),2881355.0)</f>
        <v>2881355</v>
      </c>
      <c r="F144" s="66">
        <f>IFERROR(__xludf.DUMMYFUNCTION("""COMPUTED_VALUE"""),2890299.0)</f>
        <v>2890299</v>
      </c>
      <c r="G144" s="67">
        <f>IFERROR(__xludf.DUMMYFUNCTION("""COMPUTED_VALUE"""),0.0031)</f>
        <v>0.0031</v>
      </c>
      <c r="H144" s="60" t="str">
        <f>IFERROR(__xludf.DUMMYFUNCTION("""COMPUTED_VALUE"""),"Ackee and Saltfish, Jerk chicken, Jamaican patty")</f>
        <v>Ackee and Saltfish, Jerk chicken, Jamaican patty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65">
        <f>IFERROR(__xludf.DUMMYFUNCTION("""COMPUTED_VALUE"""),141.0)</f>
        <v>141</v>
      </c>
      <c r="B145" s="65" t="str">
        <f>IFERROR(__xludf.DUMMYFUNCTION("""COMPUTED_VALUE"""),"Lithuania")</f>
        <v>Lithuania</v>
      </c>
      <c r="C145" s="20" t="str">
        <f>IFERROR(__xludf.DUMMYFUNCTION("""COMPUTED_VALUE"""),"Europe")</f>
        <v>Europe</v>
      </c>
      <c r="D145" s="20" t="str">
        <f>IFERROR(__xludf.DUMMYFUNCTION("""COMPUTED_VALUE"""),"Northern Europe")</f>
        <v>Northern Europe</v>
      </c>
      <c r="E145" s="66">
        <f>IFERROR(__xludf.DUMMYFUNCTION("""COMPUTED_VALUE"""),2908249.0)</f>
        <v>2908249</v>
      </c>
      <c r="F145" s="66">
        <f>IFERROR(__xludf.DUMMYFUNCTION("""COMPUTED_VALUE"""),2890297.0)</f>
        <v>2890297</v>
      </c>
      <c r="G145" s="67">
        <f>IFERROR(__xludf.DUMMYFUNCTION("""COMPUTED_VALUE"""),-0.0062)</f>
        <v>-0.0062</v>
      </c>
      <c r="H145" s="60" t="str">
        <f>IFERROR(__xludf.DUMMYFUNCTION("""COMPUTED_VALUE"""),"Cepelinai")</f>
        <v>Cepelinai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65">
        <f>IFERROR(__xludf.DUMMYFUNCTION("""COMPUTED_VALUE"""),142.0)</f>
        <v>142</v>
      </c>
      <c r="B146" s="65" t="str">
        <f>IFERROR(__xludf.DUMMYFUNCTION("""COMPUTED_VALUE"""),"Qatar")</f>
        <v>Qatar</v>
      </c>
      <c r="C146" s="20" t="str">
        <f>IFERROR(__xludf.DUMMYFUNCTION("""COMPUTED_VALUE"""),"Asia")</f>
        <v>Asia</v>
      </c>
      <c r="D146" s="20" t="str">
        <f>IFERROR(__xludf.DUMMYFUNCTION("""COMPUTED_VALUE"""),"Western Asia")</f>
        <v>Western Asia</v>
      </c>
      <c r="E146" s="66">
        <f>IFERROR(__xludf.DUMMYFUNCTION("""COMPUTED_VALUE"""),2569804.0)</f>
        <v>2569804</v>
      </c>
      <c r="F146" s="66">
        <f>IFERROR(__xludf.DUMMYFUNCTION("""COMPUTED_VALUE"""),2639211.0)</f>
        <v>2639211</v>
      </c>
      <c r="G146" s="67">
        <f>IFERROR(__xludf.DUMMYFUNCTION("""COMPUTED_VALUE"""),0.027)</f>
        <v>0.027</v>
      </c>
      <c r="H146" s="60" t="str">
        <f>IFERROR(__xludf.DUMMYFUNCTION("""COMPUTED_VALUE"""),"Machboos")</f>
        <v>Machboos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65">
        <f>IFERROR(__xludf.DUMMYFUNCTION("""COMPUTED_VALUE"""),143.0)</f>
        <v>143</v>
      </c>
      <c r="B147" s="65" t="str">
        <f>IFERROR(__xludf.DUMMYFUNCTION("""COMPUTED_VALUE"""),"Namibia")</f>
        <v>Namibia</v>
      </c>
      <c r="C147" s="20" t="str">
        <f>IFERROR(__xludf.DUMMYFUNCTION("""COMPUTED_VALUE"""),"Africa")</f>
        <v>Africa</v>
      </c>
      <c r="D147" s="20" t="str">
        <f>IFERROR(__xludf.DUMMYFUNCTION("""COMPUTED_VALUE"""),"Southern Africa")</f>
        <v>Southern Africa</v>
      </c>
      <c r="E147" s="66">
        <f>IFERROR(__xludf.DUMMYFUNCTION("""COMPUTED_VALUE"""),2479713.0)</f>
        <v>2479713</v>
      </c>
      <c r="F147" s="66">
        <f>IFERROR(__xludf.DUMMYFUNCTION("""COMPUTED_VALUE"""),2533794.0)</f>
        <v>2533794</v>
      </c>
      <c r="G147" s="67">
        <f>IFERROR(__xludf.DUMMYFUNCTION("""COMPUTED_VALUE"""),0.0218)</f>
        <v>0.0218</v>
      </c>
      <c r="H147" s="60" t="str">
        <f>IFERROR(__xludf.DUMMYFUNCTION("""COMPUTED_VALUE"""),"Süßer Hirsebrei")</f>
        <v>Süßer Hirsebrei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65">
        <f>IFERROR(__xludf.DUMMYFUNCTION("""COMPUTED_VALUE"""),144.0)</f>
        <v>144</v>
      </c>
      <c r="B148" s="65" t="str">
        <f>IFERROR(__xludf.DUMMYFUNCTION("""COMPUTED_VALUE"""),"Botswana")</f>
        <v>Botswana</v>
      </c>
      <c r="C148" s="20" t="str">
        <f>IFERROR(__xludf.DUMMYFUNCTION("""COMPUTED_VALUE"""),"Africa")</f>
        <v>Africa</v>
      </c>
      <c r="D148" s="20" t="str">
        <f>IFERROR(__xludf.DUMMYFUNCTION("""COMPUTED_VALUE"""),"Southern Africa")</f>
        <v>Southern Africa</v>
      </c>
      <c r="E148" s="66">
        <f>IFERROR(__xludf.DUMMYFUNCTION("""COMPUTED_VALUE"""),2250260.0)</f>
        <v>2250260</v>
      </c>
      <c r="F148" s="66">
        <f>IFERROR(__xludf.DUMMYFUNCTION("""COMPUTED_VALUE"""),2291661.0)</f>
        <v>2291661</v>
      </c>
      <c r="G148" s="67">
        <f>IFERROR(__xludf.DUMMYFUNCTION("""COMPUTED_VALUE"""),0.0184)</f>
        <v>0.0184</v>
      </c>
      <c r="H148" s="60" t="str">
        <f>IFERROR(__xludf.DUMMYFUNCTION("""COMPUTED_VALUE"""),"Seswaa")</f>
        <v>Seswaa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65">
        <f>IFERROR(__xludf.DUMMYFUNCTION("""COMPUTED_VALUE"""),145.0)</f>
        <v>145</v>
      </c>
      <c r="B149" s="65" t="str">
        <f>IFERROR(__xludf.DUMMYFUNCTION("""COMPUTED_VALUE"""),"Lesotho")</f>
        <v>Lesotho</v>
      </c>
      <c r="C149" s="20" t="str">
        <f>IFERROR(__xludf.DUMMYFUNCTION("""COMPUTED_VALUE"""),"Africa")</f>
        <v>Africa</v>
      </c>
      <c r="D149" s="20" t="str">
        <f>IFERROR(__xludf.DUMMYFUNCTION("""COMPUTED_VALUE"""),"Southern Africa")</f>
        <v>Southern Africa</v>
      </c>
      <c r="E149" s="66">
        <f>IFERROR(__xludf.DUMMYFUNCTION("""COMPUTED_VALUE"""),2203821.0)</f>
        <v>2203821</v>
      </c>
      <c r="F149" s="66">
        <f>IFERROR(__xludf.DUMMYFUNCTION("""COMPUTED_VALUE"""),2233339.0)</f>
        <v>2233339</v>
      </c>
      <c r="G149" s="67">
        <f>IFERROR(__xludf.DUMMYFUNCTION("""COMPUTED_VALUE"""),0.0134)</f>
        <v>0.0134</v>
      </c>
      <c r="H149" s="6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65">
        <f>IFERROR(__xludf.DUMMYFUNCTION("""COMPUTED_VALUE"""),146.0)</f>
        <v>146</v>
      </c>
      <c r="B150" s="65" t="str">
        <f>IFERROR(__xludf.DUMMYFUNCTION("""COMPUTED_VALUE"""),"The Gambia")</f>
        <v>The Gambia</v>
      </c>
      <c r="C150" s="20" t="str">
        <f>IFERROR(__xludf.DUMMYFUNCTION("""COMPUTED_VALUE"""),"Africa")</f>
        <v>Africa</v>
      </c>
      <c r="D150" s="20" t="str">
        <f>IFERROR(__xludf.DUMMYFUNCTION("""COMPUTED_VALUE"""),"Western Africa")</f>
        <v>Western Africa</v>
      </c>
      <c r="E150" s="66">
        <f>IFERROR(__xludf.DUMMYFUNCTION("""COMPUTED_VALUE"""),2038501.0)</f>
        <v>2038501</v>
      </c>
      <c r="F150" s="66">
        <f>IFERROR(__xludf.DUMMYFUNCTION("""COMPUTED_VALUE"""),2100568.0)</f>
        <v>2100568</v>
      </c>
      <c r="G150" s="67">
        <f>IFERROR(__xludf.DUMMYFUNCTION("""COMPUTED_VALUE"""),0.0304)</f>
        <v>0.0304</v>
      </c>
      <c r="H150" s="6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65">
        <f>IFERROR(__xludf.DUMMYFUNCTION("""COMPUTED_VALUE"""),147.0)</f>
        <v>147</v>
      </c>
      <c r="B151" s="65" t="str">
        <f>IFERROR(__xludf.DUMMYFUNCTION("""COMPUTED_VALUE"""),"Republic of Macedonia")</f>
        <v>Republic of Macedonia</v>
      </c>
      <c r="C151" s="20" t="str">
        <f>IFERROR(__xludf.DUMMYFUNCTION("""COMPUTED_VALUE"""),"Europe")</f>
        <v>Europe</v>
      </c>
      <c r="D151" s="20" t="str">
        <f>IFERROR(__xludf.DUMMYFUNCTION("""COMPUTED_VALUE"""),"Southern Europe")</f>
        <v>Southern Europe</v>
      </c>
      <c r="E151" s="66">
        <f>IFERROR(__xludf.DUMMYFUNCTION("""COMPUTED_VALUE"""),2081206.0)</f>
        <v>2081206</v>
      </c>
      <c r="F151" s="66">
        <f>IFERROR(__xludf.DUMMYFUNCTION("""COMPUTED_VALUE"""),2083160.0)</f>
        <v>2083160</v>
      </c>
      <c r="G151" s="67">
        <f>IFERROR(__xludf.DUMMYFUNCTION("""COMPUTED_VALUE"""),9.0E-4)</f>
        <v>0.0009</v>
      </c>
      <c r="H151" s="6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65">
        <f>IFERROR(__xludf.DUMMYFUNCTION("""COMPUTED_VALUE"""),148.0)</f>
        <v>148</v>
      </c>
      <c r="B152" s="65" t="str">
        <f>IFERROR(__xludf.DUMMYFUNCTION("""COMPUTED_VALUE"""),"Slovenia")</f>
        <v>Slovenia</v>
      </c>
      <c r="C152" s="20" t="str">
        <f>IFERROR(__xludf.DUMMYFUNCTION("""COMPUTED_VALUE"""),"Europe")</f>
        <v>Europe</v>
      </c>
      <c r="D152" s="20" t="str">
        <f>IFERROR(__xludf.DUMMYFUNCTION("""COMPUTED_VALUE"""),"Southern Europe")</f>
        <v>Southern Europe</v>
      </c>
      <c r="E152" s="66">
        <f>IFERROR(__xludf.DUMMYFUNCTION("""COMPUTED_VALUE"""),2077862.0)</f>
        <v>2077862</v>
      </c>
      <c r="F152" s="66">
        <f>IFERROR(__xludf.DUMMYFUNCTION("""COMPUTED_VALUE"""),2079976.0)</f>
        <v>2079976</v>
      </c>
      <c r="G152" s="67">
        <f>IFERROR(__xludf.DUMMYFUNCTION("""COMPUTED_VALUE"""),0.001)</f>
        <v>0.001</v>
      </c>
      <c r="H152" s="60" t="str">
        <f>IFERROR(__xludf.DUMMYFUNCTION("""COMPUTED_VALUE"""),"Ajdovi žganci, Belokranjska povitica, Obara")</f>
        <v>Ajdovi žganci, Belokranjska povitica, Obara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65">
        <f>IFERROR(__xludf.DUMMYFUNCTION("""COMPUTED_VALUE"""),149.0)</f>
        <v>149</v>
      </c>
      <c r="B153" s="65" t="str">
        <f>IFERROR(__xludf.DUMMYFUNCTION("""COMPUTED_VALUE"""),"Gabon")</f>
        <v>Gabon</v>
      </c>
      <c r="C153" s="20" t="str">
        <f>IFERROR(__xludf.DUMMYFUNCTION("""COMPUTED_VALUE"""),"Africa")</f>
        <v>Africa</v>
      </c>
      <c r="D153" s="20" t="str">
        <f>IFERROR(__xludf.DUMMYFUNCTION("""COMPUTED_VALUE"""),"Middle Africa")</f>
        <v>Middle Africa</v>
      </c>
      <c r="E153" s="66">
        <f>IFERROR(__xludf.DUMMYFUNCTION("""COMPUTED_VALUE"""),1979786.0)</f>
        <v>1979786</v>
      </c>
      <c r="F153" s="66">
        <f>IFERROR(__xludf.DUMMYFUNCTION("""COMPUTED_VALUE"""),2025137.0)</f>
        <v>2025137</v>
      </c>
      <c r="G153" s="67">
        <f>IFERROR(__xludf.DUMMYFUNCTION("""COMPUTED_VALUE"""),0.0229)</f>
        <v>0.0229</v>
      </c>
      <c r="H153" s="60" t="str">
        <f>IFERROR(__xludf.DUMMYFUNCTION("""COMPUTED_VALUE"""),"Poulet Nyembwe")</f>
        <v>Poulet Nyembwe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65">
        <f>IFERROR(__xludf.DUMMYFUNCTION("""COMPUTED_VALUE"""),150.0)</f>
        <v>150</v>
      </c>
      <c r="B154" s="65" t="str">
        <f>IFERROR(__xludf.DUMMYFUNCTION("""COMPUTED_VALUE"""),"Latvia")</f>
        <v>Latvia</v>
      </c>
      <c r="C154" s="20" t="str">
        <f>IFERROR(__xludf.DUMMYFUNCTION("""COMPUTED_VALUE"""),"Europe")</f>
        <v>Europe</v>
      </c>
      <c r="D154" s="20" t="str">
        <f>IFERROR(__xludf.DUMMYFUNCTION("""COMPUTED_VALUE"""),"Northern Europe")</f>
        <v>Northern Europe</v>
      </c>
      <c r="E154" s="66">
        <f>IFERROR(__xludf.DUMMYFUNCTION("""COMPUTED_VALUE"""),1970530.0)</f>
        <v>1970530</v>
      </c>
      <c r="F154" s="66">
        <f>IFERROR(__xludf.DUMMYFUNCTION("""COMPUTED_VALUE"""),1949670.0)</f>
        <v>1949670</v>
      </c>
      <c r="G154" s="67">
        <f>IFERROR(__xludf.DUMMYFUNCTION("""COMPUTED_VALUE"""),-0.0106)</f>
        <v>-0.0106</v>
      </c>
      <c r="H154" s="60" t="str">
        <f>IFERROR(__xludf.DUMMYFUNCTION("""COMPUTED_VALUE"""),"Latke")</f>
        <v>Latke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65">
        <f>IFERROR(__xludf.DUMMYFUNCTION("""COMPUTED_VALUE"""),151.0)</f>
        <v>151</v>
      </c>
      <c r="B155" s="65" t="str">
        <f>IFERROR(__xludf.DUMMYFUNCTION("""COMPUTED_VALUE"""),"Guinea-Bissau")</f>
        <v>Guinea-Bissau</v>
      </c>
      <c r="C155" s="20" t="str">
        <f>IFERROR(__xludf.DUMMYFUNCTION("""COMPUTED_VALUE"""),"Africa")</f>
        <v>Africa</v>
      </c>
      <c r="D155" s="20" t="str">
        <f>IFERROR(__xludf.DUMMYFUNCTION("""COMPUTED_VALUE"""),"Western Africa")</f>
        <v>Western Africa</v>
      </c>
      <c r="E155" s="66">
        <f>IFERROR(__xludf.DUMMYFUNCTION("""COMPUTED_VALUE"""),1815698.0)</f>
        <v>1815698</v>
      </c>
      <c r="F155" s="66">
        <f>IFERROR(__xludf.DUMMYFUNCTION("""COMPUTED_VALUE"""),1861283.0)</f>
        <v>1861283</v>
      </c>
      <c r="G155" s="67">
        <f>IFERROR(__xludf.DUMMYFUNCTION("""COMPUTED_VALUE"""),0.0251)</f>
        <v>0.0251</v>
      </c>
      <c r="H155" s="60" t="str">
        <f>IFERROR(__xludf.DUMMYFUNCTION("""COMPUTED_VALUE"""),"Jollof rice")</f>
        <v>Jollof rice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65">
        <f>IFERROR(__xludf.DUMMYFUNCTION("""COMPUTED_VALUE"""),152.0)</f>
        <v>152</v>
      </c>
      <c r="B156" s="65" t="str">
        <f>IFERROR(__xludf.DUMMYFUNCTION("""COMPUTED_VALUE"""),"Bahrain")</f>
        <v>Bahrain</v>
      </c>
      <c r="C156" s="20" t="str">
        <f>IFERROR(__xludf.DUMMYFUNCTION("""COMPUTED_VALUE"""),"Asia")</f>
        <v>Asia</v>
      </c>
      <c r="D156" s="20" t="str">
        <f>IFERROR(__xludf.DUMMYFUNCTION("""COMPUTED_VALUE"""),"Western Asia")</f>
        <v>Western Asia</v>
      </c>
      <c r="E156" s="66">
        <f>IFERROR(__xludf.DUMMYFUNCTION("""COMPUTED_VALUE"""),1425171.0)</f>
        <v>1425171</v>
      </c>
      <c r="F156" s="66">
        <f>IFERROR(__xludf.DUMMYFUNCTION("""COMPUTED_VALUE"""),1492584.0)</f>
        <v>1492584</v>
      </c>
      <c r="G156" s="67">
        <f>IFERROR(__xludf.DUMMYFUNCTION("""COMPUTED_VALUE"""),0.0473)</f>
        <v>0.0473</v>
      </c>
      <c r="H156" s="60" t="str">
        <f>IFERROR(__xludf.DUMMYFUNCTION("""COMPUTED_VALUE"""),"Machboos")</f>
        <v>Machboos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65">
        <f>IFERROR(__xludf.DUMMYFUNCTION("""COMPUTED_VALUE"""),153.0)</f>
        <v>153</v>
      </c>
      <c r="B157" s="65" t="str">
        <f>IFERROR(__xludf.DUMMYFUNCTION("""COMPUTED_VALUE"""),"Trinidad and Tobago")</f>
        <v>Trinidad and Tobago</v>
      </c>
      <c r="C157" s="20" t="str">
        <f>IFERROR(__xludf.DUMMYFUNCTION("""COMPUTED_VALUE"""),"Americas")</f>
        <v>Americas</v>
      </c>
      <c r="D157" s="20" t="str">
        <f>IFERROR(__xludf.DUMMYFUNCTION("""COMPUTED_VALUE"""),"Caribbean")</f>
        <v>Caribbean</v>
      </c>
      <c r="E157" s="66">
        <f>IFERROR(__xludf.DUMMYFUNCTION("""COMPUTED_VALUE"""),1364962.0)</f>
        <v>1364962</v>
      </c>
      <c r="F157" s="66">
        <f>IFERROR(__xludf.DUMMYFUNCTION("""COMPUTED_VALUE"""),1369125.0)</f>
        <v>1369125</v>
      </c>
      <c r="G157" s="67">
        <f>IFERROR(__xludf.DUMMYFUNCTION("""COMPUTED_VALUE"""),0.003)</f>
        <v>0.003</v>
      </c>
      <c r="H157" s="60" t="str">
        <f>IFERROR(__xludf.DUMMYFUNCTION("""COMPUTED_VALUE"""),"Callaloo, Doubles")</f>
        <v>Callaloo, Doubles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65">
        <f>IFERROR(__xludf.DUMMYFUNCTION("""COMPUTED_VALUE"""),154.0)</f>
        <v>154</v>
      </c>
      <c r="B158" s="65" t="str">
        <f>IFERROR(__xludf.DUMMYFUNCTION("""COMPUTED_VALUE"""),"Swaziland")</f>
        <v>Swaziland</v>
      </c>
      <c r="C158" s="20" t="str">
        <f>IFERROR(__xludf.DUMMYFUNCTION("""COMPUTED_VALUE"""),"Africa")</f>
        <v>Africa</v>
      </c>
      <c r="D158" s="20" t="str">
        <f>IFERROR(__xludf.DUMMYFUNCTION("""COMPUTED_VALUE"""),"Southern Africa")</f>
        <v>Southern Africa</v>
      </c>
      <c r="E158" s="66">
        <f>IFERROR(__xludf.DUMMYFUNCTION("""COMPUTED_VALUE"""),1343098.0)</f>
        <v>1343098</v>
      </c>
      <c r="F158" s="66">
        <f>IFERROR(__xludf.DUMMYFUNCTION("""COMPUTED_VALUE"""),1367254.0)</f>
        <v>1367254</v>
      </c>
      <c r="G158" s="67">
        <f>IFERROR(__xludf.DUMMYFUNCTION("""COMPUTED_VALUE"""),0.018)</f>
        <v>0.018</v>
      </c>
      <c r="H158" s="6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65">
        <f>IFERROR(__xludf.DUMMYFUNCTION("""COMPUTED_VALUE"""),155.0)</f>
        <v>155</v>
      </c>
      <c r="B159" s="65" t="str">
        <f>IFERROR(__xludf.DUMMYFUNCTION("""COMPUTED_VALUE"""),"Estonia")</f>
        <v>Estonia</v>
      </c>
      <c r="C159" s="20" t="str">
        <f>IFERROR(__xludf.DUMMYFUNCTION("""COMPUTED_VALUE"""),"Europe")</f>
        <v>Europe</v>
      </c>
      <c r="D159" s="20" t="str">
        <f>IFERROR(__xludf.DUMMYFUNCTION("""COMPUTED_VALUE"""),"Northern Europe")</f>
        <v>Northern Europe</v>
      </c>
      <c r="E159" s="66">
        <f>IFERROR(__xludf.DUMMYFUNCTION("""COMPUTED_VALUE"""),1312442.0)</f>
        <v>1312442</v>
      </c>
      <c r="F159" s="66">
        <f>IFERROR(__xludf.DUMMYFUNCTION("""COMPUTED_VALUE"""),1309632.0)</f>
        <v>1309632</v>
      </c>
      <c r="G159" s="67">
        <f>IFERROR(__xludf.DUMMYFUNCTION("""COMPUTED_VALUE"""),-0.0021)</f>
        <v>-0.0021</v>
      </c>
      <c r="H159" s="60" t="str">
        <f>IFERROR(__xludf.DUMMYFUNCTION("""COMPUTED_VALUE"""),"Verivorst with Mulgikapsad (sauerkraut stew)")</f>
        <v>Verivorst with Mulgikapsad (sauerkraut stew)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65">
        <f>IFERROR(__xludf.DUMMYFUNCTION("""COMPUTED_VALUE"""),156.0)</f>
        <v>156</v>
      </c>
      <c r="B160" s="65" t="str">
        <f>IFERROR(__xludf.DUMMYFUNCTION("""COMPUTED_VALUE"""),"East Timor")</f>
        <v>East Timor</v>
      </c>
      <c r="C160" s="20" t="str">
        <f>IFERROR(__xludf.DUMMYFUNCTION("""COMPUTED_VALUE"""),"Asia")</f>
        <v>Asia</v>
      </c>
      <c r="D160" s="20" t="str">
        <f>IFERROR(__xludf.DUMMYFUNCTION("""COMPUTED_VALUE"""),"South-eastern Asia")</f>
        <v>South-eastern Asia</v>
      </c>
      <c r="E160" s="66">
        <f>IFERROR(__xludf.DUMMYFUNCTION("""COMPUTED_VALUE"""),1268671.0)</f>
        <v>1268671</v>
      </c>
      <c r="F160" s="66">
        <f>IFERROR(__xludf.DUMMYFUNCTION("""COMPUTED_VALUE"""),1296311.0)</f>
        <v>1296311</v>
      </c>
      <c r="G160" s="67">
        <f>IFERROR(__xludf.DUMMYFUNCTION("""COMPUTED_VALUE"""),0.0218)</f>
        <v>0.0218</v>
      </c>
      <c r="H160" s="60" t="str">
        <f>IFERROR(__xludf.DUMMYFUNCTION("""COMPUTED_VALUE"""),"Ikan Pepes")</f>
        <v>Ikan Pepes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65">
        <f>IFERROR(__xludf.DUMMYFUNCTION("""COMPUTED_VALUE"""),157.0)</f>
        <v>157</v>
      </c>
      <c r="B161" s="65" t="str">
        <f>IFERROR(__xludf.DUMMYFUNCTION("""COMPUTED_VALUE"""),"Equatorial Guinea")</f>
        <v>Equatorial Guinea</v>
      </c>
      <c r="C161" s="20" t="str">
        <f>IFERROR(__xludf.DUMMYFUNCTION("""COMPUTED_VALUE"""),"Africa")</f>
        <v>Africa</v>
      </c>
      <c r="D161" s="20" t="str">
        <f>IFERROR(__xludf.DUMMYFUNCTION("""COMPUTED_VALUE"""),"Middle Africa")</f>
        <v>Middle Africa</v>
      </c>
      <c r="E161" s="66">
        <f>IFERROR(__xludf.DUMMYFUNCTION("""COMPUTED_VALUE"""),1221490.0)</f>
        <v>1221490</v>
      </c>
      <c r="F161" s="66">
        <f>IFERROR(__xludf.DUMMYFUNCTION("""COMPUTED_VALUE"""),1267689.0)</f>
        <v>1267689</v>
      </c>
      <c r="G161" s="67">
        <f>IFERROR(__xludf.DUMMYFUNCTION("""COMPUTED_VALUE"""),0.0378)</f>
        <v>0.0378</v>
      </c>
      <c r="H161" s="60" t="str">
        <f>IFERROR(__xludf.DUMMYFUNCTION("""COMPUTED_VALUE"""),"Succotash, Peppersoup")</f>
        <v>Succotash, Peppersoup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65">
        <f>IFERROR(__xludf.DUMMYFUNCTION("""COMPUTED_VALUE"""),158.0)</f>
        <v>158</v>
      </c>
      <c r="B162" s="65" t="str">
        <f>IFERROR(__xludf.DUMMYFUNCTION("""COMPUTED_VALUE"""),"Mauritius")</f>
        <v>Mauritius</v>
      </c>
      <c r="C162" s="20" t="str">
        <f>IFERROR(__xludf.DUMMYFUNCTION("""COMPUTED_VALUE"""),"Africa")</f>
        <v>Africa</v>
      </c>
      <c r="D162" s="20" t="str">
        <f>IFERROR(__xludf.DUMMYFUNCTION("""COMPUTED_VALUE"""),"Eastern Africa")</f>
        <v>Eastern Africa</v>
      </c>
      <c r="E162" s="66">
        <f>IFERROR(__xludf.DUMMYFUNCTION("""COMPUTED_VALUE"""),1262132.0)</f>
        <v>1262132</v>
      </c>
      <c r="F162" s="66">
        <f>IFERROR(__xludf.DUMMYFUNCTION("""COMPUTED_VALUE"""),1265138.0)</f>
        <v>1265138</v>
      </c>
      <c r="G162" s="67">
        <f>IFERROR(__xludf.DUMMYFUNCTION("""COMPUTED_VALUE"""),0.0024)</f>
        <v>0.0024</v>
      </c>
      <c r="H162" s="60" t="str">
        <f>IFERROR(__xludf.DUMMYFUNCTION("""COMPUTED_VALUE"""),"Octopus Curry, Rougaille, Gateux Piment")</f>
        <v>Octopus Curry, Rougaille, Gateux Piment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65">
        <f>IFERROR(__xludf.DUMMYFUNCTION("""COMPUTED_VALUE"""),159.0)</f>
        <v>159</v>
      </c>
      <c r="B163" s="65" t="str">
        <f>IFERROR(__xludf.DUMMYFUNCTION("""COMPUTED_VALUE"""),"Cyprus")</f>
        <v>Cyprus</v>
      </c>
      <c r="C163" s="20" t="str">
        <f>IFERROR(__xludf.DUMMYFUNCTION("""COMPUTED_VALUE"""),"Asia")</f>
        <v>Asia</v>
      </c>
      <c r="D163" s="20" t="str">
        <f>IFERROR(__xludf.DUMMYFUNCTION("""COMPUTED_VALUE"""),"Western Asia")</f>
        <v>Western Asia</v>
      </c>
      <c r="E163" s="66">
        <f>IFERROR(__xludf.DUMMYFUNCTION("""COMPUTED_VALUE"""),1170125.0)</f>
        <v>1170125</v>
      </c>
      <c r="F163" s="66">
        <f>IFERROR(__xludf.DUMMYFUNCTION("""COMPUTED_VALUE"""),1179551.0)</f>
        <v>1179551</v>
      </c>
      <c r="G163" s="67">
        <f>IFERROR(__xludf.DUMMYFUNCTION("""COMPUTED_VALUE"""),0.0081)</f>
        <v>0.0081</v>
      </c>
      <c r="H163" s="60" t="str">
        <f>IFERROR(__xludf.DUMMYFUNCTION("""COMPUTED_VALUE"""),"Souvla")</f>
        <v>Souvla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65">
        <f>IFERROR(__xludf.DUMMYFUNCTION("""COMPUTED_VALUE"""),160.0)</f>
        <v>160</v>
      </c>
      <c r="B164" s="65" t="str">
        <f>IFERROR(__xludf.DUMMYFUNCTION("""COMPUTED_VALUE"""),"Djibouti")</f>
        <v>Djibouti</v>
      </c>
      <c r="C164" s="20" t="str">
        <f>IFERROR(__xludf.DUMMYFUNCTION("""COMPUTED_VALUE"""),"Africa")</f>
        <v>Africa</v>
      </c>
      <c r="D164" s="20" t="str">
        <f>IFERROR(__xludf.DUMMYFUNCTION("""COMPUTED_VALUE"""),"Eastern Africa")</f>
        <v>Eastern Africa</v>
      </c>
      <c r="E164" s="66">
        <f>IFERROR(__xludf.DUMMYFUNCTION("""COMPUTED_VALUE"""),942333.0)</f>
        <v>942333</v>
      </c>
      <c r="F164" s="66">
        <f>IFERROR(__xludf.DUMMYFUNCTION("""COMPUTED_VALUE"""),956985.0)</f>
        <v>956985</v>
      </c>
      <c r="G164" s="67">
        <f>IFERROR(__xludf.DUMMYFUNCTION("""COMPUTED_VALUE"""),0.0155)</f>
        <v>0.0155</v>
      </c>
      <c r="H164" s="60" t="str">
        <f>IFERROR(__xludf.DUMMYFUNCTION("""COMPUTED_VALUE"""),"Skoudehkaris")</f>
        <v>Skoudehkaris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65">
        <f>IFERROR(__xludf.DUMMYFUNCTION("""COMPUTED_VALUE"""),161.0)</f>
        <v>161</v>
      </c>
      <c r="B165" s="65" t="str">
        <f>IFERROR(__xludf.DUMMYFUNCTION("""COMPUTED_VALUE"""),"Fiji")</f>
        <v>Fiji</v>
      </c>
      <c r="C165" s="20" t="str">
        <f>IFERROR(__xludf.DUMMYFUNCTION("""COMPUTED_VALUE"""),"Oceania")</f>
        <v>Oceania</v>
      </c>
      <c r="D165" s="20" t="str">
        <f>IFERROR(__xludf.DUMMYFUNCTION("""COMPUTED_VALUE"""),"Melanesia")</f>
        <v>Melanesia</v>
      </c>
      <c r="E165" s="66">
        <f>IFERROR(__xludf.DUMMYFUNCTION("""COMPUTED_VALUE"""),898760.0)</f>
        <v>898760</v>
      </c>
      <c r="F165" s="66">
        <f>IFERROR(__xludf.DUMMYFUNCTION("""COMPUTED_VALUE"""),905502.0)</f>
        <v>905502</v>
      </c>
      <c r="G165" s="67">
        <f>IFERROR(__xludf.DUMMYFUNCTION("""COMPUTED_VALUE"""),0.0075)</f>
        <v>0.0075</v>
      </c>
      <c r="H165" s="60" t="str">
        <f>IFERROR(__xludf.DUMMYFUNCTION("""COMPUTED_VALUE"""),"Kokoda (poke-like ceviche)")</f>
        <v>Kokoda (poke-like ceviche)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65">
        <f>IFERROR(__xludf.DUMMYFUNCTION("""COMPUTED_VALUE"""),162.0)</f>
        <v>162</v>
      </c>
      <c r="B166" s="65" t="str">
        <f>IFERROR(__xludf.DUMMYFUNCTION("""COMPUTED_VALUE"""),"Réunion")</f>
        <v>Réunion</v>
      </c>
      <c r="C166" s="20" t="str">
        <f>IFERROR(__xludf.DUMMYFUNCTION("""COMPUTED_VALUE"""),"Africa")</f>
        <v>Africa</v>
      </c>
      <c r="D166" s="20" t="str">
        <f>IFERROR(__xludf.DUMMYFUNCTION("""COMPUTED_VALUE"""),"Eastern Africa")</f>
        <v>Eastern Africa</v>
      </c>
      <c r="E166" s="66">
        <f>IFERROR(__xludf.DUMMYFUNCTION("""COMPUTED_VALUE"""),869925.0)</f>
        <v>869925</v>
      </c>
      <c r="F166" s="66">
        <f>IFERROR(__xludf.DUMMYFUNCTION("""COMPUTED_VALUE"""),876562.0)</f>
        <v>876562</v>
      </c>
      <c r="G166" s="67">
        <f>IFERROR(__xludf.DUMMYFUNCTION("""COMPUTED_VALUE"""),0.0076)</f>
        <v>0.0076</v>
      </c>
      <c r="H166" s="6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65">
        <f>IFERROR(__xludf.DUMMYFUNCTION("""COMPUTED_VALUE"""),163.0)</f>
        <v>163</v>
      </c>
      <c r="B167" s="65" t="str">
        <f>IFERROR(__xludf.DUMMYFUNCTION("""COMPUTED_VALUE"""),"Comoros")</f>
        <v>Comoros</v>
      </c>
      <c r="C167" s="20" t="str">
        <f>IFERROR(__xludf.DUMMYFUNCTION("""COMPUTED_VALUE"""),"Africa")</f>
        <v>Africa</v>
      </c>
      <c r="D167" s="20" t="str">
        <f>IFERROR(__xludf.DUMMYFUNCTION("""COMPUTED_VALUE"""),"Eastern Africa")</f>
        <v>Eastern Africa</v>
      </c>
      <c r="E167" s="66">
        <f>IFERROR(__xludf.DUMMYFUNCTION("""COMPUTED_VALUE"""),795601.0)</f>
        <v>795601</v>
      </c>
      <c r="F167" s="66">
        <f>IFERROR(__xludf.DUMMYFUNCTION("""COMPUTED_VALUE"""),813912.0)</f>
        <v>813912</v>
      </c>
      <c r="G167" s="67">
        <f>IFERROR(__xludf.DUMMYFUNCTION("""COMPUTED_VALUE"""),0.023)</f>
        <v>0.023</v>
      </c>
      <c r="H167" s="60" t="str">
        <f>IFERROR(__xludf.DUMMYFUNCTION("""COMPUTED_VALUE"""),"Langouste a la Vanille")</f>
        <v>Langouste a la Vanille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65">
        <f>IFERROR(__xludf.DUMMYFUNCTION("""COMPUTED_VALUE"""),164.0)</f>
        <v>164</v>
      </c>
      <c r="B168" s="65" t="str">
        <f>IFERROR(__xludf.DUMMYFUNCTION("""COMPUTED_VALUE"""),"Bhutan")</f>
        <v>Bhutan</v>
      </c>
      <c r="C168" s="20" t="str">
        <f>IFERROR(__xludf.DUMMYFUNCTION("""COMPUTED_VALUE"""),"Asia")</f>
        <v>Asia</v>
      </c>
      <c r="D168" s="20" t="str">
        <f>IFERROR(__xludf.DUMMYFUNCTION("""COMPUTED_VALUE"""),"Southern Asia")</f>
        <v>Southern Asia</v>
      </c>
      <c r="E168" s="66">
        <f>IFERROR(__xludf.DUMMYFUNCTION("""COMPUTED_VALUE"""),797765.0)</f>
        <v>797765</v>
      </c>
      <c r="F168" s="66">
        <f>IFERROR(__xludf.DUMMYFUNCTION("""COMPUTED_VALUE"""),807610.0)</f>
        <v>807610</v>
      </c>
      <c r="G168" s="67">
        <f>IFERROR(__xludf.DUMMYFUNCTION("""COMPUTED_VALUE"""),0.0123)</f>
        <v>0.0123</v>
      </c>
      <c r="H168" s="60" t="str">
        <f>IFERROR(__xludf.DUMMYFUNCTION("""COMPUTED_VALUE"""),"Ema datshi")</f>
        <v>Ema datshi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65">
        <f>IFERROR(__xludf.DUMMYFUNCTION("""COMPUTED_VALUE"""),165.0)</f>
        <v>165</v>
      </c>
      <c r="B169" s="65" t="str">
        <f>IFERROR(__xludf.DUMMYFUNCTION("""COMPUTED_VALUE"""),"Guyana")</f>
        <v>Guyana</v>
      </c>
      <c r="C169" s="20" t="str">
        <f>IFERROR(__xludf.DUMMYFUNCTION("""COMPUTED_VALUE"""),"Americas")</f>
        <v>Americas</v>
      </c>
      <c r="D169" s="20" t="str">
        <f>IFERROR(__xludf.DUMMYFUNCTION("""COMPUTED_VALUE"""),"South America")</f>
        <v>South America</v>
      </c>
      <c r="E169" s="66">
        <f>IFERROR(__xludf.DUMMYFUNCTION("""COMPUTED_VALUE"""),773303.0)</f>
        <v>773303</v>
      </c>
      <c r="F169" s="66">
        <f>IFERROR(__xludf.DUMMYFUNCTION("""COMPUTED_VALUE"""),777859.0)</f>
        <v>777859</v>
      </c>
      <c r="G169" s="67">
        <f>IFERROR(__xludf.DUMMYFUNCTION("""COMPUTED_VALUE"""),0.0059)</f>
        <v>0.0059</v>
      </c>
      <c r="H169" s="60" t="str">
        <f>IFERROR(__xludf.DUMMYFUNCTION("""COMPUTED_VALUE"""),"Pepperpot")</f>
        <v>Pepperpot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65">
        <f>IFERROR(__xludf.DUMMYFUNCTION("""COMPUTED_VALUE"""),166.0)</f>
        <v>166</v>
      </c>
      <c r="B170" s="65" t="str">
        <f>IFERROR(__xludf.DUMMYFUNCTION("""COMPUTED_VALUE"""),"Montenegro")</f>
        <v>Montenegro</v>
      </c>
      <c r="C170" s="20" t="str">
        <f>IFERROR(__xludf.DUMMYFUNCTION("""COMPUTED_VALUE"""),"Europe")</f>
        <v>Europe</v>
      </c>
      <c r="D170" s="20" t="str">
        <f>IFERROR(__xludf.DUMMYFUNCTION("""COMPUTED_VALUE"""),"Southern Europe")</f>
        <v>Southern Europe</v>
      </c>
      <c r="E170" s="66">
        <f>IFERROR(__xludf.DUMMYFUNCTION("""COMPUTED_VALUE"""),628615.0)</f>
        <v>628615</v>
      </c>
      <c r="F170" s="66">
        <f>IFERROR(__xludf.DUMMYFUNCTION("""COMPUTED_VALUE"""),628960.0)</f>
        <v>628960</v>
      </c>
      <c r="G170" s="67">
        <f>IFERROR(__xludf.DUMMYFUNCTION("""COMPUTED_VALUE"""),5.0E-4)</f>
        <v>0.0005</v>
      </c>
      <c r="H170" s="60" t="str">
        <f>IFERROR(__xludf.DUMMYFUNCTION("""COMPUTED_VALUE"""),"Kačamak, Raštan")</f>
        <v>Kačamak, Raštan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65">
        <f>IFERROR(__xludf.DUMMYFUNCTION("""COMPUTED_VALUE"""),167.0)</f>
        <v>167</v>
      </c>
      <c r="B171" s="65" t="str">
        <f>IFERROR(__xludf.DUMMYFUNCTION("""COMPUTED_VALUE"""),"Macau")</f>
        <v>Macau</v>
      </c>
      <c r="C171" s="20" t="str">
        <f>IFERROR(__xludf.DUMMYFUNCTION("""COMPUTED_VALUE"""),"Asia")</f>
        <v>Asia</v>
      </c>
      <c r="D171" s="20" t="str">
        <f>IFERROR(__xludf.DUMMYFUNCTION("""COMPUTED_VALUE"""),"Eastern Asia")</f>
        <v>Eastern Asia</v>
      </c>
      <c r="E171" s="66">
        <f>IFERROR(__xludf.DUMMYFUNCTION("""COMPUTED_VALUE"""),612167.0)</f>
        <v>612167</v>
      </c>
      <c r="F171" s="66">
        <f>IFERROR(__xludf.DUMMYFUNCTION("""COMPUTED_VALUE"""),622567.0)</f>
        <v>622567</v>
      </c>
      <c r="G171" s="67">
        <f>IFERROR(__xludf.DUMMYFUNCTION("""COMPUTED_VALUE"""),0.017)</f>
        <v>0.017</v>
      </c>
      <c r="H171" s="60" t="str">
        <f>IFERROR(__xludf.DUMMYFUNCTION("""COMPUTED_VALUE"""),"Minchee")</f>
        <v>Minchee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65">
        <f>IFERROR(__xludf.DUMMYFUNCTION("""COMPUTED_VALUE"""),168.0)</f>
        <v>168</v>
      </c>
      <c r="B172" s="65" t="str">
        <f>IFERROR(__xludf.DUMMYFUNCTION("""COMPUTED_VALUE"""),"Solomon Islands")</f>
        <v>Solomon Islands</v>
      </c>
      <c r="C172" s="20" t="str">
        <f>IFERROR(__xludf.DUMMYFUNCTION("""COMPUTED_VALUE"""),"Oceania")</f>
        <v>Oceania</v>
      </c>
      <c r="D172" s="20" t="str">
        <f>IFERROR(__xludf.DUMMYFUNCTION("""COMPUTED_VALUE"""),"Melanesia")</f>
        <v>Melanesia</v>
      </c>
      <c r="E172" s="66">
        <f>IFERROR(__xludf.DUMMYFUNCTION("""COMPUTED_VALUE"""),599419.0)</f>
        <v>599419</v>
      </c>
      <c r="F172" s="66">
        <f>IFERROR(__xludf.DUMMYFUNCTION("""COMPUTED_VALUE"""),611343.0)</f>
        <v>611343</v>
      </c>
      <c r="G172" s="67">
        <f>IFERROR(__xludf.DUMMYFUNCTION("""COMPUTED_VALUE"""),0.0199)</f>
        <v>0.0199</v>
      </c>
      <c r="H172" s="60" t="str">
        <f>IFERROR(__xludf.DUMMYFUNCTION("""COMPUTED_VALUE"""),"Poi")</f>
        <v>Poi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65">
        <f>IFERROR(__xludf.DUMMYFUNCTION("""COMPUTED_VALUE"""),169.0)</f>
        <v>169</v>
      </c>
      <c r="B173" s="65" t="str">
        <f>IFERROR(__xludf.DUMMYFUNCTION("""COMPUTED_VALUE"""),"Luxembourg")</f>
        <v>Luxembourg</v>
      </c>
      <c r="C173" s="20" t="str">
        <f>IFERROR(__xludf.DUMMYFUNCTION("""COMPUTED_VALUE"""),"Europe")</f>
        <v>Europe</v>
      </c>
      <c r="D173" s="20" t="str">
        <f>IFERROR(__xludf.DUMMYFUNCTION("""COMPUTED_VALUE"""),"Western Europe")</f>
        <v>Western Europe</v>
      </c>
      <c r="E173" s="66">
        <f>IFERROR(__xludf.DUMMYFUNCTION("""COMPUTED_VALUE"""),575747.0)</f>
        <v>575747</v>
      </c>
      <c r="F173" s="66">
        <f>IFERROR(__xludf.DUMMYFUNCTION("""COMPUTED_VALUE"""),583455.0)</f>
        <v>583455</v>
      </c>
      <c r="G173" s="67">
        <f>IFERROR(__xludf.DUMMYFUNCTION("""COMPUTED_VALUE"""),0.0134)</f>
        <v>0.0134</v>
      </c>
      <c r="H173" s="60" t="str">
        <f>IFERROR(__xludf.DUMMYFUNCTION("""COMPUTED_VALUE"""),"Judd mat Gaardebounen,")</f>
        <v>Judd mat Gaardebounen,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65">
        <f>IFERROR(__xludf.DUMMYFUNCTION("""COMPUTED_VALUE"""),170.0)</f>
        <v>170</v>
      </c>
      <c r="B174" s="65" t="str">
        <f>IFERROR(__xludf.DUMMYFUNCTION("""COMPUTED_VALUE"""),"Suriname")</f>
        <v>Suriname</v>
      </c>
      <c r="C174" s="20" t="str">
        <f>IFERROR(__xludf.DUMMYFUNCTION("""COMPUTED_VALUE"""),"Americas")</f>
        <v>Americas</v>
      </c>
      <c r="D174" s="20" t="str">
        <f>IFERROR(__xludf.DUMMYFUNCTION("""COMPUTED_VALUE"""),"South America")</f>
        <v>South America</v>
      </c>
      <c r="E174" s="66">
        <f>IFERROR(__xludf.DUMMYFUNCTION("""COMPUTED_VALUE"""),558368.0)</f>
        <v>558368</v>
      </c>
      <c r="F174" s="66">
        <f>IFERROR(__xludf.DUMMYFUNCTION("""COMPUTED_VALUE"""),563402.0)</f>
        <v>563402</v>
      </c>
      <c r="G174" s="67">
        <f>IFERROR(__xludf.DUMMYFUNCTION("""COMPUTED_VALUE"""),0.009)</f>
        <v>0.009</v>
      </c>
      <c r="H174" s="60" t="str">
        <f>IFERROR(__xludf.DUMMYFUNCTION("""COMPUTED_VALUE"""),"Pom")</f>
        <v>Pom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65">
        <f>IFERROR(__xludf.DUMMYFUNCTION("""COMPUTED_VALUE"""),171.0)</f>
        <v>171</v>
      </c>
      <c r="B175" s="65" t="str">
        <f>IFERROR(__xludf.DUMMYFUNCTION("""COMPUTED_VALUE"""),"Western Sahara")</f>
        <v>Western Sahara</v>
      </c>
      <c r="C175" s="20" t="str">
        <f>IFERROR(__xludf.DUMMYFUNCTION("""COMPUTED_VALUE"""),"Africa")</f>
        <v>Africa</v>
      </c>
      <c r="D175" s="20" t="str">
        <f>IFERROR(__xludf.DUMMYFUNCTION("""COMPUTED_VALUE"""),"Northern Africa")</f>
        <v>Northern Africa</v>
      </c>
      <c r="E175" s="66">
        <f>IFERROR(__xludf.DUMMYFUNCTION("""COMPUTED_VALUE"""),538755.0)</f>
        <v>538755</v>
      </c>
      <c r="F175" s="66">
        <f>IFERROR(__xludf.DUMMYFUNCTION("""COMPUTED_VALUE"""),552628.0)</f>
        <v>552628</v>
      </c>
      <c r="G175" s="67">
        <f>IFERROR(__xludf.DUMMYFUNCTION("""COMPUTED_VALUE"""),0.0258)</f>
        <v>0.0258</v>
      </c>
      <c r="H175" s="6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65">
        <f>IFERROR(__xludf.DUMMYFUNCTION("""COMPUTED_VALUE"""),172.0)</f>
        <v>172</v>
      </c>
      <c r="B176" s="65" t="str">
        <f>IFERROR(__xludf.DUMMYFUNCTION("""COMPUTED_VALUE"""),"Cape Verde")</f>
        <v>Cape Verde</v>
      </c>
      <c r="C176" s="20" t="str">
        <f>IFERROR(__xludf.DUMMYFUNCTION("""COMPUTED_VALUE"""),"Africa")</f>
        <v>Africa</v>
      </c>
      <c r="D176" s="20" t="str">
        <f>IFERROR(__xludf.DUMMYFUNCTION("""COMPUTED_VALUE"""),"Western Africa")</f>
        <v>Western Africa</v>
      </c>
      <c r="E176" s="66">
        <f>IFERROR(__xludf.DUMMYFUNCTION("""COMPUTED_VALUE"""),539560.0)</f>
        <v>539560</v>
      </c>
      <c r="F176" s="66">
        <f>IFERROR(__xludf.DUMMYFUNCTION("""COMPUTED_VALUE"""),546388.0)</f>
        <v>546388</v>
      </c>
      <c r="G176" s="67">
        <f>IFERROR(__xludf.DUMMYFUNCTION("""COMPUTED_VALUE"""),0.0127)</f>
        <v>0.0127</v>
      </c>
      <c r="H176" s="60" t="str">
        <f>IFERROR(__xludf.DUMMYFUNCTION("""COMPUTED_VALUE"""),"Cachupa")</f>
        <v>Cachupa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65">
        <f>IFERROR(__xludf.DUMMYFUNCTION("""COMPUTED_VALUE"""),173.0)</f>
        <v>173</v>
      </c>
      <c r="B177" s="65" t="str">
        <f>IFERROR(__xludf.DUMMYFUNCTION("""COMPUTED_VALUE"""),"Guadeloupe")</f>
        <v>Guadeloupe</v>
      </c>
      <c r="C177" s="20" t="str">
        <f>IFERROR(__xludf.DUMMYFUNCTION("""COMPUTED_VALUE"""),"Americas")</f>
        <v>Americas</v>
      </c>
      <c r="D177" s="20" t="str">
        <f>IFERROR(__xludf.DUMMYFUNCTION("""COMPUTED_VALUE"""),"Caribbean")</f>
        <v>Caribbean</v>
      </c>
      <c r="E177" s="66">
        <f>IFERROR(__xludf.DUMMYFUNCTION("""COMPUTED_VALUE"""),449975.0)</f>
        <v>449975</v>
      </c>
      <c r="F177" s="66">
        <f>IFERROR(__xludf.DUMMYFUNCTION("""COMPUTED_VALUE"""),449568.0)</f>
        <v>449568</v>
      </c>
      <c r="G177" s="67">
        <f>IFERROR(__xludf.DUMMYFUNCTION("""COMPUTED_VALUE"""),-9.0E-4)</f>
        <v>-0.0009</v>
      </c>
      <c r="H177" s="6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65">
        <f>IFERROR(__xludf.DUMMYFUNCTION("""COMPUTED_VALUE"""),174.0)</f>
        <v>174</v>
      </c>
      <c r="B178" s="65" t="str">
        <f>IFERROR(__xludf.DUMMYFUNCTION("""COMPUTED_VALUE"""),"Maldives")</f>
        <v>Maldives</v>
      </c>
      <c r="C178" s="20" t="str">
        <f>IFERROR(__xludf.DUMMYFUNCTION("""COMPUTED_VALUE"""),"Asia")</f>
        <v>Asia</v>
      </c>
      <c r="D178" s="20" t="str">
        <f>IFERROR(__xludf.DUMMYFUNCTION("""COMPUTED_VALUE"""),"Southern Asia")</f>
        <v>Southern Asia</v>
      </c>
      <c r="E178" s="66">
        <f>IFERROR(__xludf.DUMMYFUNCTION("""COMPUTED_VALUE"""),427756.0)</f>
        <v>427756</v>
      </c>
      <c r="F178" s="66">
        <f>IFERROR(__xludf.DUMMYFUNCTION("""COMPUTED_VALUE"""),436330.0)</f>
        <v>436330</v>
      </c>
      <c r="G178" s="67">
        <f>IFERROR(__xludf.DUMMYFUNCTION("""COMPUTED_VALUE"""),0.02)</f>
        <v>0.02</v>
      </c>
      <c r="H178" s="60" t="str">
        <f>IFERROR(__xludf.DUMMYFUNCTION("""COMPUTED_VALUE"""),"Garudhiya")</f>
        <v>Garudhiya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65">
        <f>IFERROR(__xludf.DUMMYFUNCTION("""COMPUTED_VALUE"""),175.0)</f>
        <v>175</v>
      </c>
      <c r="B179" s="65" t="str">
        <f>IFERROR(__xludf.DUMMYFUNCTION("""COMPUTED_VALUE"""),"Malta")</f>
        <v>Malta</v>
      </c>
      <c r="C179" s="20" t="str">
        <f>IFERROR(__xludf.DUMMYFUNCTION("""COMPUTED_VALUE"""),"Europe")</f>
        <v>Europe</v>
      </c>
      <c r="D179" s="20" t="str">
        <f>IFERROR(__xludf.DUMMYFUNCTION("""COMPUTED_VALUE"""),"Southern Europe")</f>
        <v>Southern Europe</v>
      </c>
      <c r="E179" s="66">
        <f>IFERROR(__xludf.DUMMYFUNCTION("""COMPUTED_VALUE"""),429362.0)</f>
        <v>429362</v>
      </c>
      <c r="F179" s="66">
        <f>IFERROR(__xludf.DUMMYFUNCTION("""COMPUTED_VALUE"""),430835.0)</f>
        <v>430835</v>
      </c>
      <c r="G179" s="67">
        <f>IFERROR(__xludf.DUMMYFUNCTION("""COMPUTED_VALUE"""),0.0034)</f>
        <v>0.0034</v>
      </c>
      <c r="H179" s="60" t="str">
        <f>IFERROR(__xludf.DUMMYFUNCTION("""COMPUTED_VALUE"""),"Pastizzi, rabbit stew (Fenkata)")</f>
        <v>Pastizzi, rabbit stew (Fenkata)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65">
        <f>IFERROR(__xludf.DUMMYFUNCTION("""COMPUTED_VALUE"""),176.0)</f>
        <v>176</v>
      </c>
      <c r="B180" s="65" t="str">
        <f>IFERROR(__xludf.DUMMYFUNCTION("""COMPUTED_VALUE"""),"Brunei")</f>
        <v>Brunei</v>
      </c>
      <c r="C180" s="20" t="str">
        <f>IFERROR(__xludf.DUMMYFUNCTION("""COMPUTED_VALUE"""),"Asia")</f>
        <v>Asia</v>
      </c>
      <c r="D180" s="20" t="str">
        <f>IFERROR(__xludf.DUMMYFUNCTION("""COMPUTED_VALUE"""),"South-eastern Asia")</f>
        <v>South-eastern Asia</v>
      </c>
      <c r="E180" s="66">
        <f>IFERROR(__xludf.DUMMYFUNCTION("""COMPUTED_VALUE"""),423196.0)</f>
        <v>423196</v>
      </c>
      <c r="F180" s="66">
        <f>IFERROR(__xludf.DUMMYFUNCTION("""COMPUTED_VALUE"""),428697.0)</f>
        <v>428697</v>
      </c>
      <c r="G180" s="67">
        <f>IFERROR(__xludf.DUMMYFUNCTION("""COMPUTED_VALUE"""),0.013)</f>
        <v>0.013</v>
      </c>
      <c r="H180" s="60" t="str">
        <f>IFERROR(__xludf.DUMMYFUNCTION("""COMPUTED_VALUE"""),"Ambuyat")</f>
        <v>Ambuyat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65">
        <f>IFERROR(__xludf.DUMMYFUNCTION("""COMPUTED_VALUE"""),177.0)</f>
        <v>177</v>
      </c>
      <c r="B181" s="65" t="str">
        <f>IFERROR(__xludf.DUMMYFUNCTION("""COMPUTED_VALUE"""),"Bahamas")</f>
        <v>Bahamas</v>
      </c>
      <c r="C181" s="20" t="str">
        <f>IFERROR(__xludf.DUMMYFUNCTION("""COMPUTED_VALUE"""),"Americas")</f>
        <v>Americas</v>
      </c>
      <c r="D181" s="20" t="str">
        <f>IFERROR(__xludf.DUMMYFUNCTION("""COMPUTED_VALUE"""),"Caribbean")</f>
        <v>Caribbean</v>
      </c>
      <c r="E181" s="66">
        <f>IFERROR(__xludf.DUMMYFUNCTION("""COMPUTED_VALUE"""),391232.0)</f>
        <v>391232</v>
      </c>
      <c r="F181" s="66">
        <f>IFERROR(__xludf.DUMMYFUNCTION("""COMPUTED_VALUE"""),395361.0)</f>
        <v>395361</v>
      </c>
      <c r="G181" s="67">
        <f>IFERROR(__xludf.DUMMYFUNCTION("""COMPUTED_VALUE"""),0.0106)</f>
        <v>0.0106</v>
      </c>
      <c r="H181" s="60" t="str">
        <f>IFERROR(__xludf.DUMMYFUNCTION("""COMPUTED_VALUE"""),"Crack conch with peas and rice")</f>
        <v>Crack conch with peas and rice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65">
        <f>IFERROR(__xludf.DUMMYFUNCTION("""COMPUTED_VALUE"""),178.0)</f>
        <v>178</v>
      </c>
      <c r="B182" s="65" t="str">
        <f>IFERROR(__xludf.DUMMYFUNCTION("""COMPUTED_VALUE"""),"Martinique")</f>
        <v>Martinique</v>
      </c>
      <c r="C182" s="20" t="str">
        <f>IFERROR(__xludf.DUMMYFUNCTION("""COMPUTED_VALUE"""),"Americas")</f>
        <v>Americas</v>
      </c>
      <c r="D182" s="20" t="str">
        <f>IFERROR(__xludf.DUMMYFUNCTION("""COMPUTED_VALUE"""),"Caribbean")</f>
        <v>Caribbean</v>
      </c>
      <c r="E182" s="66">
        <f>IFERROR(__xludf.DUMMYFUNCTION("""COMPUTED_VALUE"""),385103.0)</f>
        <v>385103</v>
      </c>
      <c r="F182" s="66">
        <f>IFERROR(__xludf.DUMMYFUNCTION("""COMPUTED_VALUE"""),384896.0)</f>
        <v>384896</v>
      </c>
      <c r="G182" s="67">
        <f>IFERROR(__xludf.DUMMYFUNCTION("""COMPUTED_VALUE"""),-5.0E-4)</f>
        <v>-0.0005</v>
      </c>
      <c r="H182" s="6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65">
        <f>IFERROR(__xludf.DUMMYFUNCTION("""COMPUTED_VALUE"""),179.0)</f>
        <v>179</v>
      </c>
      <c r="B183" s="65" t="str">
        <f>IFERROR(__xludf.DUMMYFUNCTION("""COMPUTED_VALUE"""),"Belize")</f>
        <v>Belize</v>
      </c>
      <c r="C183" s="20" t="str">
        <f>IFERROR(__xludf.DUMMYFUNCTION("""COMPUTED_VALUE"""),"Americas")</f>
        <v>Americas</v>
      </c>
      <c r="D183" s="20" t="str">
        <f>IFERROR(__xludf.DUMMYFUNCTION("""COMPUTED_VALUE"""),"Central America")</f>
        <v>Central America</v>
      </c>
      <c r="E183" s="66">
        <f>IFERROR(__xludf.DUMMYFUNCTION("""COMPUTED_VALUE"""),366954.0)</f>
        <v>366954</v>
      </c>
      <c r="F183" s="66">
        <f>IFERROR(__xludf.DUMMYFUNCTION("""COMPUTED_VALUE"""),374681.0)</f>
        <v>374681</v>
      </c>
      <c r="G183" s="67">
        <f>IFERROR(__xludf.DUMMYFUNCTION("""COMPUTED_VALUE"""),0.0211)</f>
        <v>0.0211</v>
      </c>
      <c r="H183" s="60" t="str">
        <f>IFERROR(__xludf.DUMMYFUNCTION("""COMPUTED_VALUE"""),"Boil up, Fry jack")</f>
        <v>Boil up, Fry jack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65">
        <f>IFERROR(__xludf.DUMMYFUNCTION("""COMPUTED_VALUE"""),180.0)</f>
        <v>180</v>
      </c>
      <c r="B184" s="65" t="str">
        <f>IFERROR(__xludf.DUMMYFUNCTION("""COMPUTED_VALUE"""),"Iceland")</f>
        <v>Iceland</v>
      </c>
      <c r="C184" s="20" t="str">
        <f>IFERROR(__xludf.DUMMYFUNCTION("""COMPUTED_VALUE"""),"Europe")</f>
        <v>Europe</v>
      </c>
      <c r="D184" s="20" t="str">
        <f>IFERROR(__xludf.DUMMYFUNCTION("""COMPUTED_VALUE"""),"Northern Europe")</f>
        <v>Northern Europe</v>
      </c>
      <c r="E184" s="66">
        <f>IFERROR(__xludf.DUMMYFUNCTION("""COMPUTED_VALUE"""),332474.0)</f>
        <v>332474</v>
      </c>
      <c r="F184" s="66">
        <f>IFERROR(__xludf.DUMMYFUNCTION("""COMPUTED_VALUE"""),335025.0)</f>
        <v>335025</v>
      </c>
      <c r="G184" s="67">
        <f>IFERROR(__xludf.DUMMYFUNCTION("""COMPUTED_VALUE"""),0.0077)</f>
        <v>0.0077</v>
      </c>
      <c r="H184" s="60" t="str">
        <f>IFERROR(__xludf.DUMMYFUNCTION("""COMPUTED_VALUE"""),"Hákarl, Þorramatur")</f>
        <v>Hákarl, Þorramatur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65">
        <f>IFERROR(__xludf.DUMMYFUNCTION("""COMPUTED_VALUE"""),181.0)</f>
        <v>181</v>
      </c>
      <c r="B185" s="65" t="str">
        <f>IFERROR(__xludf.DUMMYFUNCTION("""COMPUTED_VALUE"""),"Barbados")</f>
        <v>Barbados</v>
      </c>
      <c r="C185" s="20" t="str">
        <f>IFERROR(__xludf.DUMMYFUNCTION("""COMPUTED_VALUE"""),"Americas")</f>
        <v>Americas</v>
      </c>
      <c r="D185" s="20" t="str">
        <f>IFERROR(__xludf.DUMMYFUNCTION("""COMPUTED_VALUE"""),"Caribbean")</f>
        <v>Caribbean</v>
      </c>
      <c r="E185" s="66">
        <f>IFERROR(__xludf.DUMMYFUNCTION("""COMPUTED_VALUE"""),284996.0)</f>
        <v>284996</v>
      </c>
      <c r="F185" s="66">
        <f>IFERROR(__xludf.DUMMYFUNCTION("""COMPUTED_VALUE"""),285719.0)</f>
        <v>285719</v>
      </c>
      <c r="G185" s="67">
        <f>IFERROR(__xludf.DUMMYFUNCTION("""COMPUTED_VALUE"""),0.0025)</f>
        <v>0.0025</v>
      </c>
      <c r="H185" s="60" t="str">
        <f>IFERROR(__xludf.DUMMYFUNCTION("""COMPUTED_VALUE"""),"Cou-Cou and Flying Fish")</f>
        <v>Cou-Cou and Flying Fish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65">
        <f>IFERROR(__xludf.DUMMYFUNCTION("""COMPUTED_VALUE"""),182.0)</f>
        <v>182</v>
      </c>
      <c r="B186" s="65" t="str">
        <f>IFERROR(__xludf.DUMMYFUNCTION("""COMPUTED_VALUE"""),"French Polynesia")</f>
        <v>French Polynesia</v>
      </c>
      <c r="C186" s="20" t="str">
        <f>IFERROR(__xludf.DUMMYFUNCTION("""COMPUTED_VALUE"""),"Oceania")</f>
        <v>Oceania</v>
      </c>
      <c r="D186" s="20" t="str">
        <f>IFERROR(__xludf.DUMMYFUNCTION("""COMPUTED_VALUE"""),"Polynesia")</f>
        <v>Polynesia</v>
      </c>
      <c r="E186" s="66">
        <f>IFERROR(__xludf.DUMMYFUNCTION("""COMPUTED_VALUE"""),280208.0)</f>
        <v>280208</v>
      </c>
      <c r="F186" s="66">
        <f>IFERROR(__xludf.DUMMYFUNCTION("""COMPUTED_VALUE"""),283007.0)</f>
        <v>283007</v>
      </c>
      <c r="G186" s="67">
        <f>IFERROR(__xludf.DUMMYFUNCTION("""COMPUTED_VALUE"""),0.01)</f>
        <v>0.01</v>
      </c>
      <c r="H186" s="6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65">
        <f>IFERROR(__xludf.DUMMYFUNCTION("""COMPUTED_VALUE"""),183.0)</f>
        <v>183</v>
      </c>
      <c r="B187" s="65" t="str">
        <f>IFERROR(__xludf.DUMMYFUNCTION("""COMPUTED_VALUE"""),"French Guiana")</f>
        <v>French Guiana</v>
      </c>
      <c r="C187" s="20" t="str">
        <f>IFERROR(__xludf.DUMMYFUNCTION("""COMPUTED_VALUE"""),"Americas")</f>
        <v>Americas</v>
      </c>
      <c r="D187" s="20" t="str">
        <f>IFERROR(__xludf.DUMMYFUNCTION("""COMPUTED_VALUE"""),"South America")</f>
        <v>South America</v>
      </c>
      <c r="E187" s="66">
        <f>IFERROR(__xludf.DUMMYFUNCTION("""COMPUTED_VALUE"""),275713.0)</f>
        <v>275713</v>
      </c>
      <c r="F187" s="66">
        <f>IFERROR(__xludf.DUMMYFUNCTION("""COMPUTED_VALUE"""),282731.0)</f>
        <v>282731</v>
      </c>
      <c r="G187" s="67">
        <f>IFERROR(__xludf.DUMMYFUNCTION("""COMPUTED_VALUE"""),0.0255)</f>
        <v>0.0255</v>
      </c>
      <c r="H187" s="6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65">
        <f>IFERROR(__xludf.DUMMYFUNCTION("""COMPUTED_VALUE"""),184.0)</f>
        <v>184</v>
      </c>
      <c r="B188" s="65" t="str">
        <f>IFERROR(__xludf.DUMMYFUNCTION("""COMPUTED_VALUE"""),"New Caledonia")</f>
        <v>New Caledonia</v>
      </c>
      <c r="C188" s="20" t="str">
        <f>IFERROR(__xludf.DUMMYFUNCTION("""COMPUTED_VALUE"""),"Oceania")</f>
        <v>Oceania</v>
      </c>
      <c r="D188" s="20" t="str">
        <f>IFERROR(__xludf.DUMMYFUNCTION("""COMPUTED_VALUE"""),"Melanesia")</f>
        <v>Melanesia</v>
      </c>
      <c r="E188" s="66">
        <f>IFERROR(__xludf.DUMMYFUNCTION("""COMPUTED_VALUE"""),272677.0)</f>
        <v>272677</v>
      </c>
      <c r="F188" s="66">
        <f>IFERROR(__xludf.DUMMYFUNCTION("""COMPUTED_VALUE"""),276255.0)</f>
        <v>276255</v>
      </c>
      <c r="G188" s="67">
        <f>IFERROR(__xludf.DUMMYFUNCTION("""COMPUTED_VALUE"""),0.0131)</f>
        <v>0.0131</v>
      </c>
      <c r="H188" s="6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65">
        <f>IFERROR(__xludf.DUMMYFUNCTION("""COMPUTED_VALUE"""),185.0)</f>
        <v>185</v>
      </c>
      <c r="B189" s="65" t="str">
        <f>IFERROR(__xludf.DUMMYFUNCTION("""COMPUTED_VALUE"""),"Vanuatu")</f>
        <v>Vanuatu</v>
      </c>
      <c r="C189" s="20" t="str">
        <f>IFERROR(__xludf.DUMMYFUNCTION("""COMPUTED_VALUE"""),"Oceania")</f>
        <v>Oceania</v>
      </c>
      <c r="D189" s="20" t="str">
        <f>IFERROR(__xludf.DUMMYFUNCTION("""COMPUTED_VALUE"""),"Melanesia")</f>
        <v>Melanesia</v>
      </c>
      <c r="E189" s="66">
        <f>IFERROR(__xludf.DUMMYFUNCTION("""COMPUTED_VALUE"""),270402.0)</f>
        <v>270402</v>
      </c>
      <c r="F189" s="66">
        <f>IFERROR(__xludf.DUMMYFUNCTION("""COMPUTED_VALUE"""),276244.0)</f>
        <v>276244</v>
      </c>
      <c r="G189" s="67">
        <f>IFERROR(__xludf.DUMMYFUNCTION("""COMPUTED_VALUE"""),0.0216)</f>
        <v>0.0216</v>
      </c>
      <c r="H189" s="60" t="str">
        <f>IFERROR(__xludf.DUMMYFUNCTION("""COMPUTED_VALUE"""),"Lap lap")</f>
        <v>Lap lap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65">
        <f>IFERROR(__xludf.DUMMYFUNCTION("""COMPUTED_VALUE"""),186.0)</f>
        <v>186</v>
      </c>
      <c r="B190" s="65" t="str">
        <f>IFERROR(__xludf.DUMMYFUNCTION("""COMPUTED_VALUE"""),"Mayotte")</f>
        <v>Mayotte</v>
      </c>
      <c r="C190" s="20" t="str">
        <f>IFERROR(__xludf.DUMMYFUNCTION("""COMPUTED_VALUE"""),"Africa")</f>
        <v>Africa</v>
      </c>
      <c r="D190" s="20" t="str">
        <f>IFERROR(__xludf.DUMMYFUNCTION("""COMPUTED_VALUE"""),"Eastern Africa")</f>
        <v>Eastern Africa</v>
      </c>
      <c r="E190" s="66">
        <f>IFERROR(__xludf.DUMMYFUNCTION("""COMPUTED_VALUE"""),246489.0)</f>
        <v>246489</v>
      </c>
      <c r="F190" s="66">
        <f>IFERROR(__xludf.DUMMYFUNCTION("""COMPUTED_VALUE"""),253045.0)</f>
        <v>253045</v>
      </c>
      <c r="G190" s="67">
        <f>IFERROR(__xludf.DUMMYFUNCTION("""COMPUTED_VALUE"""),0.0266)</f>
        <v>0.0266</v>
      </c>
      <c r="H190" s="6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65">
        <f>IFERROR(__xludf.DUMMYFUNCTION("""COMPUTED_VALUE"""),187.0)</f>
        <v>187</v>
      </c>
      <c r="B191" s="65" t="str">
        <f>IFERROR(__xludf.DUMMYFUNCTION("""COMPUTED_VALUE"""),"Sao Tome and Principe")</f>
        <v>Sao Tome and Principe</v>
      </c>
      <c r="C191" s="20" t="str">
        <f>IFERROR(__xludf.DUMMYFUNCTION("""COMPUTED_VALUE"""),"Africa")</f>
        <v>Africa</v>
      </c>
      <c r="D191" s="20" t="str">
        <f>IFERROR(__xludf.DUMMYFUNCTION("""COMPUTED_VALUE"""),"Middle Africa")</f>
        <v>Middle Africa</v>
      </c>
      <c r="E191" s="66">
        <f>IFERROR(__xludf.DUMMYFUNCTION("""COMPUTED_VALUE"""),199910.0)</f>
        <v>199910</v>
      </c>
      <c r="F191" s="66">
        <f>IFERROR(__xludf.DUMMYFUNCTION("""COMPUTED_VALUE"""),204327.0)</f>
        <v>204327</v>
      </c>
      <c r="G191" s="67">
        <f>IFERROR(__xludf.DUMMYFUNCTION("""COMPUTED_VALUE"""),0.0221)</f>
        <v>0.0221</v>
      </c>
      <c r="H191" s="60" t="str">
        <f>IFERROR(__xludf.DUMMYFUNCTION("""COMPUTED_VALUE"""),"Palm oil stew")</f>
        <v>Palm oil stew</v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65">
        <f>IFERROR(__xludf.DUMMYFUNCTION("""COMPUTED_VALUE"""),188.0)</f>
        <v>188</v>
      </c>
      <c r="B192" s="65" t="str">
        <f>IFERROR(__xludf.DUMMYFUNCTION("""COMPUTED_VALUE"""),"Samoa")</f>
        <v>Samoa</v>
      </c>
      <c r="C192" s="20" t="str">
        <f>IFERROR(__xludf.DUMMYFUNCTION("""COMPUTED_VALUE"""),"Oceania")</f>
        <v>Oceania</v>
      </c>
      <c r="D192" s="20" t="str">
        <f>IFERROR(__xludf.DUMMYFUNCTION("""COMPUTED_VALUE"""),"Polynesia")</f>
        <v>Polynesia</v>
      </c>
      <c r="E192" s="66">
        <f>IFERROR(__xludf.DUMMYFUNCTION("""COMPUTED_VALUE"""),195125.0)</f>
        <v>195125</v>
      </c>
      <c r="F192" s="66">
        <f>IFERROR(__xludf.DUMMYFUNCTION("""COMPUTED_VALUE"""),196440.0)</f>
        <v>196440</v>
      </c>
      <c r="G192" s="67">
        <f>IFERROR(__xludf.DUMMYFUNCTION("""COMPUTED_VALUE"""),0.0067)</f>
        <v>0.0067</v>
      </c>
      <c r="H192" s="60" t="str">
        <f>IFERROR(__xludf.DUMMYFUNCTION("""COMPUTED_VALUE"""),"Palusami")</f>
        <v>Palusami</v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65">
        <f>IFERROR(__xludf.DUMMYFUNCTION("""COMPUTED_VALUE"""),189.0)</f>
        <v>189</v>
      </c>
      <c r="B193" s="65" t="str">
        <f>IFERROR(__xludf.DUMMYFUNCTION("""COMPUTED_VALUE"""),"Saint Lucia")</f>
        <v>Saint Lucia</v>
      </c>
      <c r="C193" s="20" t="str">
        <f>IFERROR(__xludf.DUMMYFUNCTION("""COMPUTED_VALUE"""),"Americas")</f>
        <v>Americas</v>
      </c>
      <c r="D193" s="20" t="str">
        <f>IFERROR(__xludf.DUMMYFUNCTION("""COMPUTED_VALUE"""),"Caribbean")</f>
        <v>Caribbean</v>
      </c>
      <c r="E193" s="66">
        <f>IFERROR(__xludf.DUMMYFUNCTION("""COMPUTED_VALUE"""),178015.0)</f>
        <v>178015</v>
      </c>
      <c r="F193" s="66">
        <f>IFERROR(__xludf.DUMMYFUNCTION("""COMPUTED_VALUE"""),178844.0)</f>
        <v>178844</v>
      </c>
      <c r="G193" s="67">
        <f>IFERROR(__xludf.DUMMYFUNCTION("""COMPUTED_VALUE"""),0.0047)</f>
        <v>0.0047</v>
      </c>
      <c r="H193" s="60" t="str">
        <f>IFERROR(__xludf.DUMMYFUNCTION("""COMPUTED_VALUE"""),"Green fig and saltfish")</f>
        <v>Green fig and saltfish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65">
        <f>IFERROR(__xludf.DUMMYFUNCTION("""COMPUTED_VALUE"""),190.0)</f>
        <v>190</v>
      </c>
      <c r="B194" s="65" t="str">
        <f>IFERROR(__xludf.DUMMYFUNCTION("""COMPUTED_VALUE"""),"Guernsey and  Jersey")</f>
        <v>Guernsey and  Jersey</v>
      </c>
      <c r="C194" s="20" t="str">
        <f>IFERROR(__xludf.DUMMYFUNCTION("""COMPUTED_VALUE"""),"Europe")</f>
        <v>Europe</v>
      </c>
      <c r="D194" s="20" t="str">
        <f>IFERROR(__xludf.DUMMYFUNCTION("""COMPUTED_VALUE"""),"Northern Europe")</f>
        <v>Northern Europe</v>
      </c>
      <c r="E194" s="66">
        <f>IFERROR(__xludf.DUMMYFUNCTION("""COMPUTED_VALUE"""),164541.0)</f>
        <v>164541</v>
      </c>
      <c r="F194" s="66">
        <f>IFERROR(__xludf.DUMMYFUNCTION("""COMPUTED_VALUE"""),165314.0)</f>
        <v>165314</v>
      </c>
      <c r="G194" s="67">
        <f>IFERROR(__xludf.DUMMYFUNCTION("""COMPUTED_VALUE"""),0.0047)</f>
        <v>0.0047</v>
      </c>
      <c r="H194" s="6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65">
        <f>IFERROR(__xludf.DUMMYFUNCTION("""COMPUTED_VALUE"""),191.0)</f>
        <v>191</v>
      </c>
      <c r="B195" s="65" t="str">
        <f>IFERROR(__xludf.DUMMYFUNCTION("""COMPUTED_VALUE"""),"Guam")</f>
        <v>Guam</v>
      </c>
      <c r="C195" s="20" t="str">
        <f>IFERROR(__xludf.DUMMYFUNCTION("""COMPUTED_VALUE"""),"Oceania")</f>
        <v>Oceania</v>
      </c>
      <c r="D195" s="20" t="str">
        <f>IFERROR(__xludf.DUMMYFUNCTION("""COMPUTED_VALUE"""),"Micronesia")</f>
        <v>Micronesia</v>
      </c>
      <c r="E195" s="66">
        <f>IFERROR(__xludf.DUMMYFUNCTION("""COMPUTED_VALUE"""),162896.0)</f>
        <v>162896</v>
      </c>
      <c r="F195" s="66">
        <f>IFERROR(__xludf.DUMMYFUNCTION("""COMPUTED_VALUE"""),164229.0)</f>
        <v>164229</v>
      </c>
      <c r="G195" s="67">
        <f>IFERROR(__xludf.DUMMYFUNCTION("""COMPUTED_VALUE"""),0.0082)</f>
        <v>0.0082</v>
      </c>
      <c r="H195" s="6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65">
        <f>IFERROR(__xludf.DUMMYFUNCTION("""COMPUTED_VALUE"""),192.0)</f>
        <v>192</v>
      </c>
      <c r="B196" s="65" t="str">
        <f>IFERROR(__xludf.DUMMYFUNCTION("""COMPUTED_VALUE"""),"Curaçao")</f>
        <v>Curaçao</v>
      </c>
      <c r="C196" s="20" t="str">
        <f>IFERROR(__xludf.DUMMYFUNCTION("""COMPUTED_VALUE"""),"Americas")</f>
        <v>Americas</v>
      </c>
      <c r="D196" s="20" t="str">
        <f>IFERROR(__xludf.DUMMYFUNCTION("""COMPUTED_VALUE"""),"Caribbean")</f>
        <v>Caribbean</v>
      </c>
      <c r="E196" s="66">
        <f>IFERROR(__xludf.DUMMYFUNCTION("""COMPUTED_VALUE"""),159371.0)</f>
        <v>159371</v>
      </c>
      <c r="F196" s="66">
        <f>IFERROR(__xludf.DUMMYFUNCTION("""COMPUTED_VALUE"""),160539.0)</f>
        <v>160539</v>
      </c>
      <c r="G196" s="67">
        <f>IFERROR(__xludf.DUMMYFUNCTION("""COMPUTED_VALUE"""),0.0073)</f>
        <v>0.0073</v>
      </c>
      <c r="H196" s="6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65">
        <f>IFERROR(__xludf.DUMMYFUNCTION("""COMPUTED_VALUE"""),193.0)</f>
        <v>193</v>
      </c>
      <c r="B197" s="65" t="str">
        <f>IFERROR(__xludf.DUMMYFUNCTION("""COMPUTED_VALUE"""),"Kiribati")</f>
        <v>Kiribati</v>
      </c>
      <c r="C197" s="20" t="str">
        <f>IFERROR(__xludf.DUMMYFUNCTION("""COMPUTED_VALUE"""),"Oceania")</f>
        <v>Oceania</v>
      </c>
      <c r="D197" s="20" t="str">
        <f>IFERROR(__xludf.DUMMYFUNCTION("""COMPUTED_VALUE"""),"Micronesia")</f>
        <v>Micronesia</v>
      </c>
      <c r="E197" s="66">
        <f>IFERROR(__xludf.DUMMYFUNCTION("""COMPUTED_VALUE"""),114395.0)</f>
        <v>114395</v>
      </c>
      <c r="F197" s="66">
        <f>IFERROR(__xludf.DUMMYFUNCTION("""COMPUTED_VALUE"""),116398.0)</f>
        <v>116398</v>
      </c>
      <c r="G197" s="67">
        <f>IFERROR(__xludf.DUMMYFUNCTION("""COMPUTED_VALUE"""),0.0175)</f>
        <v>0.0175</v>
      </c>
      <c r="H197" s="60" t="str">
        <f>IFERROR(__xludf.DUMMYFUNCTION("""COMPUTED_VALUE"""),"Palusami")</f>
        <v>Palusami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65">
        <f>IFERROR(__xludf.DUMMYFUNCTION("""COMPUTED_VALUE"""),194.0)</f>
        <v>194</v>
      </c>
      <c r="B198" s="65" t="str">
        <f>IFERROR(__xludf.DUMMYFUNCTION("""COMPUTED_VALUE"""),"Saint Vincent and the Grenadines")</f>
        <v>Saint Vincent and the Grenadines</v>
      </c>
      <c r="C198" s="20" t="str">
        <f>IFERROR(__xludf.DUMMYFUNCTION("""COMPUTED_VALUE"""),"Americas")</f>
        <v>Americas</v>
      </c>
      <c r="D198" s="20" t="str">
        <f>IFERROR(__xludf.DUMMYFUNCTION("""COMPUTED_VALUE"""),"Caribbean")</f>
        <v>Caribbean</v>
      </c>
      <c r="E198" s="66">
        <f>IFERROR(__xludf.DUMMYFUNCTION("""COMPUTED_VALUE"""),109643.0)</f>
        <v>109643</v>
      </c>
      <c r="F198" s="66">
        <f>IFERROR(__xludf.DUMMYFUNCTION("""COMPUTED_VALUE"""),109897.0)</f>
        <v>109897</v>
      </c>
      <c r="G198" s="67">
        <f>IFERROR(__xludf.DUMMYFUNCTION("""COMPUTED_VALUE"""),0.0023)</f>
        <v>0.0023</v>
      </c>
      <c r="H198" s="60" t="str">
        <f>IFERROR(__xludf.DUMMYFUNCTION("""COMPUTED_VALUE"""),"Roasted breadfruit and fried jackfish")</f>
        <v>Roasted breadfruit and fried jackfish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5">
        <f>IFERROR(__xludf.DUMMYFUNCTION("""COMPUTED_VALUE"""),195.0)</f>
        <v>195</v>
      </c>
      <c r="B199" s="65" t="str">
        <f>IFERROR(__xludf.DUMMYFUNCTION("""COMPUTED_VALUE"""),"Tonga")</f>
        <v>Tonga</v>
      </c>
      <c r="C199" s="20" t="str">
        <f>IFERROR(__xludf.DUMMYFUNCTION("""COMPUTED_VALUE"""),"Oceania")</f>
        <v>Oceania</v>
      </c>
      <c r="D199" s="20" t="str">
        <f>IFERROR(__xludf.DUMMYFUNCTION("""COMPUTED_VALUE"""),"Polynesia")</f>
        <v>Polynesia</v>
      </c>
      <c r="E199" s="66">
        <f>IFERROR(__xludf.DUMMYFUNCTION("""COMPUTED_VALUE"""),107122.0)</f>
        <v>107122</v>
      </c>
      <c r="F199" s="66">
        <f>IFERROR(__xludf.DUMMYFUNCTION("""COMPUTED_VALUE"""),108020.0)</f>
        <v>108020</v>
      </c>
      <c r="G199" s="67">
        <f>IFERROR(__xludf.DUMMYFUNCTION("""COMPUTED_VALUE"""),0.0084)</f>
        <v>0.0084</v>
      </c>
      <c r="H199" s="6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5">
        <f>IFERROR(__xludf.DUMMYFUNCTION("""COMPUTED_VALUE"""),196.0)</f>
        <v>196</v>
      </c>
      <c r="B200" s="65" t="str">
        <f>IFERROR(__xludf.DUMMYFUNCTION("""COMPUTED_VALUE"""),"Grenada")</f>
        <v>Grenada</v>
      </c>
      <c r="C200" s="20" t="str">
        <f>IFERROR(__xludf.DUMMYFUNCTION("""COMPUTED_VALUE"""),"Americas")</f>
        <v>Americas</v>
      </c>
      <c r="D200" s="20" t="str">
        <f>IFERROR(__xludf.DUMMYFUNCTION("""COMPUTED_VALUE"""),"Caribbean")</f>
        <v>Caribbean</v>
      </c>
      <c r="E200" s="66">
        <f>IFERROR(__xludf.DUMMYFUNCTION("""COMPUTED_VALUE"""),107317.0)</f>
        <v>107317</v>
      </c>
      <c r="F200" s="66">
        <f>IFERROR(__xludf.DUMMYFUNCTION("""COMPUTED_VALUE"""),107825.0)</f>
        <v>107825</v>
      </c>
      <c r="G200" s="67">
        <f>IFERROR(__xludf.DUMMYFUNCTION("""COMPUTED_VALUE"""),0.0047)</f>
        <v>0.0047</v>
      </c>
      <c r="H200" s="60" t="str">
        <f>IFERROR(__xludf.DUMMYFUNCTION("""COMPUTED_VALUE"""),"Oil Down")</f>
        <v>Oil Down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5">
        <f>IFERROR(__xludf.DUMMYFUNCTION("""COMPUTED_VALUE"""),197.0)</f>
        <v>197</v>
      </c>
      <c r="B201" s="65" t="str">
        <f>IFERROR(__xludf.DUMMYFUNCTION("""COMPUTED_VALUE"""),"Federated States of Micronesia")</f>
        <v>Federated States of Micronesia</v>
      </c>
      <c r="C201" s="20" t="str">
        <f>IFERROR(__xludf.DUMMYFUNCTION("""COMPUTED_VALUE"""),"Oceania")</f>
        <v>Oceania</v>
      </c>
      <c r="D201" s="20" t="str">
        <f>IFERROR(__xludf.DUMMYFUNCTION("""COMPUTED_VALUE"""),"Micronesia")</f>
        <v>Micronesia</v>
      </c>
      <c r="E201" s="66">
        <f>IFERROR(__xludf.DUMMYFUNCTION("""COMPUTED_VALUE"""),104937.0)</f>
        <v>104937</v>
      </c>
      <c r="F201" s="66">
        <f>IFERROR(__xludf.DUMMYFUNCTION("""COMPUTED_VALUE"""),105544.0)</f>
        <v>105544</v>
      </c>
      <c r="G201" s="67">
        <f>IFERROR(__xludf.DUMMYFUNCTION("""COMPUTED_VALUE"""),0.0058)</f>
        <v>0.0058</v>
      </c>
      <c r="H201" s="60" t="str">
        <f>IFERROR(__xludf.DUMMYFUNCTION("""COMPUTED_VALUE"""),"Bat soup")</f>
        <v>Bat soup</v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5">
        <f>IFERROR(__xludf.DUMMYFUNCTION("""COMPUTED_VALUE"""),198.0)</f>
        <v>198</v>
      </c>
      <c r="B202" s="65" t="str">
        <f>IFERROR(__xludf.DUMMYFUNCTION("""COMPUTED_VALUE"""),"Aruba")</f>
        <v>Aruba</v>
      </c>
      <c r="C202" s="20" t="str">
        <f>IFERROR(__xludf.DUMMYFUNCTION("""COMPUTED_VALUE"""),"Americas")</f>
        <v>Americas</v>
      </c>
      <c r="D202" s="20" t="str">
        <f>IFERROR(__xludf.DUMMYFUNCTION("""COMPUTED_VALUE"""),"Caribbean")</f>
        <v>Caribbean</v>
      </c>
      <c r="E202" s="66">
        <f>IFERROR(__xludf.DUMMYFUNCTION("""COMPUTED_VALUE"""),104822.0)</f>
        <v>104822</v>
      </c>
      <c r="F202" s="66">
        <f>IFERROR(__xludf.DUMMYFUNCTION("""COMPUTED_VALUE"""),105264.0)</f>
        <v>105264</v>
      </c>
      <c r="G202" s="67">
        <f>IFERROR(__xludf.DUMMYFUNCTION("""COMPUTED_VALUE"""),0.0042)</f>
        <v>0.0042</v>
      </c>
      <c r="H202" s="60" t="str">
        <f>IFERROR(__xludf.DUMMYFUNCTION("""COMPUTED_VALUE"""),"Keshi yena")</f>
        <v>Keshi yena</v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5">
        <f>IFERROR(__xludf.DUMMYFUNCTION("""COMPUTED_VALUE"""),199.0)</f>
        <v>199</v>
      </c>
      <c r="B203" s="65" t="str">
        <f>IFERROR(__xludf.DUMMYFUNCTION("""COMPUTED_VALUE"""),"United States Virgin Islands")</f>
        <v>United States Virgin Islands</v>
      </c>
      <c r="C203" s="20" t="str">
        <f>IFERROR(__xludf.DUMMYFUNCTION("""COMPUTED_VALUE"""),"Americas")</f>
        <v>Americas</v>
      </c>
      <c r="D203" s="20" t="str">
        <f>IFERROR(__xludf.DUMMYFUNCTION("""COMPUTED_VALUE"""),"Caribbean")</f>
        <v>Caribbean</v>
      </c>
      <c r="E203" s="66">
        <f>IFERROR(__xludf.DUMMYFUNCTION("""COMPUTED_VALUE"""),104913.0)</f>
        <v>104913</v>
      </c>
      <c r="F203" s="66">
        <f>IFERROR(__xludf.DUMMYFUNCTION("""COMPUTED_VALUE"""),104901.0)</f>
        <v>104901</v>
      </c>
      <c r="G203" s="67">
        <f>IFERROR(__xludf.DUMMYFUNCTION("""COMPUTED_VALUE"""),-1.0E-4)</f>
        <v>-0.0001</v>
      </c>
      <c r="H203" s="60" t="str">
        <f>IFERROR(__xludf.DUMMYFUNCTION("""COMPUTED_VALUE"""),"Fish and Fungi")</f>
        <v>Fish and Fungi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5">
        <f>IFERROR(__xludf.DUMMYFUNCTION("""COMPUTED_VALUE"""),200.0)</f>
        <v>200</v>
      </c>
      <c r="B204" s="65" t="str">
        <f>IFERROR(__xludf.DUMMYFUNCTION("""COMPUTED_VALUE"""),"Antigua and Barbuda")</f>
        <v>Antigua and Barbuda</v>
      </c>
      <c r="C204" s="20" t="str">
        <f>IFERROR(__xludf.DUMMYFUNCTION("""COMPUTED_VALUE"""),"Americas")</f>
        <v>Americas</v>
      </c>
      <c r="D204" s="20" t="str">
        <f>IFERROR(__xludf.DUMMYFUNCTION("""COMPUTED_VALUE"""),"Caribbean")</f>
        <v>Caribbean</v>
      </c>
      <c r="E204" s="66">
        <f>IFERROR(__xludf.DUMMYFUNCTION("""COMPUTED_VALUE"""),100963.0)</f>
        <v>100963</v>
      </c>
      <c r="F204" s="66">
        <f>IFERROR(__xludf.DUMMYFUNCTION("""COMPUTED_VALUE"""),102012.0)</f>
        <v>102012</v>
      </c>
      <c r="G204" s="67">
        <f>IFERROR(__xludf.DUMMYFUNCTION("""COMPUTED_VALUE"""),0.0104)</f>
        <v>0.0104</v>
      </c>
      <c r="H204" s="60" t="str">
        <f>IFERROR(__xludf.DUMMYFUNCTION("""COMPUTED_VALUE"""),"Pepperpot, Fungee")</f>
        <v>Pepperpot, Fungee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5">
        <f>IFERROR(__xludf.DUMMYFUNCTION("""COMPUTED_VALUE"""),201.0)</f>
        <v>201</v>
      </c>
      <c r="B205" s="65" t="str">
        <f>IFERROR(__xludf.DUMMYFUNCTION("""COMPUTED_VALUE"""),"Seychelles")</f>
        <v>Seychelles</v>
      </c>
      <c r="C205" s="20" t="str">
        <f>IFERROR(__xludf.DUMMYFUNCTION("""COMPUTED_VALUE"""),"Africa")</f>
        <v>Africa</v>
      </c>
      <c r="D205" s="20" t="str">
        <f>IFERROR(__xludf.DUMMYFUNCTION("""COMPUTED_VALUE"""),"Eastern Africa")</f>
        <v>Eastern Africa</v>
      </c>
      <c r="E205" s="66">
        <f>IFERROR(__xludf.DUMMYFUNCTION("""COMPUTED_VALUE"""),94228.0)</f>
        <v>94228</v>
      </c>
      <c r="F205" s="66">
        <f>IFERROR(__xludf.DUMMYFUNCTION("""COMPUTED_VALUE"""),94737.0)</f>
        <v>94737</v>
      </c>
      <c r="G205" s="67">
        <f>IFERROR(__xludf.DUMMYFUNCTION("""COMPUTED_VALUE"""),0.0054)</f>
        <v>0.0054</v>
      </c>
      <c r="H205" s="60" t="str">
        <f>IFERROR(__xludf.DUMMYFUNCTION("""COMPUTED_VALUE"""),"Fruit Bat Soup")</f>
        <v>Fruit Bat Soup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5">
        <f>IFERROR(__xludf.DUMMYFUNCTION("""COMPUTED_VALUE"""),202.0)</f>
        <v>202</v>
      </c>
      <c r="B206" s="65" t="str">
        <f>IFERROR(__xludf.DUMMYFUNCTION("""COMPUTED_VALUE"""),"Isle of Man")</f>
        <v>Isle of Man</v>
      </c>
      <c r="C206" s="20" t="str">
        <f>IFERROR(__xludf.DUMMYFUNCTION("""COMPUTED_VALUE"""),"Europe")</f>
        <v>Europe</v>
      </c>
      <c r="D206" s="20" t="str">
        <f>IFERROR(__xludf.DUMMYFUNCTION("""COMPUTED_VALUE"""),"Northern Europe")</f>
        <v>Northern Europe</v>
      </c>
      <c r="E206" s="66">
        <f>IFERROR(__xludf.DUMMYFUNCTION("""COMPUTED_VALUE"""),83737.0)</f>
        <v>83737</v>
      </c>
      <c r="F206" s="66">
        <f>IFERROR(__xludf.DUMMYFUNCTION("""COMPUTED_VALUE"""),84287.0)</f>
        <v>84287</v>
      </c>
      <c r="G206" s="67">
        <f>IFERROR(__xludf.DUMMYFUNCTION("""COMPUTED_VALUE"""),0.0066)</f>
        <v>0.0066</v>
      </c>
      <c r="H206" s="60" t="str">
        <f>IFERROR(__xludf.DUMMYFUNCTION("""COMPUTED_VALUE"""),"Skeddan jiarg, Chips cheese and gravy")</f>
        <v>Skeddan jiarg, Chips cheese and gravy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5">
        <f>IFERROR(__xludf.DUMMYFUNCTION("""COMPUTED_VALUE"""),203.0)</f>
        <v>203</v>
      </c>
      <c r="B207" s="65" t="str">
        <f>IFERROR(__xludf.DUMMYFUNCTION("""COMPUTED_VALUE"""),"Andorra")</f>
        <v>Andorra</v>
      </c>
      <c r="C207" s="20" t="str">
        <f>IFERROR(__xludf.DUMMYFUNCTION("""COMPUTED_VALUE"""),"Europe")</f>
        <v>Europe</v>
      </c>
      <c r="D207" s="20" t="str">
        <f>IFERROR(__xludf.DUMMYFUNCTION("""COMPUTED_VALUE"""),"Southern Europe")</f>
        <v>Southern Europe</v>
      </c>
      <c r="E207" s="66">
        <f>IFERROR(__xludf.DUMMYFUNCTION("""COMPUTED_VALUE"""),77281.0)</f>
        <v>77281</v>
      </c>
      <c r="F207" s="66">
        <f>IFERROR(__xludf.DUMMYFUNCTION("""COMPUTED_VALUE"""),76965.0)</f>
        <v>76965</v>
      </c>
      <c r="G207" s="67">
        <f>IFERROR(__xludf.DUMMYFUNCTION("""COMPUTED_VALUE"""),-0.0041)</f>
        <v>-0.0041</v>
      </c>
      <c r="H207" s="60" t="str">
        <f>IFERROR(__xludf.DUMMYFUNCTION("""COMPUTED_VALUE"""),"Escudella")</f>
        <v>Escudella</v>
      </c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5">
        <f>IFERROR(__xludf.DUMMYFUNCTION("""COMPUTED_VALUE"""),204.0)</f>
        <v>204</v>
      </c>
      <c r="B208" s="65" t="str">
        <f>IFERROR(__xludf.DUMMYFUNCTION("""COMPUTED_VALUE"""),"Dominica")</f>
        <v>Dominica</v>
      </c>
      <c r="C208" s="20" t="str">
        <f>IFERROR(__xludf.DUMMYFUNCTION("""COMPUTED_VALUE"""),"Americas")</f>
        <v>Americas</v>
      </c>
      <c r="D208" s="20" t="str">
        <f>IFERROR(__xludf.DUMMYFUNCTION("""COMPUTED_VALUE"""),"Caribbean")</f>
        <v>Caribbean</v>
      </c>
      <c r="E208" s="66">
        <f>IFERROR(__xludf.DUMMYFUNCTION("""COMPUTED_VALUE"""),73543.0)</f>
        <v>73543</v>
      </c>
      <c r="F208" s="66">
        <f>IFERROR(__xludf.DUMMYFUNCTION("""COMPUTED_VALUE"""),73925.0)</f>
        <v>73925</v>
      </c>
      <c r="G208" s="67">
        <f>IFERROR(__xludf.DUMMYFUNCTION("""COMPUTED_VALUE"""),0.0052)</f>
        <v>0.0052</v>
      </c>
      <c r="H208" s="60" t="str">
        <f>IFERROR(__xludf.DUMMYFUNCTION("""COMPUTED_VALUE"""),"Mountain chicken, Fish broth")</f>
        <v>Mountain chicken, Fish broth</v>
      </c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5">
        <f>IFERROR(__xludf.DUMMYFUNCTION("""COMPUTED_VALUE"""),205.0)</f>
        <v>205</v>
      </c>
      <c r="B209" s="65" t="str">
        <f>IFERROR(__xludf.DUMMYFUNCTION("""COMPUTED_VALUE"""),"Cayman Islands")</f>
        <v>Cayman Islands</v>
      </c>
      <c r="C209" s="20" t="str">
        <f>IFERROR(__xludf.DUMMYFUNCTION("""COMPUTED_VALUE"""),"Americas")</f>
        <v>Americas</v>
      </c>
      <c r="D209" s="20" t="str">
        <f>IFERROR(__xludf.DUMMYFUNCTION("""COMPUTED_VALUE"""),"Caribbean")</f>
        <v>Caribbean</v>
      </c>
      <c r="E209" s="66">
        <f>IFERROR(__xludf.DUMMYFUNCTION("""COMPUTED_VALUE"""),60765.0)</f>
        <v>60765</v>
      </c>
      <c r="F209" s="66">
        <f>IFERROR(__xludf.DUMMYFUNCTION("""COMPUTED_VALUE"""),61559.0)</f>
        <v>61559</v>
      </c>
      <c r="G209" s="67">
        <f>IFERROR(__xludf.DUMMYFUNCTION("""COMPUTED_VALUE"""),0.0131)</f>
        <v>0.0131</v>
      </c>
      <c r="H209" s="6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5">
        <f>IFERROR(__xludf.DUMMYFUNCTION("""COMPUTED_VALUE"""),206.0)</f>
        <v>206</v>
      </c>
      <c r="B210" s="65" t="str">
        <f>IFERROR(__xludf.DUMMYFUNCTION("""COMPUTED_VALUE"""),"Bermuda")</f>
        <v>Bermuda</v>
      </c>
      <c r="C210" s="20" t="str">
        <f>IFERROR(__xludf.DUMMYFUNCTION("""COMPUTED_VALUE"""),"Americas")</f>
        <v>Americas</v>
      </c>
      <c r="D210" s="20" t="str">
        <f>IFERROR(__xludf.DUMMYFUNCTION("""COMPUTED_VALUE"""),"Northern America")</f>
        <v>Northern America</v>
      </c>
      <c r="E210" s="66">
        <f>IFERROR(__xludf.DUMMYFUNCTION("""COMPUTED_VALUE"""),61666.0)</f>
        <v>61666</v>
      </c>
      <c r="F210" s="66">
        <f>IFERROR(__xludf.DUMMYFUNCTION("""COMPUTED_VALUE"""),61349.0)</f>
        <v>61349</v>
      </c>
      <c r="G210" s="67">
        <f>IFERROR(__xludf.DUMMYFUNCTION("""COMPUTED_VALUE"""),-0.0051)</f>
        <v>-0.0051</v>
      </c>
      <c r="H210" s="60" t="str">
        <f>IFERROR(__xludf.DUMMYFUNCTION("""COMPUTED_VALUE"""),"Bermuda fish chowder")</f>
        <v>Bermuda fish chowder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5">
        <f>IFERROR(__xludf.DUMMYFUNCTION("""COMPUTED_VALUE"""),207.0)</f>
        <v>207</v>
      </c>
      <c r="B211" s="65" t="str">
        <f>IFERROR(__xludf.DUMMYFUNCTION("""COMPUTED_VALUE"""),"Greenland")</f>
        <v>Greenland</v>
      </c>
      <c r="C211" s="20" t="str">
        <f>IFERROR(__xludf.DUMMYFUNCTION("""COMPUTED_VALUE"""),"Americas")</f>
        <v>Americas</v>
      </c>
      <c r="D211" s="20" t="str">
        <f>IFERROR(__xludf.DUMMYFUNCTION("""COMPUTED_VALUE"""),"Northern America")</f>
        <v>Northern America</v>
      </c>
      <c r="E211" s="66">
        <f>IFERROR(__xludf.DUMMYFUNCTION("""COMPUTED_VALUE"""),56412.0)</f>
        <v>56412</v>
      </c>
      <c r="F211" s="66">
        <f>IFERROR(__xludf.DUMMYFUNCTION("""COMPUTED_VALUE"""),56480.0)</f>
        <v>56480</v>
      </c>
      <c r="G211" s="67">
        <f>IFERROR(__xludf.DUMMYFUNCTION("""COMPUTED_VALUE"""),0.0012)</f>
        <v>0.0012</v>
      </c>
      <c r="H211" s="60" t="str">
        <f>IFERROR(__xludf.DUMMYFUNCTION("""COMPUTED_VALUE"""),"Kiviak, suaasat")</f>
        <v>Kiviak, suaasat</v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5">
        <f>IFERROR(__xludf.DUMMYFUNCTION("""COMPUTED_VALUE"""),208.0)</f>
        <v>208</v>
      </c>
      <c r="B212" s="65" t="str">
        <f>IFERROR(__xludf.DUMMYFUNCTION("""COMPUTED_VALUE"""),"American Samoa")</f>
        <v>American Samoa</v>
      </c>
      <c r="C212" s="20" t="str">
        <f>IFERROR(__xludf.DUMMYFUNCTION("""COMPUTED_VALUE"""),"Oceania")</f>
        <v>Oceania</v>
      </c>
      <c r="D212" s="20" t="str">
        <f>IFERROR(__xludf.DUMMYFUNCTION("""COMPUTED_VALUE"""),"Polynesia")</f>
        <v>Polynesia</v>
      </c>
      <c r="E212" s="66">
        <f>IFERROR(__xludf.DUMMYFUNCTION("""COMPUTED_VALUE"""),55599.0)</f>
        <v>55599</v>
      </c>
      <c r="F212" s="66">
        <f>IFERROR(__xludf.DUMMYFUNCTION("""COMPUTED_VALUE"""),55641.0)</f>
        <v>55641</v>
      </c>
      <c r="G212" s="67">
        <f>IFERROR(__xludf.DUMMYFUNCTION("""COMPUTED_VALUE"""),8.0E-4)</f>
        <v>0.0008</v>
      </c>
      <c r="H212" s="6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5">
        <f>IFERROR(__xludf.DUMMYFUNCTION("""COMPUTED_VALUE"""),209.0)</f>
        <v>209</v>
      </c>
      <c r="B213" s="65" t="str">
        <f>IFERROR(__xludf.DUMMYFUNCTION("""COMPUTED_VALUE"""),"Saint Kitts and Nevis")</f>
        <v>Saint Kitts and Nevis</v>
      </c>
      <c r="C213" s="20" t="str">
        <f>IFERROR(__xludf.DUMMYFUNCTION("""COMPUTED_VALUE"""),"Americas")</f>
        <v>Americas</v>
      </c>
      <c r="D213" s="20" t="str">
        <f>IFERROR(__xludf.DUMMYFUNCTION("""COMPUTED_VALUE"""),"Caribbean")</f>
        <v>Caribbean</v>
      </c>
      <c r="E213" s="66">
        <f>IFERROR(__xludf.DUMMYFUNCTION("""COMPUTED_VALUE"""),54821.0)</f>
        <v>54821</v>
      </c>
      <c r="F213" s="66">
        <f>IFERROR(__xludf.DUMMYFUNCTION("""COMPUTED_VALUE"""),55345.0)</f>
        <v>55345</v>
      </c>
      <c r="G213" s="67">
        <f>IFERROR(__xludf.DUMMYFUNCTION("""COMPUTED_VALUE"""),0.0096)</f>
        <v>0.0096</v>
      </c>
      <c r="H213" s="60" t="str">
        <f>IFERROR(__xludf.DUMMYFUNCTION("""COMPUTED_VALUE"""),"Saltfish")</f>
        <v>Saltfish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5">
        <f>IFERROR(__xludf.DUMMYFUNCTION("""COMPUTED_VALUE"""),210.0)</f>
        <v>210</v>
      </c>
      <c r="B214" s="65" t="str">
        <f>IFERROR(__xludf.DUMMYFUNCTION("""COMPUTED_VALUE"""),"Northern Mariana Islands")</f>
        <v>Northern Mariana Islands</v>
      </c>
      <c r="C214" s="20" t="str">
        <f>IFERROR(__xludf.DUMMYFUNCTION("""COMPUTED_VALUE"""),"Oceania")</f>
        <v>Oceania</v>
      </c>
      <c r="D214" s="20" t="str">
        <f>IFERROR(__xludf.DUMMYFUNCTION("""COMPUTED_VALUE"""),"Micronesia")</f>
        <v>Micronesia</v>
      </c>
      <c r="E214" s="66">
        <f>IFERROR(__xludf.DUMMYFUNCTION("""COMPUTED_VALUE"""),55023.0)</f>
        <v>55023</v>
      </c>
      <c r="F214" s="66">
        <f>IFERROR(__xludf.DUMMYFUNCTION("""COMPUTED_VALUE"""),55144.0)</f>
        <v>55144</v>
      </c>
      <c r="G214" s="67">
        <f>IFERROR(__xludf.DUMMYFUNCTION("""COMPUTED_VALUE"""),0.0022)</f>
        <v>0.0022</v>
      </c>
      <c r="H214" s="6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5">
        <f>IFERROR(__xludf.DUMMYFUNCTION("""COMPUTED_VALUE"""),211.0)</f>
        <v>211</v>
      </c>
      <c r="B215" s="65" t="str">
        <f>IFERROR(__xludf.DUMMYFUNCTION("""COMPUTED_VALUE"""),"Marshall Islands")</f>
        <v>Marshall Islands</v>
      </c>
      <c r="C215" s="20" t="str">
        <f>IFERROR(__xludf.DUMMYFUNCTION("""COMPUTED_VALUE"""),"Oceania")</f>
        <v>Oceania</v>
      </c>
      <c r="D215" s="20" t="str">
        <f>IFERROR(__xludf.DUMMYFUNCTION("""COMPUTED_VALUE"""),"Micronesia")</f>
        <v>Micronesia</v>
      </c>
      <c r="E215" s="66">
        <f>IFERROR(__xludf.DUMMYFUNCTION("""COMPUTED_VALUE"""),53066.0)</f>
        <v>53066</v>
      </c>
      <c r="F215" s="66">
        <f>IFERROR(__xludf.DUMMYFUNCTION("""COMPUTED_VALUE"""),53127.0)</f>
        <v>53127</v>
      </c>
      <c r="G215" s="67">
        <f>IFERROR(__xludf.DUMMYFUNCTION("""COMPUTED_VALUE"""),0.0011)</f>
        <v>0.0011</v>
      </c>
      <c r="H215" s="60" t="str">
        <f>IFERROR(__xludf.DUMMYFUNCTION("""COMPUTED_VALUE"""),"Macadamia nut pie")</f>
        <v>Macadamia nut pie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5">
        <f>IFERROR(__xludf.DUMMYFUNCTION("""COMPUTED_VALUE"""),212.0)</f>
        <v>212</v>
      </c>
      <c r="B216" s="65" t="str">
        <f>IFERROR(__xludf.DUMMYFUNCTION("""COMPUTED_VALUE"""),"Faroe Islands")</f>
        <v>Faroe Islands</v>
      </c>
      <c r="C216" s="20" t="str">
        <f>IFERROR(__xludf.DUMMYFUNCTION("""COMPUTED_VALUE"""),"Europe")</f>
        <v>Europe</v>
      </c>
      <c r="D216" s="20" t="str">
        <f>IFERROR(__xludf.DUMMYFUNCTION("""COMPUTED_VALUE"""),"Northern Europe")</f>
        <v>Northern Europe</v>
      </c>
      <c r="E216" s="66">
        <f>IFERROR(__xludf.DUMMYFUNCTION("""COMPUTED_VALUE"""),49117.0)</f>
        <v>49117</v>
      </c>
      <c r="F216" s="66">
        <f>IFERROR(__xludf.DUMMYFUNCTION("""COMPUTED_VALUE"""),49290.0)</f>
        <v>49290</v>
      </c>
      <c r="G216" s="67">
        <f>IFERROR(__xludf.DUMMYFUNCTION("""COMPUTED_VALUE"""),0.0035)</f>
        <v>0.0035</v>
      </c>
      <c r="H216" s="6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5">
        <f>IFERROR(__xludf.DUMMYFUNCTION("""COMPUTED_VALUE"""),213.0)</f>
        <v>213</v>
      </c>
      <c r="B217" s="65" t="str">
        <f>IFERROR(__xludf.DUMMYFUNCTION("""COMPUTED_VALUE"""),"Sint Maarten")</f>
        <v>Sint Maarten</v>
      </c>
      <c r="C217" s="20" t="str">
        <f>IFERROR(__xludf.DUMMYFUNCTION("""COMPUTED_VALUE"""),"Americas")</f>
        <v>Americas</v>
      </c>
      <c r="D217" s="20" t="str">
        <f>IFERROR(__xludf.DUMMYFUNCTION("""COMPUTED_VALUE"""),"Caribbean")</f>
        <v>Caribbean</v>
      </c>
      <c r="E217" s="66">
        <f>IFERROR(__xludf.DUMMYFUNCTION("""COMPUTED_VALUE"""),39537.0)</f>
        <v>39537</v>
      </c>
      <c r="F217" s="66">
        <f>IFERROR(__xludf.DUMMYFUNCTION("""COMPUTED_VALUE"""),40120.0)</f>
        <v>40120</v>
      </c>
      <c r="G217" s="67">
        <f>IFERROR(__xludf.DUMMYFUNCTION("""COMPUTED_VALUE"""),0.0147)</f>
        <v>0.0147</v>
      </c>
      <c r="H217" s="6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5">
        <f>IFERROR(__xludf.DUMMYFUNCTION("""COMPUTED_VALUE"""),214.0)</f>
        <v>214</v>
      </c>
      <c r="B218" s="65" t="str">
        <f>IFERROR(__xludf.DUMMYFUNCTION("""COMPUTED_VALUE"""),"Monaco")</f>
        <v>Monaco</v>
      </c>
      <c r="C218" s="20" t="str">
        <f>IFERROR(__xludf.DUMMYFUNCTION("""COMPUTED_VALUE"""),"Europe")</f>
        <v>Europe</v>
      </c>
      <c r="D218" s="20" t="str">
        <f>IFERROR(__xludf.DUMMYFUNCTION("""COMPUTED_VALUE"""),"Western Europe")</f>
        <v>Western Europe</v>
      </c>
      <c r="E218" s="66">
        <f>IFERROR(__xludf.DUMMYFUNCTION("""COMPUTED_VALUE"""),38499.0)</f>
        <v>38499</v>
      </c>
      <c r="F218" s="66">
        <f>IFERROR(__xludf.DUMMYFUNCTION("""COMPUTED_VALUE"""),38695.0)</f>
        <v>38695</v>
      </c>
      <c r="G218" s="67">
        <f>IFERROR(__xludf.DUMMYFUNCTION("""COMPUTED_VALUE"""),0.0051)</f>
        <v>0.0051</v>
      </c>
      <c r="H218" s="60" t="str">
        <f>IFERROR(__xludf.DUMMYFUNCTION("""COMPUTED_VALUE"""),"Barbaguian")</f>
        <v>Barbaguian</v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5">
        <f>IFERROR(__xludf.DUMMYFUNCTION("""COMPUTED_VALUE"""),215.0)</f>
        <v>215</v>
      </c>
      <c r="B219" s="65" t="str">
        <f>IFERROR(__xludf.DUMMYFUNCTION("""COMPUTED_VALUE"""),"Liechtenstein")</f>
        <v>Liechtenstein</v>
      </c>
      <c r="C219" s="20" t="str">
        <f>IFERROR(__xludf.DUMMYFUNCTION("""COMPUTED_VALUE"""),"Europe")</f>
        <v>Europe</v>
      </c>
      <c r="D219" s="20" t="str">
        <f>IFERROR(__xludf.DUMMYFUNCTION("""COMPUTED_VALUE"""),"Western Europe")</f>
        <v>Western Europe</v>
      </c>
      <c r="E219" s="66">
        <f>IFERROR(__xludf.DUMMYFUNCTION("""COMPUTED_VALUE"""),37666.0)</f>
        <v>37666</v>
      </c>
      <c r="F219" s="66">
        <f>IFERROR(__xludf.DUMMYFUNCTION("""COMPUTED_VALUE"""),37922.0)</f>
        <v>37922</v>
      </c>
      <c r="G219" s="67">
        <f>IFERROR(__xludf.DUMMYFUNCTION("""COMPUTED_VALUE"""),0.0068)</f>
        <v>0.0068</v>
      </c>
      <c r="H219" s="60" t="str">
        <f>IFERROR(__xludf.DUMMYFUNCTION("""COMPUTED_VALUE"""),"Käsknöpfle")</f>
        <v>Käsknöpfle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5">
        <f>IFERROR(__xludf.DUMMYFUNCTION("""COMPUTED_VALUE"""),216.0)</f>
        <v>216</v>
      </c>
      <c r="B220" s="65" t="str">
        <f>IFERROR(__xludf.DUMMYFUNCTION("""COMPUTED_VALUE"""),"Turks and Caicos Islands")</f>
        <v>Turks and Caicos Islands</v>
      </c>
      <c r="C220" s="20" t="str">
        <f>IFERROR(__xludf.DUMMYFUNCTION("""COMPUTED_VALUE"""),"Americas")</f>
        <v>Americas</v>
      </c>
      <c r="D220" s="20" t="str">
        <f>IFERROR(__xludf.DUMMYFUNCTION("""COMPUTED_VALUE"""),"Caribbean")</f>
        <v>Caribbean</v>
      </c>
      <c r="E220" s="66">
        <f>IFERROR(__xludf.DUMMYFUNCTION("""COMPUTED_VALUE"""),34900.0)</f>
        <v>34900</v>
      </c>
      <c r="F220" s="66">
        <f>IFERROR(__xludf.DUMMYFUNCTION("""COMPUTED_VALUE"""),35446.0)</f>
        <v>35446</v>
      </c>
      <c r="G220" s="67">
        <f>IFERROR(__xludf.DUMMYFUNCTION("""COMPUTED_VALUE"""),0.0156)</f>
        <v>0.0156</v>
      </c>
      <c r="H220" s="6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5">
        <f>IFERROR(__xludf.DUMMYFUNCTION("""COMPUTED_VALUE"""),217.0)</f>
        <v>217</v>
      </c>
      <c r="B221" s="65" t="str">
        <f>IFERROR(__xludf.DUMMYFUNCTION("""COMPUTED_VALUE"""),"Gibraltar")</f>
        <v>Gibraltar</v>
      </c>
      <c r="C221" s="20" t="str">
        <f>IFERROR(__xludf.DUMMYFUNCTION("""COMPUTED_VALUE"""),"Europe")</f>
        <v>Europe</v>
      </c>
      <c r="D221" s="20" t="str">
        <f>IFERROR(__xludf.DUMMYFUNCTION("""COMPUTED_VALUE"""),"Southern Europe")</f>
        <v>Southern Europe</v>
      </c>
      <c r="E221" s="66">
        <f>IFERROR(__xludf.DUMMYFUNCTION("""COMPUTED_VALUE"""),34408.0)</f>
        <v>34408</v>
      </c>
      <c r="F221" s="66">
        <f>IFERROR(__xludf.DUMMYFUNCTION("""COMPUTED_VALUE"""),34571.0)</f>
        <v>34571</v>
      </c>
      <c r="G221" s="67">
        <f>IFERROR(__xludf.DUMMYFUNCTION("""COMPUTED_VALUE"""),0.0047)</f>
        <v>0.0047</v>
      </c>
      <c r="H221" s="60" t="str">
        <f>IFERROR(__xludf.DUMMYFUNCTION("""COMPUTED_VALUE"""),"Profiteroles")</f>
        <v>Profiteroles</v>
      </c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5">
        <f>IFERROR(__xludf.DUMMYFUNCTION("""COMPUTED_VALUE"""),218.0)</f>
        <v>218</v>
      </c>
      <c r="B222" s="65" t="str">
        <f>IFERROR(__xludf.DUMMYFUNCTION("""COMPUTED_VALUE"""),"San Marino")</f>
        <v>San Marino</v>
      </c>
      <c r="C222" s="20" t="str">
        <f>IFERROR(__xludf.DUMMYFUNCTION("""COMPUTED_VALUE"""),"Europe")</f>
        <v>Europe</v>
      </c>
      <c r="D222" s="20" t="str">
        <f>IFERROR(__xludf.DUMMYFUNCTION("""COMPUTED_VALUE"""),"Southern Europe")</f>
        <v>Southern Europe</v>
      </c>
      <c r="E222" s="66">
        <f>IFERROR(__xludf.DUMMYFUNCTION("""COMPUTED_VALUE"""),33203.0)</f>
        <v>33203</v>
      </c>
      <c r="F222" s="66">
        <f>IFERROR(__xludf.DUMMYFUNCTION("""COMPUTED_VALUE"""),33400.0)</f>
        <v>33400</v>
      </c>
      <c r="G222" s="67">
        <f>IFERROR(__xludf.DUMMYFUNCTION("""COMPUTED_VALUE"""),0.0059)</f>
        <v>0.0059</v>
      </c>
      <c r="H222" s="60" t="str">
        <f>IFERROR(__xludf.DUMMYFUNCTION("""COMPUTED_VALUE"""),"Torta Tre Monti")</f>
        <v>Torta Tre Monti</v>
      </c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5">
        <f>IFERROR(__xludf.DUMMYFUNCTION("""COMPUTED_VALUE"""),219.0)</f>
        <v>219</v>
      </c>
      <c r="B223" s="65" t="str">
        <f>IFERROR(__xludf.DUMMYFUNCTION("""COMPUTED_VALUE"""),"British Virgin Islands")</f>
        <v>British Virgin Islands</v>
      </c>
      <c r="C223" s="20" t="str">
        <f>IFERROR(__xludf.DUMMYFUNCTION("""COMPUTED_VALUE"""),"Americas")</f>
        <v>Americas</v>
      </c>
      <c r="D223" s="20" t="str">
        <f>IFERROR(__xludf.DUMMYFUNCTION("""COMPUTED_VALUE"""),"Caribbean")</f>
        <v>Caribbean</v>
      </c>
      <c r="E223" s="66">
        <f>IFERROR(__xludf.DUMMYFUNCTION("""COMPUTED_VALUE"""),30661.0)</f>
        <v>30661</v>
      </c>
      <c r="F223" s="66">
        <f>IFERROR(__xludf.DUMMYFUNCTION("""COMPUTED_VALUE"""),31196.0)</f>
        <v>31196</v>
      </c>
      <c r="G223" s="67">
        <f>IFERROR(__xludf.DUMMYFUNCTION("""COMPUTED_VALUE"""),0.0174)</f>
        <v>0.0174</v>
      </c>
      <c r="H223" s="6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5">
        <f>IFERROR(__xludf.DUMMYFUNCTION("""COMPUTED_VALUE"""),220.0)</f>
        <v>220</v>
      </c>
      <c r="B224" s="65" t="str">
        <f>IFERROR(__xludf.DUMMYFUNCTION("""COMPUTED_VALUE"""),"Caribbean Netherlands")</f>
        <v>Caribbean Netherlands</v>
      </c>
      <c r="C224" s="20" t="str">
        <f>IFERROR(__xludf.DUMMYFUNCTION("""COMPUTED_VALUE"""),"Americas")</f>
        <v>Americas</v>
      </c>
      <c r="D224" s="20" t="str">
        <f>IFERROR(__xludf.DUMMYFUNCTION("""COMPUTED_VALUE"""),"Caribbean")</f>
        <v>Caribbean</v>
      </c>
      <c r="E224" s="66">
        <f>IFERROR(__xludf.DUMMYFUNCTION("""COMPUTED_VALUE"""),25019.0)</f>
        <v>25019</v>
      </c>
      <c r="F224" s="66">
        <f>IFERROR(__xludf.DUMMYFUNCTION("""COMPUTED_VALUE"""),25398.0)</f>
        <v>25398</v>
      </c>
      <c r="G224" s="67">
        <f>IFERROR(__xludf.DUMMYFUNCTION("""COMPUTED_VALUE"""),0.0151)</f>
        <v>0.0151</v>
      </c>
      <c r="H224" s="6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5">
        <f>IFERROR(__xludf.DUMMYFUNCTION("""COMPUTED_VALUE"""),221.0)</f>
        <v>221</v>
      </c>
      <c r="B225" s="65" t="str">
        <f>IFERROR(__xludf.DUMMYFUNCTION("""COMPUTED_VALUE"""),"Palau")</f>
        <v>Palau</v>
      </c>
      <c r="C225" s="20" t="str">
        <f>IFERROR(__xludf.DUMMYFUNCTION("""COMPUTED_VALUE"""),"Oceania")</f>
        <v>Oceania</v>
      </c>
      <c r="D225" s="20" t="str">
        <f>IFERROR(__xludf.DUMMYFUNCTION("""COMPUTED_VALUE"""),"Micronesia")</f>
        <v>Micronesia</v>
      </c>
      <c r="E225" s="66">
        <f>IFERROR(__xludf.DUMMYFUNCTION("""COMPUTED_VALUE"""),21503.0)</f>
        <v>21503</v>
      </c>
      <c r="F225" s="66">
        <f>IFERROR(__xludf.DUMMYFUNCTION("""COMPUTED_VALUE"""),21729.0)</f>
        <v>21729</v>
      </c>
      <c r="G225" s="67">
        <f>IFERROR(__xludf.DUMMYFUNCTION("""COMPUTED_VALUE"""),0.0105)</f>
        <v>0.0105</v>
      </c>
      <c r="H225" s="60" t="str">
        <f>IFERROR(__xludf.DUMMYFUNCTION("""COMPUTED_VALUE"""),"Bat soup")</f>
        <v>Bat soup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5">
        <f>IFERROR(__xludf.DUMMYFUNCTION("""COMPUTED_VALUE"""),222.0)</f>
        <v>222</v>
      </c>
      <c r="B226" s="65" t="str">
        <f>IFERROR(__xludf.DUMMYFUNCTION("""COMPUTED_VALUE"""),"Cook Islands")</f>
        <v>Cook Islands</v>
      </c>
      <c r="C226" s="20" t="str">
        <f>IFERROR(__xludf.DUMMYFUNCTION("""COMPUTED_VALUE"""),"Oceania")</f>
        <v>Oceania</v>
      </c>
      <c r="D226" s="20" t="str">
        <f>IFERROR(__xludf.DUMMYFUNCTION("""COMPUTED_VALUE"""),"Polynesia")</f>
        <v>Polynesia</v>
      </c>
      <c r="E226" s="66">
        <f>IFERROR(__xludf.DUMMYFUNCTION("""COMPUTED_VALUE"""),17379.0)</f>
        <v>17379</v>
      </c>
      <c r="F226" s="66">
        <f>IFERROR(__xludf.DUMMYFUNCTION("""COMPUTED_VALUE"""),17380.0)</f>
        <v>17380</v>
      </c>
      <c r="G226" s="67">
        <f>IFERROR(__xludf.DUMMYFUNCTION("""COMPUTED_VALUE"""),1.0E-4)</f>
        <v>0.0001</v>
      </c>
      <c r="H226" s="6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5">
        <f>IFERROR(__xludf.DUMMYFUNCTION("""COMPUTED_VALUE"""),223.0)</f>
        <v>223</v>
      </c>
      <c r="B227" s="65" t="str">
        <f>IFERROR(__xludf.DUMMYFUNCTION("""COMPUTED_VALUE"""),"Anguilla")</f>
        <v>Anguilla</v>
      </c>
      <c r="C227" s="20" t="str">
        <f>IFERROR(__xludf.DUMMYFUNCTION("""COMPUTED_VALUE"""),"Americas")</f>
        <v>Americas</v>
      </c>
      <c r="D227" s="20" t="str">
        <f>IFERROR(__xludf.DUMMYFUNCTION("""COMPUTED_VALUE"""),"Caribbean")</f>
        <v>Caribbean</v>
      </c>
      <c r="E227" s="66">
        <f>IFERROR(__xludf.DUMMYFUNCTION("""COMPUTED_VALUE"""),14764.0)</f>
        <v>14764</v>
      </c>
      <c r="F227" s="66">
        <f>IFERROR(__xludf.DUMMYFUNCTION("""COMPUTED_VALUE"""),14909.0)</f>
        <v>14909</v>
      </c>
      <c r="G227" s="67">
        <f>IFERROR(__xludf.DUMMYFUNCTION("""COMPUTED_VALUE"""),0.0098)</f>
        <v>0.0098</v>
      </c>
      <c r="H227" s="6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5">
        <f>IFERROR(__xludf.DUMMYFUNCTION("""COMPUTED_VALUE"""),224.0)</f>
        <v>224</v>
      </c>
      <c r="B228" s="65" t="str">
        <f>IFERROR(__xludf.DUMMYFUNCTION("""COMPUTED_VALUE"""),"Wallis and Futuna")</f>
        <v>Wallis and Futuna</v>
      </c>
      <c r="C228" s="20" t="str">
        <f>IFERROR(__xludf.DUMMYFUNCTION("""COMPUTED_VALUE"""),"Oceania")</f>
        <v>Oceania</v>
      </c>
      <c r="D228" s="20" t="str">
        <f>IFERROR(__xludf.DUMMYFUNCTION("""COMPUTED_VALUE"""),"Polynesia")</f>
        <v>Polynesia</v>
      </c>
      <c r="E228" s="66">
        <f>IFERROR(__xludf.DUMMYFUNCTION("""COMPUTED_VALUE"""),11899.0)</f>
        <v>11899</v>
      </c>
      <c r="F228" s="66">
        <f>IFERROR(__xludf.DUMMYFUNCTION("""COMPUTED_VALUE"""),11773.0)</f>
        <v>11773</v>
      </c>
      <c r="G228" s="67">
        <f>IFERROR(__xludf.DUMMYFUNCTION("""COMPUTED_VALUE"""),-0.0106)</f>
        <v>-0.0106</v>
      </c>
      <c r="H228" s="6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5">
        <f>IFERROR(__xludf.DUMMYFUNCTION("""COMPUTED_VALUE"""),225.0)</f>
        <v>225</v>
      </c>
      <c r="B229" s="65" t="str">
        <f>IFERROR(__xludf.DUMMYFUNCTION("""COMPUTED_VALUE"""),"Nauru")</f>
        <v>Nauru</v>
      </c>
      <c r="C229" s="20" t="str">
        <f>IFERROR(__xludf.DUMMYFUNCTION("""COMPUTED_VALUE"""),"Oceania")</f>
        <v>Oceania</v>
      </c>
      <c r="D229" s="20" t="str">
        <f>IFERROR(__xludf.DUMMYFUNCTION("""COMPUTED_VALUE"""),"Micronesia")</f>
        <v>Micronesia</v>
      </c>
      <c r="E229" s="66">
        <f>IFERROR(__xludf.DUMMYFUNCTION("""COMPUTED_VALUE"""),11347.0)</f>
        <v>11347</v>
      </c>
      <c r="F229" s="66">
        <f>IFERROR(__xludf.DUMMYFUNCTION("""COMPUTED_VALUE"""),11359.0)</f>
        <v>11359</v>
      </c>
      <c r="G229" s="67">
        <f>IFERROR(__xludf.DUMMYFUNCTION("""COMPUTED_VALUE"""),0.0011)</f>
        <v>0.0011</v>
      </c>
      <c r="H229" s="60" t="str">
        <f>IFERROR(__xludf.DUMMYFUNCTION("""COMPUTED_VALUE"""),"Coconut fish")</f>
        <v>Coconut fish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5">
        <f>IFERROR(__xludf.DUMMYFUNCTION("""COMPUTED_VALUE"""),226.0)</f>
        <v>226</v>
      </c>
      <c r="B230" s="65" t="str">
        <f>IFERROR(__xludf.DUMMYFUNCTION("""COMPUTED_VALUE"""),"Tuvalu")</f>
        <v>Tuvalu</v>
      </c>
      <c r="C230" s="20" t="str">
        <f>IFERROR(__xludf.DUMMYFUNCTION("""COMPUTED_VALUE"""),"Oceania")</f>
        <v>Oceania</v>
      </c>
      <c r="D230" s="20" t="str">
        <f>IFERROR(__xludf.DUMMYFUNCTION("""COMPUTED_VALUE"""),"Polynesia")</f>
        <v>Polynesia</v>
      </c>
      <c r="E230" s="66">
        <f>IFERROR(__xludf.DUMMYFUNCTION("""COMPUTED_VALUE"""),11097.0)</f>
        <v>11097</v>
      </c>
      <c r="F230" s="66">
        <f>IFERROR(__xludf.DUMMYFUNCTION("""COMPUTED_VALUE"""),11192.0)</f>
        <v>11192</v>
      </c>
      <c r="G230" s="67">
        <f>IFERROR(__xludf.DUMMYFUNCTION("""COMPUTED_VALUE"""),0.0086)</f>
        <v>0.0086</v>
      </c>
      <c r="H230" s="60" t="str">
        <f>IFERROR(__xludf.DUMMYFUNCTION("""COMPUTED_VALUE"""),"Pulaka")</f>
        <v>Pulaka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5">
        <f>IFERROR(__xludf.DUMMYFUNCTION("""COMPUTED_VALUE"""),227.0)</f>
        <v>227</v>
      </c>
      <c r="B231" s="65" t="str">
        <f>IFERROR(__xludf.DUMMYFUNCTION("""COMPUTED_VALUE"""),"Saint Pierre and Miquelon")</f>
        <v>Saint Pierre and Miquelon</v>
      </c>
      <c r="C231" s="20" t="str">
        <f>IFERROR(__xludf.DUMMYFUNCTION("""COMPUTED_VALUE"""),"Americas")</f>
        <v>Americas</v>
      </c>
      <c r="D231" s="20" t="str">
        <f>IFERROR(__xludf.DUMMYFUNCTION("""COMPUTED_VALUE"""),"Northern America")</f>
        <v>Northern America</v>
      </c>
      <c r="E231" s="66">
        <f>IFERROR(__xludf.DUMMYFUNCTION("""COMPUTED_VALUE"""),6305.0)</f>
        <v>6305</v>
      </c>
      <c r="F231" s="66">
        <f>IFERROR(__xludf.DUMMYFUNCTION("""COMPUTED_VALUE"""),6320.0)</f>
        <v>6320</v>
      </c>
      <c r="G231" s="67">
        <f>IFERROR(__xludf.DUMMYFUNCTION("""COMPUTED_VALUE"""),0.0024)</f>
        <v>0.0024</v>
      </c>
      <c r="H231" s="6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5">
        <f>IFERROR(__xludf.DUMMYFUNCTION("""COMPUTED_VALUE"""),228.0)</f>
        <v>228</v>
      </c>
      <c r="B232" s="65" t="str">
        <f>IFERROR(__xludf.DUMMYFUNCTION("""COMPUTED_VALUE"""),"Montserrat")</f>
        <v>Montserrat</v>
      </c>
      <c r="C232" s="20" t="str">
        <f>IFERROR(__xludf.DUMMYFUNCTION("""COMPUTED_VALUE"""),"Americas")</f>
        <v>Americas</v>
      </c>
      <c r="D232" s="20" t="str">
        <f>IFERROR(__xludf.DUMMYFUNCTION("""COMPUTED_VALUE"""),"Caribbean")</f>
        <v>Caribbean</v>
      </c>
      <c r="E232" s="66">
        <f>IFERROR(__xludf.DUMMYFUNCTION("""COMPUTED_VALUE"""),5152.0)</f>
        <v>5152</v>
      </c>
      <c r="F232" s="66">
        <f>IFERROR(__xludf.DUMMYFUNCTION("""COMPUTED_VALUE"""),5177.0)</f>
        <v>5177</v>
      </c>
      <c r="G232" s="67">
        <f>IFERROR(__xludf.DUMMYFUNCTION("""COMPUTED_VALUE"""),0.0049)</f>
        <v>0.0049</v>
      </c>
      <c r="H232" s="60" t="str">
        <f>IFERROR(__xludf.DUMMYFUNCTION("""COMPUTED_VALUE"""),"Goat water")</f>
        <v>Goat water</v>
      </c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5">
        <f>IFERROR(__xludf.DUMMYFUNCTION("""COMPUTED_VALUE"""),229.0)</f>
        <v>229</v>
      </c>
      <c r="B233" s="65" t="str">
        <f>IFERROR(__xludf.DUMMYFUNCTION("""COMPUTED_VALUE"""),"Saint Helena, Ascension and Tristan da Cunha")</f>
        <v>Saint Helena, Ascension and Tristan da Cunha</v>
      </c>
      <c r="C233" s="20" t="str">
        <f>IFERROR(__xludf.DUMMYFUNCTION("""COMPUTED_VALUE"""),"Africa")</f>
        <v>Africa</v>
      </c>
      <c r="D233" s="20" t="str">
        <f>IFERROR(__xludf.DUMMYFUNCTION("""COMPUTED_VALUE"""),"Western Africa")</f>
        <v>Western Africa</v>
      </c>
      <c r="E233" s="66">
        <f>IFERROR(__xludf.DUMMYFUNCTION("""COMPUTED_VALUE"""),4035.0)</f>
        <v>4035</v>
      </c>
      <c r="F233" s="66">
        <f>IFERROR(__xludf.DUMMYFUNCTION("""COMPUTED_VALUE"""),4049.0)</f>
        <v>4049</v>
      </c>
      <c r="G233" s="67">
        <f>IFERROR(__xludf.DUMMYFUNCTION("""COMPUTED_VALUE"""),0.0035)</f>
        <v>0.0035</v>
      </c>
      <c r="H233" s="6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5">
        <f>IFERROR(__xludf.DUMMYFUNCTION("""COMPUTED_VALUE"""),230.0)</f>
        <v>230</v>
      </c>
      <c r="B234" s="65" t="str">
        <f>IFERROR(__xludf.DUMMYFUNCTION("""COMPUTED_VALUE"""),"Falkland Islands")</f>
        <v>Falkland Islands</v>
      </c>
      <c r="C234" s="20" t="str">
        <f>IFERROR(__xludf.DUMMYFUNCTION("""COMPUTED_VALUE"""),"Americas")</f>
        <v>Americas</v>
      </c>
      <c r="D234" s="20" t="str">
        <f>IFERROR(__xludf.DUMMYFUNCTION("""COMPUTED_VALUE"""),"South America")</f>
        <v>South America</v>
      </c>
      <c r="E234" s="66">
        <f>IFERROR(__xludf.DUMMYFUNCTION("""COMPUTED_VALUE"""),2910.0)</f>
        <v>2910</v>
      </c>
      <c r="F234" s="66">
        <f>IFERROR(__xludf.DUMMYFUNCTION("""COMPUTED_VALUE"""),2910.0)</f>
        <v>2910</v>
      </c>
      <c r="G234" s="67">
        <f>IFERROR(__xludf.DUMMYFUNCTION("""COMPUTED_VALUE"""),0.0)</f>
        <v>0</v>
      </c>
      <c r="H234" s="6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5">
        <f>IFERROR(__xludf.DUMMYFUNCTION("""COMPUTED_VALUE"""),231.0)</f>
        <v>231</v>
      </c>
      <c r="B235" s="65" t="str">
        <f>IFERROR(__xludf.DUMMYFUNCTION("""COMPUTED_VALUE"""),"Niue")</f>
        <v>Niue</v>
      </c>
      <c r="C235" s="20" t="str">
        <f>IFERROR(__xludf.DUMMYFUNCTION("""COMPUTED_VALUE"""),"Oceania")</f>
        <v>Oceania</v>
      </c>
      <c r="D235" s="20" t="str">
        <f>IFERROR(__xludf.DUMMYFUNCTION("""COMPUTED_VALUE"""),"Polynesia")</f>
        <v>Polynesia</v>
      </c>
      <c r="E235" s="66">
        <f>IFERROR(__xludf.DUMMYFUNCTION("""COMPUTED_VALUE"""),1624.0)</f>
        <v>1624</v>
      </c>
      <c r="F235" s="66">
        <f>IFERROR(__xludf.DUMMYFUNCTION("""COMPUTED_VALUE"""),1618.0)</f>
        <v>1618</v>
      </c>
      <c r="G235" s="67">
        <f>IFERROR(__xludf.DUMMYFUNCTION("""COMPUTED_VALUE"""),-0.0037)</f>
        <v>-0.0037</v>
      </c>
      <c r="H235" s="6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5">
        <f>IFERROR(__xludf.DUMMYFUNCTION("""COMPUTED_VALUE"""),232.0)</f>
        <v>232</v>
      </c>
      <c r="B236" s="65" t="str">
        <f>IFERROR(__xludf.DUMMYFUNCTION("""COMPUTED_VALUE"""),"Tokelau")</f>
        <v>Tokelau</v>
      </c>
      <c r="C236" s="20" t="str">
        <f>IFERROR(__xludf.DUMMYFUNCTION("""COMPUTED_VALUE"""),"Oceania")</f>
        <v>Oceania</v>
      </c>
      <c r="D236" s="20" t="str">
        <f>IFERROR(__xludf.DUMMYFUNCTION("""COMPUTED_VALUE"""),"Polynesia")</f>
        <v>Polynesia</v>
      </c>
      <c r="E236" s="66">
        <f>IFERROR(__xludf.DUMMYFUNCTION("""COMPUTED_VALUE"""),1282.0)</f>
        <v>1282</v>
      </c>
      <c r="F236" s="66">
        <f>IFERROR(__xludf.DUMMYFUNCTION("""COMPUTED_VALUE"""),1300.0)</f>
        <v>1300</v>
      </c>
      <c r="G236" s="67">
        <f>IFERROR(__xludf.DUMMYFUNCTION("""COMPUTED_VALUE"""),0.014)</f>
        <v>0.014</v>
      </c>
      <c r="H236" s="6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5">
        <f>IFERROR(__xludf.DUMMYFUNCTION("""COMPUTED_VALUE"""),233.0)</f>
        <v>233</v>
      </c>
      <c r="B237" s="65" t="str">
        <f>IFERROR(__xludf.DUMMYFUNCTION("""COMPUTED_VALUE"""),"Vatican City")</f>
        <v>Vatican City</v>
      </c>
      <c r="C237" s="20" t="str">
        <f>IFERROR(__xludf.DUMMYFUNCTION("""COMPUTED_VALUE"""),"Europe")</f>
        <v>Europe</v>
      </c>
      <c r="D237" s="20" t="str">
        <f>IFERROR(__xludf.DUMMYFUNCTION("""COMPUTED_VALUE"""),"Southern Europe")</f>
        <v>Southern Europe</v>
      </c>
      <c r="E237" s="66">
        <f>IFERROR(__xludf.DUMMYFUNCTION("""COMPUTED_VALUE"""),801.0)</f>
        <v>801</v>
      </c>
      <c r="F237" s="66">
        <f>IFERROR(__xludf.DUMMYFUNCTION("""COMPUTED_VALUE"""),792.0)</f>
        <v>792</v>
      </c>
      <c r="G237" s="67">
        <f>IFERROR(__xludf.DUMMYFUNCTION("""COMPUTED_VALUE"""),-0.0112)</f>
        <v>-0.0112</v>
      </c>
      <c r="H237" s="6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5" t="str">
        <f>IFERROR(__xludf.DUMMYFUNCTION("""COMPUTED_VALUE"""),"—")</f>
        <v>—</v>
      </c>
      <c r="B238" s="65" t="str">
        <f>IFERROR(__xludf.DUMMYFUNCTION("""COMPUTED_VALUE"""),"*World*")</f>
        <v>*World*</v>
      </c>
      <c r="C238" s="20" t="str">
        <f>IFERROR(__xludf.DUMMYFUNCTION("""COMPUTED_VALUE"""),"—")</f>
        <v>—</v>
      </c>
      <c r="D238" s="20" t="str">
        <f>IFERROR(__xludf.DUMMYFUNCTION("""COMPUTED_VALUE"""),"—")</f>
        <v>—</v>
      </c>
      <c r="E238" s="66">
        <f>IFERROR(__xludf.DUMMYFUNCTION("""COMPUTED_VALUE"""),7.46696428E9)</f>
        <v>7466964280</v>
      </c>
      <c r="F238" s="66">
        <f>IFERROR(__xludf.DUMMYFUNCTION("""COMPUTED_VALUE"""),7.550262101E9)</f>
        <v>7550262101</v>
      </c>
      <c r="G238" s="67">
        <f>IFERROR(__xludf.DUMMYFUNCTION("""COMPUTED_VALUE"""),0.0112)</f>
        <v>0.0112</v>
      </c>
      <c r="H238" s="6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5"/>
      <c r="B239" s="65"/>
      <c r="C239" s="20"/>
      <c r="D239" s="20"/>
      <c r="E239" s="20"/>
      <c r="F239" s="20"/>
      <c r="G239" s="20"/>
      <c r="H239" s="6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5"/>
      <c r="B240" s="65"/>
      <c r="C240" s="20"/>
      <c r="D240" s="20"/>
      <c r="E240" s="20"/>
      <c r="F240" s="20"/>
      <c r="G240" s="20"/>
      <c r="H240" s="6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5"/>
      <c r="B241" s="65"/>
      <c r="C241" s="20"/>
      <c r="D241" s="20"/>
      <c r="E241" s="20"/>
      <c r="F241" s="20"/>
      <c r="G241" s="20"/>
      <c r="H241" s="6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5"/>
      <c r="B242" s="65"/>
      <c r="C242" s="20"/>
      <c r="D242" s="20"/>
      <c r="E242" s="20"/>
      <c r="F242" s="20"/>
      <c r="G242" s="20"/>
      <c r="H242" s="6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5"/>
      <c r="B243" s="65"/>
      <c r="C243" s="20"/>
      <c r="D243" s="20"/>
      <c r="E243" s="20"/>
      <c r="F243" s="20"/>
      <c r="G243" s="20"/>
      <c r="H243" s="6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5"/>
      <c r="B244" s="65"/>
      <c r="C244" s="20"/>
      <c r="D244" s="20"/>
      <c r="E244" s="20"/>
      <c r="F244" s="20"/>
      <c r="G244" s="20"/>
      <c r="H244" s="6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5"/>
      <c r="B245" s="65"/>
      <c r="C245" s="20"/>
      <c r="D245" s="20"/>
      <c r="E245" s="20"/>
      <c r="F245" s="20"/>
      <c r="G245" s="20"/>
      <c r="H245" s="6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5"/>
      <c r="B246" s="65"/>
      <c r="C246" s="20"/>
      <c r="D246" s="20"/>
      <c r="E246" s="20"/>
      <c r="F246" s="20"/>
      <c r="G246" s="20"/>
      <c r="H246" s="6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5"/>
      <c r="B247" s="65"/>
      <c r="C247" s="20"/>
      <c r="D247" s="20"/>
      <c r="E247" s="20"/>
      <c r="F247" s="20"/>
      <c r="G247" s="20"/>
      <c r="H247" s="6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5"/>
      <c r="B248" s="65"/>
      <c r="C248" s="20"/>
      <c r="D248" s="20"/>
      <c r="E248" s="20"/>
      <c r="F248" s="20"/>
      <c r="G248" s="20"/>
      <c r="H248" s="6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5"/>
      <c r="B249" s="65"/>
      <c r="C249" s="20"/>
      <c r="D249" s="20"/>
      <c r="E249" s="20"/>
      <c r="F249" s="20"/>
      <c r="G249" s="20"/>
      <c r="H249" s="6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5"/>
      <c r="B250" s="65"/>
      <c r="C250" s="20"/>
      <c r="D250" s="20"/>
      <c r="E250" s="20"/>
      <c r="F250" s="20"/>
      <c r="G250" s="20"/>
      <c r="H250" s="6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5"/>
      <c r="B251" s="65"/>
      <c r="C251" s="20"/>
      <c r="D251" s="20"/>
      <c r="E251" s="20"/>
      <c r="F251" s="20"/>
      <c r="G251" s="20"/>
      <c r="H251" s="6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5"/>
      <c r="B252" s="65"/>
      <c r="C252" s="20"/>
      <c r="D252" s="20"/>
      <c r="E252" s="20"/>
      <c r="F252" s="20"/>
      <c r="G252" s="20"/>
      <c r="H252" s="6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5"/>
      <c r="B253" s="65"/>
      <c r="C253" s="20"/>
      <c r="D253" s="20"/>
      <c r="E253" s="20"/>
      <c r="F253" s="20"/>
      <c r="G253" s="20"/>
      <c r="H253" s="6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5"/>
      <c r="B254" s="65"/>
      <c r="C254" s="20"/>
      <c r="D254" s="20"/>
      <c r="E254" s="20"/>
      <c r="F254" s="20"/>
      <c r="G254" s="20"/>
      <c r="H254" s="6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5"/>
      <c r="B255" s="65"/>
      <c r="C255" s="20"/>
      <c r="D255" s="20"/>
      <c r="E255" s="20"/>
      <c r="F255" s="20"/>
      <c r="G255" s="20"/>
      <c r="H255" s="6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5"/>
      <c r="B256" s="65"/>
      <c r="C256" s="20"/>
      <c r="D256" s="20"/>
      <c r="E256" s="20"/>
      <c r="F256" s="20"/>
      <c r="G256" s="20"/>
      <c r="H256" s="6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5"/>
      <c r="B257" s="65"/>
      <c r="C257" s="20"/>
      <c r="D257" s="20"/>
      <c r="E257" s="20"/>
      <c r="F257" s="20"/>
      <c r="G257" s="20"/>
      <c r="H257" s="6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5"/>
      <c r="B258" s="65"/>
      <c r="C258" s="20"/>
      <c r="D258" s="20"/>
      <c r="E258" s="20"/>
      <c r="F258" s="20"/>
      <c r="G258" s="20"/>
      <c r="H258" s="6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5"/>
      <c r="B259" s="65"/>
      <c r="C259" s="20"/>
      <c r="D259" s="20"/>
      <c r="E259" s="20"/>
      <c r="F259" s="20"/>
      <c r="G259" s="20"/>
      <c r="H259" s="6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5"/>
      <c r="B260" s="65"/>
      <c r="C260" s="20"/>
      <c r="D260" s="20"/>
      <c r="E260" s="20"/>
      <c r="F260" s="20"/>
      <c r="G260" s="20"/>
      <c r="H260" s="6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5"/>
      <c r="B261" s="65"/>
      <c r="C261" s="20"/>
      <c r="D261" s="20"/>
      <c r="E261" s="20"/>
      <c r="F261" s="20"/>
      <c r="G261" s="20"/>
      <c r="H261" s="6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5"/>
      <c r="B262" s="65"/>
      <c r="C262" s="20"/>
      <c r="D262" s="20"/>
      <c r="E262" s="20"/>
      <c r="F262" s="20"/>
      <c r="G262" s="20"/>
      <c r="H262" s="6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5"/>
      <c r="B263" s="65"/>
      <c r="C263" s="20"/>
      <c r="D263" s="20"/>
      <c r="E263" s="20"/>
      <c r="F263" s="20"/>
      <c r="G263" s="20"/>
      <c r="H263" s="6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5"/>
      <c r="B264" s="65"/>
      <c r="C264" s="20"/>
      <c r="D264" s="20"/>
      <c r="E264" s="20"/>
      <c r="F264" s="20"/>
      <c r="G264" s="20"/>
      <c r="H264" s="6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5"/>
      <c r="B265" s="65"/>
      <c r="C265" s="20"/>
      <c r="D265" s="20"/>
      <c r="E265" s="20"/>
      <c r="F265" s="20"/>
      <c r="G265" s="20"/>
      <c r="H265" s="6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5"/>
      <c r="B266" s="65"/>
      <c r="C266" s="20"/>
      <c r="D266" s="20"/>
      <c r="E266" s="20"/>
      <c r="F266" s="20"/>
      <c r="G266" s="20"/>
      <c r="H266" s="6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5"/>
      <c r="B267" s="65"/>
      <c r="C267" s="20"/>
      <c r="D267" s="20"/>
      <c r="E267" s="20"/>
      <c r="F267" s="20"/>
      <c r="G267" s="20"/>
      <c r="H267" s="6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5"/>
      <c r="B268" s="65"/>
      <c r="C268" s="20"/>
      <c r="D268" s="20"/>
      <c r="E268" s="20"/>
      <c r="F268" s="20"/>
      <c r="G268" s="20"/>
      <c r="H268" s="6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5"/>
      <c r="B269" s="65"/>
      <c r="C269" s="20"/>
      <c r="D269" s="20"/>
      <c r="E269" s="20"/>
      <c r="F269" s="20"/>
      <c r="G269" s="20"/>
      <c r="H269" s="6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5"/>
      <c r="B270" s="65"/>
      <c r="C270" s="20"/>
      <c r="D270" s="20"/>
      <c r="E270" s="20"/>
      <c r="F270" s="20"/>
      <c r="G270" s="20"/>
      <c r="H270" s="6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5"/>
      <c r="B271" s="65"/>
      <c r="C271" s="20"/>
      <c r="D271" s="20"/>
      <c r="E271" s="20"/>
      <c r="F271" s="20"/>
      <c r="G271" s="20"/>
      <c r="H271" s="6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5"/>
      <c r="B272" s="65"/>
      <c r="C272" s="20"/>
      <c r="D272" s="20"/>
      <c r="E272" s="20"/>
      <c r="F272" s="20"/>
      <c r="G272" s="20"/>
      <c r="H272" s="6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5"/>
      <c r="B273" s="65"/>
      <c r="C273" s="20"/>
      <c r="D273" s="20"/>
      <c r="E273" s="20"/>
      <c r="F273" s="20"/>
      <c r="G273" s="20"/>
      <c r="H273" s="6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5"/>
      <c r="B274" s="65"/>
      <c r="C274" s="20"/>
      <c r="D274" s="20"/>
      <c r="E274" s="20"/>
      <c r="F274" s="20"/>
      <c r="G274" s="20"/>
      <c r="H274" s="6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5"/>
      <c r="B275" s="65"/>
      <c r="C275" s="20"/>
      <c r="D275" s="20"/>
      <c r="E275" s="20"/>
      <c r="F275" s="20"/>
      <c r="G275" s="20"/>
      <c r="H275" s="6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5"/>
      <c r="B276" s="65"/>
      <c r="C276" s="20"/>
      <c r="D276" s="20"/>
      <c r="E276" s="20"/>
      <c r="F276" s="20"/>
      <c r="G276" s="20"/>
      <c r="H276" s="6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5"/>
      <c r="B277" s="65"/>
      <c r="C277" s="20"/>
      <c r="D277" s="20"/>
      <c r="E277" s="20"/>
      <c r="F277" s="20"/>
      <c r="G277" s="20"/>
      <c r="H277" s="6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5"/>
      <c r="B278" s="65"/>
      <c r="C278" s="20"/>
      <c r="D278" s="20"/>
      <c r="E278" s="20"/>
      <c r="F278" s="20"/>
      <c r="G278" s="20"/>
      <c r="H278" s="6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5"/>
      <c r="B279" s="65"/>
      <c r="C279" s="20"/>
      <c r="D279" s="20"/>
      <c r="E279" s="20"/>
      <c r="F279" s="20"/>
      <c r="G279" s="20"/>
      <c r="H279" s="6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5"/>
      <c r="B280" s="65"/>
      <c r="C280" s="20"/>
      <c r="D280" s="20"/>
      <c r="E280" s="20"/>
      <c r="F280" s="20"/>
      <c r="G280" s="20"/>
      <c r="H280" s="6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5"/>
      <c r="B281" s="65"/>
      <c r="C281" s="20"/>
      <c r="D281" s="20"/>
      <c r="E281" s="20"/>
      <c r="F281" s="20"/>
      <c r="G281" s="20"/>
      <c r="H281" s="6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5"/>
      <c r="B282" s="65"/>
      <c r="C282" s="20"/>
      <c r="D282" s="20"/>
      <c r="E282" s="20"/>
      <c r="F282" s="20"/>
      <c r="G282" s="20"/>
      <c r="H282" s="6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5"/>
      <c r="B283" s="65"/>
      <c r="C283" s="20"/>
      <c r="D283" s="20"/>
      <c r="E283" s="20"/>
      <c r="F283" s="20"/>
      <c r="G283" s="20"/>
      <c r="H283" s="6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5"/>
      <c r="B284" s="65"/>
      <c r="C284" s="20"/>
      <c r="D284" s="20"/>
      <c r="E284" s="20"/>
      <c r="F284" s="20"/>
      <c r="G284" s="20"/>
      <c r="H284" s="6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5"/>
      <c r="B285" s="65"/>
      <c r="C285" s="20"/>
      <c r="D285" s="20"/>
      <c r="E285" s="20"/>
      <c r="F285" s="20"/>
      <c r="G285" s="20"/>
      <c r="H285" s="6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5"/>
      <c r="B286" s="65"/>
      <c r="C286" s="20"/>
      <c r="D286" s="20"/>
      <c r="E286" s="20"/>
      <c r="F286" s="20"/>
      <c r="G286" s="20"/>
      <c r="H286" s="6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5"/>
      <c r="B287" s="65"/>
      <c r="C287" s="20"/>
      <c r="D287" s="20"/>
      <c r="E287" s="20"/>
      <c r="F287" s="20"/>
      <c r="G287" s="20"/>
      <c r="H287" s="6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5"/>
      <c r="B288" s="65"/>
      <c r="C288" s="20"/>
      <c r="D288" s="20"/>
      <c r="E288" s="20"/>
      <c r="F288" s="20"/>
      <c r="G288" s="20"/>
      <c r="H288" s="6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5"/>
      <c r="B289" s="65"/>
      <c r="C289" s="20"/>
      <c r="D289" s="20"/>
      <c r="E289" s="20"/>
      <c r="F289" s="20"/>
      <c r="G289" s="20"/>
      <c r="H289" s="6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5"/>
      <c r="B290" s="65"/>
      <c r="C290" s="20"/>
      <c r="D290" s="20"/>
      <c r="E290" s="20"/>
      <c r="F290" s="20"/>
      <c r="G290" s="20"/>
      <c r="H290" s="6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5"/>
      <c r="B291" s="65"/>
      <c r="C291" s="20"/>
      <c r="D291" s="20"/>
      <c r="E291" s="20"/>
      <c r="F291" s="20"/>
      <c r="G291" s="20"/>
      <c r="H291" s="6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5"/>
      <c r="B292" s="65"/>
      <c r="C292" s="20"/>
      <c r="D292" s="20"/>
      <c r="E292" s="20"/>
      <c r="F292" s="20"/>
      <c r="G292" s="20"/>
      <c r="H292" s="6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5"/>
      <c r="B293" s="65"/>
      <c r="C293" s="20"/>
      <c r="D293" s="20"/>
      <c r="E293" s="20"/>
      <c r="F293" s="20"/>
      <c r="G293" s="20"/>
      <c r="H293" s="6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5"/>
      <c r="B294" s="65"/>
      <c r="C294" s="20"/>
      <c r="D294" s="20"/>
      <c r="E294" s="20"/>
      <c r="F294" s="20"/>
      <c r="G294" s="20"/>
      <c r="H294" s="6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5"/>
      <c r="B295" s="65"/>
      <c r="C295" s="20"/>
      <c r="D295" s="20"/>
      <c r="E295" s="20"/>
      <c r="F295" s="20"/>
      <c r="G295" s="20"/>
      <c r="H295" s="6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5"/>
      <c r="B296" s="65"/>
      <c r="C296" s="20"/>
      <c r="D296" s="20"/>
      <c r="E296" s="20"/>
      <c r="F296" s="20"/>
      <c r="G296" s="20"/>
      <c r="H296" s="6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5"/>
      <c r="B297" s="65"/>
      <c r="C297" s="20"/>
      <c r="D297" s="20"/>
      <c r="E297" s="20"/>
      <c r="F297" s="20"/>
      <c r="G297" s="20"/>
      <c r="H297" s="6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5"/>
      <c r="B298" s="65"/>
      <c r="C298" s="20"/>
      <c r="D298" s="20"/>
      <c r="E298" s="20"/>
      <c r="F298" s="20"/>
      <c r="G298" s="20"/>
      <c r="H298" s="6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5"/>
      <c r="B299" s="65"/>
      <c r="C299" s="20"/>
      <c r="D299" s="20"/>
      <c r="E299" s="20"/>
      <c r="F299" s="20"/>
      <c r="G299" s="20"/>
      <c r="H299" s="6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5"/>
      <c r="B300" s="65"/>
      <c r="C300" s="20"/>
      <c r="D300" s="20"/>
      <c r="E300" s="20"/>
      <c r="F300" s="20"/>
      <c r="G300" s="20"/>
      <c r="H300" s="6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5"/>
      <c r="B301" s="65"/>
      <c r="C301" s="20"/>
      <c r="D301" s="20"/>
      <c r="E301" s="20"/>
      <c r="F301" s="20"/>
      <c r="G301" s="20"/>
      <c r="H301" s="6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5"/>
      <c r="B302" s="65"/>
      <c r="C302" s="20"/>
      <c r="D302" s="20"/>
      <c r="E302" s="20"/>
      <c r="F302" s="20"/>
      <c r="G302" s="20"/>
      <c r="H302" s="6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5"/>
      <c r="B303" s="65"/>
      <c r="C303" s="20"/>
      <c r="D303" s="20"/>
      <c r="E303" s="20"/>
      <c r="F303" s="20"/>
      <c r="G303" s="20"/>
      <c r="H303" s="6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5"/>
      <c r="B304" s="65"/>
      <c r="C304" s="20"/>
      <c r="D304" s="20"/>
      <c r="E304" s="20"/>
      <c r="F304" s="20"/>
      <c r="G304" s="20"/>
      <c r="H304" s="6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5"/>
      <c r="B305" s="65"/>
      <c r="C305" s="20"/>
      <c r="D305" s="20"/>
      <c r="E305" s="20"/>
      <c r="F305" s="20"/>
      <c r="G305" s="20"/>
      <c r="H305" s="6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5"/>
      <c r="B306" s="65"/>
      <c r="C306" s="20"/>
      <c r="D306" s="20"/>
      <c r="E306" s="20"/>
      <c r="F306" s="20"/>
      <c r="G306" s="20"/>
      <c r="H306" s="6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5"/>
      <c r="B307" s="65"/>
      <c r="C307" s="20"/>
      <c r="D307" s="20"/>
      <c r="E307" s="20"/>
      <c r="F307" s="20"/>
      <c r="G307" s="20"/>
      <c r="H307" s="6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5"/>
      <c r="B308" s="65"/>
      <c r="C308" s="20"/>
      <c r="D308" s="20"/>
      <c r="E308" s="20"/>
      <c r="F308" s="20"/>
      <c r="G308" s="20"/>
      <c r="H308" s="6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5"/>
      <c r="B309" s="65"/>
      <c r="C309" s="20"/>
      <c r="D309" s="20"/>
      <c r="E309" s="20"/>
      <c r="F309" s="20"/>
      <c r="G309" s="20"/>
      <c r="H309" s="6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5"/>
      <c r="B310" s="65"/>
      <c r="C310" s="20"/>
      <c r="D310" s="20"/>
      <c r="E310" s="20"/>
      <c r="F310" s="20"/>
      <c r="G310" s="20"/>
      <c r="H310" s="6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5"/>
      <c r="B311" s="65"/>
      <c r="C311" s="20"/>
      <c r="D311" s="20"/>
      <c r="E311" s="20"/>
      <c r="F311" s="20"/>
      <c r="G311" s="20"/>
      <c r="H311" s="6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5"/>
      <c r="B312" s="65"/>
      <c r="C312" s="20"/>
      <c r="D312" s="20"/>
      <c r="E312" s="20"/>
      <c r="F312" s="20"/>
      <c r="G312" s="20"/>
      <c r="H312" s="6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5"/>
      <c r="B313" s="65"/>
      <c r="C313" s="20"/>
      <c r="D313" s="20"/>
      <c r="E313" s="20"/>
      <c r="F313" s="20"/>
      <c r="G313" s="20"/>
      <c r="H313" s="6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5"/>
      <c r="B314" s="65"/>
      <c r="C314" s="20"/>
      <c r="D314" s="20"/>
      <c r="E314" s="20"/>
      <c r="F314" s="20"/>
      <c r="G314" s="20"/>
      <c r="H314" s="6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5"/>
      <c r="B315" s="65"/>
      <c r="C315" s="20"/>
      <c r="D315" s="20"/>
      <c r="E315" s="20"/>
      <c r="F315" s="20"/>
      <c r="G315" s="20"/>
      <c r="H315" s="6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5"/>
      <c r="B316" s="65"/>
      <c r="C316" s="20"/>
      <c r="D316" s="20"/>
      <c r="E316" s="20"/>
      <c r="F316" s="20"/>
      <c r="G316" s="20"/>
      <c r="H316" s="6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5"/>
      <c r="B317" s="65"/>
      <c r="C317" s="20"/>
      <c r="D317" s="20"/>
      <c r="E317" s="20"/>
      <c r="F317" s="20"/>
      <c r="G317" s="20"/>
      <c r="H317" s="6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5"/>
      <c r="B318" s="65"/>
      <c r="C318" s="20"/>
      <c r="D318" s="20"/>
      <c r="E318" s="20"/>
      <c r="F318" s="20"/>
      <c r="G318" s="20"/>
      <c r="H318" s="6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5"/>
      <c r="B319" s="65"/>
      <c r="C319" s="20"/>
      <c r="D319" s="20"/>
      <c r="E319" s="20"/>
      <c r="F319" s="20"/>
      <c r="G319" s="20"/>
      <c r="H319" s="6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5"/>
      <c r="B320" s="65"/>
      <c r="C320" s="20"/>
      <c r="D320" s="20"/>
      <c r="E320" s="20"/>
      <c r="F320" s="20"/>
      <c r="G320" s="20"/>
      <c r="H320" s="6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5"/>
      <c r="B321" s="65"/>
      <c r="C321" s="20"/>
      <c r="D321" s="20"/>
      <c r="E321" s="20"/>
      <c r="F321" s="20"/>
      <c r="G321" s="20"/>
      <c r="H321" s="6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5"/>
      <c r="B322" s="65"/>
      <c r="C322" s="20"/>
      <c r="D322" s="20"/>
      <c r="E322" s="20"/>
      <c r="F322" s="20"/>
      <c r="G322" s="20"/>
      <c r="H322" s="6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5"/>
      <c r="B323" s="65"/>
      <c r="C323" s="20"/>
      <c r="D323" s="20"/>
      <c r="E323" s="20"/>
      <c r="F323" s="20"/>
      <c r="G323" s="20"/>
      <c r="H323" s="6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5"/>
      <c r="B324" s="65"/>
      <c r="C324" s="20"/>
      <c r="D324" s="20"/>
      <c r="E324" s="20"/>
      <c r="F324" s="20"/>
      <c r="G324" s="20"/>
      <c r="H324" s="6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5"/>
      <c r="B325" s="65"/>
      <c r="C325" s="20"/>
      <c r="D325" s="20"/>
      <c r="E325" s="20"/>
      <c r="F325" s="20"/>
      <c r="G325" s="20"/>
      <c r="H325" s="6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5"/>
      <c r="B326" s="65"/>
      <c r="C326" s="20"/>
      <c r="D326" s="20"/>
      <c r="E326" s="20"/>
      <c r="F326" s="20"/>
      <c r="G326" s="20"/>
      <c r="H326" s="6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5"/>
      <c r="B327" s="65"/>
      <c r="C327" s="20"/>
      <c r="D327" s="20"/>
      <c r="E327" s="20"/>
      <c r="F327" s="20"/>
      <c r="G327" s="20"/>
      <c r="H327" s="6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5"/>
      <c r="B328" s="65"/>
      <c r="C328" s="20"/>
      <c r="D328" s="20"/>
      <c r="E328" s="20"/>
      <c r="F328" s="20"/>
      <c r="G328" s="20"/>
      <c r="H328" s="6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5"/>
      <c r="B329" s="65"/>
      <c r="C329" s="20"/>
      <c r="D329" s="20"/>
      <c r="E329" s="20"/>
      <c r="F329" s="20"/>
      <c r="G329" s="20"/>
      <c r="H329" s="6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5"/>
      <c r="B330" s="65"/>
      <c r="C330" s="20"/>
      <c r="D330" s="20"/>
      <c r="E330" s="20"/>
      <c r="F330" s="20"/>
      <c r="G330" s="20"/>
      <c r="H330" s="6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5"/>
      <c r="B331" s="65"/>
      <c r="C331" s="20"/>
      <c r="D331" s="20"/>
      <c r="E331" s="20"/>
      <c r="F331" s="20"/>
      <c r="G331" s="20"/>
      <c r="H331" s="6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5"/>
      <c r="B332" s="65"/>
      <c r="C332" s="20"/>
      <c r="D332" s="20"/>
      <c r="E332" s="20"/>
      <c r="F332" s="20"/>
      <c r="G332" s="20"/>
      <c r="H332" s="6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5"/>
      <c r="B333" s="65"/>
      <c r="C333" s="20"/>
      <c r="D333" s="20"/>
      <c r="E333" s="20"/>
      <c r="F333" s="20"/>
      <c r="G333" s="20"/>
      <c r="H333" s="6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5"/>
      <c r="B334" s="65"/>
      <c r="C334" s="20"/>
      <c r="D334" s="20"/>
      <c r="E334" s="20"/>
      <c r="F334" s="20"/>
      <c r="G334" s="20"/>
      <c r="H334" s="6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5"/>
      <c r="B335" s="65"/>
      <c r="C335" s="20"/>
      <c r="D335" s="20"/>
      <c r="E335" s="20"/>
      <c r="F335" s="20"/>
      <c r="G335" s="20"/>
      <c r="H335" s="6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5"/>
      <c r="B336" s="65"/>
      <c r="C336" s="20"/>
      <c r="D336" s="20"/>
      <c r="E336" s="20"/>
      <c r="F336" s="20"/>
      <c r="G336" s="20"/>
      <c r="H336" s="6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5"/>
      <c r="B337" s="65"/>
      <c r="C337" s="20"/>
      <c r="D337" s="20"/>
      <c r="E337" s="20"/>
      <c r="F337" s="20"/>
      <c r="G337" s="20"/>
      <c r="H337" s="6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5"/>
      <c r="B338" s="65"/>
      <c r="C338" s="20"/>
      <c r="D338" s="20"/>
      <c r="E338" s="20"/>
      <c r="F338" s="20"/>
      <c r="G338" s="20"/>
      <c r="H338" s="6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5"/>
      <c r="B339" s="65"/>
      <c r="C339" s="20"/>
      <c r="D339" s="20"/>
      <c r="E339" s="20"/>
      <c r="F339" s="20"/>
      <c r="G339" s="20"/>
      <c r="H339" s="6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5"/>
      <c r="B340" s="65"/>
      <c r="C340" s="20"/>
      <c r="D340" s="20"/>
      <c r="E340" s="20"/>
      <c r="F340" s="20"/>
      <c r="G340" s="20"/>
      <c r="H340" s="6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5"/>
      <c r="B341" s="65"/>
      <c r="C341" s="20"/>
      <c r="D341" s="20"/>
      <c r="E341" s="20"/>
      <c r="F341" s="20"/>
      <c r="G341" s="20"/>
      <c r="H341" s="6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5"/>
      <c r="B342" s="65"/>
      <c r="C342" s="20"/>
      <c r="D342" s="20"/>
      <c r="E342" s="20"/>
      <c r="F342" s="20"/>
      <c r="G342" s="20"/>
      <c r="H342" s="6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5"/>
      <c r="B343" s="65"/>
      <c r="C343" s="20"/>
      <c r="D343" s="20"/>
      <c r="E343" s="20"/>
      <c r="F343" s="20"/>
      <c r="G343" s="20"/>
      <c r="H343" s="6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5"/>
      <c r="B344" s="65"/>
      <c r="C344" s="20"/>
      <c r="D344" s="20"/>
      <c r="E344" s="20"/>
      <c r="F344" s="20"/>
      <c r="G344" s="20"/>
      <c r="H344" s="6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5"/>
      <c r="B345" s="65"/>
      <c r="C345" s="20"/>
      <c r="D345" s="20"/>
      <c r="E345" s="20"/>
      <c r="F345" s="20"/>
      <c r="G345" s="20"/>
      <c r="H345" s="6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5"/>
      <c r="B346" s="65"/>
      <c r="C346" s="20"/>
      <c r="D346" s="20"/>
      <c r="E346" s="20"/>
      <c r="F346" s="20"/>
      <c r="G346" s="20"/>
      <c r="H346" s="6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5"/>
      <c r="B347" s="65"/>
      <c r="C347" s="20"/>
      <c r="D347" s="20"/>
      <c r="E347" s="20"/>
      <c r="F347" s="20"/>
      <c r="G347" s="20"/>
      <c r="H347" s="6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5"/>
      <c r="B348" s="65"/>
      <c r="C348" s="20"/>
      <c r="D348" s="20"/>
      <c r="E348" s="20"/>
      <c r="F348" s="20"/>
      <c r="G348" s="20"/>
      <c r="H348" s="6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5"/>
      <c r="B349" s="65"/>
      <c r="C349" s="20"/>
      <c r="D349" s="20"/>
      <c r="E349" s="20"/>
      <c r="F349" s="20"/>
      <c r="G349" s="20"/>
      <c r="H349" s="6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5"/>
      <c r="B350" s="65"/>
      <c r="C350" s="20"/>
      <c r="D350" s="20"/>
      <c r="E350" s="20"/>
      <c r="F350" s="20"/>
      <c r="G350" s="20"/>
      <c r="H350" s="6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5"/>
      <c r="B351" s="65"/>
      <c r="C351" s="20"/>
      <c r="D351" s="20"/>
      <c r="E351" s="20"/>
      <c r="F351" s="20"/>
      <c r="G351" s="20"/>
      <c r="H351" s="6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5"/>
      <c r="B352" s="65"/>
      <c r="C352" s="20"/>
      <c r="D352" s="20"/>
      <c r="E352" s="20"/>
      <c r="F352" s="20"/>
      <c r="G352" s="20"/>
      <c r="H352" s="6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5"/>
      <c r="B353" s="65"/>
      <c r="C353" s="20"/>
      <c r="D353" s="20"/>
      <c r="E353" s="20"/>
      <c r="F353" s="20"/>
      <c r="G353" s="20"/>
      <c r="H353" s="6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5"/>
      <c r="B354" s="65"/>
      <c r="C354" s="20"/>
      <c r="D354" s="20"/>
      <c r="E354" s="20"/>
      <c r="F354" s="20"/>
      <c r="G354" s="20"/>
      <c r="H354" s="6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5"/>
      <c r="B355" s="65"/>
      <c r="C355" s="20"/>
      <c r="D355" s="20"/>
      <c r="E355" s="20"/>
      <c r="F355" s="20"/>
      <c r="G355" s="20"/>
      <c r="H355" s="6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5"/>
      <c r="B356" s="65"/>
      <c r="C356" s="20"/>
      <c r="D356" s="20"/>
      <c r="E356" s="20"/>
      <c r="F356" s="20"/>
      <c r="G356" s="20"/>
      <c r="H356" s="6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5"/>
      <c r="B357" s="65"/>
      <c r="C357" s="20"/>
      <c r="D357" s="20"/>
      <c r="E357" s="20"/>
      <c r="F357" s="20"/>
      <c r="G357" s="20"/>
      <c r="H357" s="6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5"/>
      <c r="B358" s="65"/>
      <c r="C358" s="20"/>
      <c r="D358" s="20"/>
      <c r="E358" s="20"/>
      <c r="F358" s="20"/>
      <c r="G358" s="20"/>
      <c r="H358" s="6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5"/>
      <c r="B359" s="65"/>
      <c r="C359" s="20"/>
      <c r="D359" s="20"/>
      <c r="E359" s="20"/>
      <c r="F359" s="20"/>
      <c r="G359" s="20"/>
      <c r="H359" s="6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5"/>
      <c r="B360" s="65"/>
      <c r="C360" s="20"/>
      <c r="D360" s="20"/>
      <c r="E360" s="20"/>
      <c r="F360" s="20"/>
      <c r="G360" s="20"/>
      <c r="H360" s="6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5"/>
      <c r="B361" s="65"/>
      <c r="C361" s="20"/>
      <c r="D361" s="20"/>
      <c r="E361" s="20"/>
      <c r="F361" s="20"/>
      <c r="G361" s="20"/>
      <c r="H361" s="6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5"/>
      <c r="B362" s="65"/>
      <c r="C362" s="20"/>
      <c r="D362" s="20"/>
      <c r="E362" s="20"/>
      <c r="F362" s="20"/>
      <c r="G362" s="20"/>
      <c r="H362" s="6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5"/>
      <c r="B363" s="65"/>
      <c r="C363" s="20"/>
      <c r="D363" s="20"/>
      <c r="E363" s="20"/>
      <c r="F363" s="20"/>
      <c r="G363" s="20"/>
      <c r="H363" s="6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5"/>
      <c r="B364" s="65"/>
      <c r="C364" s="20"/>
      <c r="D364" s="20"/>
      <c r="E364" s="20"/>
      <c r="F364" s="20"/>
      <c r="G364" s="20"/>
      <c r="H364" s="6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5"/>
      <c r="B365" s="65"/>
      <c r="C365" s="20"/>
      <c r="D365" s="20"/>
      <c r="E365" s="20"/>
      <c r="F365" s="20"/>
      <c r="G365" s="20"/>
      <c r="H365" s="6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5"/>
      <c r="B366" s="65"/>
      <c r="C366" s="20"/>
      <c r="D366" s="20"/>
      <c r="E366" s="20"/>
      <c r="F366" s="20"/>
      <c r="G366" s="20"/>
      <c r="H366" s="6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5"/>
      <c r="B367" s="65"/>
      <c r="C367" s="20"/>
      <c r="D367" s="20"/>
      <c r="E367" s="20"/>
      <c r="F367" s="20"/>
      <c r="G367" s="20"/>
      <c r="H367" s="6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5"/>
      <c r="B368" s="65"/>
      <c r="C368" s="20"/>
      <c r="D368" s="20"/>
      <c r="E368" s="20"/>
      <c r="F368" s="20"/>
      <c r="G368" s="20"/>
      <c r="H368" s="6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5"/>
      <c r="B369" s="65"/>
      <c r="C369" s="20"/>
      <c r="D369" s="20"/>
      <c r="E369" s="20"/>
      <c r="F369" s="20"/>
      <c r="G369" s="20"/>
      <c r="H369" s="6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5"/>
      <c r="B370" s="65"/>
      <c r="C370" s="20"/>
      <c r="D370" s="20"/>
      <c r="E370" s="20"/>
      <c r="F370" s="20"/>
      <c r="G370" s="20"/>
      <c r="H370" s="6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5"/>
      <c r="B371" s="65"/>
      <c r="C371" s="20"/>
      <c r="D371" s="20"/>
      <c r="E371" s="20"/>
      <c r="F371" s="20"/>
      <c r="G371" s="20"/>
      <c r="H371" s="6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5"/>
      <c r="B372" s="65"/>
      <c r="C372" s="20"/>
      <c r="D372" s="20"/>
      <c r="E372" s="20"/>
      <c r="F372" s="20"/>
      <c r="G372" s="20"/>
      <c r="H372" s="6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5"/>
      <c r="B373" s="65"/>
      <c r="C373" s="20"/>
      <c r="D373" s="20"/>
      <c r="E373" s="20"/>
      <c r="F373" s="20"/>
      <c r="G373" s="20"/>
      <c r="H373" s="6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5"/>
      <c r="B374" s="65"/>
      <c r="C374" s="20"/>
      <c r="D374" s="20"/>
      <c r="E374" s="20"/>
      <c r="F374" s="20"/>
      <c r="G374" s="20"/>
      <c r="H374" s="6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5"/>
      <c r="B375" s="65"/>
      <c r="C375" s="20"/>
      <c r="D375" s="20"/>
      <c r="E375" s="20"/>
      <c r="F375" s="20"/>
      <c r="G375" s="20"/>
      <c r="H375" s="6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5"/>
      <c r="B376" s="65"/>
      <c r="C376" s="20"/>
      <c r="D376" s="20"/>
      <c r="E376" s="20"/>
      <c r="F376" s="20"/>
      <c r="G376" s="20"/>
      <c r="H376" s="6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5"/>
      <c r="B377" s="65"/>
      <c r="C377" s="20"/>
      <c r="D377" s="20"/>
      <c r="E377" s="20"/>
      <c r="F377" s="20"/>
      <c r="G377" s="20"/>
      <c r="H377" s="6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5"/>
      <c r="B378" s="65"/>
      <c r="C378" s="20"/>
      <c r="D378" s="20"/>
      <c r="E378" s="20"/>
      <c r="F378" s="20"/>
      <c r="G378" s="20"/>
      <c r="H378" s="6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5"/>
      <c r="B379" s="65"/>
      <c r="C379" s="20"/>
      <c r="D379" s="20"/>
      <c r="E379" s="20"/>
      <c r="F379" s="20"/>
      <c r="G379" s="20"/>
      <c r="H379" s="6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5"/>
      <c r="B380" s="65"/>
      <c r="C380" s="20"/>
      <c r="D380" s="20"/>
      <c r="E380" s="20"/>
      <c r="F380" s="20"/>
      <c r="G380" s="20"/>
      <c r="H380" s="6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5"/>
      <c r="B381" s="65"/>
      <c r="C381" s="20"/>
      <c r="D381" s="20"/>
      <c r="E381" s="20"/>
      <c r="F381" s="20"/>
      <c r="G381" s="20"/>
      <c r="H381" s="6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5"/>
      <c r="B382" s="65"/>
      <c r="C382" s="20"/>
      <c r="D382" s="20"/>
      <c r="E382" s="20"/>
      <c r="F382" s="20"/>
      <c r="G382" s="20"/>
      <c r="H382" s="6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5"/>
      <c r="B383" s="65"/>
      <c r="C383" s="20"/>
      <c r="D383" s="20"/>
      <c r="E383" s="20"/>
      <c r="F383" s="20"/>
      <c r="G383" s="20"/>
      <c r="H383" s="6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5"/>
      <c r="B384" s="65"/>
      <c r="C384" s="20"/>
      <c r="D384" s="20"/>
      <c r="E384" s="20"/>
      <c r="F384" s="20"/>
      <c r="G384" s="20"/>
      <c r="H384" s="6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5"/>
      <c r="B385" s="65"/>
      <c r="C385" s="20"/>
      <c r="D385" s="20"/>
      <c r="E385" s="20"/>
      <c r="F385" s="20"/>
      <c r="G385" s="20"/>
      <c r="H385" s="6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5"/>
      <c r="B386" s="65"/>
      <c r="C386" s="20"/>
      <c r="D386" s="20"/>
      <c r="E386" s="20"/>
      <c r="F386" s="20"/>
      <c r="G386" s="20"/>
      <c r="H386" s="6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5"/>
      <c r="B387" s="65"/>
      <c r="C387" s="20"/>
      <c r="D387" s="20"/>
      <c r="E387" s="20"/>
      <c r="F387" s="20"/>
      <c r="G387" s="20"/>
      <c r="H387" s="6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5"/>
      <c r="B388" s="65"/>
      <c r="C388" s="20"/>
      <c r="D388" s="20"/>
      <c r="E388" s="20"/>
      <c r="F388" s="20"/>
      <c r="G388" s="20"/>
      <c r="H388" s="6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5"/>
      <c r="B389" s="65"/>
      <c r="C389" s="20"/>
      <c r="D389" s="20"/>
      <c r="E389" s="20"/>
      <c r="F389" s="20"/>
      <c r="G389" s="20"/>
      <c r="H389" s="6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5"/>
      <c r="B390" s="65"/>
      <c r="C390" s="20"/>
      <c r="D390" s="20"/>
      <c r="E390" s="20"/>
      <c r="F390" s="20"/>
      <c r="G390" s="20"/>
      <c r="H390" s="6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5"/>
      <c r="B391" s="65"/>
      <c r="C391" s="20"/>
      <c r="D391" s="20"/>
      <c r="E391" s="20"/>
      <c r="F391" s="20"/>
      <c r="G391" s="20"/>
      <c r="H391" s="6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5"/>
      <c r="B392" s="65"/>
      <c r="C392" s="20"/>
      <c r="D392" s="20"/>
      <c r="E392" s="20"/>
      <c r="F392" s="20"/>
      <c r="G392" s="20"/>
      <c r="H392" s="6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5"/>
      <c r="B393" s="65"/>
      <c r="C393" s="20"/>
      <c r="D393" s="20"/>
      <c r="E393" s="20"/>
      <c r="F393" s="20"/>
      <c r="G393" s="20"/>
      <c r="H393" s="6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5"/>
      <c r="B394" s="65"/>
      <c r="C394" s="20"/>
      <c r="D394" s="20"/>
      <c r="E394" s="20"/>
      <c r="F394" s="20"/>
      <c r="G394" s="20"/>
      <c r="H394" s="6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5"/>
      <c r="B395" s="65"/>
      <c r="C395" s="20"/>
      <c r="D395" s="20"/>
      <c r="E395" s="20"/>
      <c r="F395" s="20"/>
      <c r="G395" s="20"/>
      <c r="H395" s="6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5"/>
      <c r="B396" s="65"/>
      <c r="C396" s="20"/>
      <c r="D396" s="20"/>
      <c r="E396" s="20"/>
      <c r="F396" s="20"/>
      <c r="G396" s="20"/>
      <c r="H396" s="6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5"/>
      <c r="B397" s="65"/>
      <c r="C397" s="20"/>
      <c r="D397" s="20"/>
      <c r="E397" s="20"/>
      <c r="F397" s="20"/>
      <c r="G397" s="20"/>
      <c r="H397" s="6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5"/>
      <c r="B398" s="65"/>
      <c r="C398" s="20"/>
      <c r="D398" s="20"/>
      <c r="E398" s="20"/>
      <c r="F398" s="20"/>
      <c r="G398" s="20"/>
      <c r="H398" s="6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5"/>
      <c r="B399" s="65"/>
      <c r="C399" s="20"/>
      <c r="D399" s="20"/>
      <c r="E399" s="20"/>
      <c r="F399" s="20"/>
      <c r="G399" s="20"/>
      <c r="H399" s="6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5"/>
      <c r="B400" s="65"/>
      <c r="C400" s="20"/>
      <c r="D400" s="20"/>
      <c r="E400" s="20"/>
      <c r="F400" s="20"/>
      <c r="G400" s="20"/>
      <c r="H400" s="6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5"/>
      <c r="B401" s="65"/>
      <c r="C401" s="20"/>
      <c r="D401" s="20"/>
      <c r="E401" s="20"/>
      <c r="F401" s="20"/>
      <c r="G401" s="20"/>
      <c r="H401" s="6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5"/>
      <c r="B402" s="65"/>
      <c r="C402" s="20"/>
      <c r="D402" s="20"/>
      <c r="E402" s="20"/>
      <c r="F402" s="20"/>
      <c r="G402" s="20"/>
      <c r="H402" s="6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5"/>
      <c r="B403" s="65"/>
      <c r="C403" s="20"/>
      <c r="D403" s="20"/>
      <c r="E403" s="20"/>
      <c r="F403" s="20"/>
      <c r="G403" s="20"/>
      <c r="H403" s="6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5"/>
      <c r="B404" s="65"/>
      <c r="C404" s="20"/>
      <c r="D404" s="20"/>
      <c r="E404" s="20"/>
      <c r="F404" s="20"/>
      <c r="G404" s="20"/>
      <c r="H404" s="6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5"/>
      <c r="B405" s="65"/>
      <c r="C405" s="20"/>
      <c r="D405" s="20"/>
      <c r="E405" s="20"/>
      <c r="F405" s="20"/>
      <c r="G405" s="20"/>
      <c r="H405" s="6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5"/>
      <c r="B406" s="65"/>
      <c r="C406" s="20"/>
      <c r="D406" s="20"/>
      <c r="E406" s="20"/>
      <c r="F406" s="20"/>
      <c r="G406" s="20"/>
      <c r="H406" s="6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5"/>
      <c r="B407" s="65"/>
      <c r="C407" s="20"/>
      <c r="D407" s="20"/>
      <c r="E407" s="20"/>
      <c r="F407" s="20"/>
      <c r="G407" s="20"/>
      <c r="H407" s="6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5"/>
      <c r="B408" s="65"/>
      <c r="C408" s="20"/>
      <c r="D408" s="20"/>
      <c r="E408" s="20"/>
      <c r="F408" s="20"/>
      <c r="G408" s="20"/>
      <c r="H408" s="6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5"/>
      <c r="B409" s="65"/>
      <c r="C409" s="20"/>
      <c r="D409" s="20"/>
      <c r="E409" s="20"/>
      <c r="F409" s="20"/>
      <c r="G409" s="20"/>
      <c r="H409" s="6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5"/>
      <c r="B410" s="65"/>
      <c r="C410" s="20"/>
      <c r="D410" s="20"/>
      <c r="E410" s="20"/>
      <c r="F410" s="20"/>
      <c r="G410" s="20"/>
      <c r="H410" s="6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5"/>
      <c r="B411" s="65"/>
      <c r="C411" s="20"/>
      <c r="D411" s="20"/>
      <c r="E411" s="20"/>
      <c r="F411" s="20"/>
      <c r="G411" s="20"/>
      <c r="H411" s="6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5"/>
      <c r="B412" s="65"/>
      <c r="C412" s="20"/>
      <c r="D412" s="20"/>
      <c r="E412" s="20"/>
      <c r="F412" s="20"/>
      <c r="G412" s="20"/>
      <c r="H412" s="6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5"/>
      <c r="B413" s="65"/>
      <c r="C413" s="20"/>
      <c r="D413" s="20"/>
      <c r="E413" s="20"/>
      <c r="F413" s="20"/>
      <c r="G413" s="20"/>
      <c r="H413" s="6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5"/>
      <c r="B414" s="65"/>
      <c r="C414" s="20"/>
      <c r="D414" s="20"/>
      <c r="E414" s="20"/>
      <c r="F414" s="20"/>
      <c r="G414" s="20"/>
      <c r="H414" s="6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5"/>
      <c r="B415" s="65"/>
      <c r="C415" s="20"/>
      <c r="D415" s="20"/>
      <c r="E415" s="20"/>
      <c r="F415" s="20"/>
      <c r="G415" s="20"/>
      <c r="H415" s="6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5"/>
      <c r="B416" s="65"/>
      <c r="C416" s="20"/>
      <c r="D416" s="20"/>
      <c r="E416" s="20"/>
      <c r="F416" s="20"/>
      <c r="G416" s="20"/>
      <c r="H416" s="6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5"/>
      <c r="B417" s="65"/>
      <c r="C417" s="20"/>
      <c r="D417" s="20"/>
      <c r="E417" s="20"/>
      <c r="F417" s="20"/>
      <c r="G417" s="20"/>
      <c r="H417" s="6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5"/>
      <c r="B418" s="65"/>
      <c r="C418" s="20"/>
      <c r="D418" s="20"/>
      <c r="E418" s="20"/>
      <c r="F418" s="20"/>
      <c r="G418" s="20"/>
      <c r="H418" s="6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5"/>
      <c r="B419" s="65"/>
      <c r="C419" s="20"/>
      <c r="D419" s="20"/>
      <c r="E419" s="20"/>
      <c r="F419" s="20"/>
      <c r="G419" s="20"/>
      <c r="H419" s="6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5"/>
      <c r="B420" s="65"/>
      <c r="C420" s="20"/>
      <c r="D420" s="20"/>
      <c r="E420" s="20"/>
      <c r="F420" s="20"/>
      <c r="G420" s="20"/>
      <c r="H420" s="6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5"/>
      <c r="B421" s="65"/>
      <c r="C421" s="20"/>
      <c r="D421" s="20"/>
      <c r="E421" s="20"/>
      <c r="F421" s="20"/>
      <c r="G421" s="20"/>
      <c r="H421" s="6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5"/>
      <c r="B422" s="65"/>
      <c r="C422" s="20"/>
      <c r="D422" s="20"/>
      <c r="E422" s="20"/>
      <c r="F422" s="20"/>
      <c r="G422" s="20"/>
      <c r="H422" s="6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5"/>
      <c r="B423" s="65"/>
      <c r="C423" s="20"/>
      <c r="D423" s="20"/>
      <c r="E423" s="20"/>
      <c r="F423" s="20"/>
      <c r="G423" s="20"/>
      <c r="H423" s="6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5"/>
      <c r="B424" s="65"/>
      <c r="C424" s="20"/>
      <c r="D424" s="20"/>
      <c r="E424" s="20"/>
      <c r="F424" s="20"/>
      <c r="G424" s="20"/>
      <c r="H424" s="6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5"/>
      <c r="B425" s="65"/>
      <c r="C425" s="20"/>
      <c r="D425" s="20"/>
      <c r="E425" s="20"/>
      <c r="F425" s="20"/>
      <c r="G425" s="20"/>
      <c r="H425" s="6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5"/>
      <c r="B426" s="65"/>
      <c r="C426" s="20"/>
      <c r="D426" s="20"/>
      <c r="E426" s="20"/>
      <c r="F426" s="20"/>
      <c r="G426" s="20"/>
      <c r="H426" s="6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5"/>
      <c r="B427" s="65"/>
      <c r="C427" s="20"/>
      <c r="D427" s="20"/>
      <c r="E427" s="20"/>
      <c r="F427" s="20"/>
      <c r="G427" s="20"/>
      <c r="H427" s="6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5"/>
      <c r="B428" s="65"/>
      <c r="C428" s="20"/>
      <c r="D428" s="20"/>
      <c r="E428" s="20"/>
      <c r="F428" s="20"/>
      <c r="G428" s="20"/>
      <c r="H428" s="6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5"/>
      <c r="B429" s="65"/>
      <c r="C429" s="20"/>
      <c r="D429" s="20"/>
      <c r="E429" s="20"/>
      <c r="F429" s="20"/>
      <c r="G429" s="20"/>
      <c r="H429" s="6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5"/>
      <c r="B430" s="65"/>
      <c r="C430" s="20"/>
      <c r="D430" s="20"/>
      <c r="E430" s="20"/>
      <c r="F430" s="20"/>
      <c r="G430" s="20"/>
      <c r="H430" s="6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5"/>
      <c r="B431" s="65"/>
      <c r="C431" s="20"/>
      <c r="D431" s="20"/>
      <c r="E431" s="20"/>
      <c r="F431" s="20"/>
      <c r="G431" s="20"/>
      <c r="H431" s="6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5"/>
      <c r="B432" s="65"/>
      <c r="C432" s="20"/>
      <c r="D432" s="20"/>
      <c r="E432" s="20"/>
      <c r="F432" s="20"/>
      <c r="G432" s="20"/>
      <c r="H432" s="6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5"/>
      <c r="B433" s="65"/>
      <c r="C433" s="20"/>
      <c r="D433" s="20"/>
      <c r="E433" s="20"/>
      <c r="F433" s="20"/>
      <c r="G433" s="20"/>
      <c r="H433" s="6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5"/>
      <c r="B434" s="65"/>
      <c r="C434" s="20"/>
      <c r="D434" s="20"/>
      <c r="E434" s="20"/>
      <c r="F434" s="20"/>
      <c r="G434" s="20"/>
      <c r="H434" s="6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5"/>
      <c r="B435" s="65"/>
      <c r="C435" s="20"/>
      <c r="D435" s="20"/>
      <c r="E435" s="20"/>
      <c r="F435" s="20"/>
      <c r="G435" s="20"/>
      <c r="H435" s="6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5"/>
      <c r="B436" s="65"/>
      <c r="C436" s="20"/>
      <c r="D436" s="20"/>
      <c r="E436" s="20"/>
      <c r="F436" s="20"/>
      <c r="G436" s="20"/>
      <c r="H436" s="6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5"/>
      <c r="B437" s="65"/>
      <c r="C437" s="20"/>
      <c r="D437" s="20"/>
      <c r="E437" s="20"/>
      <c r="F437" s="20"/>
      <c r="G437" s="20"/>
      <c r="H437" s="6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5"/>
      <c r="B438" s="65"/>
      <c r="C438" s="20"/>
      <c r="D438" s="20"/>
      <c r="E438" s="20"/>
      <c r="F438" s="20"/>
      <c r="G438" s="20"/>
      <c r="H438" s="6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5"/>
      <c r="B439" s="65"/>
      <c r="C439" s="20"/>
      <c r="D439" s="20"/>
      <c r="E439" s="20"/>
      <c r="F439" s="20"/>
      <c r="G439" s="20"/>
      <c r="H439" s="6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5"/>
      <c r="B440" s="65"/>
      <c r="C440" s="20"/>
      <c r="D440" s="20"/>
      <c r="E440" s="20"/>
      <c r="F440" s="20"/>
      <c r="G440" s="20"/>
      <c r="H440" s="6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5"/>
      <c r="B441" s="65"/>
      <c r="C441" s="20"/>
      <c r="D441" s="20"/>
      <c r="E441" s="20"/>
      <c r="F441" s="20"/>
      <c r="G441" s="20"/>
      <c r="H441" s="6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5"/>
      <c r="B442" s="65"/>
      <c r="C442" s="20"/>
      <c r="D442" s="20"/>
      <c r="E442" s="20"/>
      <c r="F442" s="20"/>
      <c r="G442" s="20"/>
      <c r="H442" s="6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5"/>
      <c r="B443" s="65"/>
      <c r="C443" s="20"/>
      <c r="D443" s="20"/>
      <c r="E443" s="20"/>
      <c r="F443" s="20"/>
      <c r="G443" s="20"/>
      <c r="H443" s="6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5"/>
      <c r="B444" s="65"/>
      <c r="C444" s="20"/>
      <c r="D444" s="20"/>
      <c r="E444" s="20"/>
      <c r="F444" s="20"/>
      <c r="G444" s="20"/>
      <c r="H444" s="6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5"/>
      <c r="B445" s="65"/>
      <c r="C445" s="20"/>
      <c r="D445" s="20"/>
      <c r="E445" s="20"/>
      <c r="F445" s="20"/>
      <c r="G445" s="20"/>
      <c r="H445" s="6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5"/>
      <c r="B446" s="65"/>
      <c r="C446" s="20"/>
      <c r="D446" s="20"/>
      <c r="E446" s="20"/>
      <c r="F446" s="20"/>
      <c r="G446" s="20"/>
      <c r="H446" s="6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5"/>
      <c r="B447" s="65"/>
      <c r="C447" s="20"/>
      <c r="D447" s="20"/>
      <c r="E447" s="20"/>
      <c r="F447" s="20"/>
      <c r="G447" s="20"/>
      <c r="H447" s="6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5"/>
      <c r="B448" s="65"/>
      <c r="C448" s="20"/>
      <c r="D448" s="20"/>
      <c r="E448" s="20"/>
      <c r="F448" s="20"/>
      <c r="G448" s="20"/>
      <c r="H448" s="6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5"/>
      <c r="B449" s="65"/>
      <c r="C449" s="20"/>
      <c r="D449" s="20"/>
      <c r="E449" s="20"/>
      <c r="F449" s="20"/>
      <c r="G449" s="20"/>
      <c r="H449" s="6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5"/>
      <c r="B450" s="65"/>
      <c r="C450" s="20"/>
      <c r="D450" s="20"/>
      <c r="E450" s="20"/>
      <c r="F450" s="20"/>
      <c r="G450" s="20"/>
      <c r="H450" s="6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5"/>
      <c r="B451" s="65"/>
      <c r="C451" s="20"/>
      <c r="D451" s="20"/>
      <c r="E451" s="20"/>
      <c r="F451" s="20"/>
      <c r="G451" s="20"/>
      <c r="H451" s="6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5"/>
      <c r="B452" s="65"/>
      <c r="C452" s="20"/>
      <c r="D452" s="20"/>
      <c r="E452" s="20"/>
      <c r="F452" s="20"/>
      <c r="G452" s="20"/>
      <c r="H452" s="6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5"/>
      <c r="B453" s="65"/>
      <c r="C453" s="20"/>
      <c r="D453" s="20"/>
      <c r="E453" s="20"/>
      <c r="F453" s="20"/>
      <c r="G453" s="20"/>
      <c r="H453" s="6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5"/>
      <c r="B454" s="65"/>
      <c r="C454" s="20"/>
      <c r="D454" s="20"/>
      <c r="E454" s="20"/>
      <c r="F454" s="20"/>
      <c r="G454" s="20"/>
      <c r="H454" s="6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5"/>
      <c r="B455" s="65"/>
      <c r="C455" s="20"/>
      <c r="D455" s="20"/>
      <c r="E455" s="20"/>
      <c r="F455" s="20"/>
      <c r="G455" s="20"/>
      <c r="H455" s="6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5"/>
      <c r="B456" s="65"/>
      <c r="C456" s="20"/>
      <c r="D456" s="20"/>
      <c r="E456" s="20"/>
      <c r="F456" s="20"/>
      <c r="G456" s="20"/>
      <c r="H456" s="6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5"/>
      <c r="B457" s="65"/>
      <c r="C457" s="20"/>
      <c r="D457" s="20"/>
      <c r="E457" s="20"/>
      <c r="F457" s="20"/>
      <c r="G457" s="20"/>
      <c r="H457" s="6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5"/>
      <c r="B458" s="65"/>
      <c r="C458" s="20"/>
      <c r="D458" s="20"/>
      <c r="E458" s="20"/>
      <c r="F458" s="20"/>
      <c r="G458" s="20"/>
      <c r="H458" s="6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5"/>
      <c r="B459" s="65"/>
      <c r="C459" s="20"/>
      <c r="D459" s="20"/>
      <c r="E459" s="20"/>
      <c r="F459" s="20"/>
      <c r="G459" s="20"/>
      <c r="H459" s="6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5"/>
      <c r="B460" s="65"/>
      <c r="C460" s="20"/>
      <c r="D460" s="20"/>
      <c r="E460" s="20"/>
      <c r="F460" s="20"/>
      <c r="G460" s="20"/>
      <c r="H460" s="6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5"/>
      <c r="B461" s="65"/>
      <c r="C461" s="20"/>
      <c r="D461" s="20"/>
      <c r="E461" s="20"/>
      <c r="F461" s="20"/>
      <c r="G461" s="20"/>
      <c r="H461" s="6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5"/>
      <c r="B462" s="65"/>
      <c r="C462" s="20"/>
      <c r="D462" s="20"/>
      <c r="E462" s="20"/>
      <c r="F462" s="20"/>
      <c r="G462" s="20"/>
      <c r="H462" s="6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5"/>
      <c r="B463" s="65"/>
      <c r="C463" s="20"/>
      <c r="D463" s="20"/>
      <c r="E463" s="20"/>
      <c r="F463" s="20"/>
      <c r="G463" s="20"/>
      <c r="H463" s="6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5"/>
      <c r="B464" s="65"/>
      <c r="C464" s="20"/>
      <c r="D464" s="20"/>
      <c r="E464" s="20"/>
      <c r="F464" s="20"/>
      <c r="G464" s="20"/>
      <c r="H464" s="6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5"/>
      <c r="B465" s="65"/>
      <c r="C465" s="20"/>
      <c r="D465" s="20"/>
      <c r="E465" s="20"/>
      <c r="F465" s="20"/>
      <c r="G465" s="20"/>
      <c r="H465" s="6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5"/>
      <c r="B466" s="65"/>
      <c r="C466" s="20"/>
      <c r="D466" s="20"/>
      <c r="E466" s="20"/>
      <c r="F466" s="20"/>
      <c r="G466" s="20"/>
      <c r="H466" s="6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5"/>
      <c r="B467" s="65"/>
      <c r="C467" s="20"/>
      <c r="D467" s="20"/>
      <c r="E467" s="20"/>
      <c r="F467" s="20"/>
      <c r="G467" s="20"/>
      <c r="H467" s="6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5"/>
      <c r="B468" s="65"/>
      <c r="C468" s="20"/>
      <c r="D468" s="20"/>
      <c r="E468" s="20"/>
      <c r="F468" s="20"/>
      <c r="G468" s="20"/>
      <c r="H468" s="6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5"/>
      <c r="B469" s="65"/>
      <c r="C469" s="20"/>
      <c r="D469" s="20"/>
      <c r="E469" s="20"/>
      <c r="F469" s="20"/>
      <c r="G469" s="20"/>
      <c r="H469" s="6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5"/>
      <c r="B470" s="65"/>
      <c r="C470" s="20"/>
      <c r="D470" s="20"/>
      <c r="E470" s="20"/>
      <c r="F470" s="20"/>
      <c r="G470" s="20"/>
      <c r="H470" s="6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5"/>
      <c r="B471" s="65"/>
      <c r="C471" s="20"/>
      <c r="D471" s="20"/>
      <c r="E471" s="20"/>
      <c r="F471" s="20"/>
      <c r="G471" s="20"/>
      <c r="H471" s="6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5"/>
      <c r="B472" s="65"/>
      <c r="C472" s="20"/>
      <c r="D472" s="20"/>
      <c r="E472" s="20"/>
      <c r="F472" s="20"/>
      <c r="G472" s="20"/>
      <c r="H472" s="6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5"/>
      <c r="B473" s="65"/>
      <c r="C473" s="20"/>
      <c r="D473" s="20"/>
      <c r="E473" s="20"/>
      <c r="F473" s="20"/>
      <c r="G473" s="20"/>
      <c r="H473" s="6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5"/>
      <c r="B474" s="65"/>
      <c r="C474" s="20"/>
      <c r="D474" s="20"/>
      <c r="E474" s="20"/>
      <c r="F474" s="20"/>
      <c r="G474" s="20"/>
      <c r="H474" s="6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5"/>
      <c r="B475" s="65"/>
      <c r="C475" s="20"/>
      <c r="D475" s="20"/>
      <c r="E475" s="20"/>
      <c r="F475" s="20"/>
      <c r="G475" s="20"/>
      <c r="H475" s="6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5"/>
      <c r="B476" s="65"/>
      <c r="C476" s="20"/>
      <c r="D476" s="20"/>
      <c r="E476" s="20"/>
      <c r="F476" s="20"/>
      <c r="G476" s="20"/>
      <c r="H476" s="6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5"/>
      <c r="B477" s="65"/>
      <c r="C477" s="20"/>
      <c r="D477" s="20"/>
      <c r="E477" s="20"/>
      <c r="F477" s="20"/>
      <c r="G477" s="20"/>
      <c r="H477" s="6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5"/>
      <c r="B478" s="65"/>
      <c r="C478" s="20"/>
      <c r="D478" s="20"/>
      <c r="E478" s="20"/>
      <c r="F478" s="20"/>
      <c r="G478" s="20"/>
      <c r="H478" s="6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5"/>
      <c r="B479" s="65"/>
      <c r="C479" s="20"/>
      <c r="D479" s="20"/>
      <c r="E479" s="20"/>
      <c r="F479" s="20"/>
      <c r="G479" s="20"/>
      <c r="H479" s="6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5"/>
      <c r="B480" s="65"/>
      <c r="C480" s="20"/>
      <c r="D480" s="20"/>
      <c r="E480" s="20"/>
      <c r="F480" s="20"/>
      <c r="G480" s="20"/>
      <c r="H480" s="6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5"/>
      <c r="B481" s="65"/>
      <c r="C481" s="20"/>
      <c r="D481" s="20"/>
      <c r="E481" s="20"/>
      <c r="F481" s="20"/>
      <c r="G481" s="20"/>
      <c r="H481" s="6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5"/>
      <c r="B482" s="65"/>
      <c r="C482" s="20"/>
      <c r="D482" s="20"/>
      <c r="E482" s="20"/>
      <c r="F482" s="20"/>
      <c r="G482" s="20"/>
      <c r="H482" s="6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5"/>
      <c r="B483" s="65"/>
      <c r="C483" s="20"/>
      <c r="D483" s="20"/>
      <c r="E483" s="20"/>
      <c r="F483" s="20"/>
      <c r="G483" s="20"/>
      <c r="H483" s="6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5"/>
      <c r="B484" s="65"/>
      <c r="C484" s="20"/>
      <c r="D484" s="20"/>
      <c r="E484" s="20"/>
      <c r="F484" s="20"/>
      <c r="G484" s="20"/>
      <c r="H484" s="6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5"/>
      <c r="B485" s="65"/>
      <c r="C485" s="20"/>
      <c r="D485" s="20"/>
      <c r="E485" s="20"/>
      <c r="F485" s="20"/>
      <c r="G485" s="20"/>
      <c r="H485" s="6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5"/>
      <c r="B486" s="65"/>
      <c r="C486" s="20"/>
      <c r="D486" s="20"/>
      <c r="E486" s="20"/>
      <c r="F486" s="20"/>
      <c r="G486" s="20"/>
      <c r="H486" s="6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5"/>
      <c r="B487" s="65"/>
      <c r="C487" s="20"/>
      <c r="D487" s="20"/>
      <c r="E487" s="20"/>
      <c r="F487" s="20"/>
      <c r="G487" s="20"/>
      <c r="H487" s="6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5"/>
      <c r="B488" s="65"/>
      <c r="C488" s="20"/>
      <c r="D488" s="20"/>
      <c r="E488" s="20"/>
      <c r="F488" s="20"/>
      <c r="G488" s="20"/>
      <c r="H488" s="6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5"/>
      <c r="B489" s="65"/>
      <c r="C489" s="20"/>
      <c r="D489" s="20"/>
      <c r="E489" s="20"/>
      <c r="F489" s="20"/>
      <c r="G489" s="20"/>
      <c r="H489" s="6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5"/>
      <c r="B490" s="65"/>
      <c r="C490" s="20"/>
      <c r="D490" s="20"/>
      <c r="E490" s="20"/>
      <c r="F490" s="20"/>
      <c r="G490" s="20"/>
      <c r="H490" s="6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5"/>
      <c r="B491" s="65"/>
      <c r="C491" s="20"/>
      <c r="D491" s="20"/>
      <c r="E491" s="20"/>
      <c r="F491" s="20"/>
      <c r="G491" s="20"/>
      <c r="H491" s="6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5"/>
      <c r="B492" s="65"/>
      <c r="C492" s="20"/>
      <c r="D492" s="20"/>
      <c r="E492" s="20"/>
      <c r="F492" s="20"/>
      <c r="G492" s="20"/>
      <c r="H492" s="6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5"/>
      <c r="B493" s="65"/>
      <c r="C493" s="20"/>
      <c r="D493" s="20"/>
      <c r="E493" s="20"/>
      <c r="F493" s="20"/>
      <c r="G493" s="20"/>
      <c r="H493" s="6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5"/>
      <c r="B494" s="65"/>
      <c r="C494" s="20"/>
      <c r="D494" s="20"/>
      <c r="E494" s="20"/>
      <c r="F494" s="20"/>
      <c r="G494" s="20"/>
      <c r="H494" s="6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5"/>
      <c r="B495" s="65"/>
      <c r="C495" s="20"/>
      <c r="D495" s="20"/>
      <c r="E495" s="20"/>
      <c r="F495" s="20"/>
      <c r="G495" s="20"/>
      <c r="H495" s="6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5"/>
      <c r="B496" s="65"/>
      <c r="C496" s="20"/>
      <c r="D496" s="20"/>
      <c r="E496" s="20"/>
      <c r="F496" s="20"/>
      <c r="G496" s="20"/>
      <c r="H496" s="6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5"/>
      <c r="B497" s="65"/>
      <c r="C497" s="20"/>
      <c r="D497" s="20"/>
      <c r="E497" s="20"/>
      <c r="F497" s="20"/>
      <c r="G497" s="20"/>
      <c r="H497" s="6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5"/>
      <c r="B498" s="65"/>
      <c r="C498" s="20"/>
      <c r="D498" s="20"/>
      <c r="E498" s="20"/>
      <c r="F498" s="20"/>
      <c r="G498" s="20"/>
      <c r="H498" s="6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5"/>
      <c r="B499" s="65"/>
      <c r="C499" s="20"/>
      <c r="D499" s="20"/>
      <c r="E499" s="20"/>
      <c r="F499" s="20"/>
      <c r="G499" s="20"/>
      <c r="H499" s="6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5"/>
      <c r="B500" s="65"/>
      <c r="C500" s="20"/>
      <c r="D500" s="20"/>
      <c r="E500" s="20"/>
      <c r="F500" s="20"/>
      <c r="G500" s="20"/>
      <c r="H500" s="6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5"/>
      <c r="B501" s="65"/>
      <c r="C501" s="20"/>
      <c r="D501" s="20"/>
      <c r="E501" s="20"/>
      <c r="F501" s="20"/>
      <c r="G501" s="20"/>
      <c r="H501" s="6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5"/>
      <c r="B502" s="65"/>
      <c r="C502" s="20"/>
      <c r="D502" s="20"/>
      <c r="E502" s="20"/>
      <c r="F502" s="20"/>
      <c r="G502" s="20"/>
      <c r="H502" s="6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5"/>
      <c r="B503" s="65"/>
      <c r="C503" s="20"/>
      <c r="D503" s="20"/>
      <c r="E503" s="20"/>
      <c r="F503" s="20"/>
      <c r="G503" s="20"/>
      <c r="H503" s="6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5"/>
      <c r="B504" s="65"/>
      <c r="C504" s="20"/>
      <c r="D504" s="20"/>
      <c r="E504" s="20"/>
      <c r="F504" s="20"/>
      <c r="G504" s="20"/>
      <c r="H504" s="6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5"/>
      <c r="B505" s="65"/>
      <c r="C505" s="20"/>
      <c r="D505" s="20"/>
      <c r="E505" s="20"/>
      <c r="F505" s="20"/>
      <c r="G505" s="20"/>
      <c r="H505" s="6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5"/>
      <c r="B506" s="65"/>
      <c r="C506" s="20"/>
      <c r="D506" s="20"/>
      <c r="E506" s="20"/>
      <c r="F506" s="20"/>
      <c r="G506" s="20"/>
      <c r="H506" s="6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5"/>
      <c r="B507" s="65"/>
      <c r="C507" s="20"/>
      <c r="D507" s="20"/>
      <c r="E507" s="20"/>
      <c r="F507" s="20"/>
      <c r="G507" s="20"/>
      <c r="H507" s="6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5"/>
      <c r="B508" s="65"/>
      <c r="C508" s="20"/>
      <c r="D508" s="20"/>
      <c r="E508" s="20"/>
      <c r="F508" s="20"/>
      <c r="G508" s="20"/>
      <c r="H508" s="6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5"/>
      <c r="B509" s="65"/>
      <c r="C509" s="20"/>
      <c r="D509" s="20"/>
      <c r="E509" s="20"/>
      <c r="F509" s="20"/>
      <c r="G509" s="20"/>
      <c r="H509" s="6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5"/>
      <c r="B510" s="65"/>
      <c r="C510" s="20"/>
      <c r="D510" s="20"/>
      <c r="E510" s="20"/>
      <c r="F510" s="20"/>
      <c r="G510" s="20"/>
      <c r="H510" s="6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5"/>
      <c r="B511" s="65"/>
      <c r="C511" s="20"/>
      <c r="D511" s="20"/>
      <c r="E511" s="20"/>
      <c r="F511" s="20"/>
      <c r="G511" s="20"/>
      <c r="H511" s="6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5"/>
      <c r="B512" s="65"/>
      <c r="C512" s="20"/>
      <c r="D512" s="20"/>
      <c r="E512" s="20"/>
      <c r="F512" s="20"/>
      <c r="G512" s="20"/>
      <c r="H512" s="6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5"/>
      <c r="B513" s="65"/>
      <c r="C513" s="20"/>
      <c r="D513" s="20"/>
      <c r="E513" s="20"/>
      <c r="F513" s="20"/>
      <c r="G513" s="20"/>
      <c r="H513" s="6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5"/>
      <c r="B514" s="65"/>
      <c r="C514" s="20"/>
      <c r="D514" s="20"/>
      <c r="E514" s="20"/>
      <c r="F514" s="20"/>
      <c r="G514" s="20"/>
      <c r="H514" s="6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5"/>
      <c r="B515" s="65"/>
      <c r="C515" s="20"/>
      <c r="D515" s="20"/>
      <c r="E515" s="20"/>
      <c r="F515" s="20"/>
      <c r="G515" s="20"/>
      <c r="H515" s="6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5"/>
      <c r="B516" s="65"/>
      <c r="C516" s="20"/>
      <c r="D516" s="20"/>
      <c r="E516" s="20"/>
      <c r="F516" s="20"/>
      <c r="G516" s="20"/>
      <c r="H516" s="6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5"/>
      <c r="B517" s="65"/>
      <c r="C517" s="20"/>
      <c r="D517" s="20"/>
      <c r="E517" s="20"/>
      <c r="F517" s="20"/>
      <c r="G517" s="20"/>
      <c r="H517" s="6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5"/>
      <c r="B518" s="65"/>
      <c r="C518" s="20"/>
      <c r="D518" s="20"/>
      <c r="E518" s="20"/>
      <c r="F518" s="20"/>
      <c r="G518" s="20"/>
      <c r="H518" s="6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5"/>
      <c r="B519" s="65"/>
      <c r="C519" s="20"/>
      <c r="D519" s="20"/>
      <c r="E519" s="20"/>
      <c r="F519" s="20"/>
      <c r="G519" s="20"/>
      <c r="H519" s="6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5"/>
      <c r="B520" s="65"/>
      <c r="C520" s="20"/>
      <c r="D520" s="20"/>
      <c r="E520" s="20"/>
      <c r="F520" s="20"/>
      <c r="G520" s="20"/>
      <c r="H520" s="6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5"/>
      <c r="B521" s="65"/>
      <c r="C521" s="20"/>
      <c r="D521" s="20"/>
      <c r="E521" s="20"/>
      <c r="F521" s="20"/>
      <c r="G521" s="20"/>
      <c r="H521" s="6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5"/>
      <c r="B522" s="65"/>
      <c r="C522" s="20"/>
      <c r="D522" s="20"/>
      <c r="E522" s="20"/>
      <c r="F522" s="20"/>
      <c r="G522" s="20"/>
      <c r="H522" s="6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5"/>
      <c r="B523" s="65"/>
      <c r="C523" s="20"/>
      <c r="D523" s="20"/>
      <c r="E523" s="20"/>
      <c r="F523" s="20"/>
      <c r="G523" s="20"/>
      <c r="H523" s="6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5"/>
      <c r="B524" s="65"/>
      <c r="C524" s="20"/>
      <c r="D524" s="20"/>
      <c r="E524" s="20"/>
      <c r="F524" s="20"/>
      <c r="G524" s="20"/>
      <c r="H524" s="6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5"/>
      <c r="B525" s="65"/>
      <c r="C525" s="20"/>
      <c r="D525" s="20"/>
      <c r="E525" s="20"/>
      <c r="F525" s="20"/>
      <c r="G525" s="20"/>
      <c r="H525" s="6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5"/>
      <c r="B526" s="65"/>
      <c r="C526" s="20"/>
      <c r="D526" s="20"/>
      <c r="E526" s="20"/>
      <c r="F526" s="20"/>
      <c r="G526" s="20"/>
      <c r="H526" s="6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5"/>
      <c r="B527" s="65"/>
      <c r="C527" s="20"/>
      <c r="D527" s="20"/>
      <c r="E527" s="20"/>
      <c r="F527" s="20"/>
      <c r="G527" s="20"/>
      <c r="H527" s="6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5"/>
      <c r="B528" s="65"/>
      <c r="C528" s="20"/>
      <c r="D528" s="20"/>
      <c r="E528" s="20"/>
      <c r="F528" s="20"/>
      <c r="G528" s="20"/>
      <c r="H528" s="6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5"/>
      <c r="B529" s="65"/>
      <c r="C529" s="20"/>
      <c r="D529" s="20"/>
      <c r="E529" s="20"/>
      <c r="F529" s="20"/>
      <c r="G529" s="20"/>
      <c r="H529" s="6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5"/>
      <c r="B530" s="65"/>
      <c r="C530" s="20"/>
      <c r="D530" s="20"/>
      <c r="E530" s="20"/>
      <c r="F530" s="20"/>
      <c r="G530" s="20"/>
      <c r="H530" s="6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5"/>
      <c r="B531" s="65"/>
      <c r="C531" s="20"/>
      <c r="D531" s="20"/>
      <c r="E531" s="20"/>
      <c r="F531" s="20"/>
      <c r="G531" s="20"/>
      <c r="H531" s="6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5"/>
      <c r="B532" s="65"/>
      <c r="C532" s="20"/>
      <c r="D532" s="20"/>
      <c r="E532" s="20"/>
      <c r="F532" s="20"/>
      <c r="G532" s="20"/>
      <c r="H532" s="6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5"/>
      <c r="B533" s="65"/>
      <c r="C533" s="20"/>
      <c r="D533" s="20"/>
      <c r="E533" s="20"/>
      <c r="F533" s="20"/>
      <c r="G533" s="20"/>
      <c r="H533" s="6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5"/>
      <c r="B534" s="65"/>
      <c r="C534" s="20"/>
      <c r="D534" s="20"/>
      <c r="E534" s="20"/>
      <c r="F534" s="20"/>
      <c r="G534" s="20"/>
      <c r="H534" s="6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5"/>
      <c r="B535" s="65"/>
      <c r="C535" s="20"/>
      <c r="D535" s="20"/>
      <c r="E535" s="20"/>
      <c r="F535" s="20"/>
      <c r="G535" s="20"/>
      <c r="H535" s="6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5"/>
      <c r="B536" s="65"/>
      <c r="C536" s="20"/>
      <c r="D536" s="20"/>
      <c r="E536" s="20"/>
      <c r="F536" s="20"/>
      <c r="G536" s="20"/>
      <c r="H536" s="6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5"/>
      <c r="B537" s="65"/>
      <c r="C537" s="20"/>
      <c r="D537" s="20"/>
      <c r="E537" s="20"/>
      <c r="F537" s="20"/>
      <c r="G537" s="20"/>
      <c r="H537" s="6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5"/>
      <c r="B538" s="65"/>
      <c r="C538" s="20"/>
      <c r="D538" s="20"/>
      <c r="E538" s="20"/>
      <c r="F538" s="20"/>
      <c r="G538" s="20"/>
      <c r="H538" s="6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5"/>
      <c r="B539" s="65"/>
      <c r="C539" s="20"/>
      <c r="D539" s="20"/>
      <c r="E539" s="20"/>
      <c r="F539" s="20"/>
      <c r="G539" s="20"/>
      <c r="H539" s="6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5"/>
      <c r="B540" s="65"/>
      <c r="C540" s="20"/>
      <c r="D540" s="20"/>
      <c r="E540" s="20"/>
      <c r="F540" s="20"/>
      <c r="G540" s="20"/>
      <c r="H540" s="6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5"/>
      <c r="B541" s="65"/>
      <c r="C541" s="20"/>
      <c r="D541" s="20"/>
      <c r="E541" s="20"/>
      <c r="F541" s="20"/>
      <c r="G541" s="20"/>
      <c r="H541" s="6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5"/>
      <c r="B542" s="65"/>
      <c r="C542" s="20"/>
      <c r="D542" s="20"/>
      <c r="E542" s="20"/>
      <c r="F542" s="20"/>
      <c r="G542" s="20"/>
      <c r="H542" s="6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5"/>
      <c r="B543" s="65"/>
      <c r="C543" s="20"/>
      <c r="D543" s="20"/>
      <c r="E543" s="20"/>
      <c r="F543" s="20"/>
      <c r="G543" s="20"/>
      <c r="H543" s="6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5"/>
      <c r="B544" s="65"/>
      <c r="C544" s="20"/>
      <c r="D544" s="20"/>
      <c r="E544" s="20"/>
      <c r="F544" s="20"/>
      <c r="G544" s="20"/>
      <c r="H544" s="6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5"/>
      <c r="B545" s="65"/>
      <c r="C545" s="20"/>
      <c r="D545" s="20"/>
      <c r="E545" s="20"/>
      <c r="F545" s="20"/>
      <c r="G545" s="20"/>
      <c r="H545" s="6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5"/>
      <c r="B546" s="65"/>
      <c r="C546" s="20"/>
      <c r="D546" s="20"/>
      <c r="E546" s="20"/>
      <c r="F546" s="20"/>
      <c r="G546" s="20"/>
      <c r="H546" s="6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5"/>
      <c r="B547" s="65"/>
      <c r="C547" s="20"/>
      <c r="D547" s="20"/>
      <c r="E547" s="20"/>
      <c r="F547" s="20"/>
      <c r="G547" s="20"/>
      <c r="H547" s="6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5"/>
      <c r="B548" s="65"/>
      <c r="C548" s="20"/>
      <c r="D548" s="20"/>
      <c r="E548" s="20"/>
      <c r="F548" s="20"/>
      <c r="G548" s="20"/>
      <c r="H548" s="6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5"/>
      <c r="B549" s="65"/>
      <c r="C549" s="20"/>
      <c r="D549" s="20"/>
      <c r="E549" s="20"/>
      <c r="F549" s="20"/>
      <c r="G549" s="20"/>
      <c r="H549" s="6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5"/>
      <c r="B550" s="65"/>
      <c r="C550" s="20"/>
      <c r="D550" s="20"/>
      <c r="E550" s="20"/>
      <c r="F550" s="20"/>
      <c r="G550" s="20"/>
      <c r="H550" s="6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5"/>
      <c r="B551" s="65"/>
      <c r="C551" s="20"/>
      <c r="D551" s="20"/>
      <c r="E551" s="20"/>
      <c r="F551" s="20"/>
      <c r="G551" s="20"/>
      <c r="H551" s="6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5"/>
      <c r="B552" s="65"/>
      <c r="C552" s="20"/>
      <c r="D552" s="20"/>
      <c r="E552" s="20"/>
      <c r="F552" s="20"/>
      <c r="G552" s="20"/>
      <c r="H552" s="6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5"/>
      <c r="B553" s="65"/>
      <c r="C553" s="20"/>
      <c r="D553" s="20"/>
      <c r="E553" s="20"/>
      <c r="F553" s="20"/>
      <c r="G553" s="20"/>
      <c r="H553" s="6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5"/>
      <c r="B554" s="65"/>
      <c r="C554" s="20"/>
      <c r="D554" s="20"/>
      <c r="E554" s="20"/>
      <c r="F554" s="20"/>
      <c r="G554" s="20"/>
      <c r="H554" s="6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5"/>
      <c r="B555" s="65"/>
      <c r="C555" s="20"/>
      <c r="D555" s="20"/>
      <c r="E555" s="20"/>
      <c r="F555" s="20"/>
      <c r="G555" s="20"/>
      <c r="H555" s="6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5"/>
      <c r="B556" s="65"/>
      <c r="C556" s="20"/>
      <c r="D556" s="20"/>
      <c r="E556" s="20"/>
      <c r="F556" s="20"/>
      <c r="G556" s="20"/>
      <c r="H556" s="6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5"/>
      <c r="B557" s="65"/>
      <c r="C557" s="20"/>
      <c r="D557" s="20"/>
      <c r="E557" s="20"/>
      <c r="F557" s="20"/>
      <c r="G557" s="20"/>
      <c r="H557" s="6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5"/>
      <c r="B558" s="65"/>
      <c r="C558" s="20"/>
      <c r="D558" s="20"/>
      <c r="E558" s="20"/>
      <c r="F558" s="20"/>
      <c r="G558" s="20"/>
      <c r="H558" s="6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5"/>
      <c r="B559" s="65"/>
      <c r="C559" s="20"/>
      <c r="D559" s="20"/>
      <c r="E559" s="20"/>
      <c r="F559" s="20"/>
      <c r="G559" s="20"/>
      <c r="H559" s="6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5"/>
      <c r="B560" s="65"/>
      <c r="C560" s="20"/>
      <c r="D560" s="20"/>
      <c r="E560" s="20"/>
      <c r="F560" s="20"/>
      <c r="G560" s="20"/>
      <c r="H560" s="6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5"/>
      <c r="B561" s="65"/>
      <c r="C561" s="20"/>
      <c r="D561" s="20"/>
      <c r="E561" s="20"/>
      <c r="F561" s="20"/>
      <c r="G561" s="20"/>
      <c r="H561" s="6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5"/>
      <c r="B562" s="65"/>
      <c r="C562" s="20"/>
      <c r="D562" s="20"/>
      <c r="E562" s="20"/>
      <c r="F562" s="20"/>
      <c r="G562" s="20"/>
      <c r="H562" s="6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5"/>
      <c r="B563" s="65"/>
      <c r="C563" s="20"/>
      <c r="D563" s="20"/>
      <c r="E563" s="20"/>
      <c r="F563" s="20"/>
      <c r="G563" s="20"/>
      <c r="H563" s="6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5"/>
      <c r="B564" s="65"/>
      <c r="C564" s="20"/>
      <c r="D564" s="20"/>
      <c r="E564" s="20"/>
      <c r="F564" s="20"/>
      <c r="G564" s="20"/>
      <c r="H564" s="6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5"/>
      <c r="B565" s="65"/>
      <c r="C565" s="20"/>
      <c r="D565" s="20"/>
      <c r="E565" s="20"/>
      <c r="F565" s="20"/>
      <c r="G565" s="20"/>
      <c r="H565" s="6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5"/>
      <c r="B566" s="65"/>
      <c r="C566" s="20"/>
      <c r="D566" s="20"/>
      <c r="E566" s="20"/>
      <c r="F566" s="20"/>
      <c r="G566" s="20"/>
      <c r="H566" s="6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5"/>
      <c r="B567" s="65"/>
      <c r="C567" s="20"/>
      <c r="D567" s="20"/>
      <c r="E567" s="20"/>
      <c r="F567" s="20"/>
      <c r="G567" s="20"/>
      <c r="H567" s="6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5"/>
      <c r="B568" s="65"/>
      <c r="C568" s="20"/>
      <c r="D568" s="20"/>
      <c r="E568" s="20"/>
      <c r="F568" s="20"/>
      <c r="G568" s="20"/>
      <c r="H568" s="6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5"/>
      <c r="B569" s="65"/>
      <c r="C569" s="20"/>
      <c r="D569" s="20"/>
      <c r="E569" s="20"/>
      <c r="F569" s="20"/>
      <c r="G569" s="20"/>
      <c r="H569" s="6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5"/>
      <c r="B570" s="65"/>
      <c r="C570" s="20"/>
      <c r="D570" s="20"/>
      <c r="E570" s="20"/>
      <c r="F570" s="20"/>
      <c r="G570" s="20"/>
      <c r="H570" s="6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5"/>
      <c r="B571" s="65"/>
      <c r="C571" s="20"/>
      <c r="D571" s="20"/>
      <c r="E571" s="20"/>
      <c r="F571" s="20"/>
      <c r="G571" s="20"/>
      <c r="H571" s="6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5"/>
      <c r="B572" s="65"/>
      <c r="C572" s="20"/>
      <c r="D572" s="20"/>
      <c r="E572" s="20"/>
      <c r="F572" s="20"/>
      <c r="G572" s="20"/>
      <c r="H572" s="6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5"/>
      <c r="B573" s="65"/>
      <c r="C573" s="20"/>
      <c r="D573" s="20"/>
      <c r="E573" s="20"/>
      <c r="F573" s="20"/>
      <c r="G573" s="20"/>
      <c r="H573" s="6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5"/>
      <c r="B574" s="65"/>
      <c r="C574" s="20"/>
      <c r="D574" s="20"/>
      <c r="E574" s="20"/>
      <c r="F574" s="20"/>
      <c r="G574" s="20"/>
      <c r="H574" s="6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5"/>
      <c r="B575" s="65"/>
      <c r="C575" s="20"/>
      <c r="D575" s="20"/>
      <c r="E575" s="20"/>
      <c r="F575" s="20"/>
      <c r="G575" s="20"/>
      <c r="H575" s="6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5"/>
      <c r="B576" s="65"/>
      <c r="C576" s="20"/>
      <c r="D576" s="20"/>
      <c r="E576" s="20"/>
      <c r="F576" s="20"/>
      <c r="G576" s="20"/>
      <c r="H576" s="6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5"/>
      <c r="B577" s="65"/>
      <c r="C577" s="20"/>
      <c r="D577" s="20"/>
      <c r="E577" s="20"/>
      <c r="F577" s="20"/>
      <c r="G577" s="20"/>
      <c r="H577" s="6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5"/>
      <c r="B578" s="65"/>
      <c r="C578" s="20"/>
      <c r="D578" s="20"/>
      <c r="E578" s="20"/>
      <c r="F578" s="20"/>
      <c r="G578" s="20"/>
      <c r="H578" s="6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5"/>
      <c r="B579" s="65"/>
      <c r="C579" s="20"/>
      <c r="D579" s="20"/>
      <c r="E579" s="20"/>
      <c r="F579" s="20"/>
      <c r="G579" s="20"/>
      <c r="H579" s="6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5"/>
      <c r="B580" s="65"/>
      <c r="C580" s="20"/>
      <c r="D580" s="20"/>
      <c r="E580" s="20"/>
      <c r="F580" s="20"/>
      <c r="G580" s="20"/>
      <c r="H580" s="6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5"/>
      <c r="B581" s="65"/>
      <c r="C581" s="20"/>
      <c r="D581" s="20"/>
      <c r="E581" s="20"/>
      <c r="F581" s="20"/>
      <c r="G581" s="20"/>
      <c r="H581" s="6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5"/>
      <c r="B582" s="65"/>
      <c r="C582" s="20"/>
      <c r="D582" s="20"/>
      <c r="E582" s="20"/>
      <c r="F582" s="20"/>
      <c r="G582" s="20"/>
      <c r="H582" s="6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5"/>
      <c r="B583" s="65"/>
      <c r="C583" s="20"/>
      <c r="D583" s="20"/>
      <c r="E583" s="20"/>
      <c r="F583" s="20"/>
      <c r="G583" s="20"/>
      <c r="H583" s="6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5"/>
      <c r="B584" s="65"/>
      <c r="C584" s="20"/>
      <c r="D584" s="20"/>
      <c r="E584" s="20"/>
      <c r="F584" s="20"/>
      <c r="G584" s="20"/>
      <c r="H584" s="6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5"/>
      <c r="B585" s="65"/>
      <c r="C585" s="20"/>
      <c r="D585" s="20"/>
      <c r="E585" s="20"/>
      <c r="F585" s="20"/>
      <c r="G585" s="20"/>
      <c r="H585" s="6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5"/>
      <c r="B586" s="65"/>
      <c r="C586" s="20"/>
      <c r="D586" s="20"/>
      <c r="E586" s="20"/>
      <c r="F586" s="20"/>
      <c r="G586" s="20"/>
      <c r="H586" s="6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5"/>
      <c r="B587" s="65"/>
      <c r="C587" s="20"/>
      <c r="D587" s="20"/>
      <c r="E587" s="20"/>
      <c r="F587" s="20"/>
      <c r="G587" s="20"/>
      <c r="H587" s="6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5"/>
      <c r="B588" s="65"/>
      <c r="C588" s="20"/>
      <c r="D588" s="20"/>
      <c r="E588" s="20"/>
      <c r="F588" s="20"/>
      <c r="G588" s="20"/>
      <c r="H588" s="6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5"/>
      <c r="B589" s="65"/>
      <c r="C589" s="20"/>
      <c r="D589" s="20"/>
      <c r="E589" s="20"/>
      <c r="F589" s="20"/>
      <c r="G589" s="20"/>
      <c r="H589" s="6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5"/>
      <c r="B590" s="65"/>
      <c r="C590" s="20"/>
      <c r="D590" s="20"/>
      <c r="E590" s="20"/>
      <c r="F590" s="20"/>
      <c r="G590" s="20"/>
      <c r="H590" s="6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5"/>
      <c r="B591" s="65"/>
      <c r="C591" s="20"/>
      <c r="D591" s="20"/>
      <c r="E591" s="20"/>
      <c r="F591" s="20"/>
      <c r="G591" s="20"/>
      <c r="H591" s="6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5"/>
      <c r="B592" s="65"/>
      <c r="C592" s="20"/>
      <c r="D592" s="20"/>
      <c r="E592" s="20"/>
      <c r="F592" s="20"/>
      <c r="G592" s="20"/>
      <c r="H592" s="6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5"/>
      <c r="B593" s="65"/>
      <c r="C593" s="20"/>
      <c r="D593" s="20"/>
      <c r="E593" s="20"/>
      <c r="F593" s="20"/>
      <c r="G593" s="20"/>
      <c r="H593" s="6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5"/>
      <c r="B594" s="65"/>
      <c r="C594" s="20"/>
      <c r="D594" s="20"/>
      <c r="E594" s="20"/>
      <c r="F594" s="20"/>
      <c r="G594" s="20"/>
      <c r="H594" s="6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5"/>
      <c r="B595" s="65"/>
      <c r="C595" s="20"/>
      <c r="D595" s="20"/>
      <c r="E595" s="20"/>
      <c r="F595" s="20"/>
      <c r="G595" s="20"/>
      <c r="H595" s="6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5"/>
      <c r="B596" s="65"/>
      <c r="C596" s="20"/>
      <c r="D596" s="20"/>
      <c r="E596" s="20"/>
      <c r="F596" s="20"/>
      <c r="G596" s="20"/>
      <c r="H596" s="6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5"/>
      <c r="B597" s="65"/>
      <c r="C597" s="20"/>
      <c r="D597" s="20"/>
      <c r="E597" s="20"/>
      <c r="F597" s="20"/>
      <c r="G597" s="20"/>
      <c r="H597" s="6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5"/>
      <c r="B598" s="65"/>
      <c r="C598" s="20"/>
      <c r="D598" s="20"/>
      <c r="E598" s="20"/>
      <c r="F598" s="20"/>
      <c r="G598" s="20"/>
      <c r="H598" s="6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5"/>
      <c r="B599" s="65"/>
      <c r="C599" s="20"/>
      <c r="D599" s="20"/>
      <c r="E599" s="20"/>
      <c r="F599" s="20"/>
      <c r="G599" s="20"/>
      <c r="H599" s="6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5"/>
      <c r="B600" s="65"/>
      <c r="C600" s="20"/>
      <c r="D600" s="20"/>
      <c r="E600" s="20"/>
      <c r="F600" s="20"/>
      <c r="G600" s="20"/>
      <c r="H600" s="6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5"/>
      <c r="B601" s="65"/>
      <c r="C601" s="20"/>
      <c r="D601" s="20"/>
      <c r="E601" s="20"/>
      <c r="F601" s="20"/>
      <c r="G601" s="20"/>
      <c r="H601" s="6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5"/>
      <c r="B602" s="65"/>
      <c r="C602" s="20"/>
      <c r="D602" s="20"/>
      <c r="E602" s="20"/>
      <c r="F602" s="20"/>
      <c r="G602" s="20"/>
      <c r="H602" s="6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5"/>
      <c r="B603" s="65"/>
      <c r="C603" s="20"/>
      <c r="D603" s="20"/>
      <c r="E603" s="20"/>
      <c r="F603" s="20"/>
      <c r="G603" s="20"/>
      <c r="H603" s="6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5"/>
      <c r="B604" s="65"/>
      <c r="C604" s="20"/>
      <c r="D604" s="20"/>
      <c r="E604" s="20"/>
      <c r="F604" s="20"/>
      <c r="G604" s="20"/>
      <c r="H604" s="6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5"/>
      <c r="B605" s="65"/>
      <c r="C605" s="20"/>
      <c r="D605" s="20"/>
      <c r="E605" s="20"/>
      <c r="F605" s="20"/>
      <c r="G605" s="20"/>
      <c r="H605" s="6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5"/>
      <c r="B606" s="65"/>
      <c r="C606" s="20"/>
      <c r="D606" s="20"/>
      <c r="E606" s="20"/>
      <c r="F606" s="20"/>
      <c r="G606" s="20"/>
      <c r="H606" s="6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5"/>
      <c r="B607" s="65"/>
      <c r="C607" s="20"/>
      <c r="D607" s="20"/>
      <c r="E607" s="20"/>
      <c r="F607" s="20"/>
      <c r="G607" s="20"/>
      <c r="H607" s="6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5"/>
      <c r="B608" s="65"/>
      <c r="C608" s="20"/>
      <c r="D608" s="20"/>
      <c r="E608" s="20"/>
      <c r="F608" s="20"/>
      <c r="G608" s="20"/>
      <c r="H608" s="6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5"/>
      <c r="B609" s="65"/>
      <c r="C609" s="20"/>
      <c r="D609" s="20"/>
      <c r="E609" s="20"/>
      <c r="F609" s="20"/>
      <c r="G609" s="20"/>
      <c r="H609" s="6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5"/>
      <c r="B610" s="65"/>
      <c r="C610" s="20"/>
      <c r="D610" s="20"/>
      <c r="E610" s="20"/>
      <c r="F610" s="20"/>
      <c r="G610" s="20"/>
      <c r="H610" s="6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5"/>
      <c r="B611" s="65"/>
      <c r="C611" s="20"/>
      <c r="D611" s="20"/>
      <c r="E611" s="20"/>
      <c r="F611" s="20"/>
      <c r="G611" s="20"/>
      <c r="H611" s="6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5"/>
      <c r="B612" s="65"/>
      <c r="C612" s="20"/>
      <c r="D612" s="20"/>
      <c r="E612" s="20"/>
      <c r="F612" s="20"/>
      <c r="G612" s="20"/>
      <c r="H612" s="6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5"/>
      <c r="B613" s="65"/>
      <c r="C613" s="20"/>
      <c r="D613" s="20"/>
      <c r="E613" s="20"/>
      <c r="F613" s="20"/>
      <c r="G613" s="20"/>
      <c r="H613" s="6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5"/>
      <c r="B614" s="65"/>
      <c r="C614" s="20"/>
      <c r="D614" s="20"/>
      <c r="E614" s="20"/>
      <c r="F614" s="20"/>
      <c r="G614" s="20"/>
      <c r="H614" s="6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5"/>
      <c r="B615" s="65"/>
      <c r="C615" s="20"/>
      <c r="D615" s="20"/>
      <c r="E615" s="20"/>
      <c r="F615" s="20"/>
      <c r="G615" s="20"/>
      <c r="H615" s="6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5"/>
      <c r="B616" s="65"/>
      <c r="C616" s="20"/>
      <c r="D616" s="20"/>
      <c r="E616" s="20"/>
      <c r="F616" s="20"/>
      <c r="G616" s="20"/>
      <c r="H616" s="6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5"/>
      <c r="B617" s="65"/>
      <c r="C617" s="20"/>
      <c r="D617" s="20"/>
      <c r="E617" s="20"/>
      <c r="F617" s="20"/>
      <c r="G617" s="20"/>
      <c r="H617" s="6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5"/>
      <c r="B618" s="65"/>
      <c r="C618" s="20"/>
      <c r="D618" s="20"/>
      <c r="E618" s="20"/>
      <c r="F618" s="20"/>
      <c r="G618" s="20"/>
      <c r="H618" s="6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5"/>
      <c r="B619" s="65"/>
      <c r="C619" s="20"/>
      <c r="D619" s="20"/>
      <c r="E619" s="20"/>
      <c r="F619" s="20"/>
      <c r="G619" s="20"/>
      <c r="H619" s="6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5"/>
      <c r="B620" s="65"/>
      <c r="C620" s="20"/>
      <c r="D620" s="20"/>
      <c r="E620" s="20"/>
      <c r="F620" s="20"/>
      <c r="G620" s="20"/>
      <c r="H620" s="6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5"/>
      <c r="B621" s="65"/>
      <c r="C621" s="20"/>
      <c r="D621" s="20"/>
      <c r="E621" s="20"/>
      <c r="F621" s="20"/>
      <c r="G621" s="20"/>
      <c r="H621" s="6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5"/>
      <c r="B622" s="65"/>
      <c r="C622" s="20"/>
      <c r="D622" s="20"/>
      <c r="E622" s="20"/>
      <c r="F622" s="20"/>
      <c r="G622" s="20"/>
      <c r="H622" s="6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5"/>
      <c r="B623" s="65"/>
      <c r="C623" s="20"/>
      <c r="D623" s="20"/>
      <c r="E623" s="20"/>
      <c r="F623" s="20"/>
      <c r="G623" s="20"/>
      <c r="H623" s="6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5"/>
      <c r="B624" s="65"/>
      <c r="C624" s="20"/>
      <c r="D624" s="20"/>
      <c r="E624" s="20"/>
      <c r="F624" s="20"/>
      <c r="G624" s="20"/>
      <c r="H624" s="6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5"/>
      <c r="B625" s="65"/>
      <c r="C625" s="20"/>
      <c r="D625" s="20"/>
      <c r="E625" s="20"/>
      <c r="F625" s="20"/>
      <c r="G625" s="20"/>
      <c r="H625" s="6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5"/>
      <c r="B626" s="65"/>
      <c r="C626" s="20"/>
      <c r="D626" s="20"/>
      <c r="E626" s="20"/>
      <c r="F626" s="20"/>
      <c r="G626" s="20"/>
      <c r="H626" s="6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5"/>
      <c r="B627" s="65"/>
      <c r="C627" s="20"/>
      <c r="D627" s="20"/>
      <c r="E627" s="20"/>
      <c r="F627" s="20"/>
      <c r="G627" s="20"/>
      <c r="H627" s="6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5"/>
      <c r="B628" s="65"/>
      <c r="C628" s="20"/>
      <c r="D628" s="20"/>
      <c r="E628" s="20"/>
      <c r="F628" s="20"/>
      <c r="G628" s="20"/>
      <c r="H628" s="6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5"/>
      <c r="B629" s="65"/>
      <c r="C629" s="20"/>
      <c r="D629" s="20"/>
      <c r="E629" s="20"/>
      <c r="F629" s="20"/>
      <c r="G629" s="20"/>
      <c r="H629" s="6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5"/>
      <c r="B630" s="65"/>
      <c r="C630" s="20"/>
      <c r="D630" s="20"/>
      <c r="E630" s="20"/>
      <c r="F630" s="20"/>
      <c r="G630" s="20"/>
      <c r="H630" s="6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5"/>
      <c r="B631" s="65"/>
      <c r="C631" s="20"/>
      <c r="D631" s="20"/>
      <c r="E631" s="20"/>
      <c r="F631" s="20"/>
      <c r="G631" s="20"/>
      <c r="H631" s="6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5"/>
      <c r="B632" s="65"/>
      <c r="C632" s="20"/>
      <c r="D632" s="20"/>
      <c r="E632" s="20"/>
      <c r="F632" s="20"/>
      <c r="G632" s="20"/>
      <c r="H632" s="6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5"/>
      <c r="B633" s="65"/>
      <c r="C633" s="20"/>
      <c r="D633" s="20"/>
      <c r="E633" s="20"/>
      <c r="F633" s="20"/>
      <c r="G633" s="20"/>
      <c r="H633" s="6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5"/>
      <c r="B634" s="65"/>
      <c r="C634" s="20"/>
      <c r="D634" s="20"/>
      <c r="E634" s="20"/>
      <c r="F634" s="20"/>
      <c r="G634" s="20"/>
      <c r="H634" s="6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5"/>
      <c r="B635" s="65"/>
      <c r="C635" s="20"/>
      <c r="D635" s="20"/>
      <c r="E635" s="20"/>
      <c r="F635" s="20"/>
      <c r="G635" s="20"/>
      <c r="H635" s="6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5"/>
      <c r="B636" s="65"/>
      <c r="C636" s="20"/>
      <c r="D636" s="20"/>
      <c r="E636" s="20"/>
      <c r="F636" s="20"/>
      <c r="G636" s="20"/>
      <c r="H636" s="6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5"/>
      <c r="B637" s="65"/>
      <c r="C637" s="20"/>
      <c r="D637" s="20"/>
      <c r="E637" s="20"/>
      <c r="F637" s="20"/>
      <c r="G637" s="20"/>
      <c r="H637" s="6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5"/>
      <c r="B638" s="65"/>
      <c r="C638" s="20"/>
      <c r="D638" s="20"/>
      <c r="E638" s="20"/>
      <c r="F638" s="20"/>
      <c r="G638" s="20"/>
      <c r="H638" s="6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5"/>
      <c r="B639" s="65"/>
      <c r="C639" s="20"/>
      <c r="D639" s="20"/>
      <c r="E639" s="20"/>
      <c r="F639" s="20"/>
      <c r="G639" s="20"/>
      <c r="H639" s="6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5"/>
      <c r="B640" s="65"/>
      <c r="C640" s="20"/>
      <c r="D640" s="20"/>
      <c r="E640" s="20"/>
      <c r="F640" s="20"/>
      <c r="G640" s="20"/>
      <c r="H640" s="6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5"/>
      <c r="B641" s="65"/>
      <c r="C641" s="20"/>
      <c r="D641" s="20"/>
      <c r="E641" s="20"/>
      <c r="F641" s="20"/>
      <c r="G641" s="20"/>
      <c r="H641" s="6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5"/>
      <c r="B642" s="65"/>
      <c r="C642" s="20"/>
      <c r="D642" s="20"/>
      <c r="E642" s="20"/>
      <c r="F642" s="20"/>
      <c r="G642" s="20"/>
      <c r="H642" s="6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5"/>
      <c r="B643" s="65"/>
      <c r="C643" s="20"/>
      <c r="D643" s="20"/>
      <c r="E643" s="20"/>
      <c r="F643" s="20"/>
      <c r="G643" s="20"/>
      <c r="H643" s="6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5"/>
      <c r="B644" s="65"/>
      <c r="C644" s="20"/>
      <c r="D644" s="20"/>
      <c r="E644" s="20"/>
      <c r="F644" s="20"/>
      <c r="G644" s="20"/>
      <c r="H644" s="6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5"/>
      <c r="B645" s="65"/>
      <c r="C645" s="20"/>
      <c r="D645" s="20"/>
      <c r="E645" s="20"/>
      <c r="F645" s="20"/>
      <c r="G645" s="20"/>
      <c r="H645" s="6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5"/>
      <c r="B646" s="65"/>
      <c r="C646" s="20"/>
      <c r="D646" s="20"/>
      <c r="E646" s="20"/>
      <c r="F646" s="20"/>
      <c r="G646" s="20"/>
      <c r="H646" s="6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5"/>
      <c r="B647" s="65"/>
      <c r="C647" s="20"/>
      <c r="D647" s="20"/>
      <c r="E647" s="20"/>
      <c r="F647" s="20"/>
      <c r="G647" s="20"/>
      <c r="H647" s="6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5"/>
      <c r="B648" s="65"/>
      <c r="C648" s="20"/>
      <c r="D648" s="20"/>
      <c r="E648" s="20"/>
      <c r="F648" s="20"/>
      <c r="G648" s="20"/>
      <c r="H648" s="6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5"/>
      <c r="B649" s="65"/>
      <c r="C649" s="20"/>
      <c r="D649" s="20"/>
      <c r="E649" s="20"/>
      <c r="F649" s="20"/>
      <c r="G649" s="20"/>
      <c r="H649" s="6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5"/>
      <c r="B650" s="65"/>
      <c r="C650" s="20"/>
      <c r="D650" s="20"/>
      <c r="E650" s="20"/>
      <c r="F650" s="20"/>
      <c r="G650" s="20"/>
      <c r="H650" s="6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5"/>
      <c r="B651" s="65"/>
      <c r="C651" s="20"/>
      <c r="D651" s="20"/>
      <c r="E651" s="20"/>
      <c r="F651" s="20"/>
      <c r="G651" s="20"/>
      <c r="H651" s="6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5"/>
      <c r="B652" s="65"/>
      <c r="C652" s="20"/>
      <c r="D652" s="20"/>
      <c r="E652" s="20"/>
      <c r="F652" s="20"/>
      <c r="G652" s="20"/>
      <c r="H652" s="6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5"/>
      <c r="B653" s="65"/>
      <c r="C653" s="20"/>
      <c r="D653" s="20"/>
      <c r="E653" s="20"/>
      <c r="F653" s="20"/>
      <c r="G653" s="20"/>
      <c r="H653" s="6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5"/>
      <c r="B654" s="65"/>
      <c r="C654" s="20"/>
      <c r="D654" s="20"/>
      <c r="E654" s="20"/>
      <c r="F654" s="20"/>
      <c r="G654" s="20"/>
      <c r="H654" s="6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5"/>
      <c r="B655" s="65"/>
      <c r="C655" s="20"/>
      <c r="D655" s="20"/>
      <c r="E655" s="20"/>
      <c r="F655" s="20"/>
      <c r="G655" s="20"/>
      <c r="H655" s="6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5"/>
      <c r="B656" s="65"/>
      <c r="C656" s="20"/>
      <c r="D656" s="20"/>
      <c r="E656" s="20"/>
      <c r="F656" s="20"/>
      <c r="G656" s="20"/>
      <c r="H656" s="6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5"/>
      <c r="B657" s="65"/>
      <c r="C657" s="20"/>
      <c r="D657" s="20"/>
      <c r="E657" s="20"/>
      <c r="F657" s="20"/>
      <c r="G657" s="20"/>
      <c r="H657" s="6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5"/>
      <c r="B658" s="65"/>
      <c r="C658" s="20"/>
      <c r="D658" s="20"/>
      <c r="E658" s="20"/>
      <c r="F658" s="20"/>
      <c r="G658" s="20"/>
      <c r="H658" s="6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5"/>
      <c r="B659" s="65"/>
      <c r="C659" s="20"/>
      <c r="D659" s="20"/>
      <c r="E659" s="20"/>
      <c r="F659" s="20"/>
      <c r="G659" s="20"/>
      <c r="H659" s="6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5"/>
      <c r="B660" s="65"/>
      <c r="C660" s="20"/>
      <c r="D660" s="20"/>
      <c r="E660" s="20"/>
      <c r="F660" s="20"/>
      <c r="G660" s="20"/>
      <c r="H660" s="6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5"/>
      <c r="B661" s="65"/>
      <c r="C661" s="20"/>
      <c r="D661" s="20"/>
      <c r="E661" s="20"/>
      <c r="F661" s="20"/>
      <c r="G661" s="20"/>
      <c r="H661" s="6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5"/>
      <c r="B662" s="65"/>
      <c r="C662" s="20"/>
      <c r="D662" s="20"/>
      <c r="E662" s="20"/>
      <c r="F662" s="20"/>
      <c r="G662" s="20"/>
      <c r="H662" s="6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5"/>
      <c r="B663" s="65"/>
      <c r="C663" s="20"/>
      <c r="D663" s="20"/>
      <c r="E663" s="20"/>
      <c r="F663" s="20"/>
      <c r="G663" s="20"/>
      <c r="H663" s="6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5"/>
      <c r="B664" s="65"/>
      <c r="C664" s="20"/>
      <c r="D664" s="20"/>
      <c r="E664" s="20"/>
      <c r="F664" s="20"/>
      <c r="G664" s="20"/>
      <c r="H664" s="6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5"/>
      <c r="B665" s="65"/>
      <c r="C665" s="20"/>
      <c r="D665" s="20"/>
      <c r="E665" s="20"/>
      <c r="F665" s="20"/>
      <c r="G665" s="20"/>
      <c r="H665" s="6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5"/>
      <c r="B666" s="65"/>
      <c r="C666" s="20"/>
      <c r="D666" s="20"/>
      <c r="E666" s="20"/>
      <c r="F666" s="20"/>
      <c r="G666" s="20"/>
      <c r="H666" s="6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5"/>
      <c r="B667" s="65"/>
      <c r="C667" s="20"/>
      <c r="D667" s="20"/>
      <c r="E667" s="20"/>
      <c r="F667" s="20"/>
      <c r="G667" s="20"/>
      <c r="H667" s="6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5"/>
      <c r="B668" s="65"/>
      <c r="C668" s="20"/>
      <c r="D668" s="20"/>
      <c r="E668" s="20"/>
      <c r="F668" s="20"/>
      <c r="G668" s="20"/>
      <c r="H668" s="6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5"/>
      <c r="B669" s="65"/>
      <c r="C669" s="20"/>
      <c r="D669" s="20"/>
      <c r="E669" s="20"/>
      <c r="F669" s="20"/>
      <c r="G669" s="20"/>
      <c r="H669" s="6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5"/>
      <c r="B670" s="65"/>
      <c r="C670" s="20"/>
      <c r="D670" s="20"/>
      <c r="E670" s="20"/>
      <c r="F670" s="20"/>
      <c r="G670" s="20"/>
      <c r="H670" s="6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5"/>
      <c r="B671" s="65"/>
      <c r="C671" s="20"/>
      <c r="D671" s="20"/>
      <c r="E671" s="20"/>
      <c r="F671" s="20"/>
      <c r="G671" s="20"/>
      <c r="H671" s="6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5"/>
      <c r="B672" s="65"/>
      <c r="C672" s="20"/>
      <c r="D672" s="20"/>
      <c r="E672" s="20"/>
      <c r="F672" s="20"/>
      <c r="G672" s="20"/>
      <c r="H672" s="6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5"/>
      <c r="B673" s="65"/>
      <c r="C673" s="20"/>
      <c r="D673" s="20"/>
      <c r="E673" s="20"/>
      <c r="F673" s="20"/>
      <c r="G673" s="20"/>
      <c r="H673" s="6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5"/>
      <c r="B674" s="65"/>
      <c r="C674" s="20"/>
      <c r="D674" s="20"/>
      <c r="E674" s="20"/>
      <c r="F674" s="20"/>
      <c r="G674" s="20"/>
      <c r="H674" s="6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5"/>
      <c r="B675" s="65"/>
      <c r="C675" s="20"/>
      <c r="D675" s="20"/>
      <c r="E675" s="20"/>
      <c r="F675" s="20"/>
      <c r="G675" s="20"/>
      <c r="H675" s="6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5"/>
      <c r="B676" s="65"/>
      <c r="C676" s="20"/>
      <c r="D676" s="20"/>
      <c r="E676" s="20"/>
      <c r="F676" s="20"/>
      <c r="G676" s="20"/>
      <c r="H676" s="6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5"/>
      <c r="B677" s="65"/>
      <c r="C677" s="20"/>
      <c r="D677" s="20"/>
      <c r="E677" s="20"/>
      <c r="F677" s="20"/>
      <c r="G677" s="20"/>
      <c r="H677" s="6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5"/>
      <c r="B678" s="65"/>
      <c r="C678" s="20"/>
      <c r="D678" s="20"/>
      <c r="E678" s="20"/>
      <c r="F678" s="20"/>
      <c r="G678" s="20"/>
      <c r="H678" s="6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5"/>
      <c r="B679" s="65"/>
      <c r="C679" s="20"/>
      <c r="D679" s="20"/>
      <c r="E679" s="20"/>
      <c r="F679" s="20"/>
      <c r="G679" s="20"/>
      <c r="H679" s="6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5"/>
      <c r="B680" s="65"/>
      <c r="C680" s="20"/>
      <c r="D680" s="20"/>
      <c r="E680" s="20"/>
      <c r="F680" s="20"/>
      <c r="G680" s="20"/>
      <c r="H680" s="6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5"/>
      <c r="B681" s="65"/>
      <c r="C681" s="20"/>
      <c r="D681" s="20"/>
      <c r="E681" s="20"/>
      <c r="F681" s="20"/>
      <c r="G681" s="20"/>
      <c r="H681" s="6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5"/>
      <c r="B682" s="65"/>
      <c r="C682" s="20"/>
      <c r="D682" s="20"/>
      <c r="E682" s="20"/>
      <c r="F682" s="20"/>
      <c r="G682" s="20"/>
      <c r="H682" s="6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5"/>
      <c r="B683" s="65"/>
      <c r="C683" s="20"/>
      <c r="D683" s="20"/>
      <c r="E683" s="20"/>
      <c r="F683" s="20"/>
      <c r="G683" s="20"/>
      <c r="H683" s="6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5"/>
      <c r="B684" s="65"/>
      <c r="C684" s="20"/>
      <c r="D684" s="20"/>
      <c r="E684" s="20"/>
      <c r="F684" s="20"/>
      <c r="G684" s="20"/>
      <c r="H684" s="6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5"/>
      <c r="B685" s="65"/>
      <c r="C685" s="20"/>
      <c r="D685" s="20"/>
      <c r="E685" s="20"/>
      <c r="F685" s="20"/>
      <c r="G685" s="20"/>
      <c r="H685" s="6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5"/>
      <c r="B686" s="65"/>
      <c r="C686" s="20"/>
      <c r="D686" s="20"/>
      <c r="E686" s="20"/>
      <c r="F686" s="20"/>
      <c r="G686" s="20"/>
      <c r="H686" s="6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5"/>
      <c r="B687" s="65"/>
      <c r="C687" s="20"/>
      <c r="D687" s="20"/>
      <c r="E687" s="20"/>
      <c r="F687" s="20"/>
      <c r="G687" s="20"/>
      <c r="H687" s="6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5"/>
      <c r="B688" s="65"/>
      <c r="C688" s="20"/>
      <c r="D688" s="20"/>
      <c r="E688" s="20"/>
      <c r="F688" s="20"/>
      <c r="G688" s="20"/>
      <c r="H688" s="6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5"/>
      <c r="B689" s="65"/>
      <c r="C689" s="20"/>
      <c r="D689" s="20"/>
      <c r="E689" s="20"/>
      <c r="F689" s="20"/>
      <c r="G689" s="20"/>
      <c r="H689" s="6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5"/>
      <c r="B690" s="65"/>
      <c r="C690" s="20"/>
      <c r="D690" s="20"/>
      <c r="E690" s="20"/>
      <c r="F690" s="20"/>
      <c r="G690" s="20"/>
      <c r="H690" s="6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5"/>
      <c r="B691" s="65"/>
      <c r="C691" s="20"/>
      <c r="D691" s="20"/>
      <c r="E691" s="20"/>
      <c r="F691" s="20"/>
      <c r="G691" s="20"/>
      <c r="H691" s="6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5"/>
      <c r="B692" s="65"/>
      <c r="C692" s="20"/>
      <c r="D692" s="20"/>
      <c r="E692" s="20"/>
      <c r="F692" s="20"/>
      <c r="G692" s="20"/>
      <c r="H692" s="6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5"/>
      <c r="B693" s="65"/>
      <c r="C693" s="20"/>
      <c r="D693" s="20"/>
      <c r="E693" s="20"/>
      <c r="F693" s="20"/>
      <c r="G693" s="20"/>
      <c r="H693" s="6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5"/>
      <c r="B694" s="65"/>
      <c r="C694" s="20"/>
      <c r="D694" s="20"/>
      <c r="E694" s="20"/>
      <c r="F694" s="20"/>
      <c r="G694" s="20"/>
      <c r="H694" s="6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5"/>
      <c r="B695" s="65"/>
      <c r="C695" s="20"/>
      <c r="D695" s="20"/>
      <c r="E695" s="20"/>
      <c r="F695" s="20"/>
      <c r="G695" s="20"/>
      <c r="H695" s="6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5"/>
      <c r="B696" s="65"/>
      <c r="C696" s="20"/>
      <c r="D696" s="20"/>
      <c r="E696" s="20"/>
      <c r="F696" s="20"/>
      <c r="G696" s="20"/>
      <c r="H696" s="6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5"/>
      <c r="B697" s="65"/>
      <c r="C697" s="20"/>
      <c r="D697" s="20"/>
      <c r="E697" s="20"/>
      <c r="F697" s="20"/>
      <c r="G697" s="20"/>
      <c r="H697" s="6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5"/>
      <c r="B698" s="65"/>
      <c r="C698" s="20"/>
      <c r="D698" s="20"/>
      <c r="E698" s="20"/>
      <c r="F698" s="20"/>
      <c r="G698" s="20"/>
      <c r="H698" s="6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5"/>
      <c r="B699" s="65"/>
      <c r="C699" s="20"/>
      <c r="D699" s="20"/>
      <c r="E699" s="20"/>
      <c r="F699" s="20"/>
      <c r="G699" s="20"/>
      <c r="H699" s="6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5"/>
      <c r="B700" s="65"/>
      <c r="C700" s="20"/>
      <c r="D700" s="20"/>
      <c r="E700" s="20"/>
      <c r="F700" s="20"/>
      <c r="G700" s="20"/>
      <c r="H700" s="6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5"/>
      <c r="B701" s="65"/>
      <c r="C701" s="20"/>
      <c r="D701" s="20"/>
      <c r="E701" s="20"/>
      <c r="F701" s="20"/>
      <c r="G701" s="20"/>
      <c r="H701" s="6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5"/>
      <c r="B702" s="65"/>
      <c r="C702" s="20"/>
      <c r="D702" s="20"/>
      <c r="E702" s="20"/>
      <c r="F702" s="20"/>
      <c r="G702" s="20"/>
      <c r="H702" s="6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5"/>
      <c r="B703" s="65"/>
      <c r="C703" s="20"/>
      <c r="D703" s="20"/>
      <c r="E703" s="20"/>
      <c r="F703" s="20"/>
      <c r="G703" s="20"/>
      <c r="H703" s="6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5"/>
      <c r="B704" s="65"/>
      <c r="C704" s="20"/>
      <c r="D704" s="20"/>
      <c r="E704" s="20"/>
      <c r="F704" s="20"/>
      <c r="G704" s="20"/>
      <c r="H704" s="6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5"/>
      <c r="B705" s="65"/>
      <c r="C705" s="20"/>
      <c r="D705" s="20"/>
      <c r="E705" s="20"/>
      <c r="F705" s="20"/>
      <c r="G705" s="20"/>
      <c r="H705" s="6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5"/>
      <c r="B706" s="65"/>
      <c r="C706" s="20"/>
      <c r="D706" s="20"/>
      <c r="E706" s="20"/>
      <c r="F706" s="20"/>
      <c r="G706" s="20"/>
      <c r="H706" s="6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5"/>
      <c r="B707" s="65"/>
      <c r="C707" s="20"/>
      <c r="D707" s="20"/>
      <c r="E707" s="20"/>
      <c r="F707" s="20"/>
      <c r="G707" s="20"/>
      <c r="H707" s="6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5"/>
      <c r="B708" s="65"/>
      <c r="C708" s="20"/>
      <c r="D708" s="20"/>
      <c r="E708" s="20"/>
      <c r="F708" s="20"/>
      <c r="G708" s="20"/>
      <c r="H708" s="6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5"/>
      <c r="B709" s="65"/>
      <c r="C709" s="20"/>
      <c r="D709" s="20"/>
      <c r="E709" s="20"/>
      <c r="F709" s="20"/>
      <c r="G709" s="20"/>
      <c r="H709" s="6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5"/>
      <c r="B710" s="65"/>
      <c r="C710" s="20"/>
      <c r="D710" s="20"/>
      <c r="E710" s="20"/>
      <c r="F710" s="20"/>
      <c r="G710" s="20"/>
      <c r="H710" s="6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5"/>
      <c r="B711" s="65"/>
      <c r="C711" s="20"/>
      <c r="D711" s="20"/>
      <c r="E711" s="20"/>
      <c r="F711" s="20"/>
      <c r="G711" s="20"/>
      <c r="H711" s="6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5"/>
      <c r="B712" s="65"/>
      <c r="C712" s="20"/>
      <c r="D712" s="20"/>
      <c r="E712" s="20"/>
      <c r="F712" s="20"/>
      <c r="G712" s="20"/>
      <c r="H712" s="6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5"/>
      <c r="B713" s="65"/>
      <c r="C713" s="20"/>
      <c r="D713" s="20"/>
      <c r="E713" s="20"/>
      <c r="F713" s="20"/>
      <c r="G713" s="20"/>
      <c r="H713" s="6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5"/>
      <c r="B714" s="65"/>
      <c r="C714" s="20"/>
      <c r="D714" s="20"/>
      <c r="E714" s="20"/>
      <c r="F714" s="20"/>
      <c r="G714" s="20"/>
      <c r="H714" s="6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5"/>
      <c r="B715" s="65"/>
      <c r="C715" s="20"/>
      <c r="D715" s="20"/>
      <c r="E715" s="20"/>
      <c r="F715" s="20"/>
      <c r="G715" s="20"/>
      <c r="H715" s="6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5"/>
      <c r="B716" s="65"/>
      <c r="C716" s="20"/>
      <c r="D716" s="20"/>
      <c r="E716" s="20"/>
      <c r="F716" s="20"/>
      <c r="G716" s="20"/>
      <c r="H716" s="6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5"/>
      <c r="B717" s="65"/>
      <c r="C717" s="20"/>
      <c r="D717" s="20"/>
      <c r="E717" s="20"/>
      <c r="F717" s="20"/>
      <c r="G717" s="20"/>
      <c r="H717" s="6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5"/>
      <c r="B718" s="65"/>
      <c r="C718" s="20"/>
      <c r="D718" s="20"/>
      <c r="E718" s="20"/>
      <c r="F718" s="20"/>
      <c r="G718" s="20"/>
      <c r="H718" s="6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5"/>
      <c r="B719" s="65"/>
      <c r="C719" s="20"/>
      <c r="D719" s="20"/>
      <c r="E719" s="20"/>
      <c r="F719" s="20"/>
      <c r="G719" s="20"/>
      <c r="H719" s="6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5"/>
      <c r="B720" s="65"/>
      <c r="C720" s="20"/>
      <c r="D720" s="20"/>
      <c r="E720" s="20"/>
      <c r="F720" s="20"/>
      <c r="G720" s="20"/>
      <c r="H720" s="6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5"/>
      <c r="B721" s="65"/>
      <c r="C721" s="20"/>
      <c r="D721" s="20"/>
      <c r="E721" s="20"/>
      <c r="F721" s="20"/>
      <c r="G721" s="20"/>
      <c r="H721" s="6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5"/>
      <c r="B722" s="65"/>
      <c r="C722" s="20"/>
      <c r="D722" s="20"/>
      <c r="E722" s="20"/>
      <c r="F722" s="20"/>
      <c r="G722" s="20"/>
      <c r="H722" s="6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5"/>
      <c r="B723" s="65"/>
      <c r="C723" s="20"/>
      <c r="D723" s="20"/>
      <c r="E723" s="20"/>
      <c r="F723" s="20"/>
      <c r="G723" s="20"/>
      <c r="H723" s="6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5"/>
      <c r="B724" s="65"/>
      <c r="C724" s="20"/>
      <c r="D724" s="20"/>
      <c r="E724" s="20"/>
      <c r="F724" s="20"/>
      <c r="G724" s="20"/>
      <c r="H724" s="6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5"/>
      <c r="B725" s="65"/>
      <c r="C725" s="20"/>
      <c r="D725" s="20"/>
      <c r="E725" s="20"/>
      <c r="F725" s="20"/>
      <c r="G725" s="20"/>
      <c r="H725" s="6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5"/>
      <c r="B726" s="65"/>
      <c r="C726" s="20"/>
      <c r="D726" s="20"/>
      <c r="E726" s="20"/>
      <c r="F726" s="20"/>
      <c r="G726" s="20"/>
      <c r="H726" s="6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5"/>
      <c r="B727" s="65"/>
      <c r="C727" s="20"/>
      <c r="D727" s="20"/>
      <c r="E727" s="20"/>
      <c r="F727" s="20"/>
      <c r="G727" s="20"/>
      <c r="H727" s="6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5"/>
      <c r="B728" s="65"/>
      <c r="C728" s="20"/>
      <c r="D728" s="20"/>
      <c r="E728" s="20"/>
      <c r="F728" s="20"/>
      <c r="G728" s="20"/>
      <c r="H728" s="6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5"/>
      <c r="B729" s="65"/>
      <c r="C729" s="20"/>
      <c r="D729" s="20"/>
      <c r="E729" s="20"/>
      <c r="F729" s="20"/>
      <c r="G729" s="20"/>
      <c r="H729" s="6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5"/>
      <c r="B730" s="65"/>
      <c r="C730" s="20"/>
      <c r="D730" s="20"/>
      <c r="E730" s="20"/>
      <c r="F730" s="20"/>
      <c r="G730" s="20"/>
      <c r="H730" s="6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5"/>
      <c r="B731" s="65"/>
      <c r="C731" s="20"/>
      <c r="D731" s="20"/>
      <c r="E731" s="20"/>
      <c r="F731" s="20"/>
      <c r="G731" s="20"/>
      <c r="H731" s="6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5"/>
      <c r="B732" s="65"/>
      <c r="C732" s="20"/>
      <c r="D732" s="20"/>
      <c r="E732" s="20"/>
      <c r="F732" s="20"/>
      <c r="G732" s="20"/>
      <c r="H732" s="6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5"/>
      <c r="B733" s="65"/>
      <c r="C733" s="20"/>
      <c r="D733" s="20"/>
      <c r="E733" s="20"/>
      <c r="F733" s="20"/>
      <c r="G733" s="20"/>
      <c r="H733" s="6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5"/>
      <c r="B734" s="65"/>
      <c r="C734" s="20"/>
      <c r="D734" s="20"/>
      <c r="E734" s="20"/>
      <c r="F734" s="20"/>
      <c r="G734" s="20"/>
      <c r="H734" s="6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5"/>
      <c r="B735" s="65"/>
      <c r="C735" s="20"/>
      <c r="D735" s="20"/>
      <c r="E735" s="20"/>
      <c r="F735" s="20"/>
      <c r="G735" s="20"/>
      <c r="H735" s="6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5"/>
      <c r="B736" s="65"/>
      <c r="C736" s="20"/>
      <c r="D736" s="20"/>
      <c r="E736" s="20"/>
      <c r="F736" s="20"/>
      <c r="G736" s="20"/>
      <c r="H736" s="6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5"/>
      <c r="B737" s="65"/>
      <c r="C737" s="20"/>
      <c r="D737" s="20"/>
      <c r="E737" s="20"/>
      <c r="F737" s="20"/>
      <c r="G737" s="20"/>
      <c r="H737" s="6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5"/>
      <c r="B738" s="65"/>
      <c r="C738" s="20"/>
      <c r="D738" s="20"/>
      <c r="E738" s="20"/>
      <c r="F738" s="20"/>
      <c r="G738" s="20"/>
      <c r="H738" s="6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5"/>
      <c r="B739" s="65"/>
      <c r="C739" s="20"/>
      <c r="D739" s="20"/>
      <c r="E739" s="20"/>
      <c r="F739" s="20"/>
      <c r="G739" s="20"/>
      <c r="H739" s="6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5"/>
      <c r="B740" s="65"/>
      <c r="C740" s="20"/>
      <c r="D740" s="20"/>
      <c r="E740" s="20"/>
      <c r="F740" s="20"/>
      <c r="G740" s="20"/>
      <c r="H740" s="6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5"/>
      <c r="B741" s="65"/>
      <c r="C741" s="20"/>
      <c r="D741" s="20"/>
      <c r="E741" s="20"/>
      <c r="F741" s="20"/>
      <c r="G741" s="20"/>
      <c r="H741" s="6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5"/>
      <c r="B742" s="65"/>
      <c r="C742" s="20"/>
      <c r="D742" s="20"/>
      <c r="E742" s="20"/>
      <c r="F742" s="20"/>
      <c r="G742" s="20"/>
      <c r="H742" s="6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5"/>
      <c r="B743" s="65"/>
      <c r="C743" s="20"/>
      <c r="D743" s="20"/>
      <c r="E743" s="20"/>
      <c r="F743" s="20"/>
      <c r="G743" s="20"/>
      <c r="H743" s="6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5"/>
      <c r="B744" s="65"/>
      <c r="C744" s="20"/>
      <c r="D744" s="20"/>
      <c r="E744" s="20"/>
      <c r="F744" s="20"/>
      <c r="G744" s="20"/>
      <c r="H744" s="6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5"/>
      <c r="B745" s="65"/>
      <c r="C745" s="20"/>
      <c r="D745" s="20"/>
      <c r="E745" s="20"/>
      <c r="F745" s="20"/>
      <c r="G745" s="20"/>
      <c r="H745" s="6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5"/>
      <c r="B746" s="65"/>
      <c r="C746" s="20"/>
      <c r="D746" s="20"/>
      <c r="E746" s="20"/>
      <c r="F746" s="20"/>
      <c r="G746" s="20"/>
      <c r="H746" s="6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5"/>
      <c r="B747" s="65"/>
      <c r="C747" s="20"/>
      <c r="D747" s="20"/>
      <c r="E747" s="20"/>
      <c r="F747" s="20"/>
      <c r="G747" s="20"/>
      <c r="H747" s="6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5"/>
      <c r="B748" s="65"/>
      <c r="C748" s="20"/>
      <c r="D748" s="20"/>
      <c r="E748" s="20"/>
      <c r="F748" s="20"/>
      <c r="G748" s="20"/>
      <c r="H748" s="6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5"/>
      <c r="B749" s="65"/>
      <c r="C749" s="20"/>
      <c r="D749" s="20"/>
      <c r="E749" s="20"/>
      <c r="F749" s="20"/>
      <c r="G749" s="20"/>
      <c r="H749" s="6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5"/>
      <c r="B750" s="65"/>
      <c r="C750" s="20"/>
      <c r="D750" s="20"/>
      <c r="E750" s="20"/>
      <c r="F750" s="20"/>
      <c r="G750" s="20"/>
      <c r="H750" s="6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5"/>
      <c r="B751" s="65"/>
      <c r="C751" s="20"/>
      <c r="D751" s="20"/>
      <c r="E751" s="20"/>
      <c r="F751" s="20"/>
      <c r="G751" s="20"/>
      <c r="H751" s="6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5"/>
      <c r="B752" s="65"/>
      <c r="C752" s="20"/>
      <c r="D752" s="20"/>
      <c r="E752" s="20"/>
      <c r="F752" s="20"/>
      <c r="G752" s="20"/>
      <c r="H752" s="6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5"/>
      <c r="B753" s="65"/>
      <c r="C753" s="20"/>
      <c r="D753" s="20"/>
      <c r="E753" s="20"/>
      <c r="F753" s="20"/>
      <c r="G753" s="20"/>
      <c r="H753" s="6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5"/>
      <c r="B754" s="65"/>
      <c r="C754" s="20"/>
      <c r="D754" s="20"/>
      <c r="E754" s="20"/>
      <c r="F754" s="20"/>
      <c r="G754" s="20"/>
      <c r="H754" s="6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5"/>
      <c r="B755" s="65"/>
      <c r="C755" s="20"/>
      <c r="D755" s="20"/>
      <c r="E755" s="20"/>
      <c r="F755" s="20"/>
      <c r="G755" s="20"/>
      <c r="H755" s="6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5"/>
      <c r="B756" s="65"/>
      <c r="C756" s="20"/>
      <c r="D756" s="20"/>
      <c r="E756" s="20"/>
      <c r="F756" s="20"/>
      <c r="G756" s="20"/>
      <c r="H756" s="6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5"/>
      <c r="B757" s="65"/>
      <c r="C757" s="20"/>
      <c r="D757" s="20"/>
      <c r="E757" s="20"/>
      <c r="F757" s="20"/>
      <c r="G757" s="20"/>
      <c r="H757" s="6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5"/>
      <c r="B758" s="65"/>
      <c r="C758" s="20"/>
      <c r="D758" s="20"/>
      <c r="E758" s="20"/>
      <c r="F758" s="20"/>
      <c r="G758" s="20"/>
      <c r="H758" s="6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5"/>
      <c r="B759" s="65"/>
      <c r="C759" s="20"/>
      <c r="D759" s="20"/>
      <c r="E759" s="20"/>
      <c r="F759" s="20"/>
      <c r="G759" s="20"/>
      <c r="H759" s="6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5"/>
      <c r="B760" s="65"/>
      <c r="C760" s="20"/>
      <c r="D760" s="20"/>
      <c r="E760" s="20"/>
      <c r="F760" s="20"/>
      <c r="G760" s="20"/>
      <c r="H760" s="6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5"/>
      <c r="B761" s="65"/>
      <c r="C761" s="20"/>
      <c r="D761" s="20"/>
      <c r="E761" s="20"/>
      <c r="F761" s="20"/>
      <c r="G761" s="20"/>
      <c r="H761" s="6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5"/>
      <c r="B762" s="65"/>
      <c r="C762" s="20"/>
      <c r="D762" s="20"/>
      <c r="E762" s="20"/>
      <c r="F762" s="20"/>
      <c r="G762" s="20"/>
      <c r="H762" s="6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5"/>
      <c r="B763" s="65"/>
      <c r="C763" s="20"/>
      <c r="D763" s="20"/>
      <c r="E763" s="20"/>
      <c r="F763" s="20"/>
      <c r="G763" s="20"/>
      <c r="H763" s="6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5"/>
      <c r="B764" s="65"/>
      <c r="C764" s="20"/>
      <c r="D764" s="20"/>
      <c r="E764" s="20"/>
      <c r="F764" s="20"/>
      <c r="G764" s="20"/>
      <c r="H764" s="6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5"/>
      <c r="B765" s="65"/>
      <c r="C765" s="20"/>
      <c r="D765" s="20"/>
      <c r="E765" s="20"/>
      <c r="F765" s="20"/>
      <c r="G765" s="20"/>
      <c r="H765" s="6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5"/>
      <c r="B766" s="65"/>
      <c r="C766" s="20"/>
      <c r="D766" s="20"/>
      <c r="E766" s="20"/>
      <c r="F766" s="20"/>
      <c r="G766" s="20"/>
      <c r="H766" s="6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5"/>
      <c r="B767" s="65"/>
      <c r="C767" s="20"/>
      <c r="D767" s="20"/>
      <c r="E767" s="20"/>
      <c r="F767" s="20"/>
      <c r="G767" s="20"/>
      <c r="H767" s="6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5"/>
      <c r="B768" s="65"/>
      <c r="C768" s="20"/>
      <c r="D768" s="20"/>
      <c r="E768" s="20"/>
      <c r="F768" s="20"/>
      <c r="G768" s="20"/>
      <c r="H768" s="6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5"/>
      <c r="B769" s="65"/>
      <c r="C769" s="20"/>
      <c r="D769" s="20"/>
      <c r="E769" s="20"/>
      <c r="F769" s="20"/>
      <c r="G769" s="20"/>
      <c r="H769" s="6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5"/>
      <c r="B770" s="65"/>
      <c r="C770" s="20"/>
      <c r="D770" s="20"/>
      <c r="E770" s="20"/>
      <c r="F770" s="20"/>
      <c r="G770" s="20"/>
      <c r="H770" s="6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5"/>
      <c r="B771" s="65"/>
      <c r="C771" s="20"/>
      <c r="D771" s="20"/>
      <c r="E771" s="20"/>
      <c r="F771" s="20"/>
      <c r="G771" s="20"/>
      <c r="H771" s="6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5"/>
      <c r="B772" s="65"/>
      <c r="C772" s="20"/>
      <c r="D772" s="20"/>
      <c r="E772" s="20"/>
      <c r="F772" s="20"/>
      <c r="G772" s="20"/>
      <c r="H772" s="6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5"/>
      <c r="B773" s="65"/>
      <c r="C773" s="20"/>
      <c r="D773" s="20"/>
      <c r="E773" s="20"/>
      <c r="F773" s="20"/>
      <c r="G773" s="20"/>
      <c r="H773" s="6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5"/>
      <c r="B774" s="65"/>
      <c r="C774" s="20"/>
      <c r="D774" s="20"/>
      <c r="E774" s="20"/>
      <c r="F774" s="20"/>
      <c r="G774" s="20"/>
      <c r="H774" s="6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5"/>
      <c r="B775" s="65"/>
      <c r="C775" s="20"/>
      <c r="D775" s="20"/>
      <c r="E775" s="20"/>
      <c r="F775" s="20"/>
      <c r="G775" s="20"/>
      <c r="H775" s="6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5"/>
      <c r="B776" s="65"/>
      <c r="C776" s="20"/>
      <c r="D776" s="20"/>
      <c r="E776" s="20"/>
      <c r="F776" s="20"/>
      <c r="G776" s="20"/>
      <c r="H776" s="6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5"/>
      <c r="B777" s="65"/>
      <c r="C777" s="20"/>
      <c r="D777" s="20"/>
      <c r="E777" s="20"/>
      <c r="F777" s="20"/>
      <c r="G777" s="20"/>
      <c r="H777" s="6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5"/>
      <c r="B778" s="65"/>
      <c r="C778" s="20"/>
      <c r="D778" s="20"/>
      <c r="E778" s="20"/>
      <c r="F778" s="20"/>
      <c r="G778" s="20"/>
      <c r="H778" s="6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5"/>
      <c r="B779" s="65"/>
      <c r="C779" s="20"/>
      <c r="D779" s="20"/>
      <c r="E779" s="20"/>
      <c r="F779" s="20"/>
      <c r="G779" s="20"/>
      <c r="H779" s="6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5"/>
      <c r="B780" s="65"/>
      <c r="C780" s="20"/>
      <c r="D780" s="20"/>
      <c r="E780" s="20"/>
      <c r="F780" s="20"/>
      <c r="G780" s="20"/>
      <c r="H780" s="6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5"/>
      <c r="B781" s="65"/>
      <c r="C781" s="20"/>
      <c r="D781" s="20"/>
      <c r="E781" s="20"/>
      <c r="F781" s="20"/>
      <c r="G781" s="20"/>
      <c r="H781" s="6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5"/>
      <c r="B782" s="65"/>
      <c r="C782" s="20"/>
      <c r="D782" s="20"/>
      <c r="E782" s="20"/>
      <c r="F782" s="20"/>
      <c r="G782" s="20"/>
      <c r="H782" s="6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5"/>
      <c r="B783" s="65"/>
      <c r="C783" s="20"/>
      <c r="D783" s="20"/>
      <c r="E783" s="20"/>
      <c r="F783" s="20"/>
      <c r="G783" s="20"/>
      <c r="H783" s="6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5"/>
      <c r="B784" s="65"/>
      <c r="C784" s="20"/>
      <c r="D784" s="20"/>
      <c r="E784" s="20"/>
      <c r="F784" s="20"/>
      <c r="G784" s="20"/>
      <c r="H784" s="6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5"/>
      <c r="B785" s="65"/>
      <c r="C785" s="20"/>
      <c r="D785" s="20"/>
      <c r="E785" s="20"/>
      <c r="F785" s="20"/>
      <c r="G785" s="20"/>
      <c r="H785" s="6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5"/>
      <c r="B786" s="65"/>
      <c r="C786" s="20"/>
      <c r="D786" s="20"/>
      <c r="E786" s="20"/>
      <c r="F786" s="20"/>
      <c r="G786" s="20"/>
      <c r="H786" s="6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5"/>
      <c r="B787" s="65"/>
      <c r="C787" s="20"/>
      <c r="D787" s="20"/>
      <c r="E787" s="20"/>
      <c r="F787" s="20"/>
      <c r="G787" s="20"/>
      <c r="H787" s="6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5"/>
      <c r="B788" s="65"/>
      <c r="C788" s="20"/>
      <c r="D788" s="20"/>
      <c r="E788" s="20"/>
      <c r="F788" s="20"/>
      <c r="G788" s="20"/>
      <c r="H788" s="6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5"/>
      <c r="B789" s="65"/>
      <c r="C789" s="20"/>
      <c r="D789" s="20"/>
      <c r="E789" s="20"/>
      <c r="F789" s="20"/>
      <c r="G789" s="20"/>
      <c r="H789" s="6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5"/>
      <c r="B790" s="65"/>
      <c r="C790" s="20"/>
      <c r="D790" s="20"/>
      <c r="E790" s="20"/>
      <c r="F790" s="20"/>
      <c r="G790" s="20"/>
      <c r="H790" s="6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5"/>
      <c r="B791" s="65"/>
      <c r="C791" s="20"/>
      <c r="D791" s="20"/>
      <c r="E791" s="20"/>
      <c r="F791" s="20"/>
      <c r="G791" s="20"/>
      <c r="H791" s="6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5"/>
      <c r="B792" s="65"/>
      <c r="C792" s="20"/>
      <c r="D792" s="20"/>
      <c r="E792" s="20"/>
      <c r="F792" s="20"/>
      <c r="G792" s="20"/>
      <c r="H792" s="6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5"/>
      <c r="B793" s="65"/>
      <c r="C793" s="20"/>
      <c r="D793" s="20"/>
      <c r="E793" s="20"/>
      <c r="F793" s="20"/>
      <c r="G793" s="20"/>
      <c r="H793" s="6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5"/>
      <c r="B794" s="65"/>
      <c r="C794" s="20"/>
      <c r="D794" s="20"/>
      <c r="E794" s="20"/>
      <c r="F794" s="20"/>
      <c r="G794" s="20"/>
      <c r="H794" s="6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5"/>
      <c r="B795" s="65"/>
      <c r="C795" s="20"/>
      <c r="D795" s="20"/>
      <c r="E795" s="20"/>
      <c r="F795" s="20"/>
      <c r="G795" s="20"/>
      <c r="H795" s="6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5"/>
      <c r="B796" s="65"/>
      <c r="C796" s="20"/>
      <c r="D796" s="20"/>
      <c r="E796" s="20"/>
      <c r="F796" s="20"/>
      <c r="G796" s="20"/>
      <c r="H796" s="6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5"/>
      <c r="B797" s="65"/>
      <c r="C797" s="20"/>
      <c r="D797" s="20"/>
      <c r="E797" s="20"/>
      <c r="F797" s="20"/>
      <c r="G797" s="20"/>
      <c r="H797" s="6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5"/>
      <c r="B798" s="65"/>
      <c r="C798" s="20"/>
      <c r="D798" s="20"/>
      <c r="E798" s="20"/>
      <c r="F798" s="20"/>
      <c r="G798" s="20"/>
      <c r="H798" s="6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5"/>
      <c r="B799" s="65"/>
      <c r="C799" s="20"/>
      <c r="D799" s="20"/>
      <c r="E799" s="20"/>
      <c r="F799" s="20"/>
      <c r="G799" s="20"/>
      <c r="H799" s="6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5"/>
      <c r="B800" s="65"/>
      <c r="C800" s="20"/>
      <c r="D800" s="20"/>
      <c r="E800" s="20"/>
      <c r="F800" s="20"/>
      <c r="G800" s="20"/>
      <c r="H800" s="6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5"/>
      <c r="B801" s="65"/>
      <c r="C801" s="20"/>
      <c r="D801" s="20"/>
      <c r="E801" s="20"/>
      <c r="F801" s="20"/>
      <c r="G801" s="20"/>
      <c r="H801" s="6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5"/>
      <c r="B802" s="65"/>
      <c r="C802" s="20"/>
      <c r="D802" s="20"/>
      <c r="E802" s="20"/>
      <c r="F802" s="20"/>
      <c r="G802" s="20"/>
      <c r="H802" s="6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5"/>
      <c r="B803" s="65"/>
      <c r="C803" s="20"/>
      <c r="D803" s="20"/>
      <c r="E803" s="20"/>
      <c r="F803" s="20"/>
      <c r="G803" s="20"/>
      <c r="H803" s="6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5"/>
      <c r="B804" s="65"/>
      <c r="C804" s="20"/>
      <c r="D804" s="20"/>
      <c r="E804" s="20"/>
      <c r="F804" s="20"/>
      <c r="G804" s="20"/>
      <c r="H804" s="6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5"/>
      <c r="B805" s="65"/>
      <c r="C805" s="20"/>
      <c r="D805" s="20"/>
      <c r="E805" s="20"/>
      <c r="F805" s="20"/>
      <c r="G805" s="20"/>
      <c r="H805" s="6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5"/>
      <c r="B806" s="65"/>
      <c r="C806" s="20"/>
      <c r="D806" s="20"/>
      <c r="E806" s="20"/>
      <c r="F806" s="20"/>
      <c r="G806" s="20"/>
      <c r="H806" s="6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5"/>
      <c r="B807" s="65"/>
      <c r="C807" s="20"/>
      <c r="D807" s="20"/>
      <c r="E807" s="20"/>
      <c r="F807" s="20"/>
      <c r="G807" s="20"/>
      <c r="H807" s="6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5"/>
      <c r="B808" s="65"/>
      <c r="C808" s="20"/>
      <c r="D808" s="20"/>
      <c r="E808" s="20"/>
      <c r="F808" s="20"/>
      <c r="G808" s="20"/>
      <c r="H808" s="6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5"/>
      <c r="B809" s="65"/>
      <c r="C809" s="20"/>
      <c r="D809" s="20"/>
      <c r="E809" s="20"/>
      <c r="F809" s="20"/>
      <c r="G809" s="20"/>
      <c r="H809" s="6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5"/>
      <c r="B810" s="65"/>
      <c r="C810" s="20"/>
      <c r="D810" s="20"/>
      <c r="E810" s="20"/>
      <c r="F810" s="20"/>
      <c r="G810" s="20"/>
      <c r="H810" s="6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5"/>
      <c r="B811" s="65"/>
      <c r="C811" s="20"/>
      <c r="D811" s="20"/>
      <c r="E811" s="20"/>
      <c r="F811" s="20"/>
      <c r="G811" s="20"/>
      <c r="H811" s="6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5"/>
      <c r="B812" s="65"/>
      <c r="C812" s="20"/>
      <c r="D812" s="20"/>
      <c r="E812" s="20"/>
      <c r="F812" s="20"/>
      <c r="G812" s="20"/>
      <c r="H812" s="6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5"/>
      <c r="B813" s="65"/>
      <c r="C813" s="20"/>
      <c r="D813" s="20"/>
      <c r="E813" s="20"/>
      <c r="F813" s="20"/>
      <c r="G813" s="20"/>
      <c r="H813" s="6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5"/>
      <c r="B814" s="65"/>
      <c r="C814" s="20"/>
      <c r="D814" s="20"/>
      <c r="E814" s="20"/>
      <c r="F814" s="20"/>
      <c r="G814" s="20"/>
      <c r="H814" s="6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5"/>
      <c r="B815" s="65"/>
      <c r="C815" s="20"/>
      <c r="D815" s="20"/>
      <c r="E815" s="20"/>
      <c r="F815" s="20"/>
      <c r="G815" s="20"/>
      <c r="H815" s="6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5"/>
      <c r="B816" s="65"/>
      <c r="C816" s="20"/>
      <c r="D816" s="20"/>
      <c r="E816" s="20"/>
      <c r="F816" s="20"/>
      <c r="G816" s="20"/>
      <c r="H816" s="6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5"/>
      <c r="B817" s="65"/>
      <c r="C817" s="20"/>
      <c r="D817" s="20"/>
      <c r="E817" s="20"/>
      <c r="F817" s="20"/>
      <c r="G817" s="20"/>
      <c r="H817" s="6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5"/>
      <c r="B818" s="65"/>
      <c r="C818" s="20"/>
      <c r="D818" s="20"/>
      <c r="E818" s="20"/>
      <c r="F818" s="20"/>
      <c r="G818" s="20"/>
      <c r="H818" s="6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5"/>
      <c r="B819" s="65"/>
      <c r="C819" s="20"/>
      <c r="D819" s="20"/>
      <c r="E819" s="20"/>
      <c r="F819" s="20"/>
      <c r="G819" s="20"/>
      <c r="H819" s="6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5"/>
      <c r="B820" s="65"/>
      <c r="C820" s="20"/>
      <c r="D820" s="20"/>
      <c r="E820" s="20"/>
      <c r="F820" s="20"/>
      <c r="G820" s="20"/>
      <c r="H820" s="6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5"/>
      <c r="B821" s="65"/>
      <c r="C821" s="20"/>
      <c r="D821" s="20"/>
      <c r="E821" s="20"/>
      <c r="F821" s="20"/>
      <c r="G821" s="20"/>
      <c r="H821" s="6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5"/>
      <c r="B822" s="65"/>
      <c r="C822" s="20"/>
      <c r="D822" s="20"/>
      <c r="E822" s="20"/>
      <c r="F822" s="20"/>
      <c r="G822" s="20"/>
      <c r="H822" s="6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5"/>
      <c r="B823" s="65"/>
      <c r="C823" s="20"/>
      <c r="D823" s="20"/>
      <c r="E823" s="20"/>
      <c r="F823" s="20"/>
      <c r="G823" s="20"/>
      <c r="H823" s="6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5"/>
      <c r="B824" s="65"/>
      <c r="C824" s="20"/>
      <c r="D824" s="20"/>
      <c r="E824" s="20"/>
      <c r="F824" s="20"/>
      <c r="G824" s="20"/>
      <c r="H824" s="6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5"/>
      <c r="B825" s="65"/>
      <c r="C825" s="20"/>
      <c r="D825" s="20"/>
      <c r="E825" s="20"/>
      <c r="F825" s="20"/>
      <c r="G825" s="20"/>
      <c r="H825" s="6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5"/>
      <c r="B826" s="65"/>
      <c r="C826" s="20"/>
      <c r="D826" s="20"/>
      <c r="E826" s="20"/>
      <c r="F826" s="20"/>
      <c r="G826" s="20"/>
      <c r="H826" s="6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5"/>
      <c r="B827" s="65"/>
      <c r="C827" s="20"/>
      <c r="D827" s="20"/>
      <c r="E827" s="20"/>
      <c r="F827" s="20"/>
      <c r="G827" s="20"/>
      <c r="H827" s="6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5"/>
      <c r="B828" s="65"/>
      <c r="C828" s="20"/>
      <c r="D828" s="20"/>
      <c r="E828" s="20"/>
      <c r="F828" s="20"/>
      <c r="G828" s="20"/>
      <c r="H828" s="6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5"/>
      <c r="B829" s="65"/>
      <c r="C829" s="20"/>
      <c r="D829" s="20"/>
      <c r="E829" s="20"/>
      <c r="F829" s="20"/>
      <c r="G829" s="20"/>
      <c r="H829" s="6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5"/>
      <c r="B830" s="65"/>
      <c r="C830" s="20"/>
      <c r="D830" s="20"/>
      <c r="E830" s="20"/>
      <c r="F830" s="20"/>
      <c r="G830" s="20"/>
      <c r="H830" s="6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5"/>
      <c r="B831" s="65"/>
      <c r="C831" s="20"/>
      <c r="D831" s="20"/>
      <c r="E831" s="20"/>
      <c r="F831" s="20"/>
      <c r="G831" s="20"/>
      <c r="H831" s="6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5"/>
      <c r="B832" s="65"/>
      <c r="C832" s="20"/>
      <c r="D832" s="20"/>
      <c r="E832" s="20"/>
      <c r="F832" s="20"/>
      <c r="G832" s="20"/>
      <c r="H832" s="6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5"/>
      <c r="B833" s="65"/>
      <c r="C833" s="20"/>
      <c r="D833" s="20"/>
      <c r="E833" s="20"/>
      <c r="F833" s="20"/>
      <c r="G833" s="20"/>
      <c r="H833" s="6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5"/>
      <c r="B834" s="65"/>
      <c r="C834" s="20"/>
      <c r="D834" s="20"/>
      <c r="E834" s="20"/>
      <c r="F834" s="20"/>
      <c r="G834" s="20"/>
      <c r="H834" s="6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5"/>
      <c r="B835" s="65"/>
      <c r="C835" s="20"/>
      <c r="D835" s="20"/>
      <c r="E835" s="20"/>
      <c r="F835" s="20"/>
      <c r="G835" s="20"/>
      <c r="H835" s="6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5"/>
      <c r="B836" s="65"/>
      <c r="C836" s="20"/>
      <c r="D836" s="20"/>
      <c r="E836" s="20"/>
      <c r="F836" s="20"/>
      <c r="G836" s="20"/>
      <c r="H836" s="6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5"/>
      <c r="B837" s="65"/>
      <c r="C837" s="20"/>
      <c r="D837" s="20"/>
      <c r="E837" s="20"/>
      <c r="F837" s="20"/>
      <c r="G837" s="20"/>
      <c r="H837" s="6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5"/>
      <c r="B838" s="65"/>
      <c r="C838" s="20"/>
      <c r="D838" s="20"/>
      <c r="E838" s="20"/>
      <c r="F838" s="20"/>
      <c r="G838" s="20"/>
      <c r="H838" s="6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5"/>
      <c r="B839" s="65"/>
      <c r="C839" s="20"/>
      <c r="D839" s="20"/>
      <c r="E839" s="20"/>
      <c r="F839" s="20"/>
      <c r="G839" s="20"/>
      <c r="H839" s="6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5"/>
      <c r="B840" s="65"/>
      <c r="C840" s="20"/>
      <c r="D840" s="20"/>
      <c r="E840" s="20"/>
      <c r="F840" s="20"/>
      <c r="G840" s="20"/>
      <c r="H840" s="6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5"/>
      <c r="B841" s="65"/>
      <c r="C841" s="20"/>
      <c r="D841" s="20"/>
      <c r="E841" s="20"/>
      <c r="F841" s="20"/>
      <c r="G841" s="20"/>
      <c r="H841" s="6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5"/>
      <c r="B842" s="65"/>
      <c r="C842" s="20"/>
      <c r="D842" s="20"/>
      <c r="E842" s="20"/>
      <c r="F842" s="20"/>
      <c r="G842" s="20"/>
      <c r="H842" s="6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5"/>
      <c r="B843" s="65"/>
      <c r="C843" s="20"/>
      <c r="D843" s="20"/>
      <c r="E843" s="20"/>
      <c r="F843" s="20"/>
      <c r="G843" s="20"/>
      <c r="H843" s="6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5"/>
      <c r="B844" s="65"/>
      <c r="C844" s="20"/>
      <c r="D844" s="20"/>
      <c r="E844" s="20"/>
      <c r="F844" s="20"/>
      <c r="G844" s="20"/>
      <c r="H844" s="6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5"/>
      <c r="B845" s="65"/>
      <c r="C845" s="20"/>
      <c r="D845" s="20"/>
      <c r="E845" s="20"/>
      <c r="F845" s="20"/>
      <c r="G845" s="20"/>
      <c r="H845" s="6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5"/>
      <c r="B846" s="65"/>
      <c r="C846" s="20"/>
      <c r="D846" s="20"/>
      <c r="E846" s="20"/>
      <c r="F846" s="20"/>
      <c r="G846" s="20"/>
      <c r="H846" s="6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5"/>
      <c r="B847" s="65"/>
      <c r="C847" s="20"/>
      <c r="D847" s="20"/>
      <c r="E847" s="20"/>
      <c r="F847" s="20"/>
      <c r="G847" s="20"/>
      <c r="H847" s="6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5"/>
      <c r="B848" s="65"/>
      <c r="C848" s="20"/>
      <c r="D848" s="20"/>
      <c r="E848" s="20"/>
      <c r="F848" s="20"/>
      <c r="G848" s="20"/>
      <c r="H848" s="6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5"/>
      <c r="B849" s="65"/>
      <c r="C849" s="20"/>
      <c r="D849" s="20"/>
      <c r="E849" s="20"/>
      <c r="F849" s="20"/>
      <c r="G849" s="20"/>
      <c r="H849" s="6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5"/>
      <c r="B850" s="65"/>
      <c r="C850" s="20"/>
      <c r="D850" s="20"/>
      <c r="E850" s="20"/>
      <c r="F850" s="20"/>
      <c r="G850" s="20"/>
      <c r="H850" s="6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5"/>
      <c r="B851" s="65"/>
      <c r="C851" s="20"/>
      <c r="D851" s="20"/>
      <c r="E851" s="20"/>
      <c r="F851" s="20"/>
      <c r="G851" s="20"/>
      <c r="H851" s="6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5"/>
      <c r="B852" s="65"/>
      <c r="C852" s="20"/>
      <c r="D852" s="20"/>
      <c r="E852" s="20"/>
      <c r="F852" s="20"/>
      <c r="G852" s="20"/>
      <c r="H852" s="6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5"/>
      <c r="B853" s="65"/>
      <c r="C853" s="20"/>
      <c r="D853" s="20"/>
      <c r="E853" s="20"/>
      <c r="F853" s="20"/>
      <c r="G853" s="20"/>
      <c r="H853" s="6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5"/>
      <c r="B854" s="65"/>
      <c r="C854" s="20"/>
      <c r="D854" s="20"/>
      <c r="E854" s="20"/>
      <c r="F854" s="20"/>
      <c r="G854" s="20"/>
      <c r="H854" s="6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5"/>
      <c r="B855" s="65"/>
      <c r="C855" s="20"/>
      <c r="D855" s="20"/>
      <c r="E855" s="20"/>
      <c r="F855" s="20"/>
      <c r="G855" s="20"/>
      <c r="H855" s="6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5"/>
      <c r="B856" s="65"/>
      <c r="C856" s="20"/>
      <c r="D856" s="20"/>
      <c r="E856" s="20"/>
      <c r="F856" s="20"/>
      <c r="G856" s="20"/>
      <c r="H856" s="6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5"/>
      <c r="B857" s="65"/>
      <c r="C857" s="20"/>
      <c r="D857" s="20"/>
      <c r="E857" s="20"/>
      <c r="F857" s="20"/>
      <c r="G857" s="20"/>
      <c r="H857" s="6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5"/>
      <c r="B858" s="65"/>
      <c r="C858" s="20"/>
      <c r="D858" s="20"/>
      <c r="E858" s="20"/>
      <c r="F858" s="20"/>
      <c r="G858" s="20"/>
      <c r="H858" s="6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5"/>
      <c r="B859" s="65"/>
      <c r="C859" s="20"/>
      <c r="D859" s="20"/>
      <c r="E859" s="20"/>
      <c r="F859" s="20"/>
      <c r="G859" s="20"/>
      <c r="H859" s="6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5"/>
      <c r="B860" s="65"/>
      <c r="C860" s="20"/>
      <c r="D860" s="20"/>
      <c r="E860" s="20"/>
      <c r="F860" s="20"/>
      <c r="G860" s="20"/>
      <c r="H860" s="6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5"/>
      <c r="B861" s="65"/>
      <c r="C861" s="20"/>
      <c r="D861" s="20"/>
      <c r="E861" s="20"/>
      <c r="F861" s="20"/>
      <c r="G861" s="20"/>
      <c r="H861" s="6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5"/>
      <c r="B862" s="65"/>
      <c r="C862" s="20"/>
      <c r="D862" s="20"/>
      <c r="E862" s="20"/>
      <c r="F862" s="20"/>
      <c r="G862" s="20"/>
      <c r="H862" s="6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5"/>
      <c r="B863" s="65"/>
      <c r="C863" s="20"/>
      <c r="D863" s="20"/>
      <c r="E863" s="20"/>
      <c r="F863" s="20"/>
      <c r="G863" s="20"/>
      <c r="H863" s="6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5"/>
      <c r="B864" s="65"/>
      <c r="C864" s="20"/>
      <c r="D864" s="20"/>
      <c r="E864" s="20"/>
      <c r="F864" s="20"/>
      <c r="G864" s="20"/>
      <c r="H864" s="6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5"/>
      <c r="B865" s="65"/>
      <c r="C865" s="20"/>
      <c r="D865" s="20"/>
      <c r="E865" s="20"/>
      <c r="F865" s="20"/>
      <c r="G865" s="20"/>
      <c r="H865" s="6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5"/>
      <c r="B866" s="65"/>
      <c r="C866" s="20"/>
      <c r="D866" s="20"/>
      <c r="E866" s="20"/>
      <c r="F866" s="20"/>
      <c r="G866" s="20"/>
      <c r="H866" s="6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5"/>
      <c r="B867" s="65"/>
      <c r="C867" s="20"/>
      <c r="D867" s="20"/>
      <c r="E867" s="20"/>
      <c r="F867" s="20"/>
      <c r="G867" s="20"/>
      <c r="H867" s="6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5"/>
      <c r="B868" s="65"/>
      <c r="C868" s="20"/>
      <c r="D868" s="20"/>
      <c r="E868" s="20"/>
      <c r="F868" s="20"/>
      <c r="G868" s="20"/>
      <c r="H868" s="6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5"/>
      <c r="B869" s="65"/>
      <c r="C869" s="20"/>
      <c r="D869" s="20"/>
      <c r="E869" s="20"/>
      <c r="F869" s="20"/>
      <c r="G869" s="20"/>
      <c r="H869" s="6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5"/>
      <c r="B870" s="65"/>
      <c r="C870" s="20"/>
      <c r="D870" s="20"/>
      <c r="E870" s="20"/>
      <c r="F870" s="20"/>
      <c r="G870" s="20"/>
      <c r="H870" s="6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5"/>
      <c r="B871" s="65"/>
      <c r="C871" s="20"/>
      <c r="D871" s="20"/>
      <c r="E871" s="20"/>
      <c r="F871" s="20"/>
      <c r="G871" s="20"/>
      <c r="H871" s="6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5"/>
      <c r="B872" s="65"/>
      <c r="C872" s="20"/>
      <c r="D872" s="20"/>
      <c r="E872" s="20"/>
      <c r="F872" s="20"/>
      <c r="G872" s="20"/>
      <c r="H872" s="6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5"/>
      <c r="B873" s="65"/>
      <c r="C873" s="20"/>
      <c r="D873" s="20"/>
      <c r="E873" s="20"/>
      <c r="F873" s="20"/>
      <c r="G873" s="20"/>
      <c r="H873" s="6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5"/>
      <c r="B874" s="65"/>
      <c r="C874" s="20"/>
      <c r="D874" s="20"/>
      <c r="E874" s="20"/>
      <c r="F874" s="20"/>
      <c r="G874" s="20"/>
      <c r="H874" s="6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5"/>
      <c r="B875" s="65"/>
      <c r="C875" s="20"/>
      <c r="D875" s="20"/>
      <c r="E875" s="20"/>
      <c r="F875" s="20"/>
      <c r="G875" s="20"/>
      <c r="H875" s="6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5"/>
      <c r="B876" s="65"/>
      <c r="C876" s="20"/>
      <c r="D876" s="20"/>
      <c r="E876" s="20"/>
      <c r="F876" s="20"/>
      <c r="G876" s="20"/>
      <c r="H876" s="6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5"/>
      <c r="B877" s="65"/>
      <c r="C877" s="20"/>
      <c r="D877" s="20"/>
      <c r="E877" s="20"/>
      <c r="F877" s="20"/>
      <c r="G877" s="20"/>
      <c r="H877" s="6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5"/>
      <c r="B878" s="65"/>
      <c r="C878" s="20"/>
      <c r="D878" s="20"/>
      <c r="E878" s="20"/>
      <c r="F878" s="20"/>
      <c r="G878" s="20"/>
      <c r="H878" s="6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5"/>
      <c r="B879" s="65"/>
      <c r="C879" s="20"/>
      <c r="D879" s="20"/>
      <c r="E879" s="20"/>
      <c r="F879" s="20"/>
      <c r="G879" s="20"/>
      <c r="H879" s="6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5"/>
      <c r="B880" s="65"/>
      <c r="C880" s="20"/>
      <c r="D880" s="20"/>
      <c r="E880" s="20"/>
      <c r="F880" s="20"/>
      <c r="G880" s="20"/>
      <c r="H880" s="6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5"/>
      <c r="B881" s="65"/>
      <c r="C881" s="20"/>
      <c r="D881" s="20"/>
      <c r="E881" s="20"/>
      <c r="F881" s="20"/>
      <c r="G881" s="20"/>
      <c r="H881" s="6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5"/>
      <c r="B882" s="65"/>
      <c r="C882" s="20"/>
      <c r="D882" s="20"/>
      <c r="E882" s="20"/>
      <c r="F882" s="20"/>
      <c r="G882" s="20"/>
      <c r="H882" s="6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5"/>
      <c r="B883" s="65"/>
      <c r="C883" s="20"/>
      <c r="D883" s="20"/>
      <c r="E883" s="20"/>
      <c r="F883" s="20"/>
      <c r="G883" s="20"/>
      <c r="H883" s="6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5"/>
      <c r="B884" s="65"/>
      <c r="C884" s="20"/>
      <c r="D884" s="20"/>
      <c r="E884" s="20"/>
      <c r="F884" s="20"/>
      <c r="G884" s="20"/>
      <c r="H884" s="6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5"/>
      <c r="B885" s="65"/>
      <c r="C885" s="20"/>
      <c r="D885" s="20"/>
      <c r="E885" s="20"/>
      <c r="F885" s="20"/>
      <c r="G885" s="20"/>
      <c r="H885" s="6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5"/>
      <c r="B886" s="65"/>
      <c r="C886" s="20"/>
      <c r="D886" s="20"/>
      <c r="E886" s="20"/>
      <c r="F886" s="20"/>
      <c r="G886" s="20"/>
      <c r="H886" s="6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5"/>
      <c r="B887" s="65"/>
      <c r="C887" s="20"/>
      <c r="D887" s="20"/>
      <c r="E887" s="20"/>
      <c r="F887" s="20"/>
      <c r="G887" s="20"/>
      <c r="H887" s="6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5"/>
      <c r="B888" s="65"/>
      <c r="C888" s="20"/>
      <c r="D888" s="20"/>
      <c r="E888" s="20"/>
      <c r="F888" s="20"/>
      <c r="G888" s="20"/>
      <c r="H888" s="6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5"/>
      <c r="B889" s="65"/>
      <c r="C889" s="20"/>
      <c r="D889" s="20"/>
      <c r="E889" s="20"/>
      <c r="F889" s="20"/>
      <c r="G889" s="20"/>
      <c r="H889" s="6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5"/>
      <c r="B890" s="65"/>
      <c r="C890" s="20"/>
      <c r="D890" s="20"/>
      <c r="E890" s="20"/>
      <c r="F890" s="20"/>
      <c r="G890" s="20"/>
      <c r="H890" s="6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5"/>
      <c r="B891" s="65"/>
      <c r="C891" s="20"/>
      <c r="D891" s="20"/>
      <c r="E891" s="20"/>
      <c r="F891" s="20"/>
      <c r="G891" s="20"/>
      <c r="H891" s="6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5"/>
      <c r="B892" s="65"/>
      <c r="C892" s="20"/>
      <c r="D892" s="20"/>
      <c r="E892" s="20"/>
      <c r="F892" s="20"/>
      <c r="G892" s="20"/>
      <c r="H892" s="6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5"/>
      <c r="B893" s="65"/>
      <c r="C893" s="20"/>
      <c r="D893" s="20"/>
      <c r="E893" s="20"/>
      <c r="F893" s="20"/>
      <c r="G893" s="20"/>
      <c r="H893" s="6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5"/>
      <c r="B894" s="65"/>
      <c r="C894" s="20"/>
      <c r="D894" s="20"/>
      <c r="E894" s="20"/>
      <c r="F894" s="20"/>
      <c r="G894" s="20"/>
      <c r="H894" s="6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5"/>
      <c r="B895" s="65"/>
      <c r="C895" s="20"/>
      <c r="D895" s="20"/>
      <c r="E895" s="20"/>
      <c r="F895" s="20"/>
      <c r="G895" s="20"/>
      <c r="H895" s="6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5"/>
      <c r="B896" s="65"/>
      <c r="C896" s="20"/>
      <c r="D896" s="20"/>
      <c r="E896" s="20"/>
      <c r="F896" s="20"/>
      <c r="G896" s="20"/>
      <c r="H896" s="6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5"/>
      <c r="B897" s="65"/>
      <c r="C897" s="20"/>
      <c r="D897" s="20"/>
      <c r="E897" s="20"/>
      <c r="F897" s="20"/>
      <c r="G897" s="20"/>
      <c r="H897" s="6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5"/>
      <c r="B898" s="65"/>
      <c r="C898" s="20"/>
      <c r="D898" s="20"/>
      <c r="E898" s="20"/>
      <c r="F898" s="20"/>
      <c r="G898" s="20"/>
      <c r="H898" s="6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5"/>
      <c r="B899" s="65"/>
      <c r="C899" s="20"/>
      <c r="D899" s="20"/>
      <c r="E899" s="20"/>
      <c r="F899" s="20"/>
      <c r="G899" s="20"/>
      <c r="H899" s="6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5"/>
      <c r="B900" s="65"/>
      <c r="C900" s="20"/>
      <c r="D900" s="20"/>
      <c r="E900" s="20"/>
      <c r="F900" s="20"/>
      <c r="G900" s="20"/>
      <c r="H900" s="6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5"/>
      <c r="B901" s="65"/>
      <c r="C901" s="20"/>
      <c r="D901" s="20"/>
      <c r="E901" s="20"/>
      <c r="F901" s="20"/>
      <c r="G901" s="20"/>
      <c r="H901" s="6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5"/>
      <c r="B902" s="65"/>
      <c r="C902" s="20"/>
      <c r="D902" s="20"/>
      <c r="E902" s="20"/>
      <c r="F902" s="20"/>
      <c r="G902" s="20"/>
      <c r="H902" s="6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5"/>
      <c r="B903" s="65"/>
      <c r="C903" s="20"/>
      <c r="D903" s="20"/>
      <c r="E903" s="20"/>
      <c r="F903" s="20"/>
      <c r="G903" s="20"/>
      <c r="H903" s="6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5"/>
      <c r="B904" s="65"/>
      <c r="C904" s="20"/>
      <c r="D904" s="20"/>
      <c r="E904" s="20"/>
      <c r="F904" s="20"/>
      <c r="G904" s="20"/>
      <c r="H904" s="6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5"/>
      <c r="B905" s="65"/>
      <c r="C905" s="20"/>
      <c r="D905" s="20"/>
      <c r="E905" s="20"/>
      <c r="F905" s="20"/>
      <c r="G905" s="20"/>
      <c r="H905" s="6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5"/>
      <c r="B906" s="65"/>
      <c r="C906" s="20"/>
      <c r="D906" s="20"/>
      <c r="E906" s="20"/>
      <c r="F906" s="20"/>
      <c r="G906" s="20"/>
      <c r="H906" s="6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5"/>
      <c r="B907" s="65"/>
      <c r="C907" s="20"/>
      <c r="D907" s="20"/>
      <c r="E907" s="20"/>
      <c r="F907" s="20"/>
      <c r="G907" s="20"/>
      <c r="H907" s="6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5"/>
      <c r="B908" s="65"/>
      <c r="C908" s="20"/>
      <c r="D908" s="20"/>
      <c r="E908" s="20"/>
      <c r="F908" s="20"/>
      <c r="G908" s="20"/>
      <c r="H908" s="6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5"/>
      <c r="B909" s="65"/>
      <c r="C909" s="20"/>
      <c r="D909" s="20"/>
      <c r="E909" s="20"/>
      <c r="F909" s="20"/>
      <c r="G909" s="20"/>
      <c r="H909" s="6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5"/>
      <c r="B910" s="65"/>
      <c r="C910" s="20"/>
      <c r="D910" s="20"/>
      <c r="E910" s="20"/>
      <c r="F910" s="20"/>
      <c r="G910" s="20"/>
      <c r="H910" s="6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5"/>
      <c r="B911" s="65"/>
      <c r="C911" s="20"/>
      <c r="D911" s="20"/>
      <c r="E911" s="20"/>
      <c r="F911" s="20"/>
      <c r="G911" s="20"/>
      <c r="H911" s="6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5"/>
      <c r="B912" s="65"/>
      <c r="C912" s="20"/>
      <c r="D912" s="20"/>
      <c r="E912" s="20"/>
      <c r="F912" s="20"/>
      <c r="G912" s="20"/>
      <c r="H912" s="6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5"/>
      <c r="B913" s="65"/>
      <c r="C913" s="20"/>
      <c r="D913" s="20"/>
      <c r="E913" s="20"/>
      <c r="F913" s="20"/>
      <c r="G913" s="20"/>
      <c r="H913" s="6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5"/>
      <c r="B914" s="65"/>
      <c r="C914" s="20"/>
      <c r="D914" s="20"/>
      <c r="E914" s="20"/>
      <c r="F914" s="20"/>
      <c r="G914" s="20"/>
      <c r="H914" s="6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5"/>
      <c r="B915" s="65"/>
      <c r="C915" s="20"/>
      <c r="D915" s="20"/>
      <c r="E915" s="20"/>
      <c r="F915" s="20"/>
      <c r="G915" s="20"/>
      <c r="H915" s="6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5"/>
      <c r="B916" s="65"/>
      <c r="C916" s="20"/>
      <c r="D916" s="20"/>
      <c r="E916" s="20"/>
      <c r="F916" s="20"/>
      <c r="G916" s="20"/>
      <c r="H916" s="6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5"/>
      <c r="B917" s="65"/>
      <c r="C917" s="20"/>
      <c r="D917" s="20"/>
      <c r="E917" s="20"/>
      <c r="F917" s="20"/>
      <c r="G917" s="20"/>
      <c r="H917" s="6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5"/>
      <c r="B918" s="65"/>
      <c r="C918" s="20"/>
      <c r="D918" s="20"/>
      <c r="E918" s="20"/>
      <c r="F918" s="20"/>
      <c r="G918" s="20"/>
      <c r="H918" s="6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5"/>
      <c r="B919" s="65"/>
      <c r="C919" s="20"/>
      <c r="D919" s="20"/>
      <c r="E919" s="20"/>
      <c r="F919" s="20"/>
      <c r="G919" s="20"/>
      <c r="H919" s="6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5"/>
      <c r="B920" s="65"/>
      <c r="C920" s="20"/>
      <c r="D920" s="20"/>
      <c r="E920" s="20"/>
      <c r="F920" s="20"/>
      <c r="G920" s="20"/>
      <c r="H920" s="6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5"/>
      <c r="B921" s="65"/>
      <c r="C921" s="20"/>
      <c r="D921" s="20"/>
      <c r="E921" s="20"/>
      <c r="F921" s="20"/>
      <c r="G921" s="20"/>
      <c r="H921" s="6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5"/>
      <c r="B922" s="65"/>
      <c r="C922" s="20"/>
      <c r="D922" s="20"/>
      <c r="E922" s="20"/>
      <c r="F922" s="20"/>
      <c r="G922" s="20"/>
      <c r="H922" s="6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5"/>
      <c r="B923" s="65"/>
      <c r="C923" s="20"/>
      <c r="D923" s="20"/>
      <c r="E923" s="20"/>
      <c r="F923" s="20"/>
      <c r="G923" s="20"/>
      <c r="H923" s="6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5"/>
      <c r="B924" s="65"/>
      <c r="C924" s="20"/>
      <c r="D924" s="20"/>
      <c r="E924" s="20"/>
      <c r="F924" s="20"/>
      <c r="G924" s="20"/>
      <c r="H924" s="6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5"/>
      <c r="B925" s="65"/>
      <c r="C925" s="20"/>
      <c r="D925" s="20"/>
      <c r="E925" s="20"/>
      <c r="F925" s="20"/>
      <c r="G925" s="20"/>
      <c r="H925" s="6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5"/>
      <c r="B926" s="65"/>
      <c r="C926" s="20"/>
      <c r="D926" s="20"/>
      <c r="E926" s="20"/>
      <c r="F926" s="20"/>
      <c r="G926" s="20"/>
      <c r="H926" s="6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5"/>
      <c r="B927" s="65"/>
      <c r="C927" s="20"/>
      <c r="D927" s="20"/>
      <c r="E927" s="20"/>
      <c r="F927" s="20"/>
      <c r="G927" s="20"/>
      <c r="H927" s="6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5"/>
      <c r="B928" s="65"/>
      <c r="C928" s="20"/>
      <c r="D928" s="20"/>
      <c r="E928" s="20"/>
      <c r="F928" s="20"/>
      <c r="G928" s="20"/>
      <c r="H928" s="6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5"/>
      <c r="B929" s="65"/>
      <c r="C929" s="20"/>
      <c r="D929" s="20"/>
      <c r="E929" s="20"/>
      <c r="F929" s="20"/>
      <c r="G929" s="20"/>
      <c r="H929" s="6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5"/>
      <c r="B930" s="65"/>
      <c r="C930" s="20"/>
      <c r="D930" s="20"/>
      <c r="E930" s="20"/>
      <c r="F930" s="20"/>
      <c r="G930" s="20"/>
      <c r="H930" s="6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5"/>
      <c r="B931" s="65"/>
      <c r="C931" s="20"/>
      <c r="D931" s="20"/>
      <c r="E931" s="20"/>
      <c r="F931" s="20"/>
      <c r="G931" s="20"/>
      <c r="H931" s="6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5"/>
      <c r="B932" s="65"/>
      <c r="C932" s="20"/>
      <c r="D932" s="20"/>
      <c r="E932" s="20"/>
      <c r="F932" s="20"/>
      <c r="G932" s="20"/>
      <c r="H932" s="6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5"/>
      <c r="B933" s="65"/>
      <c r="C933" s="20"/>
      <c r="D933" s="20"/>
      <c r="E933" s="20"/>
      <c r="F933" s="20"/>
      <c r="G933" s="20"/>
      <c r="H933" s="6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5"/>
      <c r="B934" s="65"/>
      <c r="C934" s="20"/>
      <c r="D934" s="20"/>
      <c r="E934" s="20"/>
      <c r="F934" s="20"/>
      <c r="G934" s="20"/>
      <c r="H934" s="6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5"/>
      <c r="B935" s="65"/>
      <c r="C935" s="20"/>
      <c r="D935" s="20"/>
      <c r="E935" s="20"/>
      <c r="F935" s="20"/>
      <c r="G935" s="20"/>
      <c r="H935" s="6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5"/>
      <c r="B936" s="65"/>
      <c r="C936" s="20"/>
      <c r="D936" s="20"/>
      <c r="E936" s="20"/>
      <c r="F936" s="20"/>
      <c r="G936" s="20"/>
      <c r="H936" s="6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5"/>
      <c r="B937" s="65"/>
      <c r="C937" s="20"/>
      <c r="D937" s="20"/>
      <c r="E937" s="20"/>
      <c r="F937" s="20"/>
      <c r="G937" s="20"/>
      <c r="H937" s="6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5"/>
      <c r="B938" s="65"/>
      <c r="C938" s="20"/>
      <c r="D938" s="20"/>
      <c r="E938" s="20"/>
      <c r="F938" s="20"/>
      <c r="G938" s="20"/>
      <c r="H938" s="6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5"/>
      <c r="B939" s="65"/>
      <c r="C939" s="20"/>
      <c r="D939" s="20"/>
      <c r="E939" s="20"/>
      <c r="F939" s="20"/>
      <c r="G939" s="20"/>
      <c r="H939" s="6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5"/>
      <c r="B940" s="65"/>
      <c r="C940" s="20"/>
      <c r="D940" s="20"/>
      <c r="E940" s="20"/>
      <c r="F940" s="20"/>
      <c r="G940" s="20"/>
      <c r="H940" s="6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5"/>
      <c r="B941" s="65"/>
      <c r="C941" s="20"/>
      <c r="D941" s="20"/>
      <c r="E941" s="20"/>
      <c r="F941" s="20"/>
      <c r="G941" s="20"/>
      <c r="H941" s="6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5"/>
      <c r="B942" s="65"/>
      <c r="C942" s="20"/>
      <c r="D942" s="20"/>
      <c r="E942" s="20"/>
      <c r="F942" s="20"/>
      <c r="G942" s="20"/>
      <c r="H942" s="6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5"/>
      <c r="B943" s="65"/>
      <c r="C943" s="20"/>
      <c r="D943" s="20"/>
      <c r="E943" s="20"/>
      <c r="F943" s="20"/>
      <c r="G943" s="20"/>
      <c r="H943" s="6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5"/>
      <c r="B944" s="65"/>
      <c r="C944" s="20"/>
      <c r="D944" s="20"/>
      <c r="E944" s="20"/>
      <c r="F944" s="20"/>
      <c r="G944" s="20"/>
      <c r="H944" s="6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5"/>
      <c r="B945" s="65"/>
      <c r="C945" s="20"/>
      <c r="D945" s="20"/>
      <c r="E945" s="20"/>
      <c r="F945" s="20"/>
      <c r="G945" s="20"/>
      <c r="H945" s="6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5"/>
      <c r="B946" s="65"/>
      <c r="C946" s="20"/>
      <c r="D946" s="20"/>
      <c r="E946" s="20"/>
      <c r="F946" s="20"/>
      <c r="G946" s="20"/>
      <c r="H946" s="6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5"/>
      <c r="B947" s="65"/>
      <c r="C947" s="20"/>
      <c r="D947" s="20"/>
      <c r="E947" s="20"/>
      <c r="F947" s="20"/>
      <c r="G947" s="20"/>
      <c r="H947" s="6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5"/>
      <c r="B948" s="65"/>
      <c r="C948" s="20"/>
      <c r="D948" s="20"/>
      <c r="E948" s="20"/>
      <c r="F948" s="20"/>
      <c r="G948" s="20"/>
      <c r="H948" s="6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5"/>
      <c r="B949" s="65"/>
      <c r="C949" s="20"/>
      <c r="D949" s="20"/>
      <c r="E949" s="20"/>
      <c r="F949" s="20"/>
      <c r="G949" s="20"/>
      <c r="H949" s="6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5"/>
      <c r="B950" s="65"/>
      <c r="C950" s="20"/>
      <c r="D950" s="20"/>
      <c r="E950" s="20"/>
      <c r="F950" s="20"/>
      <c r="G950" s="20"/>
      <c r="H950" s="6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5"/>
      <c r="B951" s="65"/>
      <c r="C951" s="20"/>
      <c r="D951" s="20"/>
      <c r="E951" s="20"/>
      <c r="F951" s="20"/>
      <c r="G951" s="20"/>
      <c r="H951" s="6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5"/>
      <c r="B952" s="65"/>
      <c r="C952" s="20"/>
      <c r="D952" s="20"/>
      <c r="E952" s="20"/>
      <c r="F952" s="20"/>
      <c r="G952" s="20"/>
      <c r="H952" s="6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5"/>
      <c r="B953" s="65"/>
      <c r="C953" s="20"/>
      <c r="D953" s="20"/>
      <c r="E953" s="20"/>
      <c r="F953" s="20"/>
      <c r="G953" s="20"/>
      <c r="H953" s="6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5"/>
      <c r="B954" s="65"/>
      <c r="C954" s="20"/>
      <c r="D954" s="20"/>
      <c r="E954" s="20"/>
      <c r="F954" s="20"/>
      <c r="G954" s="20"/>
      <c r="H954" s="6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5"/>
      <c r="B955" s="65"/>
      <c r="C955" s="20"/>
      <c r="D955" s="20"/>
      <c r="E955" s="20"/>
      <c r="F955" s="20"/>
      <c r="G955" s="20"/>
      <c r="H955" s="6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5"/>
      <c r="B956" s="65"/>
      <c r="C956" s="20"/>
      <c r="D956" s="20"/>
      <c r="E956" s="20"/>
      <c r="F956" s="20"/>
      <c r="G956" s="20"/>
      <c r="H956" s="6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5"/>
      <c r="B957" s="65"/>
      <c r="C957" s="20"/>
      <c r="D957" s="20"/>
      <c r="E957" s="20"/>
      <c r="F957" s="20"/>
      <c r="G957" s="20"/>
      <c r="H957" s="6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5"/>
      <c r="B958" s="65"/>
      <c r="C958" s="20"/>
      <c r="D958" s="20"/>
      <c r="E958" s="20"/>
      <c r="F958" s="20"/>
      <c r="G958" s="20"/>
      <c r="H958" s="6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5"/>
      <c r="B959" s="65"/>
      <c r="C959" s="20"/>
      <c r="D959" s="20"/>
      <c r="E959" s="20"/>
      <c r="F959" s="20"/>
      <c r="G959" s="20"/>
      <c r="H959" s="6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5"/>
      <c r="B960" s="65"/>
      <c r="C960" s="20"/>
      <c r="D960" s="20"/>
      <c r="E960" s="20"/>
      <c r="F960" s="20"/>
      <c r="G960" s="20"/>
      <c r="H960" s="6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5"/>
      <c r="B961" s="65"/>
      <c r="C961" s="20"/>
      <c r="D961" s="20"/>
      <c r="E961" s="20"/>
      <c r="F961" s="20"/>
      <c r="G961" s="20"/>
      <c r="H961" s="6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5"/>
      <c r="B962" s="65"/>
      <c r="C962" s="20"/>
      <c r="D962" s="20"/>
      <c r="E962" s="20"/>
      <c r="F962" s="20"/>
      <c r="G962" s="20"/>
      <c r="H962" s="6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5"/>
      <c r="B963" s="65"/>
      <c r="C963" s="20"/>
      <c r="D963" s="20"/>
      <c r="E963" s="20"/>
      <c r="F963" s="20"/>
      <c r="G963" s="20"/>
      <c r="H963" s="6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5"/>
      <c r="B964" s="65"/>
      <c r="C964" s="20"/>
      <c r="D964" s="20"/>
      <c r="E964" s="20"/>
      <c r="F964" s="20"/>
      <c r="G964" s="20"/>
      <c r="H964" s="6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5"/>
      <c r="B965" s="65"/>
      <c r="C965" s="20"/>
      <c r="D965" s="20"/>
      <c r="E965" s="20"/>
      <c r="F965" s="20"/>
      <c r="G965" s="20"/>
      <c r="H965" s="6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5"/>
      <c r="B966" s="65"/>
      <c r="C966" s="20"/>
      <c r="D966" s="20"/>
      <c r="E966" s="20"/>
      <c r="F966" s="20"/>
      <c r="G966" s="20"/>
      <c r="H966" s="6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5"/>
      <c r="B967" s="65"/>
      <c r="C967" s="20"/>
      <c r="D967" s="20"/>
      <c r="E967" s="20"/>
      <c r="F967" s="20"/>
      <c r="G967" s="20"/>
      <c r="H967" s="6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5"/>
      <c r="B968" s="65"/>
      <c r="C968" s="20"/>
      <c r="D968" s="20"/>
      <c r="E968" s="20"/>
      <c r="F968" s="20"/>
      <c r="G968" s="20"/>
      <c r="H968" s="6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5"/>
      <c r="B969" s="65"/>
      <c r="C969" s="20"/>
      <c r="D969" s="20"/>
      <c r="E969" s="20"/>
      <c r="F969" s="20"/>
      <c r="G969" s="20"/>
      <c r="H969" s="6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5"/>
      <c r="B970" s="65"/>
      <c r="C970" s="20"/>
      <c r="D970" s="20"/>
      <c r="E970" s="20"/>
      <c r="F970" s="20"/>
      <c r="G970" s="20"/>
      <c r="H970" s="6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5"/>
      <c r="B971" s="65"/>
      <c r="C971" s="20"/>
      <c r="D971" s="20"/>
      <c r="E971" s="20"/>
      <c r="F971" s="20"/>
      <c r="G971" s="20"/>
      <c r="H971" s="6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5"/>
      <c r="B972" s="65"/>
      <c r="C972" s="20"/>
      <c r="D972" s="20"/>
      <c r="E972" s="20"/>
      <c r="F972" s="20"/>
      <c r="G972" s="20"/>
      <c r="H972" s="6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5"/>
      <c r="B973" s="65"/>
      <c r="C973" s="20"/>
      <c r="D973" s="20"/>
      <c r="E973" s="20"/>
      <c r="F973" s="20"/>
      <c r="G973" s="20"/>
      <c r="H973" s="6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5"/>
      <c r="B974" s="65"/>
      <c r="C974" s="20"/>
      <c r="D974" s="20"/>
      <c r="E974" s="20"/>
      <c r="F974" s="20"/>
      <c r="G974" s="20"/>
      <c r="H974" s="6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5"/>
      <c r="B975" s="65"/>
      <c r="C975" s="20"/>
      <c r="D975" s="20"/>
      <c r="E975" s="20"/>
      <c r="F975" s="20"/>
      <c r="G975" s="20"/>
      <c r="H975" s="6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5"/>
      <c r="B976" s="65"/>
      <c r="C976" s="20"/>
      <c r="D976" s="20"/>
      <c r="E976" s="20"/>
      <c r="F976" s="20"/>
      <c r="G976" s="20"/>
      <c r="H976" s="6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5"/>
      <c r="B977" s="65"/>
      <c r="C977" s="20"/>
      <c r="D977" s="20"/>
      <c r="E977" s="20"/>
      <c r="F977" s="20"/>
      <c r="G977" s="20"/>
      <c r="H977" s="6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5"/>
      <c r="B978" s="65"/>
      <c r="C978" s="20"/>
      <c r="D978" s="20"/>
      <c r="E978" s="20"/>
      <c r="F978" s="20"/>
      <c r="G978" s="20"/>
      <c r="H978" s="6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5"/>
      <c r="B979" s="65"/>
      <c r="C979" s="20"/>
      <c r="D979" s="20"/>
      <c r="E979" s="20"/>
      <c r="F979" s="20"/>
      <c r="G979" s="20"/>
      <c r="H979" s="6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5"/>
      <c r="B980" s="65"/>
      <c r="C980" s="20"/>
      <c r="D980" s="20"/>
      <c r="E980" s="20"/>
      <c r="F980" s="20"/>
      <c r="G980" s="20"/>
      <c r="H980" s="6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5"/>
      <c r="B981" s="65"/>
      <c r="C981" s="20"/>
      <c r="D981" s="20"/>
      <c r="E981" s="20"/>
      <c r="F981" s="20"/>
      <c r="G981" s="20"/>
      <c r="H981" s="6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5"/>
      <c r="B982" s="65"/>
      <c r="C982" s="20"/>
      <c r="D982" s="20"/>
      <c r="E982" s="20"/>
      <c r="F982" s="20"/>
      <c r="G982" s="20"/>
      <c r="H982" s="6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5"/>
      <c r="B983" s="65"/>
      <c r="C983" s="20"/>
      <c r="D983" s="20"/>
      <c r="E983" s="20"/>
      <c r="F983" s="20"/>
      <c r="G983" s="20"/>
      <c r="H983" s="6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5"/>
      <c r="B984" s="65"/>
      <c r="C984" s="20"/>
      <c r="D984" s="20"/>
      <c r="E984" s="20"/>
      <c r="F984" s="20"/>
      <c r="G984" s="20"/>
      <c r="H984" s="6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5"/>
      <c r="B985" s="65"/>
      <c r="C985" s="20"/>
      <c r="D985" s="20"/>
      <c r="E985" s="20"/>
      <c r="F985" s="20"/>
      <c r="G985" s="20"/>
      <c r="H985" s="6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5"/>
      <c r="B986" s="65"/>
      <c r="C986" s="20"/>
      <c r="D986" s="20"/>
      <c r="E986" s="20"/>
      <c r="F986" s="20"/>
      <c r="G986" s="20"/>
      <c r="H986" s="6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5"/>
      <c r="B987" s="65"/>
      <c r="C987" s="20"/>
      <c r="D987" s="20"/>
      <c r="E987" s="20"/>
      <c r="F987" s="20"/>
      <c r="G987" s="20"/>
      <c r="H987" s="6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5"/>
      <c r="B988" s="65"/>
      <c r="C988" s="20"/>
      <c r="D988" s="20"/>
      <c r="E988" s="20"/>
      <c r="F988" s="20"/>
      <c r="G988" s="20"/>
      <c r="H988" s="6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5"/>
      <c r="B989" s="65"/>
      <c r="C989" s="20"/>
      <c r="D989" s="20"/>
      <c r="E989" s="20"/>
      <c r="F989" s="20"/>
      <c r="G989" s="20"/>
      <c r="H989" s="6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5"/>
      <c r="B990" s="65"/>
      <c r="C990" s="20"/>
      <c r="D990" s="20"/>
      <c r="E990" s="20"/>
      <c r="F990" s="20"/>
      <c r="G990" s="20"/>
      <c r="H990" s="6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5"/>
      <c r="B991" s="65"/>
      <c r="C991" s="20"/>
      <c r="D991" s="20"/>
      <c r="E991" s="20"/>
      <c r="F991" s="20"/>
      <c r="G991" s="20"/>
      <c r="H991" s="6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5"/>
      <c r="B992" s="65"/>
      <c r="C992" s="20"/>
      <c r="D992" s="20"/>
      <c r="E992" s="20"/>
      <c r="F992" s="20"/>
      <c r="G992" s="20"/>
      <c r="H992" s="6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5"/>
      <c r="B993" s="65"/>
      <c r="C993" s="20"/>
      <c r="D993" s="20"/>
      <c r="E993" s="20"/>
      <c r="F993" s="20"/>
      <c r="G993" s="20"/>
      <c r="H993" s="6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5"/>
      <c r="B994" s="65"/>
      <c r="C994" s="20"/>
      <c r="D994" s="20"/>
      <c r="E994" s="20"/>
      <c r="F994" s="20"/>
      <c r="G994" s="20"/>
      <c r="H994" s="6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5"/>
      <c r="B995" s="65"/>
      <c r="C995" s="20"/>
      <c r="D995" s="20"/>
      <c r="E995" s="20"/>
      <c r="F995" s="20"/>
      <c r="G995" s="20"/>
      <c r="H995" s="6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5"/>
      <c r="B996" s="65"/>
      <c r="C996" s="20"/>
      <c r="D996" s="20"/>
      <c r="E996" s="20"/>
      <c r="F996" s="20"/>
      <c r="G996" s="20"/>
      <c r="H996" s="6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5"/>
      <c r="B997" s="65"/>
      <c r="C997" s="20"/>
      <c r="D997" s="20"/>
      <c r="E997" s="20"/>
      <c r="F997" s="20"/>
      <c r="G997" s="20"/>
      <c r="H997" s="6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5"/>
      <c r="B998" s="65"/>
      <c r="C998" s="20"/>
      <c r="D998" s="20"/>
      <c r="E998" s="20"/>
      <c r="F998" s="20"/>
      <c r="G998" s="20"/>
      <c r="H998" s="6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5"/>
      <c r="B999" s="65"/>
      <c r="C999" s="20"/>
      <c r="D999" s="20"/>
      <c r="E999" s="20"/>
      <c r="F999" s="20"/>
      <c r="G999" s="20"/>
      <c r="H999" s="6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5"/>
      <c r="B1000" s="65"/>
      <c r="C1000" s="20"/>
      <c r="D1000" s="20"/>
      <c r="E1000" s="20"/>
      <c r="F1000" s="20"/>
      <c r="G1000" s="20"/>
      <c r="H1000" s="6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5"/>
      <c r="B1001" s="65"/>
      <c r="C1001" s="20"/>
      <c r="D1001" s="20"/>
      <c r="E1001" s="20"/>
      <c r="F1001" s="20"/>
      <c r="G1001" s="20"/>
      <c r="H1001" s="6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5"/>
      <c r="B1002" s="65"/>
      <c r="C1002" s="20"/>
      <c r="D1002" s="20"/>
      <c r="E1002" s="20"/>
      <c r="F1002" s="20"/>
      <c r="G1002" s="20"/>
      <c r="H1002" s="6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hyperlinks>
    <hyperlink r:id="rId1" location="gid=24644409" ref="D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6.14"/>
    <col customWidth="1" min="8" max="8" width="42.29"/>
    <col customWidth="1" min="12" max="12" width="16.86"/>
    <col customWidth="1" min="14" max="14" width="22.29"/>
  </cols>
  <sheetData>
    <row r="1">
      <c r="A1" s="58" t="s">
        <v>478</v>
      </c>
      <c r="B1" s="20"/>
      <c r="C1" s="20"/>
      <c r="D1" s="20"/>
      <c r="E1" s="20"/>
      <c r="F1" s="20"/>
      <c r="G1" s="20"/>
      <c r="H1" s="60"/>
      <c r="I1" s="20"/>
      <c r="J1" s="58" t="s">
        <v>479</v>
      </c>
      <c r="K1" s="20"/>
      <c r="L1" s="20"/>
      <c r="M1" s="58" t="s">
        <v>480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59.25" customHeight="1">
      <c r="A2" s="68" t="s">
        <v>481</v>
      </c>
      <c r="B2" s="69"/>
      <c r="C2" s="69"/>
      <c r="D2" s="69"/>
      <c r="E2" s="69"/>
      <c r="F2" s="69"/>
      <c r="G2" s="69"/>
      <c r="H2" s="70"/>
      <c r="I2" s="69"/>
      <c r="J2" s="68" t="s">
        <v>482</v>
      </c>
      <c r="K2" s="20"/>
      <c r="L2" s="20"/>
      <c r="M2" s="71" t="b">
        <v>1</v>
      </c>
      <c r="N2" s="72" t="str">
        <f t="array" ref="N2">INDEX($X$336:$Y$351,MATCH($Y$335,$X$336:$X$351,0),2)</f>
        <v>Try getting rid of countries that have blank values for the Foods column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73"/>
      <c r="B3" s="74"/>
      <c r="C3" s="75"/>
      <c r="D3" s="75"/>
      <c r="E3" s="75"/>
      <c r="F3" s="75"/>
      <c r="G3" s="75"/>
      <c r="H3" s="76"/>
      <c r="I3" s="20"/>
      <c r="J3" s="77"/>
      <c r="K3" s="75"/>
      <c r="L3" s="75"/>
      <c r="M3" s="75"/>
      <c r="N3" s="75"/>
      <c r="O3" s="75"/>
      <c r="P3" s="75"/>
      <c r="Q3" s="75"/>
      <c r="R3" s="20"/>
      <c r="S3" s="20"/>
      <c r="T3" s="20"/>
      <c r="U3" s="20"/>
      <c r="V3" s="20"/>
      <c r="W3" s="20"/>
      <c r="X3" s="20"/>
      <c r="Y3" s="20"/>
      <c r="Z3" s="20"/>
    </row>
    <row r="4">
      <c r="A4" s="61" t="str">
        <f>IFERROR(__xludf.DUMMYFUNCTION("QUERY('Lecture One IMPORTRANGE'!A4:H238,""select *"",-1)"),"Rank")</f>
        <v>Rank</v>
      </c>
      <c r="B4" s="62" t="str">
        <f>IFERROR(__xludf.DUMMYFUNCTION("""COMPUTED_VALUE"""),"Country or area")</f>
        <v>Country or area</v>
      </c>
      <c r="C4" s="63" t="str">
        <f>IFERROR(__xludf.DUMMYFUNCTION("""COMPUTED_VALUE"""),"Continental Region")</f>
        <v>Continental Region</v>
      </c>
      <c r="D4" s="63" t="str">
        <f>IFERROR(__xludf.DUMMYFUNCTION("""COMPUTED_VALUE"""),"Region")</f>
        <v>Region</v>
      </c>
      <c r="E4" s="63" t="str">
        <f>IFERROR(__xludf.DUMMYFUNCTION("""COMPUTED_VALUE"""),"Population 2016")</f>
        <v>Population 2016</v>
      </c>
      <c r="F4" s="63" t="str">
        <f>IFERROR(__xludf.DUMMYFUNCTION("""COMPUTED_VALUE"""),"Population 2017")</f>
        <v>Population 2017</v>
      </c>
      <c r="G4" s="63" t="str">
        <f>IFERROR(__xludf.DUMMYFUNCTION("""COMPUTED_VALUE"""),"Change")</f>
        <v>Change</v>
      </c>
      <c r="H4" s="64" t="str">
        <f>IFERROR(__xludf.DUMMYFUNCTION("""COMPUTED_VALUE"""),"Foods")</f>
        <v>Foods</v>
      </c>
      <c r="I4" s="20"/>
      <c r="J4" s="78" t="str">
        <f>IFERROR(__xludf.DUMMYFUNCTION("QUERY(A4:H237,""select * where G&gt;0.01 order by G Desc"",-1)"),"Rank")</f>
        <v>Rank</v>
      </c>
      <c r="K4" s="63" t="str">
        <f>IFERROR(__xludf.DUMMYFUNCTION("""COMPUTED_VALUE"""),"Country or area")</f>
        <v>Country or area</v>
      </c>
      <c r="L4" s="63" t="str">
        <f>IFERROR(__xludf.DUMMYFUNCTION("""COMPUTED_VALUE"""),"Continental Region")</f>
        <v>Continental Region</v>
      </c>
      <c r="M4" s="63" t="str">
        <f>IFERROR(__xludf.DUMMYFUNCTION("""COMPUTED_VALUE"""),"Region")</f>
        <v>Region</v>
      </c>
      <c r="N4" s="63" t="str">
        <f>IFERROR(__xludf.DUMMYFUNCTION("""COMPUTED_VALUE"""),"Population 2016")</f>
        <v>Population 2016</v>
      </c>
      <c r="O4" s="63" t="str">
        <f>IFERROR(__xludf.DUMMYFUNCTION("""COMPUTED_VALUE"""),"Population 2017")</f>
        <v>Population 2017</v>
      </c>
      <c r="P4" s="63" t="str">
        <f>IFERROR(__xludf.DUMMYFUNCTION("""COMPUTED_VALUE"""),"Change")</f>
        <v>Change</v>
      </c>
      <c r="Q4" s="63" t="str">
        <f>IFERROR(__xludf.DUMMYFUNCTION("""COMPUTED_VALUE"""),"Foods")</f>
        <v>Foods</v>
      </c>
      <c r="R4" s="20"/>
      <c r="S4" s="20"/>
      <c r="T4" s="20"/>
      <c r="U4" s="20"/>
      <c r="V4" s="20"/>
      <c r="W4" s="20"/>
      <c r="X4" s="20"/>
      <c r="Y4" s="20"/>
      <c r="Z4" s="20"/>
    </row>
    <row r="5">
      <c r="A5" s="65">
        <f>IFERROR(__xludf.DUMMYFUNCTION("""COMPUTED_VALUE"""),1.0)</f>
        <v>1</v>
      </c>
      <c r="B5" s="65" t="str">
        <f>IFERROR(__xludf.DUMMYFUNCTION("""COMPUTED_VALUE"""),"China")</f>
        <v>China</v>
      </c>
      <c r="C5" s="20" t="str">
        <f>IFERROR(__xludf.DUMMYFUNCTION("""COMPUTED_VALUE"""),"Asia")</f>
        <v>Asia</v>
      </c>
      <c r="D5" s="20" t="str">
        <f>IFERROR(__xludf.DUMMYFUNCTION("""COMPUTED_VALUE"""),"Eastern Asia")</f>
        <v>Eastern Asia</v>
      </c>
      <c r="E5" s="66">
        <f>IFERROR(__xludf.DUMMYFUNCTION("""COMPUTED_VALUE"""),1.403500365E9)</f>
        <v>1403500365</v>
      </c>
      <c r="F5" s="66">
        <f>IFERROR(__xludf.DUMMYFUNCTION("""COMPUTED_VALUE"""),1.409517397E9)</f>
        <v>1409517397</v>
      </c>
      <c r="G5" s="67">
        <f>IFERROR(__xludf.DUMMYFUNCTION("""COMPUTED_VALUE"""),0.0043)</f>
        <v>0.0043</v>
      </c>
      <c r="H5" s="60" t="str">
        <f>IFERROR(__xludf.DUMMYFUNCTION("""COMPUTED_VALUE"""),"Peking Duck,  Lo mein, chow mein and lamian, fried rice, dumplings, Mao's braised pork")</f>
        <v>Peking Duck,  Lo mein, chow mein and lamian, fried rice, dumplings, Mao's braised pork</v>
      </c>
      <c r="I5" s="20"/>
      <c r="J5" s="20">
        <f>IFERROR(__xludf.DUMMYFUNCTION("""COMPUTED_VALUE"""),127.0)</f>
        <v>127</v>
      </c>
      <c r="K5" s="20" t="str">
        <f>IFERROR(__xludf.DUMMYFUNCTION("""COMPUTED_VALUE"""),"Oman")</f>
        <v>Oman</v>
      </c>
      <c r="L5" s="20" t="str">
        <f>IFERROR(__xludf.DUMMYFUNCTION("""COMPUTED_VALUE"""),"Asia")</f>
        <v>Asia</v>
      </c>
      <c r="M5" s="20" t="str">
        <f>IFERROR(__xludf.DUMMYFUNCTION("""COMPUTED_VALUE"""),"Western Asia")</f>
        <v>Western Asia</v>
      </c>
      <c r="N5" s="66">
        <f>IFERROR(__xludf.DUMMYFUNCTION("""COMPUTED_VALUE"""),4424762.0)</f>
        <v>4424762</v>
      </c>
      <c r="O5" s="66">
        <f>IFERROR(__xludf.DUMMYFUNCTION("""COMPUTED_VALUE"""),4636262.0)</f>
        <v>4636262</v>
      </c>
      <c r="P5" s="67">
        <f>IFERROR(__xludf.DUMMYFUNCTION("""COMPUTED_VALUE"""),0.0478)</f>
        <v>0.0478</v>
      </c>
      <c r="Q5" s="20" t="str">
        <f>IFERROR(__xludf.DUMMYFUNCTION("""COMPUTED_VALUE"""),"Shuwa")</f>
        <v>Shuwa</v>
      </c>
      <c r="R5" s="20"/>
      <c r="S5" s="20"/>
      <c r="T5" s="20"/>
      <c r="U5" s="20"/>
      <c r="V5" s="20"/>
      <c r="W5" s="20"/>
      <c r="X5" s="20"/>
      <c r="Y5" s="20"/>
      <c r="Z5" s="20"/>
    </row>
    <row r="6">
      <c r="A6" s="65">
        <f>IFERROR(__xludf.DUMMYFUNCTION("""COMPUTED_VALUE"""),2.0)</f>
        <v>2</v>
      </c>
      <c r="B6" s="65" t="str">
        <f>IFERROR(__xludf.DUMMYFUNCTION("""COMPUTED_VALUE"""),"India")</f>
        <v>India</v>
      </c>
      <c r="C6" s="20" t="str">
        <f>IFERROR(__xludf.DUMMYFUNCTION("""COMPUTED_VALUE"""),"Asia")</f>
        <v>Asia</v>
      </c>
      <c r="D6" s="20" t="str">
        <f>IFERROR(__xludf.DUMMYFUNCTION("""COMPUTED_VALUE"""),"Southern Asia")</f>
        <v>Southern Asia</v>
      </c>
      <c r="E6" s="66">
        <f>IFERROR(__xludf.DUMMYFUNCTION("""COMPUTED_VALUE"""),1.324171354E9)</f>
        <v>1324171354</v>
      </c>
      <c r="F6" s="66">
        <f>IFERROR(__xludf.DUMMYFUNCTION("""COMPUTED_VALUE"""),1.339180127E9)</f>
        <v>1339180127</v>
      </c>
      <c r="G6" s="67">
        <f>IFERROR(__xludf.DUMMYFUNCTION("""COMPUTED_VALUE"""),0.0113)</f>
        <v>0.0113</v>
      </c>
      <c r="H6" s="60" t="str">
        <f>IFERROR(__xludf.DUMMYFUNCTION("""COMPUTED_VALUE"""),"Achar, Dosa, Idli, Roti, Paratta, Bhindi, Samosa, Pav Bhaji, Baingan, Lassi, Paan, Tandoori Chicken, Rogan Josh, Chicken Tikka Masala, Chicken Vindaloo, Shami Kabab")</f>
        <v>Achar, Dosa, Idli, Roti, Paratta, Bhindi, Samosa, Pav Bhaji, Baingan, Lassi, Paan, Tandoori Chicken, Rogan Josh, Chicken Tikka Masala, Chicken Vindaloo, Shami Kabab</v>
      </c>
      <c r="I6" s="20"/>
      <c r="J6" s="20">
        <f>IFERROR(__xludf.DUMMYFUNCTION("""COMPUTED_VALUE"""),152.0)</f>
        <v>152</v>
      </c>
      <c r="K6" s="20" t="str">
        <f>IFERROR(__xludf.DUMMYFUNCTION("""COMPUTED_VALUE"""),"Bahrain")</f>
        <v>Bahrain</v>
      </c>
      <c r="L6" s="20" t="str">
        <f>IFERROR(__xludf.DUMMYFUNCTION("""COMPUTED_VALUE"""),"Asia")</f>
        <v>Asia</v>
      </c>
      <c r="M6" s="20" t="str">
        <f>IFERROR(__xludf.DUMMYFUNCTION("""COMPUTED_VALUE"""),"Western Asia")</f>
        <v>Western Asia</v>
      </c>
      <c r="N6" s="66">
        <f>IFERROR(__xludf.DUMMYFUNCTION("""COMPUTED_VALUE"""),1425171.0)</f>
        <v>1425171</v>
      </c>
      <c r="O6" s="66">
        <f>IFERROR(__xludf.DUMMYFUNCTION("""COMPUTED_VALUE"""),1492584.0)</f>
        <v>1492584</v>
      </c>
      <c r="P6" s="67">
        <f>IFERROR(__xludf.DUMMYFUNCTION("""COMPUTED_VALUE"""),0.0473)</f>
        <v>0.0473</v>
      </c>
      <c r="Q6" s="20" t="str">
        <f>IFERROR(__xludf.DUMMYFUNCTION("""COMPUTED_VALUE"""),"Machboos")</f>
        <v>Machboos</v>
      </c>
      <c r="R6" s="20"/>
      <c r="S6" s="20"/>
      <c r="T6" s="20"/>
      <c r="U6" s="20"/>
      <c r="V6" s="20"/>
      <c r="W6" s="20"/>
      <c r="X6" s="20"/>
      <c r="Y6" s="20"/>
      <c r="Z6" s="20"/>
    </row>
    <row r="7">
      <c r="A7" s="65">
        <f>IFERROR(__xludf.DUMMYFUNCTION("""COMPUTED_VALUE"""),3.0)</f>
        <v>3</v>
      </c>
      <c r="B7" s="65" t="str">
        <f>IFERROR(__xludf.DUMMYFUNCTION("""COMPUTED_VALUE"""),"United States")</f>
        <v>United States</v>
      </c>
      <c r="C7" s="20" t="str">
        <f>IFERROR(__xludf.DUMMYFUNCTION("""COMPUTED_VALUE"""),"Americas")</f>
        <v>Americas</v>
      </c>
      <c r="D7" s="20" t="str">
        <f>IFERROR(__xludf.DUMMYFUNCTION("""COMPUTED_VALUE"""),"Northern America")</f>
        <v>Northern America</v>
      </c>
      <c r="E7" s="66">
        <f>IFERROR(__xludf.DUMMYFUNCTION("""COMPUTED_VALUE"""),3.22179605E8)</f>
        <v>322179605</v>
      </c>
      <c r="F7" s="66">
        <f>IFERROR(__xludf.DUMMYFUNCTION("""COMPUTED_VALUE"""),3.24459463E8)</f>
        <v>324459463</v>
      </c>
      <c r="G7" s="67">
        <f>IFERROR(__xludf.DUMMYFUNCTION("""COMPUTED_VALUE"""),0.0071)</f>
        <v>0.0071</v>
      </c>
      <c r="H7" s="60" t="str">
        <f>IFERROR(__xludf.DUMMYFUNCTION("""COMPUTED_VALUE"""),"Apple pie, Hamburger, brownies")</f>
        <v>Apple pie, Hamburger, brownies</v>
      </c>
      <c r="I7" s="20"/>
      <c r="J7" s="20">
        <f>IFERROR(__xludf.DUMMYFUNCTION("""COMPUTED_VALUE"""),57.0)</f>
        <v>57</v>
      </c>
      <c r="K7" s="20" t="str">
        <f>IFERROR(__xludf.DUMMYFUNCTION("""COMPUTED_VALUE"""),"Niger")</f>
        <v>Niger</v>
      </c>
      <c r="L7" s="20" t="str">
        <f>IFERROR(__xludf.DUMMYFUNCTION("""COMPUTED_VALUE"""),"Africa")</f>
        <v>Africa</v>
      </c>
      <c r="M7" s="20" t="str">
        <f>IFERROR(__xludf.DUMMYFUNCTION("""COMPUTED_VALUE"""),"Western Africa")</f>
        <v>Western Africa</v>
      </c>
      <c r="N7" s="66">
        <f>IFERROR(__xludf.DUMMYFUNCTION("""COMPUTED_VALUE"""),2.0672987E7)</f>
        <v>20672987</v>
      </c>
      <c r="O7" s="66">
        <f>IFERROR(__xludf.DUMMYFUNCTION("""COMPUTED_VALUE"""),2.1477348E7)</f>
        <v>21477348</v>
      </c>
      <c r="P7" s="67">
        <f>IFERROR(__xludf.DUMMYFUNCTION("""COMPUTED_VALUE"""),0.0389)</f>
        <v>0.0389</v>
      </c>
      <c r="Q7" s="20" t="str">
        <f>IFERROR(__xludf.DUMMYFUNCTION("""COMPUTED_VALUE"""),"Djerma Stew, Jollof rice")</f>
        <v>Djerma Stew, Jollof rice</v>
      </c>
      <c r="R7" s="20"/>
      <c r="S7" s="20"/>
      <c r="T7" s="20"/>
      <c r="U7" s="20"/>
      <c r="V7" s="20"/>
      <c r="W7" s="20"/>
      <c r="X7" s="20"/>
      <c r="Y7" s="20"/>
      <c r="Z7" s="20"/>
    </row>
    <row r="8">
      <c r="A8" s="65">
        <f>IFERROR(__xludf.DUMMYFUNCTION("""COMPUTED_VALUE"""),4.0)</f>
        <v>4</v>
      </c>
      <c r="B8" s="65" t="str">
        <f>IFERROR(__xludf.DUMMYFUNCTION("""COMPUTED_VALUE"""),"Indonesia")</f>
        <v>Indonesia</v>
      </c>
      <c r="C8" s="20" t="str">
        <f>IFERROR(__xludf.DUMMYFUNCTION("""COMPUTED_VALUE"""),"Asia")</f>
        <v>Asia</v>
      </c>
      <c r="D8" s="20" t="str">
        <f>IFERROR(__xludf.DUMMYFUNCTION("""COMPUTED_VALUE"""),"South-eastern Asia")</f>
        <v>South-eastern Asia</v>
      </c>
      <c r="E8" s="66">
        <f>IFERROR(__xludf.DUMMYFUNCTION("""COMPUTED_VALUE"""),2.61115456E8)</f>
        <v>261115456</v>
      </c>
      <c r="F8" s="66">
        <f>IFERROR(__xludf.DUMMYFUNCTION("""COMPUTED_VALUE"""),2.63991379E8)</f>
        <v>263991379</v>
      </c>
      <c r="G8" s="67">
        <f>IFERROR(__xludf.DUMMYFUNCTION("""COMPUTED_VALUE"""),0.011)</f>
        <v>0.011</v>
      </c>
      <c r="H8" s="60" t="str">
        <f>IFERROR(__xludf.DUMMYFUNCTION("""COMPUTED_VALUE"""),"Soto, Rendang, Sate, Nasi goreng, Gado gado, Tumpeng,")</f>
        <v>Soto, Rendang, Sate, Nasi goreng, Gado gado, Tumpeng,</v>
      </c>
      <c r="I8" s="20"/>
      <c r="J8" s="20">
        <f>IFERROR(__xludf.DUMMYFUNCTION("""COMPUTED_VALUE"""),157.0)</f>
        <v>157</v>
      </c>
      <c r="K8" s="20" t="str">
        <f>IFERROR(__xludf.DUMMYFUNCTION("""COMPUTED_VALUE"""),"Equatorial Guinea")</f>
        <v>Equatorial Guinea</v>
      </c>
      <c r="L8" s="20" t="str">
        <f>IFERROR(__xludf.DUMMYFUNCTION("""COMPUTED_VALUE"""),"Africa")</f>
        <v>Africa</v>
      </c>
      <c r="M8" s="20" t="str">
        <f>IFERROR(__xludf.DUMMYFUNCTION("""COMPUTED_VALUE"""),"Middle Africa")</f>
        <v>Middle Africa</v>
      </c>
      <c r="N8" s="66">
        <f>IFERROR(__xludf.DUMMYFUNCTION("""COMPUTED_VALUE"""),1221490.0)</f>
        <v>1221490</v>
      </c>
      <c r="O8" s="66">
        <f>IFERROR(__xludf.DUMMYFUNCTION("""COMPUTED_VALUE"""),1267689.0)</f>
        <v>1267689</v>
      </c>
      <c r="P8" s="67">
        <f>IFERROR(__xludf.DUMMYFUNCTION("""COMPUTED_VALUE"""),0.0378)</f>
        <v>0.0378</v>
      </c>
      <c r="Q8" s="20" t="str">
        <f>IFERROR(__xludf.DUMMYFUNCTION("""COMPUTED_VALUE"""),"Succotash, Peppersoup")</f>
        <v>Succotash, Peppersoup</v>
      </c>
      <c r="R8" s="20"/>
      <c r="S8" s="20"/>
      <c r="T8" s="20"/>
      <c r="U8" s="20"/>
      <c r="V8" s="20"/>
      <c r="W8" s="20"/>
      <c r="X8" s="20"/>
      <c r="Y8" s="20"/>
      <c r="Z8" s="20"/>
    </row>
    <row r="9">
      <c r="A9" s="65">
        <f>IFERROR(__xludf.DUMMYFUNCTION("""COMPUTED_VALUE"""),5.0)</f>
        <v>5</v>
      </c>
      <c r="B9" s="65" t="str">
        <f>IFERROR(__xludf.DUMMYFUNCTION("""COMPUTED_VALUE"""),"Brazil")</f>
        <v>Brazil</v>
      </c>
      <c r="C9" s="20" t="str">
        <f>IFERROR(__xludf.DUMMYFUNCTION("""COMPUTED_VALUE"""),"Americas")</f>
        <v>Americas</v>
      </c>
      <c r="D9" s="20" t="str">
        <f>IFERROR(__xludf.DUMMYFUNCTION("""COMPUTED_VALUE"""),"South America")</f>
        <v>South America</v>
      </c>
      <c r="E9" s="66">
        <f>IFERROR(__xludf.DUMMYFUNCTION("""COMPUTED_VALUE"""),2.07652865E8)</f>
        <v>207652865</v>
      </c>
      <c r="F9" s="66">
        <f>IFERROR(__xludf.DUMMYFUNCTION("""COMPUTED_VALUE"""),2.09288278E8)</f>
        <v>209288278</v>
      </c>
      <c r="G9" s="67">
        <f>IFERROR(__xludf.DUMMYFUNCTION("""COMPUTED_VALUE"""),0.0079)</f>
        <v>0.0079</v>
      </c>
      <c r="H9" s="60" t="str">
        <f>IFERROR(__xludf.DUMMYFUNCTION("""COMPUTED_VALUE"""),"Feijoada")</f>
        <v>Feijoada</v>
      </c>
      <c r="I9" s="20"/>
      <c r="J9" s="20">
        <f>IFERROR(__xludf.DUMMYFUNCTION("""COMPUTED_VALUE"""),46.0)</f>
        <v>46</v>
      </c>
      <c r="K9" s="20" t="str">
        <f>IFERROR(__xludf.DUMMYFUNCTION("""COMPUTED_VALUE"""),"Angola")</f>
        <v>Angola</v>
      </c>
      <c r="L9" s="20" t="str">
        <f>IFERROR(__xludf.DUMMYFUNCTION("""COMPUTED_VALUE"""),"Africa")</f>
        <v>Africa</v>
      </c>
      <c r="M9" s="20" t="str">
        <f>IFERROR(__xludf.DUMMYFUNCTION("""COMPUTED_VALUE"""),"Middle Africa")</f>
        <v>Middle Africa</v>
      </c>
      <c r="N9" s="66">
        <f>IFERROR(__xludf.DUMMYFUNCTION("""COMPUTED_VALUE"""),2.8813463E7)</f>
        <v>28813463</v>
      </c>
      <c r="O9" s="66">
        <f>IFERROR(__xludf.DUMMYFUNCTION("""COMPUTED_VALUE"""),2.9784193E7)</f>
        <v>29784193</v>
      </c>
      <c r="P9" s="67">
        <f>IFERROR(__xludf.DUMMYFUNCTION("""COMPUTED_VALUE"""),0.0337)</f>
        <v>0.0337</v>
      </c>
      <c r="Q9" s="20" t="str">
        <f>IFERROR(__xludf.DUMMYFUNCTION("""COMPUTED_VALUE"""),"Moamba de galinha")</f>
        <v>Moamba de galinha</v>
      </c>
      <c r="R9" s="20"/>
      <c r="S9" s="20"/>
      <c r="T9" s="20"/>
      <c r="U9" s="20"/>
      <c r="V9" s="20"/>
      <c r="W9" s="20"/>
      <c r="X9" s="20"/>
      <c r="Y9" s="20"/>
      <c r="Z9" s="20"/>
    </row>
    <row r="10">
      <c r="A10" s="65">
        <f>IFERROR(__xludf.DUMMYFUNCTION("""COMPUTED_VALUE"""),6.0)</f>
        <v>6</v>
      </c>
      <c r="B10" s="65" t="str">
        <f>IFERROR(__xludf.DUMMYFUNCTION("""COMPUTED_VALUE"""),"Pakistan")</f>
        <v>Pakistan</v>
      </c>
      <c r="C10" s="20" t="str">
        <f>IFERROR(__xludf.DUMMYFUNCTION("""COMPUTED_VALUE"""),"Asia")</f>
        <v>Asia</v>
      </c>
      <c r="D10" s="20" t="str">
        <f>IFERROR(__xludf.DUMMYFUNCTION("""COMPUTED_VALUE"""),"Southern Asia")</f>
        <v>Southern Asia</v>
      </c>
      <c r="E10" s="66">
        <f>IFERROR(__xludf.DUMMYFUNCTION("""COMPUTED_VALUE"""),1.93203476E8)</f>
        <v>193203476</v>
      </c>
      <c r="F10" s="66">
        <f>IFERROR(__xludf.DUMMYFUNCTION("""COMPUTED_VALUE"""),1.97015955E8)</f>
        <v>197015955</v>
      </c>
      <c r="G10" s="67">
        <f>IFERROR(__xludf.DUMMYFUNCTION("""COMPUTED_VALUE"""),0.0197)</f>
        <v>0.0197</v>
      </c>
      <c r="H10" s="60" t="str">
        <f>IFERROR(__xludf.DUMMYFUNCTION("""COMPUTED_VALUE"""),"Kabab, Pulao, Nihari")</f>
        <v>Kabab, Pulao, Nihari</v>
      </c>
      <c r="I10" s="20"/>
      <c r="J10" s="20">
        <f>IFERROR(__xludf.DUMMYFUNCTION("""COMPUTED_VALUE"""),17.0)</f>
        <v>17</v>
      </c>
      <c r="K10" s="20" t="str">
        <f>IFERROR(__xludf.DUMMYFUNCTION("""COMPUTED_VALUE"""),"Democratic Republic of the Congo")</f>
        <v>Democratic Republic of the Congo</v>
      </c>
      <c r="L10" s="20" t="str">
        <f>IFERROR(__xludf.DUMMYFUNCTION("""COMPUTED_VALUE"""),"Africa")</f>
        <v>Africa</v>
      </c>
      <c r="M10" s="20" t="str">
        <f>IFERROR(__xludf.DUMMYFUNCTION("""COMPUTED_VALUE"""),"Middle Africa")</f>
        <v>Middle Africa</v>
      </c>
      <c r="N10" s="66">
        <f>IFERROR(__xludf.DUMMYFUNCTION("""COMPUTED_VALUE"""),7.8736153E7)</f>
        <v>78736153</v>
      </c>
      <c r="O10" s="66">
        <f>IFERROR(__xludf.DUMMYFUNCTION("""COMPUTED_VALUE"""),8.1339988E7)</f>
        <v>81339988</v>
      </c>
      <c r="P10" s="67">
        <f>IFERROR(__xludf.DUMMYFUNCTION("""COMPUTED_VALUE"""),0.0331)</f>
        <v>0.0331</v>
      </c>
      <c r="Q10" s="20" t="str">
        <f>IFERROR(__xludf.DUMMYFUNCTION("""COMPUTED_VALUE"""),"Poulet à la Moambé")</f>
        <v>Poulet à la Moambé</v>
      </c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65">
        <f>IFERROR(__xludf.DUMMYFUNCTION("""COMPUTED_VALUE"""),7.0)</f>
        <v>7</v>
      </c>
      <c r="B11" s="65" t="str">
        <f>IFERROR(__xludf.DUMMYFUNCTION("""COMPUTED_VALUE"""),"Nigeria")</f>
        <v>Nigeria</v>
      </c>
      <c r="C11" s="20" t="str">
        <f>IFERROR(__xludf.DUMMYFUNCTION("""COMPUTED_VALUE"""),"Africa")</f>
        <v>Africa</v>
      </c>
      <c r="D11" s="20" t="str">
        <f>IFERROR(__xludf.DUMMYFUNCTION("""COMPUTED_VALUE"""),"Western Africa")</f>
        <v>Western Africa</v>
      </c>
      <c r="E11" s="66">
        <f>IFERROR(__xludf.DUMMYFUNCTION("""COMPUTED_VALUE"""),1.8598964E8)</f>
        <v>185989640</v>
      </c>
      <c r="F11" s="66">
        <f>IFERROR(__xludf.DUMMYFUNCTION("""COMPUTED_VALUE"""),1.90886311E8)</f>
        <v>190886311</v>
      </c>
      <c r="G11" s="67">
        <f>IFERROR(__xludf.DUMMYFUNCTION("""COMPUTED_VALUE"""),0.0263)</f>
        <v>0.0263</v>
      </c>
      <c r="H11" s="60" t="str">
        <f>IFERROR(__xludf.DUMMYFUNCTION("""COMPUTED_VALUE"""),"Fufu and Egusi soup")</f>
        <v>Fufu and Egusi soup</v>
      </c>
      <c r="I11" s="20"/>
      <c r="J11" s="20">
        <f>IFERROR(__xludf.DUMMYFUNCTION("""COMPUTED_VALUE"""),33.0)</f>
        <v>33</v>
      </c>
      <c r="K11" s="20" t="str">
        <f>IFERROR(__xludf.DUMMYFUNCTION("""COMPUTED_VALUE"""),"Uganda")</f>
        <v>Uganda</v>
      </c>
      <c r="L11" s="20" t="str">
        <f>IFERROR(__xludf.DUMMYFUNCTION("""COMPUTED_VALUE"""),"Africa")</f>
        <v>Africa</v>
      </c>
      <c r="M11" s="20" t="str">
        <f>IFERROR(__xludf.DUMMYFUNCTION("""COMPUTED_VALUE"""),"Eastern Africa")</f>
        <v>Eastern Africa</v>
      </c>
      <c r="N11" s="66">
        <f>IFERROR(__xludf.DUMMYFUNCTION("""COMPUTED_VALUE"""),4.1487965E7)</f>
        <v>41487965</v>
      </c>
      <c r="O11" s="66">
        <f>IFERROR(__xludf.DUMMYFUNCTION("""COMPUTED_VALUE"""),4.2862958E7)</f>
        <v>42862958</v>
      </c>
      <c r="P11" s="67">
        <f>IFERROR(__xludf.DUMMYFUNCTION("""COMPUTED_VALUE"""),0.0331)</f>
        <v>0.0331</v>
      </c>
      <c r="Q11" s="20" t="str">
        <f>IFERROR(__xludf.DUMMYFUNCTION("""COMPUTED_VALUE"""),"Matoke")</f>
        <v>Matoke</v>
      </c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65">
        <f>IFERROR(__xludf.DUMMYFUNCTION("""COMPUTED_VALUE"""),8.0)</f>
        <v>8</v>
      </c>
      <c r="B12" s="65" t="str">
        <f>IFERROR(__xludf.DUMMYFUNCTION("""COMPUTED_VALUE"""),"Bangladesh")</f>
        <v>Bangladesh</v>
      </c>
      <c r="C12" s="20" t="str">
        <f>IFERROR(__xludf.DUMMYFUNCTION("""COMPUTED_VALUE"""),"Asia")</f>
        <v>Asia</v>
      </c>
      <c r="D12" s="20" t="str">
        <f>IFERROR(__xludf.DUMMYFUNCTION("""COMPUTED_VALUE"""),"Southern Asia")</f>
        <v>Southern Asia</v>
      </c>
      <c r="E12" s="66">
        <f>IFERROR(__xludf.DUMMYFUNCTION("""COMPUTED_VALUE"""),1.6295156E8)</f>
        <v>162951560</v>
      </c>
      <c r="F12" s="66">
        <f>IFERROR(__xludf.DUMMYFUNCTION("""COMPUTED_VALUE"""),1.64669751E8)</f>
        <v>164669751</v>
      </c>
      <c r="G12" s="67">
        <f>IFERROR(__xludf.DUMMYFUNCTION("""COMPUTED_VALUE"""),0.0105)</f>
        <v>0.0105</v>
      </c>
      <c r="H12" s="60" t="str">
        <f>IFERROR(__xludf.DUMMYFUNCTION("""COMPUTED_VALUE"""),"Rice and Ilish, Shorshe Ilish, Machh bhaja, Machher Jhol, Bhuna, Chicken Korma")</f>
        <v>Rice and Ilish, Shorshe Ilish, Machh bhaja, Machher Jhol, Bhuna, Chicken Korma</v>
      </c>
      <c r="I12" s="20"/>
      <c r="J12" s="20">
        <f>IFERROR(__xludf.DUMMYFUNCTION("""COMPUTED_VALUE"""),85.0)</f>
        <v>85</v>
      </c>
      <c r="K12" s="20" t="str">
        <f>IFERROR(__xludf.DUMMYFUNCTION("""COMPUTED_VALUE"""),"Burundi")</f>
        <v>Burundi</v>
      </c>
      <c r="L12" s="20" t="str">
        <f>IFERROR(__xludf.DUMMYFUNCTION("""COMPUTED_VALUE"""),"Africa")</f>
        <v>Africa</v>
      </c>
      <c r="M12" s="20" t="str">
        <f>IFERROR(__xludf.DUMMYFUNCTION("""COMPUTED_VALUE"""),"Eastern Africa")</f>
        <v>Eastern Africa</v>
      </c>
      <c r="N12" s="66">
        <f>IFERROR(__xludf.DUMMYFUNCTION("""COMPUTED_VALUE"""),1.0524117E7)</f>
        <v>10524117</v>
      </c>
      <c r="O12" s="66">
        <f>IFERROR(__xludf.DUMMYFUNCTION("""COMPUTED_VALUE"""),1.0864245E7)</f>
        <v>10864245</v>
      </c>
      <c r="P12" s="67">
        <f>IFERROR(__xludf.DUMMYFUNCTION("""COMPUTED_VALUE"""),0.0323)</f>
        <v>0.0323</v>
      </c>
      <c r="Q12" s="20" t="str">
        <f>IFERROR(__xludf.DUMMYFUNCTION("""COMPUTED_VALUE"""),"Elephant soup")</f>
        <v>Elephant soup</v>
      </c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65">
        <f>IFERROR(__xludf.DUMMYFUNCTION("""COMPUTED_VALUE"""),9.0)</f>
        <v>9</v>
      </c>
      <c r="B13" s="65" t="str">
        <f>IFERROR(__xludf.DUMMYFUNCTION("""COMPUTED_VALUE"""),"Russia")</f>
        <v>Russia</v>
      </c>
      <c r="C13" s="20" t="str">
        <f>IFERROR(__xludf.DUMMYFUNCTION("""COMPUTED_VALUE"""),"Europe")</f>
        <v>Europe</v>
      </c>
      <c r="D13" s="20" t="str">
        <f>IFERROR(__xludf.DUMMYFUNCTION("""COMPUTED_VALUE"""),"Eastern Europe")</f>
        <v>Eastern Europe</v>
      </c>
      <c r="E13" s="66">
        <f>IFERROR(__xludf.DUMMYFUNCTION("""COMPUTED_VALUE"""),1.43964513E8)</f>
        <v>143964513</v>
      </c>
      <c r="F13" s="66">
        <f>IFERROR(__xludf.DUMMYFUNCTION("""COMPUTED_VALUE"""),1.43989754E8)</f>
        <v>143989754</v>
      </c>
      <c r="G13" s="67">
        <f>IFERROR(__xludf.DUMMYFUNCTION("""COMPUTED_VALUE"""),2.0E-4)</f>
        <v>0.0002</v>
      </c>
      <c r="H13" s="60" t="str">
        <f>IFERROR(__xludf.DUMMYFUNCTION("""COMPUTED_VALUE"""),"Pelmeni, Shchi, Kasha, Pirogi, Pirozhki")</f>
        <v>Pelmeni, Shchi, Kasha, Pirogi, Pirozhki</v>
      </c>
      <c r="I13" s="20"/>
      <c r="J13" s="20">
        <f>IFERROR(__xludf.DUMMYFUNCTION("""COMPUTED_VALUE"""),24.0)</f>
        <v>24</v>
      </c>
      <c r="K13" s="20" t="str">
        <f>IFERROR(__xludf.DUMMYFUNCTION("""COMPUTED_VALUE"""),"Tanzania")</f>
        <v>Tanzania</v>
      </c>
      <c r="L13" s="20" t="str">
        <f>IFERROR(__xludf.DUMMYFUNCTION("""COMPUTED_VALUE"""),"Africa")</f>
        <v>Africa</v>
      </c>
      <c r="M13" s="20" t="str">
        <f>IFERROR(__xludf.DUMMYFUNCTION("""COMPUTED_VALUE"""),"Eastern Africa")</f>
        <v>Eastern Africa</v>
      </c>
      <c r="N13" s="66">
        <f>IFERROR(__xludf.DUMMYFUNCTION("""COMPUTED_VALUE"""),5.5572201E7)</f>
        <v>55572201</v>
      </c>
      <c r="O13" s="66">
        <f>IFERROR(__xludf.DUMMYFUNCTION("""COMPUTED_VALUE"""),5.7310019E7)</f>
        <v>57310019</v>
      </c>
      <c r="P13" s="67">
        <f>IFERROR(__xludf.DUMMYFUNCTION("""COMPUTED_VALUE"""),0.0313)</f>
        <v>0.0313</v>
      </c>
      <c r="Q13" s="20" t="str">
        <f>IFERROR(__xludf.DUMMYFUNCTION("""COMPUTED_VALUE"""),"Ugali")</f>
        <v>Ugali</v>
      </c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65">
        <f>IFERROR(__xludf.DUMMYFUNCTION("""COMPUTED_VALUE"""),10.0)</f>
        <v>10</v>
      </c>
      <c r="B14" s="65" t="str">
        <f>IFERROR(__xludf.DUMMYFUNCTION("""COMPUTED_VALUE"""),"Mexico")</f>
        <v>Mexico</v>
      </c>
      <c r="C14" s="20" t="str">
        <f>IFERROR(__xludf.DUMMYFUNCTION("""COMPUTED_VALUE"""),"Americas")</f>
        <v>Americas</v>
      </c>
      <c r="D14" s="20" t="str">
        <f>IFERROR(__xludf.DUMMYFUNCTION("""COMPUTED_VALUE"""),"Central America")</f>
        <v>Central America</v>
      </c>
      <c r="E14" s="66">
        <f>IFERROR(__xludf.DUMMYFUNCTION("""COMPUTED_VALUE"""),1.27540423E8)</f>
        <v>127540423</v>
      </c>
      <c r="F14" s="66">
        <f>IFERROR(__xludf.DUMMYFUNCTION("""COMPUTED_VALUE"""),1.29163276E8)</f>
        <v>129163276</v>
      </c>
      <c r="G14" s="67">
        <f>IFERROR(__xludf.DUMMYFUNCTION("""COMPUTED_VALUE"""),0.0127)</f>
        <v>0.0127</v>
      </c>
      <c r="H14" s="60" t="str">
        <f>IFERROR(__xludf.DUMMYFUNCTION("""COMPUTED_VALUE"""),"Tacos, Mole poblano, Chiles en nogada")</f>
        <v>Tacos, Mole poblano, Chiles en nogada</v>
      </c>
      <c r="I14" s="20"/>
      <c r="J14" s="20">
        <f>IFERROR(__xludf.DUMMYFUNCTION("""COMPUTED_VALUE"""),73.0)</f>
        <v>73</v>
      </c>
      <c r="K14" s="20" t="str">
        <f>IFERROR(__xludf.DUMMYFUNCTION("""COMPUTED_VALUE"""),"Chad")</f>
        <v>Chad</v>
      </c>
      <c r="L14" s="20" t="str">
        <f>IFERROR(__xludf.DUMMYFUNCTION("""COMPUTED_VALUE"""),"Africa")</f>
        <v>Africa</v>
      </c>
      <c r="M14" s="20" t="str">
        <f>IFERROR(__xludf.DUMMYFUNCTION("""COMPUTED_VALUE"""),"Middle Africa")</f>
        <v>Middle Africa</v>
      </c>
      <c r="N14" s="66">
        <f>IFERROR(__xludf.DUMMYFUNCTION("""COMPUTED_VALUE"""),1.4452543E7)</f>
        <v>14452543</v>
      </c>
      <c r="O14" s="66">
        <f>IFERROR(__xludf.DUMMYFUNCTION("""COMPUTED_VALUE"""),1.4899994E7)</f>
        <v>14899994</v>
      </c>
      <c r="P14" s="67">
        <f>IFERROR(__xludf.DUMMYFUNCTION("""COMPUTED_VALUE"""),0.031)</f>
        <v>0.031</v>
      </c>
      <c r="Q14" s="20" t="str">
        <f>IFERROR(__xludf.DUMMYFUNCTION("""COMPUTED_VALUE"""),"Boule")</f>
        <v>Boule</v>
      </c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65">
        <f>IFERROR(__xludf.DUMMYFUNCTION("""COMPUTED_VALUE"""),11.0)</f>
        <v>11</v>
      </c>
      <c r="B15" s="65" t="str">
        <f>IFERROR(__xludf.DUMMYFUNCTION("""COMPUTED_VALUE"""),"Japan")</f>
        <v>Japan</v>
      </c>
      <c r="C15" s="20" t="str">
        <f>IFERROR(__xludf.DUMMYFUNCTION("""COMPUTED_VALUE"""),"Asia")</f>
        <v>Asia</v>
      </c>
      <c r="D15" s="20" t="str">
        <f>IFERROR(__xludf.DUMMYFUNCTION("""COMPUTED_VALUE"""),"Eastern Asia")</f>
        <v>Eastern Asia</v>
      </c>
      <c r="E15" s="66">
        <f>IFERROR(__xludf.DUMMYFUNCTION("""COMPUTED_VALUE"""),1.27748513E8)</f>
        <v>127748513</v>
      </c>
      <c r="F15" s="66">
        <f>IFERROR(__xludf.DUMMYFUNCTION("""COMPUTED_VALUE"""),1.2748445E8)</f>
        <v>127484450</v>
      </c>
      <c r="G15" s="67">
        <f>IFERROR(__xludf.DUMMYFUNCTION("""COMPUTED_VALUE"""),-0.0021)</f>
        <v>-0.0021</v>
      </c>
      <c r="H15" s="60" t="str">
        <f>IFERROR(__xludf.DUMMYFUNCTION("""COMPUTED_VALUE"""),"Sushi, Japanese curry, Ramen")</f>
        <v>Sushi, Japanese curry, Ramen</v>
      </c>
      <c r="I15" s="20"/>
      <c r="J15" s="20">
        <f>IFERROR(__xludf.DUMMYFUNCTION("""COMPUTED_VALUE"""),62.0)</f>
        <v>62</v>
      </c>
      <c r="K15" s="20" t="str">
        <f>IFERROR(__xludf.DUMMYFUNCTION("""COMPUTED_VALUE"""),"Mali")</f>
        <v>Mali</v>
      </c>
      <c r="L15" s="20" t="str">
        <f>IFERROR(__xludf.DUMMYFUNCTION("""COMPUTED_VALUE"""),"Africa")</f>
        <v>Africa</v>
      </c>
      <c r="M15" s="20" t="str">
        <f>IFERROR(__xludf.DUMMYFUNCTION("""COMPUTED_VALUE"""),"Western Africa")</f>
        <v>Western Africa</v>
      </c>
      <c r="N15" s="66">
        <f>IFERROR(__xludf.DUMMYFUNCTION("""COMPUTED_VALUE"""),1.7994837E7)</f>
        <v>17994837</v>
      </c>
      <c r="O15" s="66">
        <f>IFERROR(__xludf.DUMMYFUNCTION("""COMPUTED_VALUE"""),1.854198E7)</f>
        <v>18541980</v>
      </c>
      <c r="P15" s="67">
        <f>IFERROR(__xludf.DUMMYFUNCTION("""COMPUTED_VALUE"""),0.0304)</f>
        <v>0.0304</v>
      </c>
      <c r="Q15" s="20" t="str">
        <f>IFERROR(__xludf.DUMMYFUNCTION("""COMPUTED_VALUE"""),"Maafe, To et Tokorodji, Tiguadege Na")</f>
        <v>Maafe, To et Tokorodji, Tiguadege Na</v>
      </c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65">
        <f>IFERROR(__xludf.DUMMYFUNCTION("""COMPUTED_VALUE"""),12.0)</f>
        <v>12</v>
      </c>
      <c r="B16" s="65" t="str">
        <f>IFERROR(__xludf.DUMMYFUNCTION("""COMPUTED_VALUE"""),"Ethiopia")</f>
        <v>Ethiopia</v>
      </c>
      <c r="C16" s="20" t="str">
        <f>IFERROR(__xludf.DUMMYFUNCTION("""COMPUTED_VALUE"""),"Africa")</f>
        <v>Africa</v>
      </c>
      <c r="D16" s="20" t="str">
        <f>IFERROR(__xludf.DUMMYFUNCTION("""COMPUTED_VALUE"""),"Eastern Africa")</f>
        <v>Eastern Africa</v>
      </c>
      <c r="E16" s="66">
        <f>IFERROR(__xludf.DUMMYFUNCTION("""COMPUTED_VALUE"""),1.02403196E8)</f>
        <v>102403196</v>
      </c>
      <c r="F16" s="66">
        <f>IFERROR(__xludf.DUMMYFUNCTION("""COMPUTED_VALUE"""),1.04957438E8)</f>
        <v>104957438</v>
      </c>
      <c r="G16" s="67">
        <f>IFERROR(__xludf.DUMMYFUNCTION("""COMPUTED_VALUE"""),0.0249)</f>
        <v>0.0249</v>
      </c>
      <c r="H16" s="60" t="str">
        <f>IFERROR(__xludf.DUMMYFUNCTION("""COMPUTED_VALUE"""),"Kitfo; doro wat; injera")</f>
        <v>Kitfo; doro wat; injera</v>
      </c>
      <c r="I16" s="20"/>
      <c r="J16" s="20">
        <f>IFERROR(__xludf.DUMMYFUNCTION("""COMPUTED_VALUE"""),146.0)</f>
        <v>146</v>
      </c>
      <c r="K16" s="20" t="str">
        <f>IFERROR(__xludf.DUMMYFUNCTION("""COMPUTED_VALUE"""),"The Gambia")</f>
        <v>The Gambia</v>
      </c>
      <c r="L16" s="20" t="str">
        <f>IFERROR(__xludf.DUMMYFUNCTION("""COMPUTED_VALUE"""),"Africa")</f>
        <v>Africa</v>
      </c>
      <c r="M16" s="20" t="str">
        <f>IFERROR(__xludf.DUMMYFUNCTION("""COMPUTED_VALUE"""),"Western Africa")</f>
        <v>Western Africa</v>
      </c>
      <c r="N16" s="66">
        <f>IFERROR(__xludf.DUMMYFUNCTION("""COMPUTED_VALUE"""),2038501.0)</f>
        <v>2038501</v>
      </c>
      <c r="O16" s="66">
        <f>IFERROR(__xludf.DUMMYFUNCTION("""COMPUTED_VALUE"""),2100568.0)</f>
        <v>2100568</v>
      </c>
      <c r="P16" s="67">
        <f>IFERROR(__xludf.DUMMYFUNCTION("""COMPUTED_VALUE"""),0.0304)</f>
        <v>0.0304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65">
        <f>IFERROR(__xludf.DUMMYFUNCTION("""COMPUTED_VALUE"""),13.0)</f>
        <v>13</v>
      </c>
      <c r="B17" s="65" t="str">
        <f>IFERROR(__xludf.DUMMYFUNCTION("""COMPUTED_VALUE"""),"Philippines")</f>
        <v>Philippines</v>
      </c>
      <c r="C17" s="20" t="str">
        <f>IFERROR(__xludf.DUMMYFUNCTION("""COMPUTED_VALUE"""),"Asia")</f>
        <v>Asia</v>
      </c>
      <c r="D17" s="20" t="str">
        <f>IFERROR(__xludf.DUMMYFUNCTION("""COMPUTED_VALUE"""),"South-eastern Asia")</f>
        <v>South-eastern Asia</v>
      </c>
      <c r="E17" s="66">
        <f>IFERROR(__xludf.DUMMYFUNCTION("""COMPUTED_VALUE"""),1.03320222E8)</f>
        <v>103320222</v>
      </c>
      <c r="F17" s="66">
        <f>IFERROR(__xludf.DUMMYFUNCTION("""COMPUTED_VALUE"""),1.0491809E8)</f>
        <v>104918090</v>
      </c>
      <c r="G17" s="67">
        <f>IFERROR(__xludf.DUMMYFUNCTION("""COMPUTED_VALUE"""),0.0155)</f>
        <v>0.0155</v>
      </c>
      <c r="H17" s="60" t="str">
        <f>IFERROR(__xludf.DUMMYFUNCTION("""COMPUTED_VALUE"""),"Adobo, Sinigang")</f>
        <v>Adobo, Sinigang</v>
      </c>
      <c r="I17" s="20"/>
      <c r="J17" s="20">
        <f>IFERROR(__xludf.DUMMYFUNCTION("""COMPUTED_VALUE"""),66.0)</f>
        <v>66</v>
      </c>
      <c r="K17" s="20" t="str">
        <f>IFERROR(__xludf.DUMMYFUNCTION("""COMPUTED_VALUE"""),"Zambia")</f>
        <v>Zambia</v>
      </c>
      <c r="L17" s="20" t="str">
        <f>IFERROR(__xludf.DUMMYFUNCTION("""COMPUTED_VALUE"""),"Africa")</f>
        <v>Africa</v>
      </c>
      <c r="M17" s="20" t="str">
        <f>IFERROR(__xludf.DUMMYFUNCTION("""COMPUTED_VALUE"""),"Eastern Africa")</f>
        <v>Eastern Africa</v>
      </c>
      <c r="N17" s="66">
        <f>IFERROR(__xludf.DUMMYFUNCTION("""COMPUTED_VALUE"""),1.659139E7)</f>
        <v>16591390</v>
      </c>
      <c r="O17" s="66">
        <f>IFERROR(__xludf.DUMMYFUNCTION("""COMPUTED_VALUE"""),1.709413E7)</f>
        <v>17094130</v>
      </c>
      <c r="P17" s="67">
        <f>IFERROR(__xludf.DUMMYFUNCTION("""COMPUTED_VALUE"""),0.0303)</f>
        <v>0.0303</v>
      </c>
      <c r="Q17" s="20" t="str">
        <f>IFERROR(__xludf.DUMMYFUNCTION("""COMPUTED_VALUE"""),"Nshima")</f>
        <v>Nshima</v>
      </c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65">
        <f>IFERROR(__xludf.DUMMYFUNCTION("""COMPUTED_VALUE"""),14.0)</f>
        <v>14</v>
      </c>
      <c r="B18" s="65" t="str">
        <f>IFERROR(__xludf.DUMMYFUNCTION("""COMPUTED_VALUE"""),"Egypt")</f>
        <v>Egypt</v>
      </c>
      <c r="C18" s="20" t="str">
        <f>IFERROR(__xludf.DUMMYFUNCTION("""COMPUTED_VALUE"""),"Africa")</f>
        <v>Africa</v>
      </c>
      <c r="D18" s="20" t="str">
        <f>IFERROR(__xludf.DUMMYFUNCTION("""COMPUTED_VALUE"""),"Northern Africa")</f>
        <v>Northern Africa</v>
      </c>
      <c r="E18" s="66">
        <f>IFERROR(__xludf.DUMMYFUNCTION("""COMPUTED_VALUE"""),9.5688681E7)</f>
        <v>95688681</v>
      </c>
      <c r="F18" s="66">
        <f>IFERROR(__xludf.DUMMYFUNCTION("""COMPUTED_VALUE"""),9.7553151E7)</f>
        <v>97553151</v>
      </c>
      <c r="G18" s="67">
        <f>IFERROR(__xludf.DUMMYFUNCTION("""COMPUTED_VALUE"""),0.0195)</f>
        <v>0.0195</v>
      </c>
      <c r="H18" s="60" t="str">
        <f>IFERROR(__xludf.DUMMYFUNCTION("""COMPUTED_VALUE"""),"Ful medames, kushari, molokhia, falafel (popular street food)")</f>
        <v>Ful medames, kushari, molokhia, falafel (popular street food)</v>
      </c>
      <c r="I18" s="20"/>
      <c r="J18" s="20">
        <f>IFERROR(__xludf.DUMMYFUNCTION("""COMPUTED_VALUE"""),74.0)</f>
        <v>74</v>
      </c>
      <c r="K18" s="20" t="str">
        <f>IFERROR(__xludf.DUMMYFUNCTION("""COMPUTED_VALUE"""),"Somalia")</f>
        <v>Somalia</v>
      </c>
      <c r="L18" s="20" t="str">
        <f>IFERROR(__xludf.DUMMYFUNCTION("""COMPUTED_VALUE"""),"Africa")</f>
        <v>Africa</v>
      </c>
      <c r="M18" s="20" t="str">
        <f>IFERROR(__xludf.DUMMYFUNCTION("""COMPUTED_VALUE"""),"Eastern Africa")</f>
        <v>Eastern Africa</v>
      </c>
      <c r="N18" s="66">
        <f>IFERROR(__xludf.DUMMYFUNCTION("""COMPUTED_VALUE"""),1.4317996E7)</f>
        <v>14317996</v>
      </c>
      <c r="O18" s="66">
        <f>IFERROR(__xludf.DUMMYFUNCTION("""COMPUTED_VALUE"""),1.4742523E7)</f>
        <v>14742523</v>
      </c>
      <c r="P18" s="67">
        <f>IFERROR(__xludf.DUMMYFUNCTION("""COMPUTED_VALUE"""),0.0296)</f>
        <v>0.0296</v>
      </c>
      <c r="Q18" s="20" t="str">
        <f>IFERROR(__xludf.DUMMYFUNCTION("""COMPUTED_VALUE"""),"Canjeero with goat stew, Lahoh, Gashaato (coconut confection)")</f>
        <v>Canjeero with goat stew, Lahoh, Gashaato (coconut confection)</v>
      </c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65">
        <f>IFERROR(__xludf.DUMMYFUNCTION("""COMPUTED_VALUE"""),15.0)</f>
        <v>15</v>
      </c>
      <c r="B19" s="65" t="str">
        <f>IFERROR(__xludf.DUMMYFUNCTION("""COMPUTED_VALUE"""),"Vietnam")</f>
        <v>Vietnam</v>
      </c>
      <c r="C19" s="20" t="str">
        <f>IFERROR(__xludf.DUMMYFUNCTION("""COMPUTED_VALUE"""),"Asia")</f>
        <v>Asia</v>
      </c>
      <c r="D19" s="20" t="str">
        <f>IFERROR(__xludf.DUMMYFUNCTION("""COMPUTED_VALUE"""),"South-eastern Asia")</f>
        <v>South-eastern Asia</v>
      </c>
      <c r="E19" s="66">
        <f>IFERROR(__xludf.DUMMYFUNCTION("""COMPUTED_VALUE"""),9.4569072E7)</f>
        <v>94569072</v>
      </c>
      <c r="F19" s="66">
        <f>IFERROR(__xludf.DUMMYFUNCTION("""COMPUTED_VALUE"""),9.55408E7)</f>
        <v>95540800</v>
      </c>
      <c r="G19" s="67">
        <f>IFERROR(__xludf.DUMMYFUNCTION("""COMPUTED_VALUE"""),0.0103)</f>
        <v>0.0103</v>
      </c>
      <c r="H19" s="60" t="str">
        <f>IFERROR(__xludf.DUMMYFUNCTION("""COMPUTED_VALUE"""),"Phở, Bún bò Huế, Bò kho")</f>
        <v>Phở, Bún bò Huế, Bò kho</v>
      </c>
      <c r="I19" s="20"/>
      <c r="J19" s="20">
        <f>IFERROR(__xludf.DUMMYFUNCTION("""COMPUTED_VALUE"""),60.0)</f>
        <v>60</v>
      </c>
      <c r="K19" s="20" t="str">
        <f>IFERROR(__xludf.DUMMYFUNCTION("""COMPUTED_VALUE"""),"Burkina Faso")</f>
        <v>Burkina Faso</v>
      </c>
      <c r="L19" s="20" t="str">
        <f>IFERROR(__xludf.DUMMYFUNCTION("""COMPUTED_VALUE"""),"Africa")</f>
        <v>Africa</v>
      </c>
      <c r="M19" s="20" t="str">
        <f>IFERROR(__xludf.DUMMYFUNCTION("""COMPUTED_VALUE"""),"Western Africa")</f>
        <v>Western Africa</v>
      </c>
      <c r="N19" s="66">
        <f>IFERROR(__xludf.DUMMYFUNCTION("""COMPUTED_VALUE"""),1.8646433E7)</f>
        <v>18646433</v>
      </c>
      <c r="O19" s="66">
        <f>IFERROR(__xludf.DUMMYFUNCTION("""COMPUTED_VALUE"""),1.9193382E7)</f>
        <v>19193382</v>
      </c>
      <c r="P19" s="67">
        <f>IFERROR(__xludf.DUMMYFUNCTION("""COMPUTED_VALUE"""),0.0293)</f>
        <v>0.0293</v>
      </c>
      <c r="Q19" s="20" t="str">
        <f>IFERROR(__xludf.DUMMYFUNCTION("""COMPUTED_VALUE"""),"Riz Gras")</f>
        <v>Riz Gras</v>
      </c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65">
        <f>IFERROR(__xludf.DUMMYFUNCTION("""COMPUTED_VALUE"""),16.0)</f>
        <v>16</v>
      </c>
      <c r="B20" s="65" t="str">
        <f>IFERROR(__xludf.DUMMYFUNCTION("""COMPUTED_VALUE"""),"Germany")</f>
        <v>Germany</v>
      </c>
      <c r="C20" s="20" t="str">
        <f>IFERROR(__xludf.DUMMYFUNCTION("""COMPUTED_VALUE"""),"Europe")</f>
        <v>Europe</v>
      </c>
      <c r="D20" s="20" t="str">
        <f>IFERROR(__xludf.DUMMYFUNCTION("""COMPUTED_VALUE"""),"Western Europe")</f>
        <v>Western Europe</v>
      </c>
      <c r="E20" s="66">
        <f>IFERROR(__xludf.DUMMYFUNCTION("""COMPUTED_VALUE"""),8.1914672E7)</f>
        <v>81914672</v>
      </c>
      <c r="F20" s="66">
        <f>IFERROR(__xludf.DUMMYFUNCTION("""COMPUTED_VALUE"""),8.2114224E7)</f>
        <v>82114224</v>
      </c>
      <c r="G20" s="67">
        <f>IFERROR(__xludf.DUMMYFUNCTION("""COMPUTED_VALUE"""),0.0024)</f>
        <v>0.0024</v>
      </c>
      <c r="H20" s="60" t="str">
        <f>IFERROR(__xludf.DUMMYFUNCTION("""COMPUTED_VALUE"""),"Sauerbraten, Bratwurst, Eisbein (ham hock) with Sauerkraut (fermented cabbage)")</f>
        <v>Sauerbraten, Bratwurst, Eisbein (ham hock) with Sauerkraut (fermented cabbage)</v>
      </c>
      <c r="I20" s="20"/>
      <c r="J20" s="20">
        <f>IFERROR(__xludf.DUMMYFUNCTION("""COMPUTED_VALUE"""),61.0)</f>
        <v>61</v>
      </c>
      <c r="K20" s="20" t="str">
        <f>IFERROR(__xludf.DUMMYFUNCTION("""COMPUTED_VALUE"""),"Malawi")</f>
        <v>Malawi</v>
      </c>
      <c r="L20" s="20" t="str">
        <f>IFERROR(__xludf.DUMMYFUNCTION("""COMPUTED_VALUE"""),"Africa")</f>
        <v>Africa</v>
      </c>
      <c r="M20" s="20" t="str">
        <f>IFERROR(__xludf.DUMMYFUNCTION("""COMPUTED_VALUE"""),"Eastern Africa")</f>
        <v>Eastern Africa</v>
      </c>
      <c r="N20" s="66">
        <f>IFERROR(__xludf.DUMMYFUNCTION("""COMPUTED_VALUE"""),1.8091575E7)</f>
        <v>18091575</v>
      </c>
      <c r="O20" s="66">
        <f>IFERROR(__xludf.DUMMYFUNCTION("""COMPUTED_VALUE"""),1.8622104E7)</f>
        <v>18622104</v>
      </c>
      <c r="P20" s="67">
        <f>IFERROR(__xludf.DUMMYFUNCTION("""COMPUTED_VALUE"""),0.0293)</f>
        <v>0.0293</v>
      </c>
      <c r="Q20" s="20" t="str">
        <f>IFERROR(__xludf.DUMMYFUNCTION("""COMPUTED_VALUE"""),"Nshima")</f>
        <v>Nshima</v>
      </c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65">
        <f>IFERROR(__xludf.DUMMYFUNCTION("""COMPUTED_VALUE"""),17.0)</f>
        <v>17</v>
      </c>
      <c r="B21" s="65" t="str">
        <f>IFERROR(__xludf.DUMMYFUNCTION("""COMPUTED_VALUE"""),"Democratic Republic of the Congo")</f>
        <v>Democratic Republic of the Congo</v>
      </c>
      <c r="C21" s="20" t="str">
        <f>IFERROR(__xludf.DUMMYFUNCTION("""COMPUTED_VALUE"""),"Africa")</f>
        <v>Africa</v>
      </c>
      <c r="D21" s="20" t="str">
        <f>IFERROR(__xludf.DUMMYFUNCTION("""COMPUTED_VALUE"""),"Middle Africa")</f>
        <v>Middle Africa</v>
      </c>
      <c r="E21" s="66">
        <f>IFERROR(__xludf.DUMMYFUNCTION("""COMPUTED_VALUE"""),7.8736153E7)</f>
        <v>78736153</v>
      </c>
      <c r="F21" s="66">
        <f>IFERROR(__xludf.DUMMYFUNCTION("""COMPUTED_VALUE"""),8.1339988E7)</f>
        <v>81339988</v>
      </c>
      <c r="G21" s="67">
        <f>IFERROR(__xludf.DUMMYFUNCTION("""COMPUTED_VALUE"""),0.0331)</f>
        <v>0.0331</v>
      </c>
      <c r="H21" s="60" t="str">
        <f>IFERROR(__xludf.DUMMYFUNCTION("""COMPUTED_VALUE"""),"Poulet à la Moambé")</f>
        <v>Poulet à la Moambé</v>
      </c>
      <c r="I21" s="20"/>
      <c r="J21" s="20">
        <f>IFERROR(__xludf.DUMMYFUNCTION("""COMPUTED_VALUE"""),47.0)</f>
        <v>47</v>
      </c>
      <c r="K21" s="20" t="str">
        <f>IFERROR(__xludf.DUMMYFUNCTION("""COMPUTED_VALUE"""),"Mozambique")</f>
        <v>Mozambique</v>
      </c>
      <c r="L21" s="20" t="str">
        <f>IFERROR(__xludf.DUMMYFUNCTION("""COMPUTED_VALUE"""),"Africa")</f>
        <v>Africa</v>
      </c>
      <c r="M21" s="20" t="str">
        <f>IFERROR(__xludf.DUMMYFUNCTION("""COMPUTED_VALUE"""),"Eastern Africa")</f>
        <v>Eastern Africa</v>
      </c>
      <c r="N21" s="66">
        <f>IFERROR(__xludf.DUMMYFUNCTION("""COMPUTED_VALUE"""),2.8829476E7)</f>
        <v>28829476</v>
      </c>
      <c r="O21" s="66">
        <f>IFERROR(__xludf.DUMMYFUNCTION("""COMPUTED_VALUE"""),2.9668834E7)</f>
        <v>29668834</v>
      </c>
      <c r="P21" s="67">
        <f>IFERROR(__xludf.DUMMYFUNCTION("""COMPUTED_VALUE"""),0.0291)</f>
        <v>0.0291</v>
      </c>
      <c r="Q21" s="20" t="str">
        <f>IFERROR(__xludf.DUMMYFUNCTION("""COMPUTED_VALUE"""),"Frango (piri piri chicken)")</f>
        <v>Frango (piri piri chicken)</v>
      </c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65">
        <f>IFERROR(__xludf.DUMMYFUNCTION("""COMPUTED_VALUE"""),18.0)</f>
        <v>18</v>
      </c>
      <c r="B22" s="65" t="str">
        <f>IFERROR(__xludf.DUMMYFUNCTION("""COMPUTED_VALUE"""),"Iran")</f>
        <v>Iran</v>
      </c>
      <c r="C22" s="20" t="str">
        <f>IFERROR(__xludf.DUMMYFUNCTION("""COMPUTED_VALUE"""),"Asia")</f>
        <v>Asia</v>
      </c>
      <c r="D22" s="20" t="str">
        <f>IFERROR(__xludf.DUMMYFUNCTION("""COMPUTED_VALUE"""),"Southern Asia")</f>
        <v>Southern Asia</v>
      </c>
      <c r="E22" s="66">
        <f>IFERROR(__xludf.DUMMYFUNCTION("""COMPUTED_VALUE"""),8.0277428E7)</f>
        <v>80277428</v>
      </c>
      <c r="F22" s="66">
        <f>IFERROR(__xludf.DUMMYFUNCTION("""COMPUTED_VALUE"""),8.1162788E7)</f>
        <v>81162788</v>
      </c>
      <c r="G22" s="67">
        <f>IFERROR(__xludf.DUMMYFUNCTION("""COMPUTED_VALUE"""),0.011)</f>
        <v>0.011</v>
      </c>
      <c r="H22" s="60" t="str">
        <f>IFERROR(__xludf.DUMMYFUNCTION("""COMPUTED_VALUE"""),"Abgoosht, Fesenjan, Chelo kabab, Ghormeh sabzi")</f>
        <v>Abgoosht, Fesenjan, Chelo kabab, Ghormeh sabzi</v>
      </c>
      <c r="I22" s="20"/>
      <c r="J22" s="20">
        <f>IFERROR(__xludf.DUMMYFUNCTION("""COMPUTED_VALUE"""),36.0)</f>
        <v>36</v>
      </c>
      <c r="K22" s="20" t="str">
        <f>IFERROR(__xludf.DUMMYFUNCTION("""COMPUTED_VALUE"""),"Iraq")</f>
        <v>Iraq</v>
      </c>
      <c r="L22" s="20" t="str">
        <f>IFERROR(__xludf.DUMMYFUNCTION("""COMPUTED_VALUE"""),"Asia")</f>
        <v>Asia</v>
      </c>
      <c r="M22" s="20" t="str">
        <f>IFERROR(__xludf.DUMMYFUNCTION("""COMPUTED_VALUE"""),"Western Asia")</f>
        <v>Western Asia</v>
      </c>
      <c r="N22" s="66">
        <f>IFERROR(__xludf.DUMMYFUNCTION("""COMPUTED_VALUE"""),3.7202572E7)</f>
        <v>37202572</v>
      </c>
      <c r="O22" s="66">
        <f>IFERROR(__xludf.DUMMYFUNCTION("""COMPUTED_VALUE"""),3.8274618E7)</f>
        <v>38274618</v>
      </c>
      <c r="P22" s="67">
        <f>IFERROR(__xludf.DUMMYFUNCTION("""COMPUTED_VALUE"""),0.0288)</f>
        <v>0.0288</v>
      </c>
      <c r="Q22" s="20" t="str">
        <f>IFERROR(__xludf.DUMMYFUNCTION("""COMPUTED_VALUE"""),"Dolma, Samak masgouf, Kleicha")</f>
        <v>Dolma, Samak masgouf, Kleicha</v>
      </c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65">
        <f>IFERROR(__xludf.DUMMYFUNCTION("""COMPUTED_VALUE"""),19.0)</f>
        <v>19</v>
      </c>
      <c r="B23" s="65" t="str">
        <f>IFERROR(__xludf.DUMMYFUNCTION("""COMPUTED_VALUE"""),"Turkey")</f>
        <v>Turkey</v>
      </c>
      <c r="C23" s="20" t="str">
        <f>IFERROR(__xludf.DUMMYFUNCTION("""COMPUTED_VALUE"""),"Asia")</f>
        <v>Asia</v>
      </c>
      <c r="D23" s="20" t="str">
        <f>IFERROR(__xludf.DUMMYFUNCTION("""COMPUTED_VALUE"""),"Western Asia")</f>
        <v>Western Asia</v>
      </c>
      <c r="E23" s="66">
        <f>IFERROR(__xludf.DUMMYFUNCTION("""COMPUTED_VALUE"""),7.9512426E7)</f>
        <v>79512426</v>
      </c>
      <c r="F23" s="66">
        <f>IFERROR(__xludf.DUMMYFUNCTION("""COMPUTED_VALUE"""),8.074502E7)</f>
        <v>80745020</v>
      </c>
      <c r="G23" s="67">
        <f>IFERROR(__xludf.DUMMYFUNCTION("""COMPUTED_VALUE"""),0.0155)</f>
        <v>0.0155</v>
      </c>
      <c r="H23" s="60" t="str">
        <f>IFERROR(__xludf.DUMMYFUNCTION("""COMPUTED_VALUE"""),"Döner, Kuru fasulye with pilav")</f>
        <v>Döner, Kuru fasulye with pilav</v>
      </c>
      <c r="I23" s="20"/>
      <c r="J23" s="20">
        <f>IFERROR(__xludf.DUMMYFUNCTION("""COMPUTED_VALUE"""),72.0)</f>
        <v>72</v>
      </c>
      <c r="K23" s="20" t="str">
        <f>IFERROR(__xludf.DUMMYFUNCTION("""COMPUTED_VALUE"""),"Senegal")</f>
        <v>Senegal</v>
      </c>
      <c r="L23" s="20" t="str">
        <f>IFERROR(__xludf.DUMMYFUNCTION("""COMPUTED_VALUE"""),"Africa")</f>
        <v>Africa</v>
      </c>
      <c r="M23" s="20" t="str">
        <f>IFERROR(__xludf.DUMMYFUNCTION("""COMPUTED_VALUE"""),"Western Africa")</f>
        <v>Western Africa</v>
      </c>
      <c r="N23" s="66">
        <f>IFERROR(__xludf.DUMMYFUNCTION("""COMPUTED_VALUE"""),1.5411614E7)</f>
        <v>15411614</v>
      </c>
      <c r="O23" s="66">
        <f>IFERROR(__xludf.DUMMYFUNCTION("""COMPUTED_VALUE"""),1.5850567E7)</f>
        <v>15850567</v>
      </c>
      <c r="P23" s="67">
        <f>IFERROR(__xludf.DUMMYFUNCTION("""COMPUTED_VALUE"""),0.0285)</f>
        <v>0.0285</v>
      </c>
      <c r="Q23" s="20" t="str">
        <f>IFERROR(__xludf.DUMMYFUNCTION("""COMPUTED_VALUE"""),"Thieboudienne, Poulet Yassa")</f>
        <v>Thieboudienne, Poulet Yassa</v>
      </c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65">
        <f>IFERROR(__xludf.DUMMYFUNCTION("""COMPUTED_VALUE"""),20.0)</f>
        <v>20</v>
      </c>
      <c r="B24" s="65" t="str">
        <f>IFERROR(__xludf.DUMMYFUNCTION("""COMPUTED_VALUE"""),"Thailand")</f>
        <v>Thailand</v>
      </c>
      <c r="C24" s="20" t="str">
        <f>IFERROR(__xludf.DUMMYFUNCTION("""COMPUTED_VALUE"""),"Asia")</f>
        <v>Asia</v>
      </c>
      <c r="D24" s="20" t="str">
        <f>IFERROR(__xludf.DUMMYFUNCTION("""COMPUTED_VALUE"""),"South-eastern Asia")</f>
        <v>South-eastern Asia</v>
      </c>
      <c r="E24" s="66">
        <f>IFERROR(__xludf.DUMMYFUNCTION("""COMPUTED_VALUE"""),6.8863514E7)</f>
        <v>68863514</v>
      </c>
      <c r="F24" s="66">
        <f>IFERROR(__xludf.DUMMYFUNCTION("""COMPUTED_VALUE"""),6.9037513E7)</f>
        <v>69037513</v>
      </c>
      <c r="G24" s="67">
        <f>IFERROR(__xludf.DUMMYFUNCTION("""COMPUTED_VALUE"""),0.0025)</f>
        <v>0.0025</v>
      </c>
      <c r="H24" s="60" t="str">
        <f>IFERROR(__xludf.DUMMYFUNCTION("""COMPUTED_VALUE"""),"Pad Thai, Tom Yum Goong, Som tam")</f>
        <v>Pad Thai, Tom Yum Goong, Som tam</v>
      </c>
      <c r="I24" s="20"/>
      <c r="J24" s="20">
        <f>IFERROR(__xludf.DUMMYFUNCTION("""COMPUTED_VALUE"""),76.0)</f>
        <v>76</v>
      </c>
      <c r="K24" s="20" t="str">
        <f>IFERROR(__xludf.DUMMYFUNCTION("""COMPUTED_VALUE"""),"South Sudan")</f>
        <v>South Sudan</v>
      </c>
      <c r="L24" s="20" t="str">
        <f>IFERROR(__xludf.DUMMYFUNCTION("""COMPUTED_VALUE"""),"Africa")</f>
        <v>Africa</v>
      </c>
      <c r="M24" s="20" t="str">
        <f>IFERROR(__xludf.DUMMYFUNCTION("""COMPUTED_VALUE"""),"Eastern Africa")</f>
        <v>Eastern Africa</v>
      </c>
      <c r="N24" s="66">
        <f>IFERROR(__xludf.DUMMYFUNCTION("""COMPUTED_VALUE"""),1.223073E7)</f>
        <v>12230730</v>
      </c>
      <c r="O24" s="66">
        <f>IFERROR(__xludf.DUMMYFUNCTION("""COMPUTED_VALUE"""),1.2575714E7)</f>
        <v>12575714</v>
      </c>
      <c r="P24" s="67">
        <f>IFERROR(__xludf.DUMMYFUNCTION("""COMPUTED_VALUE"""),0.0282)</f>
        <v>0.0282</v>
      </c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65">
        <f>IFERROR(__xludf.DUMMYFUNCTION("""COMPUTED_VALUE"""),21.0)</f>
        <v>21</v>
      </c>
      <c r="B25" s="65" t="str">
        <f>IFERROR(__xludf.DUMMYFUNCTION("""COMPUTED_VALUE"""),"United Kingdom")</f>
        <v>United Kingdom</v>
      </c>
      <c r="C25" s="20" t="str">
        <f>IFERROR(__xludf.DUMMYFUNCTION("""COMPUTED_VALUE"""),"Europe")</f>
        <v>Europe</v>
      </c>
      <c r="D25" s="20" t="str">
        <f>IFERROR(__xludf.DUMMYFUNCTION("""COMPUTED_VALUE"""),"Northern Europe")</f>
        <v>Northern Europe</v>
      </c>
      <c r="E25" s="66">
        <f>IFERROR(__xludf.DUMMYFUNCTION("""COMPUTED_VALUE"""),6.5788574E7)</f>
        <v>65788574</v>
      </c>
      <c r="F25" s="66">
        <f>IFERROR(__xludf.DUMMYFUNCTION("""COMPUTED_VALUE"""),6.6181585E7)</f>
        <v>66181585</v>
      </c>
      <c r="G25" s="67">
        <f>IFERROR(__xludf.DUMMYFUNCTION("""COMPUTED_VALUE"""),0.006)</f>
        <v>0.006</v>
      </c>
      <c r="H25" s="60" t="str">
        <f>IFERROR(__xludf.DUMMYFUNCTION("""COMPUTED_VALUE"""),"Fish and chips, Chicken tikka masala, Full breakfast, Shepherd's pie")</f>
        <v>Fish and chips, Chicken tikka masala, Full breakfast, Shepherd's pie</v>
      </c>
      <c r="I25" s="20"/>
      <c r="J25" s="20">
        <f>IFERROR(__xludf.DUMMYFUNCTION("""COMPUTED_VALUE"""),81.0)</f>
        <v>81</v>
      </c>
      <c r="K25" s="20" t="str">
        <f>IFERROR(__xludf.DUMMYFUNCTION("""COMPUTED_VALUE"""),"Benin")</f>
        <v>Benin</v>
      </c>
      <c r="L25" s="20" t="str">
        <f>IFERROR(__xludf.DUMMYFUNCTION("""COMPUTED_VALUE"""),"Africa")</f>
        <v>Africa</v>
      </c>
      <c r="M25" s="20" t="str">
        <f>IFERROR(__xludf.DUMMYFUNCTION("""COMPUTED_VALUE"""),"Western Africa")</f>
        <v>Western Africa</v>
      </c>
      <c r="N25" s="66">
        <f>IFERROR(__xludf.DUMMYFUNCTION("""COMPUTED_VALUE"""),1.0872298E7)</f>
        <v>10872298</v>
      </c>
      <c r="O25" s="66">
        <f>IFERROR(__xludf.DUMMYFUNCTION("""COMPUTED_VALUE"""),1.1175692E7)</f>
        <v>11175692</v>
      </c>
      <c r="P25" s="67">
        <f>IFERROR(__xludf.DUMMYFUNCTION("""COMPUTED_VALUE"""),0.0279)</f>
        <v>0.0279</v>
      </c>
      <c r="Q25" s="20" t="str">
        <f>IFERROR(__xludf.DUMMYFUNCTION("""COMPUTED_VALUE"""),"Kuli Kuli")</f>
        <v>Kuli Kuli</v>
      </c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65">
        <f>IFERROR(__xludf.DUMMYFUNCTION("""COMPUTED_VALUE"""),22.0)</f>
        <v>22</v>
      </c>
      <c r="B26" s="65" t="str">
        <f>IFERROR(__xludf.DUMMYFUNCTION("""COMPUTED_VALUE"""),"France")</f>
        <v>France</v>
      </c>
      <c r="C26" s="20" t="str">
        <f>IFERROR(__xludf.DUMMYFUNCTION("""COMPUTED_VALUE"""),"Europe")</f>
        <v>Europe</v>
      </c>
      <c r="D26" s="20" t="str">
        <f>IFERROR(__xludf.DUMMYFUNCTION("""COMPUTED_VALUE"""),"Western Europe")</f>
        <v>Western Europe</v>
      </c>
      <c r="E26" s="66">
        <f>IFERROR(__xludf.DUMMYFUNCTION("""COMPUTED_VALUE"""),6.472069E7)</f>
        <v>64720690</v>
      </c>
      <c r="F26" s="66">
        <f>IFERROR(__xludf.DUMMYFUNCTION("""COMPUTED_VALUE"""),6.4979548E7)</f>
        <v>64979548</v>
      </c>
      <c r="G26" s="67">
        <f>IFERROR(__xludf.DUMMYFUNCTION("""COMPUTED_VALUE"""),0.004)</f>
        <v>0.004</v>
      </c>
      <c r="H26" s="60" t="str">
        <f>IFERROR(__xludf.DUMMYFUNCTION("""COMPUTED_VALUE"""),"Crêpe, Pot-au-feu, macarons, croissant, coq au vin, cassoulet, bouillabaisse")</f>
        <v>Crêpe, Pot-au-feu, macarons, croissant, coq au vin, cassoulet, bouillabaisse</v>
      </c>
      <c r="I26" s="20"/>
      <c r="J26" s="20">
        <f>IFERROR(__xludf.DUMMYFUNCTION("""COMPUTED_VALUE"""),128.0)</f>
        <v>128</v>
      </c>
      <c r="K26" s="20" t="str">
        <f>IFERROR(__xludf.DUMMYFUNCTION("""COMPUTED_VALUE"""),"Mauritania")</f>
        <v>Mauritania</v>
      </c>
      <c r="L26" s="20" t="str">
        <f>IFERROR(__xludf.DUMMYFUNCTION("""COMPUTED_VALUE"""),"Africa")</f>
        <v>Africa</v>
      </c>
      <c r="M26" s="20" t="str">
        <f>IFERROR(__xludf.DUMMYFUNCTION("""COMPUTED_VALUE"""),"Western Africa")</f>
        <v>Western Africa</v>
      </c>
      <c r="N26" s="66">
        <f>IFERROR(__xludf.DUMMYFUNCTION("""COMPUTED_VALUE"""),4301018.0)</f>
        <v>4301018</v>
      </c>
      <c r="O26" s="66">
        <f>IFERROR(__xludf.DUMMYFUNCTION("""COMPUTED_VALUE"""),4420184.0)</f>
        <v>4420184</v>
      </c>
      <c r="P26" s="67">
        <f>IFERROR(__xludf.DUMMYFUNCTION("""COMPUTED_VALUE"""),0.0277)</f>
        <v>0.0277</v>
      </c>
      <c r="Q26" s="20" t="str">
        <f>IFERROR(__xludf.DUMMYFUNCTION("""COMPUTED_VALUE"""),"Thieboudienne, Couscous")</f>
        <v>Thieboudienne, Couscous</v>
      </c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65">
        <f>IFERROR(__xludf.DUMMYFUNCTION("""COMPUTED_VALUE"""),23.0)</f>
        <v>23</v>
      </c>
      <c r="B27" s="65" t="str">
        <f>IFERROR(__xludf.DUMMYFUNCTION("""COMPUTED_VALUE"""),"Italy")</f>
        <v>Italy</v>
      </c>
      <c r="C27" s="20" t="str">
        <f>IFERROR(__xludf.DUMMYFUNCTION("""COMPUTED_VALUE"""),"Europe")</f>
        <v>Europe</v>
      </c>
      <c r="D27" s="20" t="str">
        <f>IFERROR(__xludf.DUMMYFUNCTION("""COMPUTED_VALUE"""),"Southern Europe")</f>
        <v>Southern Europe</v>
      </c>
      <c r="E27" s="66">
        <f>IFERROR(__xludf.DUMMYFUNCTION("""COMPUTED_VALUE"""),5.9429938E7)</f>
        <v>59429938</v>
      </c>
      <c r="F27" s="66">
        <f>IFERROR(__xludf.DUMMYFUNCTION("""COMPUTED_VALUE"""),5.93599E7)</f>
        <v>59359900</v>
      </c>
      <c r="G27" s="67">
        <f>IFERROR(__xludf.DUMMYFUNCTION("""COMPUTED_VALUE"""),-0.0012)</f>
        <v>-0.0012</v>
      </c>
      <c r="H27" s="60" t="str">
        <f>IFERROR(__xludf.DUMMYFUNCTION("""COMPUTED_VALUE"""),"Pasta, Polenta, Pizza, Risotto")</f>
        <v>Pasta, Polenta, Pizza, Risotto</v>
      </c>
      <c r="I27" s="20"/>
      <c r="J27" s="20">
        <f>IFERROR(__xludf.DUMMYFUNCTION("""COMPUTED_VALUE"""),51.0)</f>
        <v>51</v>
      </c>
      <c r="K27" s="20" t="str">
        <f>IFERROR(__xludf.DUMMYFUNCTION("""COMPUTED_VALUE"""),"Madagascar")</f>
        <v>Madagascar</v>
      </c>
      <c r="L27" s="20" t="str">
        <f>IFERROR(__xludf.DUMMYFUNCTION("""COMPUTED_VALUE"""),"Africa")</f>
        <v>Africa</v>
      </c>
      <c r="M27" s="20" t="str">
        <f>IFERROR(__xludf.DUMMYFUNCTION("""COMPUTED_VALUE"""),"Eastern Africa")</f>
        <v>Eastern Africa</v>
      </c>
      <c r="N27" s="66">
        <f>IFERROR(__xludf.DUMMYFUNCTION("""COMPUTED_VALUE"""),2.4894551E7)</f>
        <v>24894551</v>
      </c>
      <c r="O27" s="66">
        <f>IFERROR(__xludf.DUMMYFUNCTION("""COMPUTED_VALUE"""),2.5570895E7)</f>
        <v>25570895</v>
      </c>
      <c r="P27" s="67">
        <f>IFERROR(__xludf.DUMMYFUNCTION("""COMPUTED_VALUE"""),0.0272)</f>
        <v>0.0272</v>
      </c>
      <c r="Q27" s="20" t="str">
        <f>IFERROR(__xludf.DUMMYFUNCTION("""COMPUTED_VALUE"""),"Romazava")</f>
        <v>Romazava</v>
      </c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65">
        <f>IFERROR(__xludf.DUMMYFUNCTION("""COMPUTED_VALUE"""),24.0)</f>
        <v>24</v>
      </c>
      <c r="B28" s="65" t="str">
        <f>IFERROR(__xludf.DUMMYFUNCTION("""COMPUTED_VALUE"""),"Tanzania")</f>
        <v>Tanzania</v>
      </c>
      <c r="C28" s="20" t="str">
        <f>IFERROR(__xludf.DUMMYFUNCTION("""COMPUTED_VALUE"""),"Africa")</f>
        <v>Africa</v>
      </c>
      <c r="D28" s="20" t="str">
        <f>IFERROR(__xludf.DUMMYFUNCTION("""COMPUTED_VALUE"""),"Eastern Africa")</f>
        <v>Eastern Africa</v>
      </c>
      <c r="E28" s="66">
        <f>IFERROR(__xludf.DUMMYFUNCTION("""COMPUTED_VALUE"""),5.5572201E7)</f>
        <v>55572201</v>
      </c>
      <c r="F28" s="66">
        <f>IFERROR(__xludf.DUMMYFUNCTION("""COMPUTED_VALUE"""),5.7310019E7)</f>
        <v>57310019</v>
      </c>
      <c r="G28" s="67">
        <f>IFERROR(__xludf.DUMMYFUNCTION("""COMPUTED_VALUE"""),0.0313)</f>
        <v>0.0313</v>
      </c>
      <c r="H28" s="60" t="str">
        <f>IFERROR(__xludf.DUMMYFUNCTION("""COMPUTED_VALUE"""),"Ugali")</f>
        <v>Ugali</v>
      </c>
      <c r="I28" s="20"/>
      <c r="J28" s="20">
        <f>IFERROR(__xludf.DUMMYFUNCTION("""COMPUTED_VALUE"""),121.0)</f>
        <v>121</v>
      </c>
      <c r="K28" s="20" t="str">
        <f>IFERROR(__xludf.DUMMYFUNCTION("""COMPUTED_VALUE"""),"Palestine")</f>
        <v>Palestine</v>
      </c>
      <c r="L28" s="20" t="str">
        <f>IFERROR(__xludf.DUMMYFUNCTION("""COMPUTED_VALUE"""),"Asia")</f>
        <v>Asia</v>
      </c>
      <c r="M28" s="20" t="str">
        <f>IFERROR(__xludf.DUMMYFUNCTION("""COMPUTED_VALUE"""),"Western Asia")</f>
        <v>Western Asia</v>
      </c>
      <c r="N28" s="66">
        <f>IFERROR(__xludf.DUMMYFUNCTION("""COMPUTED_VALUE"""),4790705.0)</f>
        <v>4790705</v>
      </c>
      <c r="O28" s="66">
        <f>IFERROR(__xludf.DUMMYFUNCTION("""COMPUTED_VALUE"""),4920724.0)</f>
        <v>4920724</v>
      </c>
      <c r="P28" s="67">
        <f>IFERROR(__xludf.DUMMYFUNCTION("""COMPUTED_VALUE"""),0.0271)</f>
        <v>0.0271</v>
      </c>
      <c r="Q28" s="20" t="str">
        <f>IFERROR(__xludf.DUMMYFUNCTION("""COMPUTED_VALUE"""),"Arab salad, Falafel, Mujaddara, Musakhan, Hummus with tahini")</f>
        <v>Arab salad, Falafel, Mujaddara, Musakhan, Hummus with tahini</v>
      </c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65">
        <f>IFERROR(__xludf.DUMMYFUNCTION("""COMPUTED_VALUE"""),25.0)</f>
        <v>25</v>
      </c>
      <c r="B29" s="65" t="str">
        <f>IFERROR(__xludf.DUMMYFUNCTION("""COMPUTED_VALUE"""),"South Africa")</f>
        <v>South Africa</v>
      </c>
      <c r="C29" s="20" t="str">
        <f>IFERROR(__xludf.DUMMYFUNCTION("""COMPUTED_VALUE"""),"Africa")</f>
        <v>Africa</v>
      </c>
      <c r="D29" s="20" t="str">
        <f>IFERROR(__xludf.DUMMYFUNCTION("""COMPUTED_VALUE"""),"Southern Africa")</f>
        <v>Southern Africa</v>
      </c>
      <c r="E29" s="66">
        <f>IFERROR(__xludf.DUMMYFUNCTION("""COMPUTED_VALUE"""),5.6015473E7)</f>
        <v>56015473</v>
      </c>
      <c r="F29" s="66">
        <f>IFERROR(__xludf.DUMMYFUNCTION("""COMPUTED_VALUE"""),5.6717156E7)</f>
        <v>56717156</v>
      </c>
      <c r="G29" s="67">
        <f>IFERROR(__xludf.DUMMYFUNCTION("""COMPUTED_VALUE"""),0.0125)</f>
        <v>0.0125</v>
      </c>
      <c r="H29" s="60" t="str">
        <f>IFERROR(__xludf.DUMMYFUNCTION("""COMPUTED_VALUE"""),"Bobotie")</f>
        <v>Bobotie</v>
      </c>
      <c r="I29" s="20"/>
      <c r="J29" s="20">
        <f>IFERROR(__xludf.DUMMYFUNCTION("""COMPUTED_VALUE"""),142.0)</f>
        <v>142</v>
      </c>
      <c r="K29" s="20" t="str">
        <f>IFERROR(__xludf.DUMMYFUNCTION("""COMPUTED_VALUE"""),"Qatar")</f>
        <v>Qatar</v>
      </c>
      <c r="L29" s="20" t="str">
        <f>IFERROR(__xludf.DUMMYFUNCTION("""COMPUTED_VALUE"""),"Asia")</f>
        <v>Asia</v>
      </c>
      <c r="M29" s="20" t="str">
        <f>IFERROR(__xludf.DUMMYFUNCTION("""COMPUTED_VALUE"""),"Western Asia")</f>
        <v>Western Asia</v>
      </c>
      <c r="N29" s="66">
        <f>IFERROR(__xludf.DUMMYFUNCTION("""COMPUTED_VALUE"""),2569804.0)</f>
        <v>2569804</v>
      </c>
      <c r="O29" s="66">
        <f>IFERROR(__xludf.DUMMYFUNCTION("""COMPUTED_VALUE"""),2639211.0)</f>
        <v>2639211</v>
      </c>
      <c r="P29" s="67">
        <f>IFERROR(__xludf.DUMMYFUNCTION("""COMPUTED_VALUE"""),0.027)</f>
        <v>0.027</v>
      </c>
      <c r="Q29" s="20" t="str">
        <f>IFERROR(__xludf.DUMMYFUNCTION("""COMPUTED_VALUE"""),"Machboos")</f>
        <v>Machboos</v>
      </c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65">
        <f>IFERROR(__xludf.DUMMYFUNCTION("""COMPUTED_VALUE"""),26.0)</f>
        <v>26</v>
      </c>
      <c r="B30" s="65" t="str">
        <f>IFERROR(__xludf.DUMMYFUNCTION("""COMPUTED_VALUE"""),"Myanmar")</f>
        <v>Myanmar</v>
      </c>
      <c r="C30" s="20" t="str">
        <f>IFERROR(__xludf.DUMMYFUNCTION("""COMPUTED_VALUE"""),"Asia")</f>
        <v>Asia</v>
      </c>
      <c r="D30" s="20" t="str">
        <f>IFERROR(__xludf.DUMMYFUNCTION("""COMPUTED_VALUE"""),"South-eastern Asia")</f>
        <v>South-eastern Asia</v>
      </c>
      <c r="E30" s="66">
        <f>IFERROR(__xludf.DUMMYFUNCTION("""COMPUTED_VALUE"""),5.2885223E7)</f>
        <v>52885223</v>
      </c>
      <c r="F30" s="66">
        <f>IFERROR(__xludf.DUMMYFUNCTION("""COMPUTED_VALUE"""),5.3370609E7)</f>
        <v>53370609</v>
      </c>
      <c r="G30" s="67">
        <f>IFERROR(__xludf.DUMMYFUNCTION("""COMPUTED_VALUE"""),0.0092)</f>
        <v>0.0092</v>
      </c>
      <c r="H30" s="60"/>
      <c r="I30" s="20"/>
      <c r="J30" s="20">
        <f>IFERROR(__xludf.DUMMYFUNCTION("""COMPUTED_VALUE"""),186.0)</f>
        <v>186</v>
      </c>
      <c r="K30" s="20" t="str">
        <f>IFERROR(__xludf.DUMMYFUNCTION("""COMPUTED_VALUE"""),"Mayotte")</f>
        <v>Mayotte</v>
      </c>
      <c r="L30" s="20" t="str">
        <f>IFERROR(__xludf.DUMMYFUNCTION("""COMPUTED_VALUE"""),"Africa")</f>
        <v>Africa</v>
      </c>
      <c r="M30" s="20" t="str">
        <f>IFERROR(__xludf.DUMMYFUNCTION("""COMPUTED_VALUE"""),"Eastern Africa")</f>
        <v>Eastern Africa</v>
      </c>
      <c r="N30" s="66">
        <f>IFERROR(__xludf.DUMMYFUNCTION("""COMPUTED_VALUE"""),246489.0)</f>
        <v>246489</v>
      </c>
      <c r="O30" s="66">
        <f>IFERROR(__xludf.DUMMYFUNCTION("""COMPUTED_VALUE"""),253045.0)</f>
        <v>253045</v>
      </c>
      <c r="P30" s="67">
        <f>IFERROR(__xludf.DUMMYFUNCTION("""COMPUTED_VALUE"""),0.0266)</f>
        <v>0.0266</v>
      </c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65">
        <f>IFERROR(__xludf.DUMMYFUNCTION("""COMPUTED_VALUE"""),27.0)</f>
        <v>27</v>
      </c>
      <c r="B31" s="65" t="str">
        <f>IFERROR(__xludf.DUMMYFUNCTION("""COMPUTED_VALUE"""),"South Korea")</f>
        <v>South Korea</v>
      </c>
      <c r="C31" s="20" t="str">
        <f>IFERROR(__xludf.DUMMYFUNCTION("""COMPUTED_VALUE"""),"Asia")</f>
        <v>Asia</v>
      </c>
      <c r="D31" s="20" t="str">
        <f>IFERROR(__xludf.DUMMYFUNCTION("""COMPUTED_VALUE"""),"Eastern Asia")</f>
        <v>Eastern Asia</v>
      </c>
      <c r="E31" s="66">
        <f>IFERROR(__xludf.DUMMYFUNCTION("""COMPUTED_VALUE"""),5.0791919E7)</f>
        <v>50791919</v>
      </c>
      <c r="F31" s="66">
        <f>IFERROR(__xludf.DUMMYFUNCTION("""COMPUTED_VALUE"""),5.0982212E7)</f>
        <v>50982212</v>
      </c>
      <c r="G31" s="67">
        <f>IFERROR(__xludf.DUMMYFUNCTION("""COMPUTED_VALUE"""),0.0037)</f>
        <v>0.0037</v>
      </c>
      <c r="H31" s="60" t="str">
        <f>IFERROR(__xludf.DUMMYFUNCTION("""COMPUTED_VALUE"""),"Budaejjigae, Kimchi, Bulgogi, Bibimbap, Galbi")</f>
        <v>Budaejjigae, Kimchi, Bulgogi, Bibimbap, Galbi</v>
      </c>
      <c r="I31" s="20"/>
      <c r="J31" s="20">
        <f>IFERROR(__xludf.DUMMYFUNCTION("""COMPUTED_VALUE"""),7.0)</f>
        <v>7</v>
      </c>
      <c r="K31" s="20" t="str">
        <f>IFERROR(__xludf.DUMMYFUNCTION("""COMPUTED_VALUE"""),"Nigeria")</f>
        <v>Nigeria</v>
      </c>
      <c r="L31" s="20" t="str">
        <f>IFERROR(__xludf.DUMMYFUNCTION("""COMPUTED_VALUE"""),"Africa")</f>
        <v>Africa</v>
      </c>
      <c r="M31" s="20" t="str">
        <f>IFERROR(__xludf.DUMMYFUNCTION("""COMPUTED_VALUE"""),"Western Africa")</f>
        <v>Western Africa</v>
      </c>
      <c r="N31" s="66">
        <f>IFERROR(__xludf.DUMMYFUNCTION("""COMPUTED_VALUE"""),1.8598964E8)</f>
        <v>185989640</v>
      </c>
      <c r="O31" s="66">
        <f>IFERROR(__xludf.DUMMYFUNCTION("""COMPUTED_VALUE"""),1.90886311E8)</f>
        <v>190886311</v>
      </c>
      <c r="P31" s="67">
        <f>IFERROR(__xludf.DUMMYFUNCTION("""COMPUTED_VALUE"""),0.0263)</f>
        <v>0.0263</v>
      </c>
      <c r="Q31" s="20" t="str">
        <f>IFERROR(__xludf.DUMMYFUNCTION("""COMPUTED_VALUE"""),"Fufu and Egusi soup")</f>
        <v>Fufu and Egusi soup</v>
      </c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5">
        <f>IFERROR(__xludf.DUMMYFUNCTION("""COMPUTED_VALUE"""),28.0)</f>
        <v>28</v>
      </c>
      <c r="B32" s="65" t="str">
        <f>IFERROR(__xludf.DUMMYFUNCTION("""COMPUTED_VALUE"""),"Colombia")</f>
        <v>Colombia</v>
      </c>
      <c r="C32" s="20" t="str">
        <f>IFERROR(__xludf.DUMMYFUNCTION("""COMPUTED_VALUE"""),"Americas")</f>
        <v>Americas</v>
      </c>
      <c r="D32" s="20" t="str">
        <f>IFERROR(__xludf.DUMMYFUNCTION("""COMPUTED_VALUE"""),"South America")</f>
        <v>South America</v>
      </c>
      <c r="E32" s="66">
        <f>IFERROR(__xludf.DUMMYFUNCTION("""COMPUTED_VALUE"""),4.8653419E7)</f>
        <v>48653419</v>
      </c>
      <c r="F32" s="66">
        <f>IFERROR(__xludf.DUMMYFUNCTION("""COMPUTED_VALUE"""),4.9065615E7)</f>
        <v>49065615</v>
      </c>
      <c r="G32" s="67">
        <f>IFERROR(__xludf.DUMMYFUNCTION("""COMPUTED_VALUE"""),0.0085)</f>
        <v>0.0085</v>
      </c>
      <c r="H32" s="60" t="str">
        <f>IFERROR(__xludf.DUMMYFUNCTION("""COMPUTED_VALUE"""),"Sancocho, Ajiaco, Bandeja paisa,")</f>
        <v>Sancocho, Ajiaco, Bandeja paisa,</v>
      </c>
      <c r="I32" s="20"/>
      <c r="J32" s="20">
        <f>IFERROR(__xludf.DUMMYFUNCTION("""COMPUTED_VALUE"""),119.0)</f>
        <v>119</v>
      </c>
      <c r="K32" s="20" t="str">
        <f>IFERROR(__xludf.DUMMYFUNCTION("""COMPUTED_VALUE"""),"Congo")</f>
        <v>Congo</v>
      </c>
      <c r="L32" s="20" t="str">
        <f>IFERROR(__xludf.DUMMYFUNCTION("""COMPUTED_VALUE"""),"Africa")</f>
        <v>Africa</v>
      </c>
      <c r="M32" s="20" t="str">
        <f>IFERROR(__xludf.DUMMYFUNCTION("""COMPUTED_VALUE"""),"Middle Africa")</f>
        <v>Middle Africa</v>
      </c>
      <c r="N32" s="66">
        <f>IFERROR(__xludf.DUMMYFUNCTION("""COMPUTED_VALUE"""),5125821.0)</f>
        <v>5125821</v>
      </c>
      <c r="O32" s="66">
        <f>IFERROR(__xludf.DUMMYFUNCTION("""COMPUTED_VALUE"""),5260750.0)</f>
        <v>5260750</v>
      </c>
      <c r="P32" s="67">
        <f>IFERROR(__xludf.DUMMYFUNCTION("""COMPUTED_VALUE"""),0.0263)</f>
        <v>0.0263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65">
        <f>IFERROR(__xludf.DUMMYFUNCTION("""COMPUTED_VALUE"""),29.0)</f>
        <v>29</v>
      </c>
      <c r="B33" s="65" t="str">
        <f>IFERROR(__xludf.DUMMYFUNCTION("""COMPUTED_VALUE"""),"Kenya")</f>
        <v>Kenya</v>
      </c>
      <c r="C33" s="20" t="str">
        <f>IFERROR(__xludf.DUMMYFUNCTION("""COMPUTED_VALUE"""),"Africa")</f>
        <v>Africa</v>
      </c>
      <c r="D33" s="20" t="str">
        <f>IFERROR(__xludf.DUMMYFUNCTION("""COMPUTED_VALUE"""),"Eastern Africa")</f>
        <v>Eastern Africa</v>
      </c>
      <c r="E33" s="66">
        <f>IFERROR(__xludf.DUMMYFUNCTION("""COMPUTED_VALUE"""),4.8461567E7)</f>
        <v>48461567</v>
      </c>
      <c r="F33" s="66">
        <f>IFERROR(__xludf.DUMMYFUNCTION("""COMPUTED_VALUE"""),4.9699862E7)</f>
        <v>49699862</v>
      </c>
      <c r="G33" s="67">
        <f>IFERROR(__xludf.DUMMYFUNCTION("""COMPUTED_VALUE"""),0.0256)</f>
        <v>0.0256</v>
      </c>
      <c r="H33" s="60" t="str">
        <f>IFERROR(__xludf.DUMMYFUNCTION("""COMPUTED_VALUE"""),"Ugali, Sukuma wiki, Nyama choma")</f>
        <v>Ugali, Sukuma wiki, Nyama choma</v>
      </c>
      <c r="I33" s="20"/>
      <c r="J33" s="20">
        <f>IFERROR(__xludf.DUMMYFUNCTION("""COMPUTED_VALUE"""),55.0)</f>
        <v>55</v>
      </c>
      <c r="K33" s="20" t="str">
        <f>IFERROR(__xludf.DUMMYFUNCTION("""COMPUTED_VALUE"""),"Cameroon")</f>
        <v>Cameroon</v>
      </c>
      <c r="L33" s="20" t="str">
        <f>IFERROR(__xludf.DUMMYFUNCTION("""COMPUTED_VALUE"""),"Africa")</f>
        <v>Africa</v>
      </c>
      <c r="M33" s="20" t="str">
        <f>IFERROR(__xludf.DUMMYFUNCTION("""COMPUTED_VALUE"""),"Middle Africa")</f>
        <v>Middle Africa</v>
      </c>
      <c r="N33" s="66">
        <f>IFERROR(__xludf.DUMMYFUNCTION("""COMPUTED_VALUE"""),2.3439189E7)</f>
        <v>23439189</v>
      </c>
      <c r="O33" s="66">
        <f>IFERROR(__xludf.DUMMYFUNCTION("""COMPUTED_VALUE"""),2.4053727E7)</f>
        <v>24053727</v>
      </c>
      <c r="P33" s="67">
        <f>IFERROR(__xludf.DUMMYFUNCTION("""COMPUTED_VALUE"""),0.0262)</f>
        <v>0.0262</v>
      </c>
      <c r="Q33" s="20" t="str">
        <f>IFERROR(__xludf.DUMMYFUNCTION("""COMPUTED_VALUE"""),"Ndolé")</f>
        <v>Ndolé</v>
      </c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65">
        <f>IFERROR(__xludf.DUMMYFUNCTION("""COMPUTED_VALUE"""),30.0)</f>
        <v>30</v>
      </c>
      <c r="B34" s="65" t="str">
        <f>IFERROR(__xludf.DUMMYFUNCTION("""COMPUTED_VALUE"""),"Spain")</f>
        <v>Spain</v>
      </c>
      <c r="C34" s="20" t="str">
        <f>IFERROR(__xludf.DUMMYFUNCTION("""COMPUTED_VALUE"""),"Europe")</f>
        <v>Europe</v>
      </c>
      <c r="D34" s="20" t="str">
        <f>IFERROR(__xludf.DUMMYFUNCTION("""COMPUTED_VALUE"""),"Southern Europe")</f>
        <v>Southern Europe</v>
      </c>
      <c r="E34" s="66">
        <f>IFERROR(__xludf.DUMMYFUNCTION("""COMPUTED_VALUE"""),4.6347576E7)</f>
        <v>46347576</v>
      </c>
      <c r="F34" s="66">
        <f>IFERROR(__xludf.DUMMYFUNCTION("""COMPUTED_VALUE"""),4.6354321E7)</f>
        <v>46354321</v>
      </c>
      <c r="G34" s="67">
        <f>IFERROR(__xludf.DUMMYFUNCTION("""COMPUTED_VALUE"""),1.0E-4)</f>
        <v>0.0001</v>
      </c>
      <c r="H34" s="60" t="str">
        <f>IFERROR(__xludf.DUMMYFUNCTION("""COMPUTED_VALUE"""),"Tortilla española")</f>
        <v>Tortilla española</v>
      </c>
      <c r="I34" s="20"/>
      <c r="J34" s="20">
        <f>IFERROR(__xludf.DUMMYFUNCTION("""COMPUTED_VALUE"""),92.0)</f>
        <v>92</v>
      </c>
      <c r="K34" s="20" t="str">
        <f>IFERROR(__xludf.DUMMYFUNCTION("""COMPUTED_VALUE"""),"Jordan")</f>
        <v>Jordan</v>
      </c>
      <c r="L34" s="20" t="str">
        <f>IFERROR(__xludf.DUMMYFUNCTION("""COMPUTED_VALUE"""),"Asia")</f>
        <v>Asia</v>
      </c>
      <c r="M34" s="20" t="str">
        <f>IFERROR(__xludf.DUMMYFUNCTION("""COMPUTED_VALUE"""),"Western Asia")</f>
        <v>Western Asia</v>
      </c>
      <c r="N34" s="66">
        <f>IFERROR(__xludf.DUMMYFUNCTION("""COMPUTED_VALUE"""),9455802.0)</f>
        <v>9455802</v>
      </c>
      <c r="O34" s="66">
        <f>IFERROR(__xludf.DUMMYFUNCTION("""COMPUTED_VALUE"""),9702353.0)</f>
        <v>9702353</v>
      </c>
      <c r="P34" s="67">
        <f>IFERROR(__xludf.DUMMYFUNCTION("""COMPUTED_VALUE"""),0.0261)</f>
        <v>0.0261</v>
      </c>
      <c r="Q34" s="20" t="str">
        <f>IFERROR(__xludf.DUMMYFUNCTION("""COMPUTED_VALUE"""),"Mansaf")</f>
        <v>Mansaf</v>
      </c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65">
        <f>IFERROR(__xludf.DUMMYFUNCTION("""COMPUTED_VALUE"""),31.0)</f>
        <v>31</v>
      </c>
      <c r="B35" s="65" t="str">
        <f>IFERROR(__xludf.DUMMYFUNCTION("""COMPUTED_VALUE"""),"Argentina")</f>
        <v>Argentina</v>
      </c>
      <c r="C35" s="20" t="str">
        <f>IFERROR(__xludf.DUMMYFUNCTION("""COMPUTED_VALUE"""),"Americas")</f>
        <v>Americas</v>
      </c>
      <c r="D35" s="20" t="str">
        <f>IFERROR(__xludf.DUMMYFUNCTION("""COMPUTED_VALUE"""),"South America")</f>
        <v>South America</v>
      </c>
      <c r="E35" s="66">
        <f>IFERROR(__xludf.DUMMYFUNCTION("""COMPUTED_VALUE"""),4.384743E7)</f>
        <v>43847430</v>
      </c>
      <c r="F35" s="66">
        <f>IFERROR(__xludf.DUMMYFUNCTION("""COMPUTED_VALUE"""),4.4271041E7)</f>
        <v>44271041</v>
      </c>
      <c r="G35" s="67">
        <f>IFERROR(__xludf.DUMMYFUNCTION("""COMPUTED_VALUE"""),0.0097)</f>
        <v>0.0097</v>
      </c>
      <c r="H35" s="60" t="str">
        <f>IFERROR(__xludf.DUMMYFUNCTION("""COMPUTED_VALUE"""),"Asado, Empanada, Locro, Milanesa, Choripán")</f>
        <v>Asado, Empanada, Locro, Milanesa, Choripán</v>
      </c>
      <c r="I35" s="20"/>
      <c r="J35" s="20">
        <f>IFERROR(__xludf.DUMMYFUNCTION("""COMPUTED_VALUE"""),75.0)</f>
        <v>75</v>
      </c>
      <c r="K35" s="20" t="str">
        <f>IFERROR(__xludf.DUMMYFUNCTION("""COMPUTED_VALUE"""),"Guinea")</f>
        <v>Guinea</v>
      </c>
      <c r="L35" s="20" t="str">
        <f>IFERROR(__xludf.DUMMYFUNCTION("""COMPUTED_VALUE"""),"Africa")</f>
        <v>Africa</v>
      </c>
      <c r="M35" s="20" t="str">
        <f>IFERROR(__xludf.DUMMYFUNCTION("""COMPUTED_VALUE"""),"Western Africa")</f>
        <v>Western Africa</v>
      </c>
      <c r="N35" s="66">
        <f>IFERROR(__xludf.DUMMYFUNCTION("""COMPUTED_VALUE"""),1.2395924E7)</f>
        <v>12395924</v>
      </c>
      <c r="O35" s="66">
        <f>IFERROR(__xludf.DUMMYFUNCTION("""COMPUTED_VALUE"""),1.2717176E7)</f>
        <v>12717176</v>
      </c>
      <c r="P35" s="67">
        <f>IFERROR(__xludf.DUMMYFUNCTION("""COMPUTED_VALUE"""),0.0259)</f>
        <v>0.0259</v>
      </c>
      <c r="Q35" s="20" t="str">
        <f>IFERROR(__xludf.DUMMYFUNCTION("""COMPUTED_VALUE"""),"Poulet Yassa")</f>
        <v>Poulet Yassa</v>
      </c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65">
        <f>IFERROR(__xludf.DUMMYFUNCTION("""COMPUTED_VALUE"""),32.0)</f>
        <v>32</v>
      </c>
      <c r="B36" s="65" t="str">
        <f>IFERROR(__xludf.DUMMYFUNCTION("""COMPUTED_VALUE"""),"Ukraine")</f>
        <v>Ukraine</v>
      </c>
      <c r="C36" s="20" t="str">
        <f>IFERROR(__xludf.DUMMYFUNCTION("""COMPUTED_VALUE"""),"Europe")</f>
        <v>Europe</v>
      </c>
      <c r="D36" s="20" t="str">
        <f>IFERROR(__xludf.DUMMYFUNCTION("""COMPUTED_VALUE"""),"Eastern Europe")</f>
        <v>Eastern Europe</v>
      </c>
      <c r="E36" s="66">
        <f>IFERROR(__xludf.DUMMYFUNCTION("""COMPUTED_VALUE"""),4.4438625E7)</f>
        <v>44438625</v>
      </c>
      <c r="F36" s="66">
        <f>IFERROR(__xludf.DUMMYFUNCTION("""COMPUTED_VALUE"""),4.4222947E7)</f>
        <v>44222947</v>
      </c>
      <c r="G36" s="67">
        <f>IFERROR(__xludf.DUMMYFUNCTION("""COMPUTED_VALUE"""),-0.0049)</f>
        <v>-0.0049</v>
      </c>
      <c r="H36" s="60" t="str">
        <f>IFERROR(__xludf.DUMMYFUNCTION("""COMPUTED_VALUE"""),"Borscht, Varenyky")</f>
        <v>Borscht, Varenyky</v>
      </c>
      <c r="I36" s="20"/>
      <c r="J36" s="20">
        <f>IFERROR(__xludf.DUMMYFUNCTION("""COMPUTED_VALUE"""),171.0)</f>
        <v>171</v>
      </c>
      <c r="K36" s="20" t="str">
        <f>IFERROR(__xludf.DUMMYFUNCTION("""COMPUTED_VALUE"""),"Western Sahara")</f>
        <v>Western Sahara</v>
      </c>
      <c r="L36" s="20" t="str">
        <f>IFERROR(__xludf.DUMMYFUNCTION("""COMPUTED_VALUE"""),"Africa")</f>
        <v>Africa</v>
      </c>
      <c r="M36" s="20" t="str">
        <f>IFERROR(__xludf.DUMMYFUNCTION("""COMPUTED_VALUE"""),"Northern Africa")</f>
        <v>Northern Africa</v>
      </c>
      <c r="N36" s="66">
        <f>IFERROR(__xludf.DUMMYFUNCTION("""COMPUTED_VALUE"""),538755.0)</f>
        <v>538755</v>
      </c>
      <c r="O36" s="66">
        <f>IFERROR(__xludf.DUMMYFUNCTION("""COMPUTED_VALUE"""),552628.0)</f>
        <v>552628</v>
      </c>
      <c r="P36" s="67">
        <f>IFERROR(__xludf.DUMMYFUNCTION("""COMPUTED_VALUE"""),0.0258)</f>
        <v>0.0258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65">
        <f>IFERROR(__xludf.DUMMYFUNCTION("""COMPUTED_VALUE"""),33.0)</f>
        <v>33</v>
      </c>
      <c r="B37" s="65" t="str">
        <f>IFERROR(__xludf.DUMMYFUNCTION("""COMPUTED_VALUE"""),"Uganda")</f>
        <v>Uganda</v>
      </c>
      <c r="C37" s="20" t="str">
        <f>IFERROR(__xludf.DUMMYFUNCTION("""COMPUTED_VALUE"""),"Africa")</f>
        <v>Africa</v>
      </c>
      <c r="D37" s="20" t="str">
        <f>IFERROR(__xludf.DUMMYFUNCTION("""COMPUTED_VALUE"""),"Eastern Africa")</f>
        <v>Eastern Africa</v>
      </c>
      <c r="E37" s="66">
        <f>IFERROR(__xludf.DUMMYFUNCTION("""COMPUTED_VALUE"""),4.1487965E7)</f>
        <v>41487965</v>
      </c>
      <c r="F37" s="66">
        <f>IFERROR(__xludf.DUMMYFUNCTION("""COMPUTED_VALUE"""),4.2862958E7)</f>
        <v>42862958</v>
      </c>
      <c r="G37" s="67">
        <f>IFERROR(__xludf.DUMMYFUNCTION("""COMPUTED_VALUE"""),0.0331)</f>
        <v>0.0331</v>
      </c>
      <c r="H37" s="60" t="str">
        <f>IFERROR(__xludf.DUMMYFUNCTION("""COMPUTED_VALUE"""),"Matoke")</f>
        <v>Matoke</v>
      </c>
      <c r="I37" s="20"/>
      <c r="J37" s="20">
        <f>IFERROR(__xludf.DUMMYFUNCTION("""COMPUTED_VALUE"""),29.0)</f>
        <v>29</v>
      </c>
      <c r="K37" s="20" t="str">
        <f>IFERROR(__xludf.DUMMYFUNCTION("""COMPUTED_VALUE"""),"Kenya")</f>
        <v>Kenya</v>
      </c>
      <c r="L37" s="20" t="str">
        <f>IFERROR(__xludf.DUMMYFUNCTION("""COMPUTED_VALUE"""),"Africa")</f>
        <v>Africa</v>
      </c>
      <c r="M37" s="20" t="str">
        <f>IFERROR(__xludf.DUMMYFUNCTION("""COMPUTED_VALUE"""),"Eastern Africa")</f>
        <v>Eastern Africa</v>
      </c>
      <c r="N37" s="66">
        <f>IFERROR(__xludf.DUMMYFUNCTION("""COMPUTED_VALUE"""),4.8461567E7)</f>
        <v>48461567</v>
      </c>
      <c r="O37" s="66">
        <f>IFERROR(__xludf.DUMMYFUNCTION("""COMPUTED_VALUE"""),4.9699862E7)</f>
        <v>49699862</v>
      </c>
      <c r="P37" s="67">
        <f>IFERROR(__xludf.DUMMYFUNCTION("""COMPUTED_VALUE"""),0.0256)</f>
        <v>0.0256</v>
      </c>
      <c r="Q37" s="20" t="str">
        <f>IFERROR(__xludf.DUMMYFUNCTION("""COMPUTED_VALUE"""),"Ugali, Sukuma wiki, Nyama choma")</f>
        <v>Ugali, Sukuma wiki, Nyama choma</v>
      </c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65">
        <f>IFERROR(__xludf.DUMMYFUNCTION("""COMPUTED_VALUE"""),34.0)</f>
        <v>34</v>
      </c>
      <c r="B38" s="65" t="str">
        <f>IFERROR(__xludf.DUMMYFUNCTION("""COMPUTED_VALUE"""),"Algeria")</f>
        <v>Algeria</v>
      </c>
      <c r="C38" s="20" t="str">
        <f>IFERROR(__xludf.DUMMYFUNCTION("""COMPUTED_VALUE"""),"Africa")</f>
        <v>Africa</v>
      </c>
      <c r="D38" s="20" t="str">
        <f>IFERROR(__xludf.DUMMYFUNCTION("""COMPUTED_VALUE"""),"Northern Africa")</f>
        <v>Northern Africa</v>
      </c>
      <c r="E38" s="66">
        <f>IFERROR(__xludf.DUMMYFUNCTION("""COMPUTED_VALUE"""),4.0606052E7)</f>
        <v>40606052</v>
      </c>
      <c r="F38" s="66">
        <f>IFERROR(__xludf.DUMMYFUNCTION("""COMPUTED_VALUE"""),4.1318142E7)</f>
        <v>41318142</v>
      </c>
      <c r="G38" s="67">
        <f>IFERROR(__xludf.DUMMYFUNCTION("""COMPUTED_VALUE"""),0.0175)</f>
        <v>0.0175</v>
      </c>
      <c r="H38" s="60" t="str">
        <f>IFERROR(__xludf.DUMMYFUNCTION("""COMPUTED_VALUE"""),"Couscous, chakhchoukha")</f>
        <v>Couscous, chakhchoukha</v>
      </c>
      <c r="I38" s="20"/>
      <c r="J38" s="20">
        <f>IFERROR(__xludf.DUMMYFUNCTION("""COMPUTED_VALUE"""),124.0)</f>
        <v>124</v>
      </c>
      <c r="K38" s="20" t="str">
        <f>IFERROR(__xludf.DUMMYFUNCTION("""COMPUTED_VALUE"""),"Liberia")</f>
        <v>Liberia</v>
      </c>
      <c r="L38" s="20" t="str">
        <f>IFERROR(__xludf.DUMMYFUNCTION("""COMPUTED_VALUE"""),"Africa")</f>
        <v>Africa</v>
      </c>
      <c r="M38" s="20" t="str">
        <f>IFERROR(__xludf.DUMMYFUNCTION("""COMPUTED_VALUE"""),"Western Africa")</f>
        <v>Western Africa</v>
      </c>
      <c r="N38" s="66">
        <f>IFERROR(__xludf.DUMMYFUNCTION("""COMPUTED_VALUE"""),4613823.0)</f>
        <v>4613823</v>
      </c>
      <c r="O38" s="66">
        <f>IFERROR(__xludf.DUMMYFUNCTION("""COMPUTED_VALUE"""),4731906.0)</f>
        <v>4731906</v>
      </c>
      <c r="P38" s="67">
        <f>IFERROR(__xludf.DUMMYFUNCTION("""COMPUTED_VALUE"""),0.0256)</f>
        <v>0.0256</v>
      </c>
      <c r="Q38" s="20" t="str">
        <f>IFERROR(__xludf.DUMMYFUNCTION("""COMPUTED_VALUE"""),"Dumboy")</f>
        <v>Dumboy</v>
      </c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65">
        <f>IFERROR(__xludf.DUMMYFUNCTION("""COMPUTED_VALUE"""),35.0)</f>
        <v>35</v>
      </c>
      <c r="B39" s="65" t="str">
        <f>IFERROR(__xludf.DUMMYFUNCTION("""COMPUTED_VALUE"""),"Sudan")</f>
        <v>Sudan</v>
      </c>
      <c r="C39" s="20" t="str">
        <f>IFERROR(__xludf.DUMMYFUNCTION("""COMPUTED_VALUE"""),"Africa")</f>
        <v>Africa</v>
      </c>
      <c r="D39" s="20" t="str">
        <f>IFERROR(__xludf.DUMMYFUNCTION("""COMPUTED_VALUE"""),"Northern Africa")</f>
        <v>Northern Africa</v>
      </c>
      <c r="E39" s="66">
        <f>IFERROR(__xludf.DUMMYFUNCTION("""COMPUTED_VALUE"""),3.9578828E7)</f>
        <v>39578828</v>
      </c>
      <c r="F39" s="66">
        <f>IFERROR(__xludf.DUMMYFUNCTION("""COMPUTED_VALUE"""),4.053333E7)</f>
        <v>40533330</v>
      </c>
      <c r="G39" s="67">
        <f>IFERROR(__xludf.DUMMYFUNCTION("""COMPUTED_VALUE"""),0.0241)</f>
        <v>0.0241</v>
      </c>
      <c r="H39" s="60" t="str">
        <f>IFERROR(__xludf.DUMMYFUNCTION("""COMPUTED_VALUE"""),"Ful medames")</f>
        <v>Ful medames</v>
      </c>
      <c r="I39" s="20"/>
      <c r="J39" s="20">
        <f>IFERROR(__xludf.DUMMYFUNCTION("""COMPUTED_VALUE"""),183.0)</f>
        <v>183</v>
      </c>
      <c r="K39" s="20" t="str">
        <f>IFERROR(__xludf.DUMMYFUNCTION("""COMPUTED_VALUE"""),"French Guiana")</f>
        <v>French Guiana</v>
      </c>
      <c r="L39" s="20" t="str">
        <f>IFERROR(__xludf.DUMMYFUNCTION("""COMPUTED_VALUE"""),"Americas")</f>
        <v>Americas</v>
      </c>
      <c r="M39" s="20" t="str">
        <f>IFERROR(__xludf.DUMMYFUNCTION("""COMPUTED_VALUE"""),"South America")</f>
        <v>South America</v>
      </c>
      <c r="N39" s="66">
        <f>IFERROR(__xludf.DUMMYFUNCTION("""COMPUTED_VALUE"""),275713.0)</f>
        <v>275713</v>
      </c>
      <c r="O39" s="66">
        <f>IFERROR(__xludf.DUMMYFUNCTION("""COMPUTED_VALUE"""),282731.0)</f>
        <v>282731</v>
      </c>
      <c r="P39" s="67">
        <f>IFERROR(__xludf.DUMMYFUNCTION("""COMPUTED_VALUE"""),0.0255)</f>
        <v>0.0255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65">
        <f>IFERROR(__xludf.DUMMYFUNCTION("""COMPUTED_VALUE"""),36.0)</f>
        <v>36</v>
      </c>
      <c r="B40" s="65" t="str">
        <f>IFERROR(__xludf.DUMMYFUNCTION("""COMPUTED_VALUE"""),"Iraq")</f>
        <v>Iraq</v>
      </c>
      <c r="C40" s="20" t="str">
        <f>IFERROR(__xludf.DUMMYFUNCTION("""COMPUTED_VALUE"""),"Asia")</f>
        <v>Asia</v>
      </c>
      <c r="D40" s="20" t="str">
        <f>IFERROR(__xludf.DUMMYFUNCTION("""COMPUTED_VALUE"""),"Western Asia")</f>
        <v>Western Asia</v>
      </c>
      <c r="E40" s="66">
        <f>IFERROR(__xludf.DUMMYFUNCTION("""COMPUTED_VALUE"""),3.7202572E7)</f>
        <v>37202572</v>
      </c>
      <c r="F40" s="66">
        <f>IFERROR(__xludf.DUMMYFUNCTION("""COMPUTED_VALUE"""),3.8274618E7)</f>
        <v>38274618</v>
      </c>
      <c r="G40" s="67">
        <f>IFERROR(__xludf.DUMMYFUNCTION("""COMPUTED_VALUE"""),0.0288)</f>
        <v>0.0288</v>
      </c>
      <c r="H40" s="60" t="str">
        <f>IFERROR(__xludf.DUMMYFUNCTION("""COMPUTED_VALUE"""),"Dolma, Samak masgouf, Kleicha")</f>
        <v>Dolma, Samak masgouf, Kleicha</v>
      </c>
      <c r="I40" s="20"/>
      <c r="J40" s="20">
        <f>IFERROR(__xludf.DUMMYFUNCTION("""COMPUTED_VALUE"""),54.0)</f>
        <v>54</v>
      </c>
      <c r="K40" s="20" t="str">
        <f>IFERROR(__xludf.DUMMYFUNCTION("""COMPUTED_VALUE"""),"Ivory Coast")</f>
        <v>Ivory Coast</v>
      </c>
      <c r="L40" s="20" t="str">
        <f>IFERROR(__xludf.DUMMYFUNCTION("""COMPUTED_VALUE"""),"Africa")</f>
        <v>Africa</v>
      </c>
      <c r="M40" s="20" t="str">
        <f>IFERROR(__xludf.DUMMYFUNCTION("""COMPUTED_VALUE"""),"Western Africa")</f>
        <v>Western Africa</v>
      </c>
      <c r="N40" s="66">
        <f>IFERROR(__xludf.DUMMYFUNCTION("""COMPUTED_VALUE"""),2.3695919E7)</f>
        <v>23695919</v>
      </c>
      <c r="O40" s="66">
        <f>IFERROR(__xludf.DUMMYFUNCTION("""COMPUTED_VALUE"""),2.429475E7)</f>
        <v>24294750</v>
      </c>
      <c r="P40" s="67">
        <f>IFERROR(__xludf.DUMMYFUNCTION("""COMPUTED_VALUE"""),0.0253)</f>
        <v>0.0253</v>
      </c>
      <c r="Q40" s="20" t="str">
        <f>IFERROR(__xludf.DUMMYFUNCTION("""COMPUTED_VALUE"""),"Fufu, Kedjenou")</f>
        <v>Fufu, Kedjenou</v>
      </c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65">
        <f>IFERROR(__xludf.DUMMYFUNCTION("""COMPUTED_VALUE"""),37.0)</f>
        <v>37</v>
      </c>
      <c r="B41" s="65" t="str">
        <f>IFERROR(__xludf.DUMMYFUNCTION("""COMPUTED_VALUE"""),"Poland")</f>
        <v>Poland</v>
      </c>
      <c r="C41" s="20" t="str">
        <f>IFERROR(__xludf.DUMMYFUNCTION("""COMPUTED_VALUE"""),"Europe")</f>
        <v>Europe</v>
      </c>
      <c r="D41" s="20" t="str">
        <f>IFERROR(__xludf.DUMMYFUNCTION("""COMPUTED_VALUE"""),"Eastern Europe")</f>
        <v>Eastern Europe</v>
      </c>
      <c r="E41" s="66">
        <f>IFERROR(__xludf.DUMMYFUNCTION("""COMPUTED_VALUE"""),3.822441E7)</f>
        <v>38224410</v>
      </c>
      <c r="F41" s="66">
        <f>IFERROR(__xludf.DUMMYFUNCTION("""COMPUTED_VALUE"""),3.8170712E7)</f>
        <v>38170712</v>
      </c>
      <c r="G41" s="67">
        <f>IFERROR(__xludf.DUMMYFUNCTION("""COMPUTED_VALUE"""),-0.0014)</f>
        <v>-0.0014</v>
      </c>
      <c r="H41" s="60" t="str">
        <f>IFERROR(__xludf.DUMMYFUNCTION("""COMPUTED_VALUE"""),"Bigos, Pierogi, Kotlet schabowy, Żurek, Gołąbki")</f>
        <v>Bigos, Pierogi, Kotlet schabowy, Żurek, Gołąbki</v>
      </c>
      <c r="I41" s="20"/>
      <c r="J41" s="20">
        <f>IFERROR(__xludf.DUMMYFUNCTION("""COMPUTED_VALUE"""),40.0)</f>
        <v>40</v>
      </c>
      <c r="K41" s="20" t="str">
        <f>IFERROR(__xludf.DUMMYFUNCTION("""COMPUTED_VALUE"""),"Afghanistan")</f>
        <v>Afghanistan</v>
      </c>
      <c r="L41" s="20" t="str">
        <f>IFERROR(__xludf.DUMMYFUNCTION("""COMPUTED_VALUE"""),"Asia")</f>
        <v>Asia</v>
      </c>
      <c r="M41" s="20" t="str">
        <f>IFERROR(__xludf.DUMMYFUNCTION("""COMPUTED_VALUE"""),"Southern Asia")</f>
        <v>Southern Asia</v>
      </c>
      <c r="N41" s="66">
        <f>IFERROR(__xludf.DUMMYFUNCTION("""COMPUTED_VALUE"""),3.4656032E7)</f>
        <v>34656032</v>
      </c>
      <c r="O41" s="66">
        <f>IFERROR(__xludf.DUMMYFUNCTION("""COMPUTED_VALUE"""),3.5530081E7)</f>
        <v>35530081</v>
      </c>
      <c r="P41" s="67">
        <f>IFERROR(__xludf.DUMMYFUNCTION("""COMPUTED_VALUE"""),0.0252)</f>
        <v>0.0252</v>
      </c>
      <c r="Q41" s="20" t="str">
        <f>IFERROR(__xludf.DUMMYFUNCTION("""COMPUTED_VALUE"""),"Kabuli Palaw")</f>
        <v>Kabuli Palaw</v>
      </c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65">
        <f>IFERROR(__xludf.DUMMYFUNCTION("""COMPUTED_VALUE"""),38.0)</f>
        <v>38</v>
      </c>
      <c r="B42" s="65" t="str">
        <f>IFERROR(__xludf.DUMMYFUNCTION("""COMPUTED_VALUE"""),"Canada")</f>
        <v>Canada</v>
      </c>
      <c r="C42" s="20" t="str">
        <f>IFERROR(__xludf.DUMMYFUNCTION("""COMPUTED_VALUE"""),"Americas")</f>
        <v>Americas</v>
      </c>
      <c r="D42" s="20" t="str">
        <f>IFERROR(__xludf.DUMMYFUNCTION("""COMPUTED_VALUE"""),"Northern America")</f>
        <v>Northern America</v>
      </c>
      <c r="E42" s="66">
        <f>IFERROR(__xludf.DUMMYFUNCTION("""COMPUTED_VALUE"""),3.6289822E7)</f>
        <v>36289822</v>
      </c>
      <c r="F42" s="66">
        <f>IFERROR(__xludf.DUMMYFUNCTION("""COMPUTED_VALUE"""),3.6624199E7)</f>
        <v>36624199</v>
      </c>
      <c r="G42" s="67">
        <f>IFERROR(__xludf.DUMMYFUNCTION("""COMPUTED_VALUE"""),0.0092)</f>
        <v>0.0092</v>
      </c>
      <c r="H42" s="60" t="str">
        <f>IFERROR(__xludf.DUMMYFUNCTION("""COMPUTED_VALUE"""),"Nanaimo bar, Poutine, Butter tarts, Tourtière")</f>
        <v>Nanaimo bar, Poutine, Butter tarts, Tourtière</v>
      </c>
      <c r="I42" s="20"/>
      <c r="J42" s="20">
        <f>IFERROR(__xludf.DUMMYFUNCTION("""COMPUTED_VALUE"""),102.0)</f>
        <v>102</v>
      </c>
      <c r="K42" s="20" t="str">
        <f>IFERROR(__xludf.DUMMYFUNCTION("""COMPUTED_VALUE"""),"Togo")</f>
        <v>Togo</v>
      </c>
      <c r="L42" s="20" t="str">
        <f>IFERROR(__xludf.DUMMYFUNCTION("""COMPUTED_VALUE"""),"Africa")</f>
        <v>Africa</v>
      </c>
      <c r="M42" s="20" t="str">
        <f>IFERROR(__xludf.DUMMYFUNCTION("""COMPUTED_VALUE"""),"Western Africa")</f>
        <v>Western Africa</v>
      </c>
      <c r="N42" s="66">
        <f>IFERROR(__xludf.DUMMYFUNCTION("""COMPUTED_VALUE"""),7606374.0)</f>
        <v>7606374</v>
      </c>
      <c r="O42" s="66">
        <f>IFERROR(__xludf.DUMMYFUNCTION("""COMPUTED_VALUE"""),7797694.0)</f>
        <v>7797694</v>
      </c>
      <c r="P42" s="67">
        <f>IFERROR(__xludf.DUMMYFUNCTION("""COMPUTED_VALUE"""),0.0252)</f>
        <v>0.0252</v>
      </c>
      <c r="Q42" s="20" t="str">
        <f>IFERROR(__xludf.DUMMYFUNCTION("""COMPUTED_VALUE"""),"Yeyebessissi")</f>
        <v>Yeyebessissi</v>
      </c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65">
        <f>IFERROR(__xludf.DUMMYFUNCTION("""COMPUTED_VALUE"""),39.0)</f>
        <v>39</v>
      </c>
      <c r="B43" s="65" t="str">
        <f>IFERROR(__xludf.DUMMYFUNCTION("""COMPUTED_VALUE"""),"Morocco")</f>
        <v>Morocco</v>
      </c>
      <c r="C43" s="20" t="str">
        <f>IFERROR(__xludf.DUMMYFUNCTION("""COMPUTED_VALUE"""),"Africa")</f>
        <v>Africa</v>
      </c>
      <c r="D43" s="20" t="str">
        <f>IFERROR(__xludf.DUMMYFUNCTION("""COMPUTED_VALUE"""),"Northern Africa")</f>
        <v>Northern Africa</v>
      </c>
      <c r="E43" s="66">
        <f>IFERROR(__xludf.DUMMYFUNCTION("""COMPUTED_VALUE"""),3.5276786E7)</f>
        <v>35276786</v>
      </c>
      <c r="F43" s="66">
        <f>IFERROR(__xludf.DUMMYFUNCTION("""COMPUTED_VALUE"""),3.573958E7)</f>
        <v>35739580</v>
      </c>
      <c r="G43" s="67">
        <f>IFERROR(__xludf.DUMMYFUNCTION("""COMPUTED_VALUE"""),0.0131)</f>
        <v>0.0131</v>
      </c>
      <c r="H43" s="60" t="str">
        <f>IFERROR(__xludf.DUMMYFUNCTION("""COMPUTED_VALUE"""),"Couscous, Tagine, Pastilla")</f>
        <v>Couscous, Tagine, Pastilla</v>
      </c>
      <c r="I43" s="20"/>
      <c r="J43" s="20">
        <f>IFERROR(__xludf.DUMMYFUNCTION("""COMPUTED_VALUE"""),151.0)</f>
        <v>151</v>
      </c>
      <c r="K43" s="20" t="str">
        <f>IFERROR(__xludf.DUMMYFUNCTION("""COMPUTED_VALUE"""),"Guinea-Bissau")</f>
        <v>Guinea-Bissau</v>
      </c>
      <c r="L43" s="20" t="str">
        <f>IFERROR(__xludf.DUMMYFUNCTION("""COMPUTED_VALUE"""),"Africa")</f>
        <v>Africa</v>
      </c>
      <c r="M43" s="20" t="str">
        <f>IFERROR(__xludf.DUMMYFUNCTION("""COMPUTED_VALUE"""),"Western Africa")</f>
        <v>Western Africa</v>
      </c>
      <c r="N43" s="66">
        <f>IFERROR(__xludf.DUMMYFUNCTION("""COMPUTED_VALUE"""),1815698.0)</f>
        <v>1815698</v>
      </c>
      <c r="O43" s="66">
        <f>IFERROR(__xludf.DUMMYFUNCTION("""COMPUTED_VALUE"""),1861283.0)</f>
        <v>1861283</v>
      </c>
      <c r="P43" s="67">
        <f>IFERROR(__xludf.DUMMYFUNCTION("""COMPUTED_VALUE"""),0.0251)</f>
        <v>0.0251</v>
      </c>
      <c r="Q43" s="20" t="str">
        <f>IFERROR(__xludf.DUMMYFUNCTION("""COMPUTED_VALUE"""),"Jollof rice")</f>
        <v>Jollof rice</v>
      </c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65">
        <f>IFERROR(__xludf.DUMMYFUNCTION("""COMPUTED_VALUE"""),40.0)</f>
        <v>40</v>
      </c>
      <c r="B44" s="65" t="str">
        <f>IFERROR(__xludf.DUMMYFUNCTION("""COMPUTED_VALUE"""),"Afghanistan")</f>
        <v>Afghanistan</v>
      </c>
      <c r="C44" s="20" t="str">
        <f>IFERROR(__xludf.DUMMYFUNCTION("""COMPUTED_VALUE"""),"Asia")</f>
        <v>Asia</v>
      </c>
      <c r="D44" s="20" t="str">
        <f>IFERROR(__xludf.DUMMYFUNCTION("""COMPUTED_VALUE"""),"Southern Asia")</f>
        <v>Southern Asia</v>
      </c>
      <c r="E44" s="66">
        <f>IFERROR(__xludf.DUMMYFUNCTION("""COMPUTED_VALUE"""),3.4656032E7)</f>
        <v>34656032</v>
      </c>
      <c r="F44" s="66">
        <f>IFERROR(__xludf.DUMMYFUNCTION("""COMPUTED_VALUE"""),3.5530081E7)</f>
        <v>35530081</v>
      </c>
      <c r="G44" s="67">
        <f>IFERROR(__xludf.DUMMYFUNCTION("""COMPUTED_VALUE"""),0.0252)</f>
        <v>0.0252</v>
      </c>
      <c r="H44" s="60" t="str">
        <f>IFERROR(__xludf.DUMMYFUNCTION("""COMPUTED_VALUE"""),"Kabuli Palaw")</f>
        <v>Kabuli Palaw</v>
      </c>
      <c r="I44" s="20"/>
      <c r="J44" s="20">
        <f>IFERROR(__xludf.DUMMYFUNCTION("""COMPUTED_VALUE"""),12.0)</f>
        <v>12</v>
      </c>
      <c r="K44" s="20" t="str">
        <f>IFERROR(__xludf.DUMMYFUNCTION("""COMPUTED_VALUE"""),"Ethiopia")</f>
        <v>Ethiopia</v>
      </c>
      <c r="L44" s="20" t="str">
        <f>IFERROR(__xludf.DUMMYFUNCTION("""COMPUTED_VALUE"""),"Africa")</f>
        <v>Africa</v>
      </c>
      <c r="M44" s="20" t="str">
        <f>IFERROR(__xludf.DUMMYFUNCTION("""COMPUTED_VALUE"""),"Eastern Africa")</f>
        <v>Eastern Africa</v>
      </c>
      <c r="N44" s="66">
        <f>IFERROR(__xludf.DUMMYFUNCTION("""COMPUTED_VALUE"""),1.02403196E8)</f>
        <v>102403196</v>
      </c>
      <c r="O44" s="66">
        <f>IFERROR(__xludf.DUMMYFUNCTION("""COMPUTED_VALUE"""),1.04957438E8)</f>
        <v>104957438</v>
      </c>
      <c r="P44" s="67">
        <f>IFERROR(__xludf.DUMMYFUNCTION("""COMPUTED_VALUE"""),0.0249)</f>
        <v>0.0249</v>
      </c>
      <c r="Q44" s="20" t="str">
        <f>IFERROR(__xludf.DUMMYFUNCTION("""COMPUTED_VALUE"""),"Kitfo; doro wat; injera")</f>
        <v>Kitfo; doro wat; injera</v>
      </c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65">
        <f>IFERROR(__xludf.DUMMYFUNCTION("""COMPUTED_VALUE"""),41.0)</f>
        <v>41</v>
      </c>
      <c r="B45" s="65" t="str">
        <f>IFERROR(__xludf.DUMMYFUNCTION("""COMPUTED_VALUE"""),"Saudi Arabia")</f>
        <v>Saudi Arabia</v>
      </c>
      <c r="C45" s="20" t="str">
        <f>IFERROR(__xludf.DUMMYFUNCTION("""COMPUTED_VALUE"""),"Asia")</f>
        <v>Asia</v>
      </c>
      <c r="D45" s="20" t="str">
        <f>IFERROR(__xludf.DUMMYFUNCTION("""COMPUTED_VALUE"""),"Western Asia")</f>
        <v>Western Asia</v>
      </c>
      <c r="E45" s="66">
        <f>IFERROR(__xludf.DUMMYFUNCTION("""COMPUTED_VALUE"""),3.2275687E7)</f>
        <v>32275687</v>
      </c>
      <c r="F45" s="66">
        <f>IFERROR(__xludf.DUMMYFUNCTION("""COMPUTED_VALUE"""),3.2938213E7)</f>
        <v>32938213</v>
      </c>
      <c r="G45" s="67">
        <f>IFERROR(__xludf.DUMMYFUNCTION("""COMPUTED_VALUE"""),0.0205)</f>
        <v>0.0205</v>
      </c>
      <c r="H45" s="60" t="str">
        <f>IFERROR(__xludf.DUMMYFUNCTION("""COMPUTED_VALUE"""),"Kabsa, Saleeg")</f>
        <v>Kabsa, Saleeg</v>
      </c>
      <c r="I45" s="20"/>
      <c r="J45" s="20">
        <f>IFERROR(__xludf.DUMMYFUNCTION("""COMPUTED_VALUE"""),77.0)</f>
        <v>77</v>
      </c>
      <c r="K45" s="20" t="str">
        <f>IFERROR(__xludf.DUMMYFUNCTION("""COMPUTED_VALUE"""),"Rwanda")</f>
        <v>Rwanda</v>
      </c>
      <c r="L45" s="20" t="str">
        <f>IFERROR(__xludf.DUMMYFUNCTION("""COMPUTED_VALUE"""),"Africa")</f>
        <v>Africa</v>
      </c>
      <c r="M45" s="20" t="str">
        <f>IFERROR(__xludf.DUMMYFUNCTION("""COMPUTED_VALUE"""),"Eastern Africa")</f>
        <v>Eastern Africa</v>
      </c>
      <c r="N45" s="66">
        <f>IFERROR(__xludf.DUMMYFUNCTION("""COMPUTED_VALUE"""),1.1917508E7)</f>
        <v>11917508</v>
      </c>
      <c r="O45" s="66">
        <f>IFERROR(__xludf.DUMMYFUNCTION("""COMPUTED_VALUE"""),1.2208407E7)</f>
        <v>12208407</v>
      </c>
      <c r="P45" s="67">
        <f>IFERROR(__xludf.DUMMYFUNCTION("""COMPUTED_VALUE"""),0.0244)</f>
        <v>0.0244</v>
      </c>
      <c r="Q45" s="20" t="str">
        <f>IFERROR(__xludf.DUMMYFUNCTION("""COMPUTED_VALUE"""),"Ugali")</f>
        <v>Ugali</v>
      </c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65">
        <f>IFERROR(__xludf.DUMMYFUNCTION("""COMPUTED_VALUE"""),42.0)</f>
        <v>42</v>
      </c>
      <c r="B46" s="65" t="str">
        <f>IFERROR(__xludf.DUMMYFUNCTION("""COMPUTED_VALUE"""),"Peru")</f>
        <v>Peru</v>
      </c>
      <c r="C46" s="20" t="str">
        <f>IFERROR(__xludf.DUMMYFUNCTION("""COMPUTED_VALUE"""),"Americas")</f>
        <v>Americas</v>
      </c>
      <c r="D46" s="20" t="str">
        <f>IFERROR(__xludf.DUMMYFUNCTION("""COMPUTED_VALUE"""),"South America")</f>
        <v>South America</v>
      </c>
      <c r="E46" s="66">
        <f>IFERROR(__xludf.DUMMYFUNCTION("""COMPUTED_VALUE"""),3.1773839E7)</f>
        <v>31773839</v>
      </c>
      <c r="F46" s="66">
        <f>IFERROR(__xludf.DUMMYFUNCTION("""COMPUTED_VALUE"""),3.2165485E7)</f>
        <v>32165485</v>
      </c>
      <c r="G46" s="67">
        <f>IFERROR(__xludf.DUMMYFUNCTION("""COMPUTED_VALUE"""),0.0123)</f>
        <v>0.0123</v>
      </c>
      <c r="H46" s="60" t="str">
        <f>IFERROR(__xludf.DUMMYFUNCTION("""COMPUTED_VALUE"""),"Ceviche")</f>
        <v>Ceviche</v>
      </c>
      <c r="I46" s="20"/>
      <c r="J46" s="20">
        <f>IFERROR(__xludf.DUMMYFUNCTION("""COMPUTED_VALUE"""),50.0)</f>
        <v>50</v>
      </c>
      <c r="K46" s="20" t="str">
        <f>IFERROR(__xludf.DUMMYFUNCTION("""COMPUTED_VALUE"""),"Yemen")</f>
        <v>Yemen</v>
      </c>
      <c r="L46" s="20" t="str">
        <f>IFERROR(__xludf.DUMMYFUNCTION("""COMPUTED_VALUE"""),"Asia")</f>
        <v>Asia</v>
      </c>
      <c r="M46" s="20" t="str">
        <f>IFERROR(__xludf.DUMMYFUNCTION("""COMPUTED_VALUE"""),"Western Asia")</f>
        <v>Western Asia</v>
      </c>
      <c r="N46" s="66">
        <f>IFERROR(__xludf.DUMMYFUNCTION("""COMPUTED_VALUE"""),2.7584213E7)</f>
        <v>27584213</v>
      </c>
      <c r="O46" s="66">
        <f>IFERROR(__xludf.DUMMYFUNCTION("""COMPUTED_VALUE"""),2.825042E7)</f>
        <v>28250420</v>
      </c>
      <c r="P46" s="67">
        <f>IFERROR(__xludf.DUMMYFUNCTION("""COMPUTED_VALUE"""),0.0242)</f>
        <v>0.0242</v>
      </c>
      <c r="Q46" s="20" t="str">
        <f>IFERROR(__xludf.DUMMYFUNCTION("""COMPUTED_VALUE"""),"Kabsa, Haneeth, Saltah, Mandi (food)")</f>
        <v>Kabsa, Haneeth, Saltah, Mandi (food)</v>
      </c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65">
        <f>IFERROR(__xludf.DUMMYFUNCTION("""COMPUTED_VALUE"""),43.0)</f>
        <v>43</v>
      </c>
      <c r="B47" s="65" t="str">
        <f>IFERROR(__xludf.DUMMYFUNCTION("""COMPUTED_VALUE"""),"Venezuela")</f>
        <v>Venezuela</v>
      </c>
      <c r="C47" s="20" t="str">
        <f>IFERROR(__xludf.DUMMYFUNCTION("""COMPUTED_VALUE"""),"Americas")</f>
        <v>Americas</v>
      </c>
      <c r="D47" s="20" t="str">
        <f>IFERROR(__xludf.DUMMYFUNCTION("""COMPUTED_VALUE"""),"South America")</f>
        <v>South America</v>
      </c>
      <c r="E47" s="66">
        <f>IFERROR(__xludf.DUMMYFUNCTION("""COMPUTED_VALUE"""),3.1568179E7)</f>
        <v>31568179</v>
      </c>
      <c r="F47" s="66">
        <f>IFERROR(__xludf.DUMMYFUNCTION("""COMPUTED_VALUE"""),3.1977065E7)</f>
        <v>31977065</v>
      </c>
      <c r="G47" s="67">
        <f>IFERROR(__xludf.DUMMYFUNCTION("""COMPUTED_VALUE"""),0.013)</f>
        <v>0.013</v>
      </c>
      <c r="H47" s="60" t="str">
        <f>IFERROR(__xludf.DUMMYFUNCTION("""COMPUTED_VALUE"""),"Pabellón criollo")</f>
        <v>Pabellón criollo</v>
      </c>
      <c r="I47" s="20"/>
      <c r="J47" s="20">
        <f>IFERROR(__xludf.DUMMYFUNCTION("""COMPUTED_VALUE"""),35.0)</f>
        <v>35</v>
      </c>
      <c r="K47" s="20" t="str">
        <f>IFERROR(__xludf.DUMMYFUNCTION("""COMPUTED_VALUE"""),"Sudan")</f>
        <v>Sudan</v>
      </c>
      <c r="L47" s="20" t="str">
        <f>IFERROR(__xludf.DUMMYFUNCTION("""COMPUTED_VALUE"""),"Africa")</f>
        <v>Africa</v>
      </c>
      <c r="M47" s="20" t="str">
        <f>IFERROR(__xludf.DUMMYFUNCTION("""COMPUTED_VALUE"""),"Northern Africa")</f>
        <v>Northern Africa</v>
      </c>
      <c r="N47" s="66">
        <f>IFERROR(__xludf.DUMMYFUNCTION("""COMPUTED_VALUE"""),3.9578828E7)</f>
        <v>39578828</v>
      </c>
      <c r="O47" s="66">
        <f>IFERROR(__xludf.DUMMYFUNCTION("""COMPUTED_VALUE"""),4.053333E7)</f>
        <v>40533330</v>
      </c>
      <c r="P47" s="67">
        <f>IFERROR(__xludf.DUMMYFUNCTION("""COMPUTED_VALUE"""),0.0241)</f>
        <v>0.0241</v>
      </c>
      <c r="Q47" s="20" t="str">
        <f>IFERROR(__xludf.DUMMYFUNCTION("""COMPUTED_VALUE"""),"Ful medames")</f>
        <v>Ful medames</v>
      </c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65">
        <f>IFERROR(__xludf.DUMMYFUNCTION("""COMPUTED_VALUE"""),44.0)</f>
        <v>44</v>
      </c>
      <c r="B48" s="65" t="str">
        <f>IFERROR(__xludf.DUMMYFUNCTION("""COMPUTED_VALUE"""),"Uzbekistan")</f>
        <v>Uzbekistan</v>
      </c>
      <c r="C48" s="20" t="str">
        <f>IFERROR(__xludf.DUMMYFUNCTION("""COMPUTED_VALUE"""),"Asia")</f>
        <v>Asia</v>
      </c>
      <c r="D48" s="20" t="str">
        <f>IFERROR(__xludf.DUMMYFUNCTION("""COMPUTED_VALUE"""),"Central Asia")</f>
        <v>Central Asia</v>
      </c>
      <c r="E48" s="66">
        <f>IFERROR(__xludf.DUMMYFUNCTION("""COMPUTED_VALUE"""),3.1446795E7)</f>
        <v>31446795</v>
      </c>
      <c r="F48" s="66">
        <f>IFERROR(__xludf.DUMMYFUNCTION("""COMPUTED_VALUE"""),3.1910641E7)</f>
        <v>31910641</v>
      </c>
      <c r="G48" s="67">
        <f>IFERROR(__xludf.DUMMYFUNCTION("""COMPUTED_VALUE"""),0.0148)</f>
        <v>0.0148</v>
      </c>
      <c r="H48" s="60" t="str">
        <f>IFERROR(__xludf.DUMMYFUNCTION("""COMPUTED_VALUE"""),"O'sh (pilaf)")</f>
        <v>O'sh (pilaf)</v>
      </c>
      <c r="I48" s="20"/>
      <c r="J48" s="20">
        <f>IFERROR(__xludf.DUMMYFUNCTION("""COMPUTED_VALUE"""),70.0)</f>
        <v>70</v>
      </c>
      <c r="K48" s="20" t="str">
        <f>IFERROR(__xludf.DUMMYFUNCTION("""COMPUTED_VALUE"""),"Zimbabwe")</f>
        <v>Zimbabwe</v>
      </c>
      <c r="L48" s="20" t="str">
        <f>IFERROR(__xludf.DUMMYFUNCTION("""COMPUTED_VALUE"""),"Africa")</f>
        <v>Africa</v>
      </c>
      <c r="M48" s="20" t="str">
        <f>IFERROR(__xludf.DUMMYFUNCTION("""COMPUTED_VALUE"""),"Eastern Africa")</f>
        <v>Eastern Africa</v>
      </c>
      <c r="N48" s="66">
        <f>IFERROR(__xludf.DUMMYFUNCTION("""COMPUTED_VALUE"""),1.6150362E7)</f>
        <v>16150362</v>
      </c>
      <c r="O48" s="66">
        <f>IFERROR(__xludf.DUMMYFUNCTION("""COMPUTED_VALUE"""),1.6529904E7)</f>
        <v>16529904</v>
      </c>
      <c r="P48" s="67">
        <f>IFERROR(__xludf.DUMMYFUNCTION("""COMPUTED_VALUE"""),0.0235)</f>
        <v>0.0235</v>
      </c>
      <c r="Q48" s="20" t="str">
        <f>IFERROR(__xludf.DUMMYFUNCTION("""COMPUTED_VALUE"""),"Sadza")</f>
        <v>Sadza</v>
      </c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65">
        <f>IFERROR(__xludf.DUMMYFUNCTION("""COMPUTED_VALUE"""),45.0)</f>
        <v>45</v>
      </c>
      <c r="B49" s="65" t="str">
        <f>IFERROR(__xludf.DUMMYFUNCTION("""COMPUTED_VALUE"""),"Malaysia")</f>
        <v>Malaysia</v>
      </c>
      <c r="C49" s="20" t="str">
        <f>IFERROR(__xludf.DUMMYFUNCTION("""COMPUTED_VALUE"""),"Asia")</f>
        <v>Asia</v>
      </c>
      <c r="D49" s="20" t="str">
        <f>IFERROR(__xludf.DUMMYFUNCTION("""COMPUTED_VALUE"""),"South-eastern Asia")</f>
        <v>South-eastern Asia</v>
      </c>
      <c r="E49" s="66">
        <f>IFERROR(__xludf.DUMMYFUNCTION("""COMPUTED_VALUE"""),3.1187265E7)</f>
        <v>31187265</v>
      </c>
      <c r="F49" s="66">
        <f>IFERROR(__xludf.DUMMYFUNCTION("""COMPUTED_VALUE"""),3.1624264E7)</f>
        <v>31624264</v>
      </c>
      <c r="G49" s="67">
        <f>IFERROR(__xludf.DUMMYFUNCTION("""COMPUTED_VALUE"""),0.014)</f>
        <v>0.014</v>
      </c>
      <c r="H49" s="60" t="str">
        <f>IFERROR(__xludf.DUMMYFUNCTION("""COMPUTED_VALUE"""),"Nasi lemak, Satay, Laksa, Roti canai")</f>
        <v>Nasi lemak, Satay, Laksa, Roti canai</v>
      </c>
      <c r="I49" s="20"/>
      <c r="J49" s="20">
        <f>IFERROR(__xludf.DUMMYFUNCTION("""COMPUTED_VALUE"""),120.0)</f>
        <v>120</v>
      </c>
      <c r="K49" s="20" t="str">
        <f>IFERROR(__xludf.DUMMYFUNCTION("""COMPUTED_VALUE"""),"Eritrea")</f>
        <v>Eritrea</v>
      </c>
      <c r="L49" s="20" t="str">
        <f>IFERROR(__xludf.DUMMYFUNCTION("""COMPUTED_VALUE"""),"Africa")</f>
        <v>Africa</v>
      </c>
      <c r="M49" s="20" t="str">
        <f>IFERROR(__xludf.DUMMYFUNCTION("""COMPUTED_VALUE"""),"Eastern Africa")</f>
        <v>Eastern Africa</v>
      </c>
      <c r="N49" s="66">
        <f>IFERROR(__xludf.DUMMYFUNCTION("""COMPUTED_VALUE"""),4954645.0)</f>
        <v>4954645</v>
      </c>
      <c r="O49" s="66">
        <f>IFERROR(__xludf.DUMMYFUNCTION("""COMPUTED_VALUE"""),5068831.0)</f>
        <v>5068831</v>
      </c>
      <c r="P49" s="67">
        <f>IFERROR(__xludf.DUMMYFUNCTION("""COMPUTED_VALUE"""),0.023)</f>
        <v>0.023</v>
      </c>
      <c r="Q49" s="20" t="str">
        <f>IFERROR(__xludf.DUMMYFUNCTION("""COMPUTED_VALUE"""),"Zigini with injera, Gored gored")</f>
        <v>Zigini with injera, Gored gored</v>
      </c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65">
        <f>IFERROR(__xludf.DUMMYFUNCTION("""COMPUTED_VALUE"""),46.0)</f>
        <v>46</v>
      </c>
      <c r="B50" s="65" t="str">
        <f>IFERROR(__xludf.DUMMYFUNCTION("""COMPUTED_VALUE"""),"Angola")</f>
        <v>Angola</v>
      </c>
      <c r="C50" s="20" t="str">
        <f>IFERROR(__xludf.DUMMYFUNCTION("""COMPUTED_VALUE"""),"Africa")</f>
        <v>Africa</v>
      </c>
      <c r="D50" s="20" t="str">
        <f>IFERROR(__xludf.DUMMYFUNCTION("""COMPUTED_VALUE"""),"Middle Africa")</f>
        <v>Middle Africa</v>
      </c>
      <c r="E50" s="66">
        <f>IFERROR(__xludf.DUMMYFUNCTION("""COMPUTED_VALUE"""),2.8813463E7)</f>
        <v>28813463</v>
      </c>
      <c r="F50" s="66">
        <f>IFERROR(__xludf.DUMMYFUNCTION("""COMPUTED_VALUE"""),2.9784193E7)</f>
        <v>29784193</v>
      </c>
      <c r="G50" s="67">
        <f>IFERROR(__xludf.DUMMYFUNCTION("""COMPUTED_VALUE"""),0.0337)</f>
        <v>0.0337</v>
      </c>
      <c r="H50" s="60" t="str">
        <f>IFERROR(__xludf.DUMMYFUNCTION("""COMPUTED_VALUE"""),"Moamba de galinha")</f>
        <v>Moamba de galinha</v>
      </c>
      <c r="I50" s="20"/>
      <c r="J50" s="20">
        <f>IFERROR(__xludf.DUMMYFUNCTION("""COMPUTED_VALUE"""),163.0)</f>
        <v>163</v>
      </c>
      <c r="K50" s="20" t="str">
        <f>IFERROR(__xludf.DUMMYFUNCTION("""COMPUTED_VALUE"""),"Comoros")</f>
        <v>Comoros</v>
      </c>
      <c r="L50" s="20" t="str">
        <f>IFERROR(__xludf.DUMMYFUNCTION("""COMPUTED_VALUE"""),"Africa")</f>
        <v>Africa</v>
      </c>
      <c r="M50" s="20" t="str">
        <f>IFERROR(__xludf.DUMMYFUNCTION("""COMPUTED_VALUE"""),"Eastern Africa")</f>
        <v>Eastern Africa</v>
      </c>
      <c r="N50" s="66">
        <f>IFERROR(__xludf.DUMMYFUNCTION("""COMPUTED_VALUE"""),795601.0)</f>
        <v>795601</v>
      </c>
      <c r="O50" s="66">
        <f>IFERROR(__xludf.DUMMYFUNCTION("""COMPUTED_VALUE"""),813912.0)</f>
        <v>813912</v>
      </c>
      <c r="P50" s="67">
        <f>IFERROR(__xludf.DUMMYFUNCTION("""COMPUTED_VALUE"""),0.023)</f>
        <v>0.023</v>
      </c>
      <c r="Q50" s="20" t="str">
        <f>IFERROR(__xludf.DUMMYFUNCTION("""COMPUTED_VALUE"""),"Langouste a la Vanille")</f>
        <v>Langouste a la Vanille</v>
      </c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65">
        <f>IFERROR(__xludf.DUMMYFUNCTION("""COMPUTED_VALUE"""),47.0)</f>
        <v>47</v>
      </c>
      <c r="B51" s="65" t="str">
        <f>IFERROR(__xludf.DUMMYFUNCTION("""COMPUTED_VALUE"""),"Mozambique")</f>
        <v>Mozambique</v>
      </c>
      <c r="C51" s="20" t="str">
        <f>IFERROR(__xludf.DUMMYFUNCTION("""COMPUTED_VALUE"""),"Africa")</f>
        <v>Africa</v>
      </c>
      <c r="D51" s="20" t="str">
        <f>IFERROR(__xludf.DUMMYFUNCTION("""COMPUTED_VALUE"""),"Eastern Africa")</f>
        <v>Eastern Africa</v>
      </c>
      <c r="E51" s="66">
        <f>IFERROR(__xludf.DUMMYFUNCTION("""COMPUTED_VALUE"""),2.8829476E7)</f>
        <v>28829476</v>
      </c>
      <c r="F51" s="66">
        <f>IFERROR(__xludf.DUMMYFUNCTION("""COMPUTED_VALUE"""),2.9668834E7)</f>
        <v>29668834</v>
      </c>
      <c r="G51" s="67">
        <f>IFERROR(__xludf.DUMMYFUNCTION("""COMPUTED_VALUE"""),0.0291)</f>
        <v>0.0291</v>
      </c>
      <c r="H51" s="60" t="str">
        <f>IFERROR(__xludf.DUMMYFUNCTION("""COMPUTED_VALUE"""),"Frango (piri piri chicken)")</f>
        <v>Frango (piri piri chicken)</v>
      </c>
      <c r="I51" s="20"/>
      <c r="J51" s="20">
        <f>IFERROR(__xludf.DUMMYFUNCTION("""COMPUTED_VALUE"""),149.0)</f>
        <v>149</v>
      </c>
      <c r="K51" s="20" t="str">
        <f>IFERROR(__xludf.DUMMYFUNCTION("""COMPUTED_VALUE"""),"Gabon")</f>
        <v>Gabon</v>
      </c>
      <c r="L51" s="20" t="str">
        <f>IFERROR(__xludf.DUMMYFUNCTION("""COMPUTED_VALUE"""),"Africa")</f>
        <v>Africa</v>
      </c>
      <c r="M51" s="20" t="str">
        <f>IFERROR(__xludf.DUMMYFUNCTION("""COMPUTED_VALUE"""),"Middle Africa")</f>
        <v>Middle Africa</v>
      </c>
      <c r="N51" s="66">
        <f>IFERROR(__xludf.DUMMYFUNCTION("""COMPUTED_VALUE"""),1979786.0)</f>
        <v>1979786</v>
      </c>
      <c r="O51" s="66">
        <f>IFERROR(__xludf.DUMMYFUNCTION("""COMPUTED_VALUE"""),2025137.0)</f>
        <v>2025137</v>
      </c>
      <c r="P51" s="67">
        <f>IFERROR(__xludf.DUMMYFUNCTION("""COMPUTED_VALUE"""),0.0229)</f>
        <v>0.0229</v>
      </c>
      <c r="Q51" s="20" t="str">
        <f>IFERROR(__xludf.DUMMYFUNCTION("""COMPUTED_VALUE"""),"Poulet Nyembwe")</f>
        <v>Poulet Nyembwe</v>
      </c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65">
        <f>IFERROR(__xludf.DUMMYFUNCTION("""COMPUTED_VALUE"""),48.0)</f>
        <v>48</v>
      </c>
      <c r="B52" s="65" t="str">
        <f>IFERROR(__xludf.DUMMYFUNCTION("""COMPUTED_VALUE"""),"Nepal")</f>
        <v>Nepal</v>
      </c>
      <c r="C52" s="20" t="str">
        <f>IFERROR(__xludf.DUMMYFUNCTION("""COMPUTED_VALUE"""),"Asia")</f>
        <v>Asia</v>
      </c>
      <c r="D52" s="20" t="str">
        <f>IFERROR(__xludf.DUMMYFUNCTION("""COMPUTED_VALUE"""),"Southern Asia")</f>
        <v>Southern Asia</v>
      </c>
      <c r="E52" s="66">
        <f>IFERROR(__xludf.DUMMYFUNCTION("""COMPUTED_VALUE"""),2.8982771E7)</f>
        <v>28982771</v>
      </c>
      <c r="F52" s="66">
        <f>IFERROR(__xludf.DUMMYFUNCTION("""COMPUTED_VALUE"""),2.9304998E7)</f>
        <v>29304998</v>
      </c>
      <c r="G52" s="67">
        <f>IFERROR(__xludf.DUMMYFUNCTION("""COMPUTED_VALUE"""),0.0111)</f>
        <v>0.0111</v>
      </c>
      <c r="H52" s="60" t="str">
        <f>IFERROR(__xludf.DUMMYFUNCTION("""COMPUTED_VALUE"""),"Dal bhat")</f>
        <v>Dal bhat</v>
      </c>
      <c r="I52" s="20"/>
      <c r="J52" s="20">
        <f>IFERROR(__xludf.DUMMYFUNCTION("""COMPUTED_VALUE"""),49.0)</f>
        <v>49</v>
      </c>
      <c r="K52" s="20" t="str">
        <f>IFERROR(__xludf.DUMMYFUNCTION("""COMPUTED_VALUE"""),"Ghana")</f>
        <v>Ghana</v>
      </c>
      <c r="L52" s="20" t="str">
        <f>IFERROR(__xludf.DUMMYFUNCTION("""COMPUTED_VALUE"""),"Africa")</f>
        <v>Africa</v>
      </c>
      <c r="M52" s="20" t="str">
        <f>IFERROR(__xludf.DUMMYFUNCTION("""COMPUTED_VALUE"""),"Western Africa")</f>
        <v>Western Africa</v>
      </c>
      <c r="N52" s="66">
        <f>IFERROR(__xludf.DUMMYFUNCTION("""COMPUTED_VALUE"""),2.8206728E7)</f>
        <v>28206728</v>
      </c>
      <c r="O52" s="66">
        <f>IFERROR(__xludf.DUMMYFUNCTION("""COMPUTED_VALUE"""),2.8833629E7)</f>
        <v>28833629</v>
      </c>
      <c r="P52" s="67">
        <f>IFERROR(__xludf.DUMMYFUNCTION("""COMPUTED_VALUE"""),0.0222)</f>
        <v>0.0222</v>
      </c>
      <c r="Q52" s="20" t="str">
        <f>IFERROR(__xludf.DUMMYFUNCTION("""COMPUTED_VALUE"""),"Fufu, Banku, Jollof Rice")</f>
        <v>Fufu, Banku, Jollof Rice</v>
      </c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65">
        <f>IFERROR(__xludf.DUMMYFUNCTION("""COMPUTED_VALUE"""),49.0)</f>
        <v>49</v>
      </c>
      <c r="B53" s="65" t="str">
        <f>IFERROR(__xludf.DUMMYFUNCTION("""COMPUTED_VALUE"""),"Ghana")</f>
        <v>Ghana</v>
      </c>
      <c r="C53" s="20" t="str">
        <f>IFERROR(__xludf.DUMMYFUNCTION("""COMPUTED_VALUE"""),"Africa")</f>
        <v>Africa</v>
      </c>
      <c r="D53" s="20" t="str">
        <f>IFERROR(__xludf.DUMMYFUNCTION("""COMPUTED_VALUE"""),"Western Africa")</f>
        <v>Western Africa</v>
      </c>
      <c r="E53" s="66">
        <f>IFERROR(__xludf.DUMMYFUNCTION("""COMPUTED_VALUE"""),2.8206728E7)</f>
        <v>28206728</v>
      </c>
      <c r="F53" s="66">
        <f>IFERROR(__xludf.DUMMYFUNCTION("""COMPUTED_VALUE"""),2.8833629E7)</f>
        <v>28833629</v>
      </c>
      <c r="G53" s="67">
        <f>IFERROR(__xludf.DUMMYFUNCTION("""COMPUTED_VALUE"""),0.0222)</f>
        <v>0.0222</v>
      </c>
      <c r="H53" s="60" t="str">
        <f>IFERROR(__xludf.DUMMYFUNCTION("""COMPUTED_VALUE"""),"Fufu, Banku, Jollof Rice")</f>
        <v>Fufu, Banku, Jollof Rice</v>
      </c>
      <c r="I53" s="20"/>
      <c r="J53" s="20">
        <f>IFERROR(__xludf.DUMMYFUNCTION("""COMPUTED_VALUE"""),187.0)</f>
        <v>187</v>
      </c>
      <c r="K53" s="20" t="str">
        <f>IFERROR(__xludf.DUMMYFUNCTION("""COMPUTED_VALUE"""),"Sao Tome and Principe")</f>
        <v>Sao Tome and Principe</v>
      </c>
      <c r="L53" s="20" t="str">
        <f>IFERROR(__xludf.DUMMYFUNCTION("""COMPUTED_VALUE"""),"Africa")</f>
        <v>Africa</v>
      </c>
      <c r="M53" s="20" t="str">
        <f>IFERROR(__xludf.DUMMYFUNCTION("""COMPUTED_VALUE"""),"Middle Africa")</f>
        <v>Middle Africa</v>
      </c>
      <c r="N53" s="66">
        <f>IFERROR(__xludf.DUMMYFUNCTION("""COMPUTED_VALUE"""),199910.0)</f>
        <v>199910</v>
      </c>
      <c r="O53" s="66">
        <f>IFERROR(__xludf.DUMMYFUNCTION("""COMPUTED_VALUE"""),204327.0)</f>
        <v>204327</v>
      </c>
      <c r="P53" s="67">
        <f>IFERROR(__xludf.DUMMYFUNCTION("""COMPUTED_VALUE"""),0.0221)</f>
        <v>0.0221</v>
      </c>
      <c r="Q53" s="20" t="str">
        <f>IFERROR(__xludf.DUMMYFUNCTION("""COMPUTED_VALUE"""),"Palm oil stew")</f>
        <v>Palm oil stew</v>
      </c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65">
        <f>IFERROR(__xludf.DUMMYFUNCTION("""COMPUTED_VALUE"""),50.0)</f>
        <v>50</v>
      </c>
      <c r="B54" s="65" t="str">
        <f>IFERROR(__xludf.DUMMYFUNCTION("""COMPUTED_VALUE"""),"Yemen")</f>
        <v>Yemen</v>
      </c>
      <c r="C54" s="20" t="str">
        <f>IFERROR(__xludf.DUMMYFUNCTION("""COMPUTED_VALUE"""),"Asia")</f>
        <v>Asia</v>
      </c>
      <c r="D54" s="20" t="str">
        <f>IFERROR(__xludf.DUMMYFUNCTION("""COMPUTED_VALUE"""),"Western Asia")</f>
        <v>Western Asia</v>
      </c>
      <c r="E54" s="66">
        <f>IFERROR(__xludf.DUMMYFUNCTION("""COMPUTED_VALUE"""),2.7584213E7)</f>
        <v>27584213</v>
      </c>
      <c r="F54" s="66">
        <f>IFERROR(__xludf.DUMMYFUNCTION("""COMPUTED_VALUE"""),2.825042E7)</f>
        <v>28250420</v>
      </c>
      <c r="G54" s="67">
        <f>IFERROR(__xludf.DUMMYFUNCTION("""COMPUTED_VALUE"""),0.0242)</f>
        <v>0.0242</v>
      </c>
      <c r="H54" s="60" t="str">
        <f>IFERROR(__xludf.DUMMYFUNCTION("""COMPUTED_VALUE"""),"Kabsa, Haneeth, Saltah, Mandi (food)")</f>
        <v>Kabsa, Haneeth, Saltah, Mandi (food)</v>
      </c>
      <c r="I54" s="20"/>
      <c r="J54" s="20">
        <f>IFERROR(__xludf.DUMMYFUNCTION("""COMPUTED_VALUE"""),103.0)</f>
        <v>103</v>
      </c>
      <c r="K54" s="20" t="str">
        <f>IFERROR(__xludf.DUMMYFUNCTION("""COMPUTED_VALUE"""),"Sierra Leone")</f>
        <v>Sierra Leone</v>
      </c>
      <c r="L54" s="20" t="str">
        <f>IFERROR(__xludf.DUMMYFUNCTION("""COMPUTED_VALUE"""),"Africa")</f>
        <v>Africa</v>
      </c>
      <c r="M54" s="20" t="str">
        <f>IFERROR(__xludf.DUMMYFUNCTION("""COMPUTED_VALUE"""),"Western Africa")</f>
        <v>Western Africa</v>
      </c>
      <c r="N54" s="66">
        <f>IFERROR(__xludf.DUMMYFUNCTION("""COMPUTED_VALUE"""),7396190.0)</f>
        <v>7396190</v>
      </c>
      <c r="O54" s="66">
        <f>IFERROR(__xludf.DUMMYFUNCTION("""COMPUTED_VALUE"""),7557212.0)</f>
        <v>7557212</v>
      </c>
      <c r="P54" s="67">
        <f>IFERROR(__xludf.DUMMYFUNCTION("""COMPUTED_VALUE"""),0.0218)</f>
        <v>0.0218</v>
      </c>
      <c r="Q54" s="20" t="str">
        <f>IFERROR(__xludf.DUMMYFUNCTION("""COMPUTED_VALUE"""),"Cassava leaves")</f>
        <v>Cassava leaves</v>
      </c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65">
        <f>IFERROR(__xludf.DUMMYFUNCTION("""COMPUTED_VALUE"""),51.0)</f>
        <v>51</v>
      </c>
      <c r="B55" s="65" t="str">
        <f>IFERROR(__xludf.DUMMYFUNCTION("""COMPUTED_VALUE"""),"Madagascar")</f>
        <v>Madagascar</v>
      </c>
      <c r="C55" s="20" t="str">
        <f>IFERROR(__xludf.DUMMYFUNCTION("""COMPUTED_VALUE"""),"Africa")</f>
        <v>Africa</v>
      </c>
      <c r="D55" s="20" t="str">
        <f>IFERROR(__xludf.DUMMYFUNCTION("""COMPUTED_VALUE"""),"Eastern Africa")</f>
        <v>Eastern Africa</v>
      </c>
      <c r="E55" s="66">
        <f>IFERROR(__xludf.DUMMYFUNCTION("""COMPUTED_VALUE"""),2.4894551E7)</f>
        <v>24894551</v>
      </c>
      <c r="F55" s="66">
        <f>IFERROR(__xludf.DUMMYFUNCTION("""COMPUTED_VALUE"""),2.5570895E7)</f>
        <v>25570895</v>
      </c>
      <c r="G55" s="67">
        <f>IFERROR(__xludf.DUMMYFUNCTION("""COMPUTED_VALUE"""),0.0272)</f>
        <v>0.0272</v>
      </c>
      <c r="H55" s="60" t="str">
        <f>IFERROR(__xludf.DUMMYFUNCTION("""COMPUTED_VALUE"""),"Romazava")</f>
        <v>Romazava</v>
      </c>
      <c r="I55" s="20"/>
      <c r="J55" s="20">
        <f>IFERROR(__xludf.DUMMYFUNCTION("""COMPUTED_VALUE"""),143.0)</f>
        <v>143</v>
      </c>
      <c r="K55" s="20" t="str">
        <f>IFERROR(__xludf.DUMMYFUNCTION("""COMPUTED_VALUE"""),"Namibia")</f>
        <v>Namibia</v>
      </c>
      <c r="L55" s="20" t="str">
        <f>IFERROR(__xludf.DUMMYFUNCTION("""COMPUTED_VALUE"""),"Africa")</f>
        <v>Africa</v>
      </c>
      <c r="M55" s="20" t="str">
        <f>IFERROR(__xludf.DUMMYFUNCTION("""COMPUTED_VALUE"""),"Southern Africa")</f>
        <v>Southern Africa</v>
      </c>
      <c r="N55" s="66">
        <f>IFERROR(__xludf.DUMMYFUNCTION("""COMPUTED_VALUE"""),2479713.0)</f>
        <v>2479713</v>
      </c>
      <c r="O55" s="66">
        <f>IFERROR(__xludf.DUMMYFUNCTION("""COMPUTED_VALUE"""),2533794.0)</f>
        <v>2533794</v>
      </c>
      <c r="P55" s="67">
        <f>IFERROR(__xludf.DUMMYFUNCTION("""COMPUTED_VALUE"""),0.0218)</f>
        <v>0.0218</v>
      </c>
      <c r="Q55" s="20" t="str">
        <f>IFERROR(__xludf.DUMMYFUNCTION("""COMPUTED_VALUE"""),"Süßer Hirsebrei")</f>
        <v>Süßer Hirsebrei</v>
      </c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65">
        <f>IFERROR(__xludf.DUMMYFUNCTION("""COMPUTED_VALUE"""),52.0)</f>
        <v>52</v>
      </c>
      <c r="B56" s="65" t="str">
        <f>IFERROR(__xludf.DUMMYFUNCTION("""COMPUTED_VALUE"""),"North Korea")</f>
        <v>North Korea</v>
      </c>
      <c r="C56" s="20" t="str">
        <f>IFERROR(__xludf.DUMMYFUNCTION("""COMPUTED_VALUE"""),"Asia")</f>
        <v>Asia</v>
      </c>
      <c r="D56" s="20" t="str">
        <f>IFERROR(__xludf.DUMMYFUNCTION("""COMPUTED_VALUE"""),"Eastern Asia")</f>
        <v>Eastern Asia</v>
      </c>
      <c r="E56" s="66">
        <f>IFERROR(__xludf.DUMMYFUNCTION("""COMPUTED_VALUE"""),2.536862E7)</f>
        <v>25368620</v>
      </c>
      <c r="F56" s="66">
        <f>IFERROR(__xludf.DUMMYFUNCTION("""COMPUTED_VALUE"""),2.5490965E7)</f>
        <v>25490965</v>
      </c>
      <c r="G56" s="67">
        <f>IFERROR(__xludf.DUMMYFUNCTION("""COMPUTED_VALUE"""),0.0048)</f>
        <v>0.0048</v>
      </c>
      <c r="H56" s="60" t="str">
        <f>IFERROR(__xludf.DUMMYFUNCTION("""COMPUTED_VALUE"""),"Kimchi, Naengmyeon, Bulgogi, Bosintang")</f>
        <v>Kimchi, Naengmyeon, Bulgogi, Bosintang</v>
      </c>
      <c r="I56" s="20"/>
      <c r="J56" s="20">
        <f>IFERROR(__xludf.DUMMYFUNCTION("""COMPUTED_VALUE"""),156.0)</f>
        <v>156</v>
      </c>
      <c r="K56" s="20" t="str">
        <f>IFERROR(__xludf.DUMMYFUNCTION("""COMPUTED_VALUE"""),"East Timor")</f>
        <v>East Timor</v>
      </c>
      <c r="L56" s="20" t="str">
        <f>IFERROR(__xludf.DUMMYFUNCTION("""COMPUTED_VALUE"""),"Asia")</f>
        <v>Asia</v>
      </c>
      <c r="M56" s="20" t="str">
        <f>IFERROR(__xludf.DUMMYFUNCTION("""COMPUTED_VALUE"""),"South-eastern Asia")</f>
        <v>South-eastern Asia</v>
      </c>
      <c r="N56" s="66">
        <f>IFERROR(__xludf.DUMMYFUNCTION("""COMPUTED_VALUE"""),1268671.0)</f>
        <v>1268671</v>
      </c>
      <c r="O56" s="66">
        <f>IFERROR(__xludf.DUMMYFUNCTION("""COMPUTED_VALUE"""),1296311.0)</f>
        <v>1296311</v>
      </c>
      <c r="P56" s="67">
        <f>IFERROR(__xludf.DUMMYFUNCTION("""COMPUTED_VALUE"""),0.0218)</f>
        <v>0.0218</v>
      </c>
      <c r="Q56" s="20" t="str">
        <f>IFERROR(__xludf.DUMMYFUNCTION("""COMPUTED_VALUE"""),"Ikan Pepes")</f>
        <v>Ikan Pepes</v>
      </c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65">
        <f>IFERROR(__xludf.DUMMYFUNCTION("""COMPUTED_VALUE"""),53.0)</f>
        <v>53</v>
      </c>
      <c r="B57" s="65" t="str">
        <f>IFERROR(__xludf.DUMMYFUNCTION("""COMPUTED_VALUE"""),"Australia[g]")</f>
        <v>Australia[g]</v>
      </c>
      <c r="C57" s="20" t="str">
        <f>IFERROR(__xludf.DUMMYFUNCTION("""COMPUTED_VALUE"""),"Oceania")</f>
        <v>Oceania</v>
      </c>
      <c r="D57" s="20" t="str">
        <f>IFERROR(__xludf.DUMMYFUNCTION("""COMPUTED_VALUE"""),"Australia and New Zealand")</f>
        <v>Australia and New Zealand</v>
      </c>
      <c r="E57" s="66">
        <f>IFERROR(__xludf.DUMMYFUNCTION("""COMPUTED_VALUE"""),2.4125848E7)</f>
        <v>24125848</v>
      </c>
      <c r="F57" s="66">
        <f>IFERROR(__xludf.DUMMYFUNCTION("""COMPUTED_VALUE"""),2.4450561E7)</f>
        <v>24450561</v>
      </c>
      <c r="G57" s="67">
        <f>IFERROR(__xludf.DUMMYFUNCTION("""COMPUTED_VALUE"""),0.0135)</f>
        <v>0.0135</v>
      </c>
      <c r="H57" s="60"/>
      <c r="I57" s="20"/>
      <c r="J57" s="20">
        <f>IFERROR(__xludf.DUMMYFUNCTION("""COMPUTED_VALUE"""),185.0)</f>
        <v>185</v>
      </c>
      <c r="K57" s="20" t="str">
        <f>IFERROR(__xludf.DUMMYFUNCTION("""COMPUTED_VALUE"""),"Vanuatu")</f>
        <v>Vanuatu</v>
      </c>
      <c r="L57" s="20" t="str">
        <f>IFERROR(__xludf.DUMMYFUNCTION("""COMPUTED_VALUE"""),"Oceania")</f>
        <v>Oceania</v>
      </c>
      <c r="M57" s="20" t="str">
        <f>IFERROR(__xludf.DUMMYFUNCTION("""COMPUTED_VALUE"""),"Melanesia")</f>
        <v>Melanesia</v>
      </c>
      <c r="N57" s="66">
        <f>IFERROR(__xludf.DUMMYFUNCTION("""COMPUTED_VALUE"""),270402.0)</f>
        <v>270402</v>
      </c>
      <c r="O57" s="66">
        <f>IFERROR(__xludf.DUMMYFUNCTION("""COMPUTED_VALUE"""),276244.0)</f>
        <v>276244</v>
      </c>
      <c r="P57" s="67">
        <f>IFERROR(__xludf.DUMMYFUNCTION("""COMPUTED_VALUE"""),0.0216)</f>
        <v>0.0216</v>
      </c>
      <c r="Q57" s="20" t="str">
        <f>IFERROR(__xludf.DUMMYFUNCTION("""COMPUTED_VALUE"""),"Lap lap")</f>
        <v>Lap lap</v>
      </c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65">
        <f>IFERROR(__xludf.DUMMYFUNCTION("""COMPUTED_VALUE"""),54.0)</f>
        <v>54</v>
      </c>
      <c r="B58" s="65" t="str">
        <f>IFERROR(__xludf.DUMMYFUNCTION("""COMPUTED_VALUE"""),"Ivory Coast")</f>
        <v>Ivory Coast</v>
      </c>
      <c r="C58" s="20" t="str">
        <f>IFERROR(__xludf.DUMMYFUNCTION("""COMPUTED_VALUE"""),"Africa")</f>
        <v>Africa</v>
      </c>
      <c r="D58" s="20" t="str">
        <f>IFERROR(__xludf.DUMMYFUNCTION("""COMPUTED_VALUE"""),"Western Africa")</f>
        <v>Western Africa</v>
      </c>
      <c r="E58" s="66">
        <f>IFERROR(__xludf.DUMMYFUNCTION("""COMPUTED_VALUE"""),2.3695919E7)</f>
        <v>23695919</v>
      </c>
      <c r="F58" s="66">
        <f>IFERROR(__xludf.DUMMYFUNCTION("""COMPUTED_VALUE"""),2.429475E7)</f>
        <v>24294750</v>
      </c>
      <c r="G58" s="67">
        <f>IFERROR(__xludf.DUMMYFUNCTION("""COMPUTED_VALUE"""),0.0253)</f>
        <v>0.0253</v>
      </c>
      <c r="H58" s="60" t="str">
        <f>IFERROR(__xludf.DUMMYFUNCTION("""COMPUTED_VALUE"""),"Fufu, Kedjenou")</f>
        <v>Fufu, Kedjenou</v>
      </c>
      <c r="I58" s="20"/>
      <c r="J58" s="20">
        <f>IFERROR(__xludf.DUMMYFUNCTION("""COMPUTED_VALUE"""),96.0)</f>
        <v>96</v>
      </c>
      <c r="K58" s="20" t="str">
        <f>IFERROR(__xludf.DUMMYFUNCTION("""COMPUTED_VALUE"""),"Tajikistan")</f>
        <v>Tajikistan</v>
      </c>
      <c r="L58" s="20" t="str">
        <f>IFERROR(__xludf.DUMMYFUNCTION("""COMPUTED_VALUE"""),"Asia")</f>
        <v>Asia</v>
      </c>
      <c r="M58" s="20" t="str">
        <f>IFERROR(__xludf.DUMMYFUNCTION("""COMPUTED_VALUE"""),"Central Asia")</f>
        <v>Central Asia</v>
      </c>
      <c r="N58" s="66">
        <f>IFERROR(__xludf.DUMMYFUNCTION("""COMPUTED_VALUE"""),8734951.0)</f>
        <v>8734951</v>
      </c>
      <c r="O58" s="66">
        <f>IFERROR(__xludf.DUMMYFUNCTION("""COMPUTED_VALUE"""),8921343.0)</f>
        <v>8921343</v>
      </c>
      <c r="P58" s="67">
        <f>IFERROR(__xludf.DUMMYFUNCTION("""COMPUTED_VALUE"""),0.0213)</f>
        <v>0.0213</v>
      </c>
      <c r="Q58" s="20" t="str">
        <f>IFERROR(__xludf.DUMMYFUNCTION("""COMPUTED_VALUE"""),"O'sh (pilaf)")</f>
        <v>O'sh (pilaf)</v>
      </c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65">
        <f>IFERROR(__xludf.DUMMYFUNCTION("""COMPUTED_VALUE"""),55.0)</f>
        <v>55</v>
      </c>
      <c r="B59" s="65" t="str">
        <f>IFERROR(__xludf.DUMMYFUNCTION("""COMPUTED_VALUE"""),"Cameroon")</f>
        <v>Cameroon</v>
      </c>
      <c r="C59" s="20" t="str">
        <f>IFERROR(__xludf.DUMMYFUNCTION("""COMPUTED_VALUE"""),"Africa")</f>
        <v>Africa</v>
      </c>
      <c r="D59" s="20" t="str">
        <f>IFERROR(__xludf.DUMMYFUNCTION("""COMPUTED_VALUE"""),"Middle Africa")</f>
        <v>Middle Africa</v>
      </c>
      <c r="E59" s="66">
        <f>IFERROR(__xludf.DUMMYFUNCTION("""COMPUTED_VALUE"""),2.3439189E7)</f>
        <v>23439189</v>
      </c>
      <c r="F59" s="66">
        <f>IFERROR(__xludf.DUMMYFUNCTION("""COMPUTED_VALUE"""),2.4053727E7)</f>
        <v>24053727</v>
      </c>
      <c r="G59" s="67">
        <f>IFERROR(__xludf.DUMMYFUNCTION("""COMPUTED_VALUE"""),0.0262)</f>
        <v>0.0262</v>
      </c>
      <c r="H59" s="60" t="str">
        <f>IFERROR(__xludf.DUMMYFUNCTION("""COMPUTED_VALUE"""),"Ndolé")</f>
        <v>Ndolé</v>
      </c>
      <c r="I59" s="20"/>
      <c r="J59" s="20">
        <f>IFERROR(__xludf.DUMMYFUNCTION("""COMPUTED_VALUE"""),179.0)</f>
        <v>179</v>
      </c>
      <c r="K59" s="20" t="str">
        <f>IFERROR(__xludf.DUMMYFUNCTION("""COMPUTED_VALUE"""),"Belize")</f>
        <v>Belize</v>
      </c>
      <c r="L59" s="20" t="str">
        <f>IFERROR(__xludf.DUMMYFUNCTION("""COMPUTED_VALUE"""),"Americas")</f>
        <v>Americas</v>
      </c>
      <c r="M59" s="20" t="str">
        <f>IFERROR(__xludf.DUMMYFUNCTION("""COMPUTED_VALUE"""),"Central America")</f>
        <v>Central America</v>
      </c>
      <c r="N59" s="66">
        <f>IFERROR(__xludf.DUMMYFUNCTION("""COMPUTED_VALUE"""),366954.0)</f>
        <v>366954</v>
      </c>
      <c r="O59" s="66">
        <f>IFERROR(__xludf.DUMMYFUNCTION("""COMPUTED_VALUE"""),374681.0)</f>
        <v>374681</v>
      </c>
      <c r="P59" s="67">
        <f>IFERROR(__xludf.DUMMYFUNCTION("""COMPUTED_VALUE"""),0.0211)</f>
        <v>0.0211</v>
      </c>
      <c r="Q59" s="20" t="str">
        <f>IFERROR(__xludf.DUMMYFUNCTION("""COMPUTED_VALUE"""),"Boil up, Fry jack")</f>
        <v>Boil up, Fry jack</v>
      </c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65">
        <f>IFERROR(__xludf.DUMMYFUNCTION("""COMPUTED_VALUE"""),56.0)</f>
        <v>56</v>
      </c>
      <c r="B60" s="65" t="str">
        <f>IFERROR(__xludf.DUMMYFUNCTION("""COMPUTED_VALUE"""),"Taiwan")</f>
        <v>Taiwan</v>
      </c>
      <c r="C60" s="20" t="str">
        <f>IFERROR(__xludf.DUMMYFUNCTION("""COMPUTED_VALUE"""),"Asia")</f>
        <v>Asia</v>
      </c>
      <c r="D60" s="20" t="str">
        <f>IFERROR(__xludf.DUMMYFUNCTION("""COMPUTED_VALUE"""),"Eastern Asia")</f>
        <v>Eastern Asia</v>
      </c>
      <c r="E60" s="66">
        <f>IFERROR(__xludf.DUMMYFUNCTION("""COMPUTED_VALUE"""),2.3556706E7)</f>
        <v>23556706</v>
      </c>
      <c r="F60" s="66">
        <f>IFERROR(__xludf.DUMMYFUNCTION("""COMPUTED_VALUE"""),2.3626456E7)</f>
        <v>23626456</v>
      </c>
      <c r="G60" s="67">
        <f>IFERROR(__xludf.DUMMYFUNCTION("""COMPUTED_VALUE"""),0.003)</f>
        <v>0.003</v>
      </c>
      <c r="H60" s="60" t="str">
        <f>IFERROR(__xludf.DUMMYFUNCTION("""COMPUTED_VALUE"""),"Beef noodle soup, Minced pork rice")</f>
        <v>Beef noodle soup, Minced pork rice</v>
      </c>
      <c r="I60" s="20"/>
      <c r="J60" s="20">
        <f>IFERROR(__xludf.DUMMYFUNCTION("""COMPUTED_VALUE"""),130.0)</f>
        <v>130</v>
      </c>
      <c r="K60" s="20" t="str">
        <f>IFERROR(__xludf.DUMMYFUNCTION("""COMPUTED_VALUE"""),"Kuwait")</f>
        <v>Kuwait</v>
      </c>
      <c r="L60" s="20" t="str">
        <f>IFERROR(__xludf.DUMMYFUNCTION("""COMPUTED_VALUE"""),"Asia")</f>
        <v>Asia</v>
      </c>
      <c r="M60" s="20" t="str">
        <f>IFERROR(__xludf.DUMMYFUNCTION("""COMPUTED_VALUE"""),"Western Asia")</f>
        <v>Western Asia</v>
      </c>
      <c r="N60" s="66">
        <f>IFERROR(__xludf.DUMMYFUNCTION("""COMPUTED_VALUE"""),4052584.0)</f>
        <v>4052584</v>
      </c>
      <c r="O60" s="66">
        <f>IFERROR(__xludf.DUMMYFUNCTION("""COMPUTED_VALUE"""),4136528.0)</f>
        <v>4136528</v>
      </c>
      <c r="P60" s="67">
        <f>IFERROR(__xludf.DUMMYFUNCTION("""COMPUTED_VALUE"""),0.0207)</f>
        <v>0.0207</v>
      </c>
      <c r="Q60" s="20" t="str">
        <f>IFERROR(__xludf.DUMMYFUNCTION("""COMPUTED_VALUE"""),"Machboos")</f>
        <v>Machboos</v>
      </c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65">
        <f>IFERROR(__xludf.DUMMYFUNCTION("""COMPUTED_VALUE"""),57.0)</f>
        <v>57</v>
      </c>
      <c r="B61" s="65" t="str">
        <f>IFERROR(__xludf.DUMMYFUNCTION("""COMPUTED_VALUE"""),"Niger")</f>
        <v>Niger</v>
      </c>
      <c r="C61" s="20" t="str">
        <f>IFERROR(__xludf.DUMMYFUNCTION("""COMPUTED_VALUE"""),"Africa")</f>
        <v>Africa</v>
      </c>
      <c r="D61" s="20" t="str">
        <f>IFERROR(__xludf.DUMMYFUNCTION("""COMPUTED_VALUE"""),"Western Africa")</f>
        <v>Western Africa</v>
      </c>
      <c r="E61" s="66">
        <f>IFERROR(__xludf.DUMMYFUNCTION("""COMPUTED_VALUE"""),2.0672987E7)</f>
        <v>20672987</v>
      </c>
      <c r="F61" s="66">
        <f>IFERROR(__xludf.DUMMYFUNCTION("""COMPUTED_VALUE"""),2.1477348E7)</f>
        <v>21477348</v>
      </c>
      <c r="G61" s="67">
        <f>IFERROR(__xludf.DUMMYFUNCTION("""COMPUTED_VALUE"""),0.0389)</f>
        <v>0.0389</v>
      </c>
      <c r="H61" s="60" t="str">
        <f>IFERROR(__xludf.DUMMYFUNCTION("""COMPUTED_VALUE"""),"Djerma Stew, Jollof rice")</f>
        <v>Djerma Stew, Jollof rice</v>
      </c>
      <c r="I61" s="20"/>
      <c r="J61" s="20">
        <f>IFERROR(__xludf.DUMMYFUNCTION("""COMPUTED_VALUE"""),101.0)</f>
        <v>101</v>
      </c>
      <c r="K61" s="20" t="str">
        <f>IFERROR(__xludf.DUMMYFUNCTION("""COMPUTED_VALUE"""),"Papua New Guinea")</f>
        <v>Papua New Guinea</v>
      </c>
      <c r="L61" s="20" t="str">
        <f>IFERROR(__xludf.DUMMYFUNCTION("""COMPUTED_VALUE"""),"Oceania")</f>
        <v>Oceania</v>
      </c>
      <c r="M61" s="20" t="str">
        <f>IFERROR(__xludf.DUMMYFUNCTION("""COMPUTED_VALUE"""),"Melanesia")</f>
        <v>Melanesia</v>
      </c>
      <c r="N61" s="66">
        <f>IFERROR(__xludf.DUMMYFUNCTION("""COMPUTED_VALUE"""),8084991.0)</f>
        <v>8084991</v>
      </c>
      <c r="O61" s="66">
        <f>IFERROR(__xludf.DUMMYFUNCTION("""COMPUTED_VALUE"""),8251162.0)</f>
        <v>8251162</v>
      </c>
      <c r="P61" s="67">
        <f>IFERROR(__xludf.DUMMYFUNCTION("""COMPUTED_VALUE"""),0.0206)</f>
        <v>0.0206</v>
      </c>
      <c r="Q61" s="20" t="str">
        <f>IFERROR(__xludf.DUMMYFUNCTION("""COMPUTED_VALUE"""),"Mumu")</f>
        <v>Mumu</v>
      </c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65">
        <f>IFERROR(__xludf.DUMMYFUNCTION("""COMPUTED_VALUE"""),58.0)</f>
        <v>58</v>
      </c>
      <c r="B62" s="65" t="str">
        <f>IFERROR(__xludf.DUMMYFUNCTION("""COMPUTED_VALUE"""),"Sri Lanka")</f>
        <v>Sri Lanka</v>
      </c>
      <c r="C62" s="20" t="str">
        <f>IFERROR(__xludf.DUMMYFUNCTION("""COMPUTED_VALUE"""),"Asia")</f>
        <v>Asia</v>
      </c>
      <c r="D62" s="20" t="str">
        <f>IFERROR(__xludf.DUMMYFUNCTION("""COMPUTED_VALUE"""),"Southern Asia")</f>
        <v>Southern Asia</v>
      </c>
      <c r="E62" s="66">
        <f>IFERROR(__xludf.DUMMYFUNCTION("""COMPUTED_VALUE"""),2.0798492E7)</f>
        <v>20798492</v>
      </c>
      <c r="F62" s="66">
        <f>IFERROR(__xludf.DUMMYFUNCTION("""COMPUTED_VALUE"""),2.0876917E7)</f>
        <v>20876917</v>
      </c>
      <c r="G62" s="67">
        <f>IFERROR(__xludf.DUMMYFUNCTION("""COMPUTED_VALUE"""),0.0038)</f>
        <v>0.0038</v>
      </c>
      <c r="H62" s="60" t="str">
        <f>IFERROR(__xludf.DUMMYFUNCTION("""COMPUTED_VALUE"""),"Rice and curry, Kottu, Kiribath")</f>
        <v>Rice and curry, Kottu, Kiribath</v>
      </c>
      <c r="I62" s="20"/>
      <c r="J62" s="20">
        <f>IFERROR(__xludf.DUMMYFUNCTION("""COMPUTED_VALUE"""),41.0)</f>
        <v>41</v>
      </c>
      <c r="K62" s="20" t="str">
        <f>IFERROR(__xludf.DUMMYFUNCTION("""COMPUTED_VALUE"""),"Saudi Arabia")</f>
        <v>Saudi Arabia</v>
      </c>
      <c r="L62" s="20" t="str">
        <f>IFERROR(__xludf.DUMMYFUNCTION("""COMPUTED_VALUE"""),"Asia")</f>
        <v>Asia</v>
      </c>
      <c r="M62" s="20" t="str">
        <f>IFERROR(__xludf.DUMMYFUNCTION("""COMPUTED_VALUE"""),"Western Asia")</f>
        <v>Western Asia</v>
      </c>
      <c r="N62" s="66">
        <f>IFERROR(__xludf.DUMMYFUNCTION("""COMPUTED_VALUE"""),3.2275687E7)</f>
        <v>32275687</v>
      </c>
      <c r="O62" s="66">
        <f>IFERROR(__xludf.DUMMYFUNCTION("""COMPUTED_VALUE"""),3.2938213E7)</f>
        <v>32938213</v>
      </c>
      <c r="P62" s="67">
        <f>IFERROR(__xludf.DUMMYFUNCTION("""COMPUTED_VALUE"""),0.0205)</f>
        <v>0.0205</v>
      </c>
      <c r="Q62" s="20" t="str">
        <f>IFERROR(__xludf.DUMMYFUNCTION("""COMPUTED_VALUE"""),"Kabsa, Saleeg")</f>
        <v>Kabsa, Saleeg</v>
      </c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65">
        <f>IFERROR(__xludf.DUMMYFUNCTION("""COMPUTED_VALUE"""),59.0)</f>
        <v>59</v>
      </c>
      <c r="B63" s="65" t="str">
        <f>IFERROR(__xludf.DUMMYFUNCTION("""COMPUTED_VALUE"""),"Romania")</f>
        <v>Romania</v>
      </c>
      <c r="C63" s="20" t="str">
        <f>IFERROR(__xludf.DUMMYFUNCTION("""COMPUTED_VALUE"""),"Europe")</f>
        <v>Europe</v>
      </c>
      <c r="D63" s="20" t="str">
        <f>IFERROR(__xludf.DUMMYFUNCTION("""COMPUTED_VALUE"""),"Eastern Europe")</f>
        <v>Eastern Europe</v>
      </c>
      <c r="E63" s="66">
        <f>IFERROR(__xludf.DUMMYFUNCTION("""COMPUTED_VALUE"""),1.9778083E7)</f>
        <v>19778083</v>
      </c>
      <c r="F63" s="66">
        <f>IFERROR(__xludf.DUMMYFUNCTION("""COMPUTED_VALUE"""),1.9679306E7)</f>
        <v>19679306</v>
      </c>
      <c r="G63" s="67">
        <f>IFERROR(__xludf.DUMMYFUNCTION("""COMPUTED_VALUE"""),-0.005)</f>
        <v>-0.005</v>
      </c>
      <c r="H63" s="60" t="str">
        <f>IFERROR(__xludf.DUMMYFUNCTION("""COMPUTED_VALUE"""),"Mămăligă, Sarmale, Mici")</f>
        <v>Mămăligă, Sarmale, Mici</v>
      </c>
      <c r="I63" s="20"/>
      <c r="J63" s="20">
        <f>IFERROR(__xludf.DUMMYFUNCTION("""COMPUTED_VALUE"""),68.0)</f>
        <v>68</v>
      </c>
      <c r="K63" s="20" t="str">
        <f>IFERROR(__xludf.DUMMYFUNCTION("""COMPUTED_VALUE"""),"Guatemala")</f>
        <v>Guatemala</v>
      </c>
      <c r="L63" s="20" t="str">
        <f>IFERROR(__xludf.DUMMYFUNCTION("""COMPUTED_VALUE"""),"Americas")</f>
        <v>Americas</v>
      </c>
      <c r="M63" s="20" t="str">
        <f>IFERROR(__xludf.DUMMYFUNCTION("""COMPUTED_VALUE"""),"Central America")</f>
        <v>Central America</v>
      </c>
      <c r="N63" s="66">
        <f>IFERROR(__xludf.DUMMYFUNCTION("""COMPUTED_VALUE"""),1.6582469E7)</f>
        <v>16582469</v>
      </c>
      <c r="O63" s="66">
        <f>IFERROR(__xludf.DUMMYFUNCTION("""COMPUTED_VALUE"""),1.6913503E7)</f>
        <v>16913503</v>
      </c>
      <c r="P63" s="67">
        <f>IFERROR(__xludf.DUMMYFUNCTION("""COMPUTED_VALUE"""),0.02)</f>
        <v>0.02</v>
      </c>
      <c r="Q63" s="20" t="str">
        <f>IFERROR(__xludf.DUMMYFUNCTION("""COMPUTED_VALUE"""),"Fiambre, Pepian (hearty meat stew)")</f>
        <v>Fiambre, Pepian (hearty meat stew)</v>
      </c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65">
        <f>IFERROR(__xludf.DUMMYFUNCTION("""COMPUTED_VALUE"""),60.0)</f>
        <v>60</v>
      </c>
      <c r="B64" s="65" t="str">
        <f>IFERROR(__xludf.DUMMYFUNCTION("""COMPUTED_VALUE"""),"Burkina Faso")</f>
        <v>Burkina Faso</v>
      </c>
      <c r="C64" s="20" t="str">
        <f>IFERROR(__xludf.DUMMYFUNCTION("""COMPUTED_VALUE"""),"Africa")</f>
        <v>Africa</v>
      </c>
      <c r="D64" s="20" t="str">
        <f>IFERROR(__xludf.DUMMYFUNCTION("""COMPUTED_VALUE"""),"Western Africa")</f>
        <v>Western Africa</v>
      </c>
      <c r="E64" s="66">
        <f>IFERROR(__xludf.DUMMYFUNCTION("""COMPUTED_VALUE"""),1.8646433E7)</f>
        <v>18646433</v>
      </c>
      <c r="F64" s="66">
        <f>IFERROR(__xludf.DUMMYFUNCTION("""COMPUTED_VALUE"""),1.9193382E7)</f>
        <v>19193382</v>
      </c>
      <c r="G64" s="67">
        <f>IFERROR(__xludf.DUMMYFUNCTION("""COMPUTED_VALUE"""),0.0293)</f>
        <v>0.0293</v>
      </c>
      <c r="H64" s="60" t="str">
        <f>IFERROR(__xludf.DUMMYFUNCTION("""COMPUTED_VALUE"""),"Riz Gras")</f>
        <v>Riz Gras</v>
      </c>
      <c r="I64" s="20"/>
      <c r="J64" s="20">
        <f>IFERROR(__xludf.DUMMYFUNCTION("""COMPUTED_VALUE"""),174.0)</f>
        <v>174</v>
      </c>
      <c r="K64" s="20" t="str">
        <f>IFERROR(__xludf.DUMMYFUNCTION("""COMPUTED_VALUE"""),"Maldives")</f>
        <v>Maldives</v>
      </c>
      <c r="L64" s="20" t="str">
        <f>IFERROR(__xludf.DUMMYFUNCTION("""COMPUTED_VALUE"""),"Asia")</f>
        <v>Asia</v>
      </c>
      <c r="M64" s="20" t="str">
        <f>IFERROR(__xludf.DUMMYFUNCTION("""COMPUTED_VALUE"""),"Southern Asia")</f>
        <v>Southern Asia</v>
      </c>
      <c r="N64" s="66">
        <f>IFERROR(__xludf.DUMMYFUNCTION("""COMPUTED_VALUE"""),427756.0)</f>
        <v>427756</v>
      </c>
      <c r="O64" s="66">
        <f>IFERROR(__xludf.DUMMYFUNCTION("""COMPUTED_VALUE"""),436330.0)</f>
        <v>436330</v>
      </c>
      <c r="P64" s="67">
        <f>IFERROR(__xludf.DUMMYFUNCTION("""COMPUTED_VALUE"""),0.02)</f>
        <v>0.02</v>
      </c>
      <c r="Q64" s="20" t="str">
        <f>IFERROR(__xludf.DUMMYFUNCTION("""COMPUTED_VALUE"""),"Garudhiya")</f>
        <v>Garudhiya</v>
      </c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65">
        <f>IFERROR(__xludf.DUMMYFUNCTION("""COMPUTED_VALUE"""),61.0)</f>
        <v>61</v>
      </c>
      <c r="B65" s="65" t="str">
        <f>IFERROR(__xludf.DUMMYFUNCTION("""COMPUTED_VALUE"""),"Malawi")</f>
        <v>Malawi</v>
      </c>
      <c r="C65" s="20" t="str">
        <f>IFERROR(__xludf.DUMMYFUNCTION("""COMPUTED_VALUE"""),"Africa")</f>
        <v>Africa</v>
      </c>
      <c r="D65" s="20" t="str">
        <f>IFERROR(__xludf.DUMMYFUNCTION("""COMPUTED_VALUE"""),"Eastern Africa")</f>
        <v>Eastern Africa</v>
      </c>
      <c r="E65" s="66">
        <f>IFERROR(__xludf.DUMMYFUNCTION("""COMPUTED_VALUE"""),1.8091575E7)</f>
        <v>18091575</v>
      </c>
      <c r="F65" s="66">
        <f>IFERROR(__xludf.DUMMYFUNCTION("""COMPUTED_VALUE"""),1.8622104E7)</f>
        <v>18622104</v>
      </c>
      <c r="G65" s="67">
        <f>IFERROR(__xludf.DUMMYFUNCTION("""COMPUTED_VALUE"""),0.0293)</f>
        <v>0.0293</v>
      </c>
      <c r="H65" s="60" t="str">
        <f>IFERROR(__xludf.DUMMYFUNCTION("""COMPUTED_VALUE"""),"Nshima")</f>
        <v>Nshima</v>
      </c>
      <c r="I65" s="20"/>
      <c r="J65" s="20">
        <f>IFERROR(__xludf.DUMMYFUNCTION("""COMPUTED_VALUE"""),168.0)</f>
        <v>168</v>
      </c>
      <c r="K65" s="20" t="str">
        <f>IFERROR(__xludf.DUMMYFUNCTION("""COMPUTED_VALUE"""),"Solomon Islands")</f>
        <v>Solomon Islands</v>
      </c>
      <c r="L65" s="20" t="str">
        <f>IFERROR(__xludf.DUMMYFUNCTION("""COMPUTED_VALUE"""),"Oceania")</f>
        <v>Oceania</v>
      </c>
      <c r="M65" s="20" t="str">
        <f>IFERROR(__xludf.DUMMYFUNCTION("""COMPUTED_VALUE"""),"Melanesia")</f>
        <v>Melanesia</v>
      </c>
      <c r="N65" s="66">
        <f>IFERROR(__xludf.DUMMYFUNCTION("""COMPUTED_VALUE"""),599419.0)</f>
        <v>599419</v>
      </c>
      <c r="O65" s="66">
        <f>IFERROR(__xludf.DUMMYFUNCTION("""COMPUTED_VALUE"""),611343.0)</f>
        <v>611343</v>
      </c>
      <c r="P65" s="67">
        <f>IFERROR(__xludf.DUMMYFUNCTION("""COMPUTED_VALUE"""),0.0199)</f>
        <v>0.0199</v>
      </c>
      <c r="Q65" s="20" t="str">
        <f>IFERROR(__xludf.DUMMYFUNCTION("""COMPUTED_VALUE"""),"Poi")</f>
        <v>Poi</v>
      </c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65">
        <f>IFERROR(__xludf.DUMMYFUNCTION("""COMPUTED_VALUE"""),62.0)</f>
        <v>62</v>
      </c>
      <c r="B66" s="65" t="str">
        <f>IFERROR(__xludf.DUMMYFUNCTION("""COMPUTED_VALUE"""),"Mali")</f>
        <v>Mali</v>
      </c>
      <c r="C66" s="20" t="str">
        <f>IFERROR(__xludf.DUMMYFUNCTION("""COMPUTED_VALUE"""),"Africa")</f>
        <v>Africa</v>
      </c>
      <c r="D66" s="20" t="str">
        <f>IFERROR(__xludf.DUMMYFUNCTION("""COMPUTED_VALUE"""),"Western Africa")</f>
        <v>Western Africa</v>
      </c>
      <c r="E66" s="66">
        <f>IFERROR(__xludf.DUMMYFUNCTION("""COMPUTED_VALUE"""),1.7994837E7)</f>
        <v>17994837</v>
      </c>
      <c r="F66" s="66">
        <f>IFERROR(__xludf.DUMMYFUNCTION("""COMPUTED_VALUE"""),1.854198E7)</f>
        <v>18541980</v>
      </c>
      <c r="G66" s="67">
        <f>IFERROR(__xludf.DUMMYFUNCTION("""COMPUTED_VALUE"""),0.0304)</f>
        <v>0.0304</v>
      </c>
      <c r="H66" s="60" t="str">
        <f>IFERROR(__xludf.DUMMYFUNCTION("""COMPUTED_VALUE"""),"Maafe, To et Tokorodji, Tiguadege Na")</f>
        <v>Maafe, To et Tokorodji, Tiguadege Na</v>
      </c>
      <c r="I66" s="20"/>
      <c r="J66" s="20">
        <f>IFERROR(__xludf.DUMMYFUNCTION("""COMPUTED_VALUE"""),6.0)</f>
        <v>6</v>
      </c>
      <c r="K66" s="20" t="str">
        <f>IFERROR(__xludf.DUMMYFUNCTION("""COMPUTED_VALUE"""),"Pakistan")</f>
        <v>Pakistan</v>
      </c>
      <c r="L66" s="20" t="str">
        <f>IFERROR(__xludf.DUMMYFUNCTION("""COMPUTED_VALUE"""),"Asia")</f>
        <v>Asia</v>
      </c>
      <c r="M66" s="20" t="str">
        <f>IFERROR(__xludf.DUMMYFUNCTION("""COMPUTED_VALUE"""),"Southern Asia")</f>
        <v>Southern Asia</v>
      </c>
      <c r="N66" s="66">
        <f>IFERROR(__xludf.DUMMYFUNCTION("""COMPUTED_VALUE"""),1.93203476E8)</f>
        <v>193203476</v>
      </c>
      <c r="O66" s="66">
        <f>IFERROR(__xludf.DUMMYFUNCTION("""COMPUTED_VALUE"""),1.97015955E8)</f>
        <v>197015955</v>
      </c>
      <c r="P66" s="67">
        <f>IFERROR(__xludf.DUMMYFUNCTION("""COMPUTED_VALUE"""),0.0197)</f>
        <v>0.0197</v>
      </c>
      <c r="Q66" s="20" t="str">
        <f>IFERROR(__xludf.DUMMYFUNCTION("""COMPUTED_VALUE"""),"Kabab, Pulao, Nihari")</f>
        <v>Kabab, Pulao, Nihari</v>
      </c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65">
        <f>IFERROR(__xludf.DUMMYFUNCTION("""COMPUTED_VALUE"""),63.0)</f>
        <v>63</v>
      </c>
      <c r="B67" s="65" t="str">
        <f>IFERROR(__xludf.DUMMYFUNCTION("""COMPUTED_VALUE"""),"Syria")</f>
        <v>Syria</v>
      </c>
      <c r="C67" s="20" t="str">
        <f>IFERROR(__xludf.DUMMYFUNCTION("""COMPUTED_VALUE"""),"Asia")</f>
        <v>Asia</v>
      </c>
      <c r="D67" s="20" t="str">
        <f>IFERROR(__xludf.DUMMYFUNCTION("""COMPUTED_VALUE"""),"Western Asia")</f>
        <v>Western Asia</v>
      </c>
      <c r="E67" s="66">
        <f>IFERROR(__xludf.DUMMYFUNCTION("""COMPUTED_VALUE"""),1.8430453E7)</f>
        <v>18430453</v>
      </c>
      <c r="F67" s="66">
        <f>IFERROR(__xludf.DUMMYFUNCTION("""COMPUTED_VALUE"""),1.8269868E7)</f>
        <v>18269868</v>
      </c>
      <c r="G67" s="67">
        <f>IFERROR(__xludf.DUMMYFUNCTION("""COMPUTED_VALUE"""),-0.0087)</f>
        <v>-0.0087</v>
      </c>
      <c r="H67" s="60" t="str">
        <f>IFERROR(__xludf.DUMMYFUNCTION("""COMPUTED_VALUE"""),"Kibbeh")</f>
        <v>Kibbeh</v>
      </c>
      <c r="I67" s="20"/>
      <c r="J67" s="20">
        <f>IFERROR(__xludf.DUMMYFUNCTION("""COMPUTED_VALUE"""),14.0)</f>
        <v>14</v>
      </c>
      <c r="K67" s="20" t="str">
        <f>IFERROR(__xludf.DUMMYFUNCTION("""COMPUTED_VALUE"""),"Egypt")</f>
        <v>Egypt</v>
      </c>
      <c r="L67" s="20" t="str">
        <f>IFERROR(__xludf.DUMMYFUNCTION("""COMPUTED_VALUE"""),"Africa")</f>
        <v>Africa</v>
      </c>
      <c r="M67" s="20" t="str">
        <f>IFERROR(__xludf.DUMMYFUNCTION("""COMPUTED_VALUE"""),"Northern Africa")</f>
        <v>Northern Africa</v>
      </c>
      <c r="N67" s="66">
        <f>IFERROR(__xludf.DUMMYFUNCTION("""COMPUTED_VALUE"""),9.5688681E7)</f>
        <v>95688681</v>
      </c>
      <c r="O67" s="66">
        <f>IFERROR(__xludf.DUMMYFUNCTION("""COMPUTED_VALUE"""),9.7553151E7)</f>
        <v>97553151</v>
      </c>
      <c r="P67" s="67">
        <f>IFERROR(__xludf.DUMMYFUNCTION("""COMPUTED_VALUE"""),0.0195)</f>
        <v>0.0195</v>
      </c>
      <c r="Q67" s="20" t="str">
        <f>IFERROR(__xludf.DUMMYFUNCTION("""COMPUTED_VALUE"""),"Ful medames, kushari, molokhia, falafel (popular street food)")</f>
        <v>Ful medames, kushari, molokhia, falafel (popular street food)</v>
      </c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65">
        <f>IFERROR(__xludf.DUMMYFUNCTION("""COMPUTED_VALUE"""),64.0)</f>
        <v>64</v>
      </c>
      <c r="B68" s="65" t="str">
        <f>IFERROR(__xludf.DUMMYFUNCTION("""COMPUTED_VALUE"""),"Kazakhstan")</f>
        <v>Kazakhstan</v>
      </c>
      <c r="C68" s="20" t="str">
        <f>IFERROR(__xludf.DUMMYFUNCTION("""COMPUTED_VALUE"""),"Asia")</f>
        <v>Asia</v>
      </c>
      <c r="D68" s="20" t="str">
        <f>IFERROR(__xludf.DUMMYFUNCTION("""COMPUTED_VALUE"""),"Central Asia")</f>
        <v>Central Asia</v>
      </c>
      <c r="E68" s="66">
        <f>IFERROR(__xludf.DUMMYFUNCTION("""COMPUTED_VALUE"""),1.7987736E7)</f>
        <v>17987736</v>
      </c>
      <c r="F68" s="66">
        <f>IFERROR(__xludf.DUMMYFUNCTION("""COMPUTED_VALUE"""),1.8204499E7)</f>
        <v>18204499</v>
      </c>
      <c r="G68" s="67">
        <f>IFERROR(__xludf.DUMMYFUNCTION("""COMPUTED_VALUE"""),0.0121)</f>
        <v>0.0121</v>
      </c>
      <c r="H68" s="60" t="str">
        <f>IFERROR(__xludf.DUMMYFUNCTION("""COMPUTED_VALUE"""),"Beshbarmak, Shalgam")</f>
        <v>Beshbarmak, Shalgam</v>
      </c>
      <c r="I68" s="20"/>
      <c r="J68" s="20">
        <f>IFERROR(__xludf.DUMMYFUNCTION("""COMPUTED_VALUE"""),144.0)</f>
        <v>144</v>
      </c>
      <c r="K68" s="20" t="str">
        <f>IFERROR(__xludf.DUMMYFUNCTION("""COMPUTED_VALUE"""),"Botswana")</f>
        <v>Botswana</v>
      </c>
      <c r="L68" s="20" t="str">
        <f>IFERROR(__xludf.DUMMYFUNCTION("""COMPUTED_VALUE"""),"Africa")</f>
        <v>Africa</v>
      </c>
      <c r="M68" s="20" t="str">
        <f>IFERROR(__xludf.DUMMYFUNCTION("""COMPUTED_VALUE"""),"Southern Africa")</f>
        <v>Southern Africa</v>
      </c>
      <c r="N68" s="66">
        <f>IFERROR(__xludf.DUMMYFUNCTION("""COMPUTED_VALUE"""),2250260.0)</f>
        <v>2250260</v>
      </c>
      <c r="O68" s="66">
        <f>IFERROR(__xludf.DUMMYFUNCTION("""COMPUTED_VALUE"""),2291661.0)</f>
        <v>2291661</v>
      </c>
      <c r="P68" s="67">
        <f>IFERROR(__xludf.DUMMYFUNCTION("""COMPUTED_VALUE"""),0.0184)</f>
        <v>0.0184</v>
      </c>
      <c r="Q68" s="20" t="str">
        <f>IFERROR(__xludf.DUMMYFUNCTION("""COMPUTED_VALUE"""),"Seswaa")</f>
        <v>Seswaa</v>
      </c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65">
        <f>IFERROR(__xludf.DUMMYFUNCTION("""COMPUTED_VALUE"""),65.0)</f>
        <v>65</v>
      </c>
      <c r="B69" s="65" t="str">
        <f>IFERROR(__xludf.DUMMYFUNCTION("""COMPUTED_VALUE"""),"Chile")</f>
        <v>Chile</v>
      </c>
      <c r="C69" s="20" t="str">
        <f>IFERROR(__xludf.DUMMYFUNCTION("""COMPUTED_VALUE"""),"Americas")</f>
        <v>Americas</v>
      </c>
      <c r="D69" s="20" t="str">
        <f>IFERROR(__xludf.DUMMYFUNCTION("""COMPUTED_VALUE"""),"South America")</f>
        <v>South America</v>
      </c>
      <c r="E69" s="66">
        <f>IFERROR(__xludf.DUMMYFUNCTION("""COMPUTED_VALUE"""),1.7909754E7)</f>
        <v>17909754</v>
      </c>
      <c r="F69" s="66">
        <f>IFERROR(__xludf.DUMMYFUNCTION("""COMPUTED_VALUE"""),1.8054726E7)</f>
        <v>18054726</v>
      </c>
      <c r="G69" s="67">
        <f>IFERROR(__xludf.DUMMYFUNCTION("""COMPUTED_VALUE"""),0.0081)</f>
        <v>0.0081</v>
      </c>
      <c r="H69" s="60" t="str">
        <f>IFERROR(__xludf.DUMMYFUNCTION("""COMPUTED_VALUE"""),"Empanada, Pastel de choclo")</f>
        <v>Empanada, Pastel de choclo</v>
      </c>
      <c r="I69" s="20"/>
      <c r="J69" s="20">
        <f>IFERROR(__xludf.DUMMYFUNCTION("""COMPUTED_VALUE"""),154.0)</f>
        <v>154</v>
      </c>
      <c r="K69" s="20" t="str">
        <f>IFERROR(__xludf.DUMMYFUNCTION("""COMPUTED_VALUE"""),"Swaziland")</f>
        <v>Swaziland</v>
      </c>
      <c r="L69" s="20" t="str">
        <f>IFERROR(__xludf.DUMMYFUNCTION("""COMPUTED_VALUE"""),"Africa")</f>
        <v>Africa</v>
      </c>
      <c r="M69" s="20" t="str">
        <f>IFERROR(__xludf.DUMMYFUNCTION("""COMPUTED_VALUE"""),"Southern Africa")</f>
        <v>Southern Africa</v>
      </c>
      <c r="N69" s="66">
        <f>IFERROR(__xludf.DUMMYFUNCTION("""COMPUTED_VALUE"""),1343098.0)</f>
        <v>1343098</v>
      </c>
      <c r="O69" s="66">
        <f>IFERROR(__xludf.DUMMYFUNCTION("""COMPUTED_VALUE"""),1367254.0)</f>
        <v>1367254</v>
      </c>
      <c r="P69" s="67">
        <f>IFERROR(__xludf.DUMMYFUNCTION("""COMPUTED_VALUE"""),0.018)</f>
        <v>0.018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65">
        <f>IFERROR(__xludf.DUMMYFUNCTION("""COMPUTED_VALUE"""),66.0)</f>
        <v>66</v>
      </c>
      <c r="B70" s="65" t="str">
        <f>IFERROR(__xludf.DUMMYFUNCTION("""COMPUTED_VALUE"""),"Zambia")</f>
        <v>Zambia</v>
      </c>
      <c r="C70" s="20" t="str">
        <f>IFERROR(__xludf.DUMMYFUNCTION("""COMPUTED_VALUE"""),"Africa")</f>
        <v>Africa</v>
      </c>
      <c r="D70" s="20" t="str">
        <f>IFERROR(__xludf.DUMMYFUNCTION("""COMPUTED_VALUE"""),"Eastern Africa")</f>
        <v>Eastern Africa</v>
      </c>
      <c r="E70" s="66">
        <f>IFERROR(__xludf.DUMMYFUNCTION("""COMPUTED_VALUE"""),1.659139E7)</f>
        <v>16591390</v>
      </c>
      <c r="F70" s="66">
        <f>IFERROR(__xludf.DUMMYFUNCTION("""COMPUTED_VALUE"""),1.709413E7)</f>
        <v>17094130</v>
      </c>
      <c r="G70" s="67">
        <f>IFERROR(__xludf.DUMMYFUNCTION("""COMPUTED_VALUE"""),0.0303)</f>
        <v>0.0303</v>
      </c>
      <c r="H70" s="60" t="str">
        <f>IFERROR(__xludf.DUMMYFUNCTION("""COMPUTED_VALUE"""),"Nshima")</f>
        <v>Nshima</v>
      </c>
      <c r="I70" s="20"/>
      <c r="J70" s="20">
        <f>IFERROR(__xludf.DUMMYFUNCTION("""COMPUTED_VALUE"""),34.0)</f>
        <v>34</v>
      </c>
      <c r="K70" s="20" t="str">
        <f>IFERROR(__xludf.DUMMYFUNCTION("""COMPUTED_VALUE"""),"Algeria")</f>
        <v>Algeria</v>
      </c>
      <c r="L70" s="20" t="str">
        <f>IFERROR(__xludf.DUMMYFUNCTION("""COMPUTED_VALUE"""),"Africa")</f>
        <v>Africa</v>
      </c>
      <c r="M70" s="20" t="str">
        <f>IFERROR(__xludf.DUMMYFUNCTION("""COMPUTED_VALUE"""),"Northern Africa")</f>
        <v>Northern Africa</v>
      </c>
      <c r="N70" s="66">
        <f>IFERROR(__xludf.DUMMYFUNCTION("""COMPUTED_VALUE"""),4.0606052E7)</f>
        <v>40606052</v>
      </c>
      <c r="O70" s="66">
        <f>IFERROR(__xludf.DUMMYFUNCTION("""COMPUTED_VALUE"""),4.1318142E7)</f>
        <v>41318142</v>
      </c>
      <c r="P70" s="67">
        <f>IFERROR(__xludf.DUMMYFUNCTION("""COMPUTED_VALUE"""),0.0175)</f>
        <v>0.0175</v>
      </c>
      <c r="Q70" s="20" t="str">
        <f>IFERROR(__xludf.DUMMYFUNCTION("""COMPUTED_VALUE"""),"Couscous, chakhchoukha")</f>
        <v>Couscous, chakhchoukha</v>
      </c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65">
        <f>IFERROR(__xludf.DUMMYFUNCTION("""COMPUTED_VALUE"""),67.0)</f>
        <v>67</v>
      </c>
      <c r="B71" s="65" t="str">
        <f>IFERROR(__xludf.DUMMYFUNCTION("""COMPUTED_VALUE"""),"Netherlands")</f>
        <v>Netherlands</v>
      </c>
      <c r="C71" s="20" t="str">
        <f>IFERROR(__xludf.DUMMYFUNCTION("""COMPUTED_VALUE"""),"Europe")</f>
        <v>Europe</v>
      </c>
      <c r="D71" s="20" t="str">
        <f>IFERROR(__xludf.DUMMYFUNCTION("""COMPUTED_VALUE"""),"Western Europe")</f>
        <v>Western Europe</v>
      </c>
      <c r="E71" s="66">
        <f>IFERROR(__xludf.DUMMYFUNCTION("""COMPUTED_VALUE"""),1.698733E7)</f>
        <v>16987330</v>
      </c>
      <c r="F71" s="66">
        <f>IFERROR(__xludf.DUMMYFUNCTION("""COMPUTED_VALUE"""),1.7035938E7)</f>
        <v>17035938</v>
      </c>
      <c r="G71" s="67">
        <f>IFERROR(__xludf.DUMMYFUNCTION("""COMPUTED_VALUE"""),0.0029)</f>
        <v>0.0029</v>
      </c>
      <c r="H71" s="60" t="str">
        <f>IFERROR(__xludf.DUMMYFUNCTION("""COMPUTED_VALUE"""),"Stamppot, hutspot")</f>
        <v>Stamppot, hutspot</v>
      </c>
      <c r="I71" s="20"/>
      <c r="J71" s="20">
        <f>IFERROR(__xludf.DUMMYFUNCTION("""COMPUTED_VALUE"""),193.0)</f>
        <v>193</v>
      </c>
      <c r="K71" s="20" t="str">
        <f>IFERROR(__xludf.DUMMYFUNCTION("""COMPUTED_VALUE"""),"Kiribati")</f>
        <v>Kiribati</v>
      </c>
      <c r="L71" s="20" t="str">
        <f>IFERROR(__xludf.DUMMYFUNCTION("""COMPUTED_VALUE"""),"Oceania")</f>
        <v>Oceania</v>
      </c>
      <c r="M71" s="20" t="str">
        <f>IFERROR(__xludf.DUMMYFUNCTION("""COMPUTED_VALUE"""),"Micronesia")</f>
        <v>Micronesia</v>
      </c>
      <c r="N71" s="66">
        <f>IFERROR(__xludf.DUMMYFUNCTION("""COMPUTED_VALUE"""),114395.0)</f>
        <v>114395</v>
      </c>
      <c r="O71" s="66">
        <f>IFERROR(__xludf.DUMMYFUNCTION("""COMPUTED_VALUE"""),116398.0)</f>
        <v>116398</v>
      </c>
      <c r="P71" s="67">
        <f>IFERROR(__xludf.DUMMYFUNCTION("""COMPUTED_VALUE"""),0.0175)</f>
        <v>0.0175</v>
      </c>
      <c r="Q71" s="20" t="str">
        <f>IFERROR(__xludf.DUMMYFUNCTION("""COMPUTED_VALUE"""),"Palusami")</f>
        <v>Palusami</v>
      </c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65">
        <f>IFERROR(__xludf.DUMMYFUNCTION("""COMPUTED_VALUE"""),68.0)</f>
        <v>68</v>
      </c>
      <c r="B72" s="65" t="str">
        <f>IFERROR(__xludf.DUMMYFUNCTION("""COMPUTED_VALUE"""),"Guatemala")</f>
        <v>Guatemala</v>
      </c>
      <c r="C72" s="20" t="str">
        <f>IFERROR(__xludf.DUMMYFUNCTION("""COMPUTED_VALUE"""),"Americas")</f>
        <v>Americas</v>
      </c>
      <c r="D72" s="20" t="str">
        <f>IFERROR(__xludf.DUMMYFUNCTION("""COMPUTED_VALUE"""),"Central America")</f>
        <v>Central America</v>
      </c>
      <c r="E72" s="66">
        <f>IFERROR(__xludf.DUMMYFUNCTION("""COMPUTED_VALUE"""),1.6582469E7)</f>
        <v>16582469</v>
      </c>
      <c r="F72" s="66">
        <f>IFERROR(__xludf.DUMMYFUNCTION("""COMPUTED_VALUE"""),1.6913503E7)</f>
        <v>16913503</v>
      </c>
      <c r="G72" s="67">
        <f>IFERROR(__xludf.DUMMYFUNCTION("""COMPUTED_VALUE"""),0.02)</f>
        <v>0.02</v>
      </c>
      <c r="H72" s="60" t="str">
        <f>IFERROR(__xludf.DUMMYFUNCTION("""COMPUTED_VALUE"""),"Fiambre, Pepian (hearty meat stew)")</f>
        <v>Fiambre, Pepian (hearty meat stew)</v>
      </c>
      <c r="I72" s="20"/>
      <c r="J72" s="20">
        <f>IFERROR(__xludf.DUMMYFUNCTION("""COMPUTED_VALUE"""),219.0)</f>
        <v>219</v>
      </c>
      <c r="K72" s="20" t="str">
        <f>IFERROR(__xludf.DUMMYFUNCTION("""COMPUTED_VALUE"""),"British Virgin Islands")</f>
        <v>British Virgin Islands</v>
      </c>
      <c r="L72" s="20" t="str">
        <f>IFERROR(__xludf.DUMMYFUNCTION("""COMPUTED_VALUE"""),"Americas")</f>
        <v>Americas</v>
      </c>
      <c r="M72" s="20" t="str">
        <f>IFERROR(__xludf.DUMMYFUNCTION("""COMPUTED_VALUE"""),"Caribbean")</f>
        <v>Caribbean</v>
      </c>
      <c r="N72" s="66">
        <f>IFERROR(__xludf.DUMMYFUNCTION("""COMPUTED_VALUE"""),30661.0)</f>
        <v>30661</v>
      </c>
      <c r="O72" s="66">
        <f>IFERROR(__xludf.DUMMYFUNCTION("""COMPUTED_VALUE"""),31196.0)</f>
        <v>31196</v>
      </c>
      <c r="P72" s="67">
        <f>IFERROR(__xludf.DUMMYFUNCTION("""COMPUTED_VALUE"""),0.0174)</f>
        <v>0.0174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65">
        <f>IFERROR(__xludf.DUMMYFUNCTION("""COMPUTED_VALUE"""),69.0)</f>
        <v>69</v>
      </c>
      <c r="B73" s="65" t="str">
        <f>IFERROR(__xludf.DUMMYFUNCTION("""COMPUTED_VALUE"""),"Ecuador")</f>
        <v>Ecuador</v>
      </c>
      <c r="C73" s="20" t="str">
        <f>IFERROR(__xludf.DUMMYFUNCTION("""COMPUTED_VALUE"""),"Americas")</f>
        <v>Americas</v>
      </c>
      <c r="D73" s="20" t="str">
        <f>IFERROR(__xludf.DUMMYFUNCTION("""COMPUTED_VALUE"""),"South America")</f>
        <v>South America</v>
      </c>
      <c r="E73" s="66">
        <f>IFERROR(__xludf.DUMMYFUNCTION("""COMPUTED_VALUE"""),1.6385068E7)</f>
        <v>16385068</v>
      </c>
      <c r="F73" s="66">
        <f>IFERROR(__xludf.DUMMYFUNCTION("""COMPUTED_VALUE"""),1.6624858E7)</f>
        <v>16624858</v>
      </c>
      <c r="G73" s="67">
        <f>IFERROR(__xludf.DUMMYFUNCTION("""COMPUTED_VALUE"""),0.0146)</f>
        <v>0.0146</v>
      </c>
      <c r="H73" s="60" t="str">
        <f>IFERROR(__xludf.DUMMYFUNCTION("""COMPUTED_VALUE"""),"Encebollado, Fritada, Guatitas, Ceviche")</f>
        <v>Encebollado, Fritada, Guatitas, Ceviche</v>
      </c>
      <c r="I73" s="20"/>
      <c r="J73" s="20">
        <f>IFERROR(__xludf.DUMMYFUNCTION("""COMPUTED_VALUE"""),167.0)</f>
        <v>167</v>
      </c>
      <c r="K73" s="20" t="str">
        <f>IFERROR(__xludf.DUMMYFUNCTION("""COMPUTED_VALUE"""),"Macau")</f>
        <v>Macau</v>
      </c>
      <c r="L73" s="20" t="str">
        <f>IFERROR(__xludf.DUMMYFUNCTION("""COMPUTED_VALUE"""),"Asia")</f>
        <v>Asia</v>
      </c>
      <c r="M73" s="20" t="str">
        <f>IFERROR(__xludf.DUMMYFUNCTION("""COMPUTED_VALUE"""),"Eastern Asia")</f>
        <v>Eastern Asia</v>
      </c>
      <c r="N73" s="66">
        <f>IFERROR(__xludf.DUMMYFUNCTION("""COMPUTED_VALUE"""),612167.0)</f>
        <v>612167</v>
      </c>
      <c r="O73" s="66">
        <f>IFERROR(__xludf.DUMMYFUNCTION("""COMPUTED_VALUE"""),622567.0)</f>
        <v>622567</v>
      </c>
      <c r="P73" s="67">
        <f>IFERROR(__xludf.DUMMYFUNCTION("""COMPUTED_VALUE"""),0.017)</f>
        <v>0.017</v>
      </c>
      <c r="Q73" s="20" t="str">
        <f>IFERROR(__xludf.DUMMYFUNCTION("""COMPUTED_VALUE"""),"Minchee")</f>
        <v>Minchee</v>
      </c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65">
        <f>IFERROR(__xludf.DUMMYFUNCTION("""COMPUTED_VALUE"""),70.0)</f>
        <v>70</v>
      </c>
      <c r="B74" s="65" t="str">
        <f>IFERROR(__xludf.DUMMYFUNCTION("""COMPUTED_VALUE"""),"Zimbabwe")</f>
        <v>Zimbabwe</v>
      </c>
      <c r="C74" s="20" t="str">
        <f>IFERROR(__xludf.DUMMYFUNCTION("""COMPUTED_VALUE"""),"Africa")</f>
        <v>Africa</v>
      </c>
      <c r="D74" s="20" t="str">
        <f>IFERROR(__xludf.DUMMYFUNCTION("""COMPUTED_VALUE"""),"Eastern Africa")</f>
        <v>Eastern Africa</v>
      </c>
      <c r="E74" s="66">
        <f>IFERROR(__xludf.DUMMYFUNCTION("""COMPUTED_VALUE"""),1.6150362E7)</f>
        <v>16150362</v>
      </c>
      <c r="F74" s="66">
        <f>IFERROR(__xludf.DUMMYFUNCTION("""COMPUTED_VALUE"""),1.6529904E7)</f>
        <v>16529904</v>
      </c>
      <c r="G74" s="67">
        <f>IFERROR(__xludf.DUMMYFUNCTION("""COMPUTED_VALUE"""),0.0235)</f>
        <v>0.0235</v>
      </c>
      <c r="H74" s="60" t="str">
        <f>IFERROR(__xludf.DUMMYFUNCTION("""COMPUTED_VALUE"""),"Sadza")</f>
        <v>Sadza</v>
      </c>
      <c r="I74" s="20"/>
      <c r="J74" s="20">
        <f>IFERROR(__xludf.DUMMYFUNCTION("""COMPUTED_VALUE"""),113.0)</f>
        <v>113</v>
      </c>
      <c r="K74" s="20" t="str">
        <f>IFERROR(__xludf.DUMMYFUNCTION("""COMPUTED_VALUE"""),"Turkmenistan")</f>
        <v>Turkmenistan</v>
      </c>
      <c r="L74" s="20" t="str">
        <f>IFERROR(__xludf.DUMMYFUNCTION("""COMPUTED_VALUE"""),"Asia")</f>
        <v>Asia</v>
      </c>
      <c r="M74" s="20" t="str">
        <f>IFERROR(__xludf.DUMMYFUNCTION("""COMPUTED_VALUE"""),"Central Asia")</f>
        <v>Central Asia</v>
      </c>
      <c r="N74" s="66">
        <f>IFERROR(__xludf.DUMMYFUNCTION("""COMPUTED_VALUE"""),5662544.0)</f>
        <v>5662544</v>
      </c>
      <c r="O74" s="66">
        <f>IFERROR(__xludf.DUMMYFUNCTION("""COMPUTED_VALUE"""),5758075.0)</f>
        <v>5758075</v>
      </c>
      <c r="P74" s="67">
        <f>IFERROR(__xludf.DUMMYFUNCTION("""COMPUTED_VALUE"""),0.0169)</f>
        <v>0.0169</v>
      </c>
      <c r="Q74" s="20" t="str">
        <f>IFERROR(__xludf.DUMMYFUNCTION("""COMPUTED_VALUE"""),"Palaw")</f>
        <v>Palaw</v>
      </c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65">
        <f>IFERROR(__xludf.DUMMYFUNCTION("""COMPUTED_VALUE"""),71.0)</f>
        <v>71</v>
      </c>
      <c r="B75" s="65" t="str">
        <f>IFERROR(__xludf.DUMMYFUNCTION("""COMPUTED_VALUE"""),"Cambodia")</f>
        <v>Cambodia</v>
      </c>
      <c r="C75" s="20" t="str">
        <f>IFERROR(__xludf.DUMMYFUNCTION("""COMPUTED_VALUE"""),"Asia")</f>
        <v>Asia</v>
      </c>
      <c r="D75" s="20" t="str">
        <f>IFERROR(__xludf.DUMMYFUNCTION("""COMPUTED_VALUE"""),"South-eastern Asia")</f>
        <v>South-eastern Asia</v>
      </c>
      <c r="E75" s="66">
        <f>IFERROR(__xludf.DUMMYFUNCTION("""COMPUTED_VALUE"""),1.576237E7)</f>
        <v>15762370</v>
      </c>
      <c r="F75" s="66">
        <f>IFERROR(__xludf.DUMMYFUNCTION("""COMPUTED_VALUE"""),1.6005373E7)</f>
        <v>16005373</v>
      </c>
      <c r="G75" s="67">
        <f>IFERROR(__xludf.DUMMYFUNCTION("""COMPUTED_VALUE"""),0.0154)</f>
        <v>0.0154</v>
      </c>
      <c r="H75" s="60" t="str">
        <f>IFERROR(__xludf.DUMMYFUNCTION("""COMPUTED_VALUE"""),"Amok trey, Samlor Kako")</f>
        <v>Amok trey, Samlor Kako</v>
      </c>
      <c r="I75" s="20"/>
      <c r="J75" s="20">
        <f>IFERROR(__xludf.DUMMYFUNCTION("""COMPUTED_VALUE"""),95.0)</f>
        <v>95</v>
      </c>
      <c r="K75" s="20" t="str">
        <f>IFERROR(__xludf.DUMMYFUNCTION("""COMPUTED_VALUE"""),"Honduras")</f>
        <v>Honduras</v>
      </c>
      <c r="L75" s="20" t="str">
        <f>IFERROR(__xludf.DUMMYFUNCTION("""COMPUTED_VALUE"""),"Americas")</f>
        <v>Americas</v>
      </c>
      <c r="M75" s="20" t="str">
        <f>IFERROR(__xludf.DUMMYFUNCTION("""COMPUTED_VALUE"""),"Central America")</f>
        <v>Central America</v>
      </c>
      <c r="N75" s="66">
        <f>IFERROR(__xludf.DUMMYFUNCTION("""COMPUTED_VALUE"""),9112867.0)</f>
        <v>9112867</v>
      </c>
      <c r="O75" s="66">
        <f>IFERROR(__xludf.DUMMYFUNCTION("""COMPUTED_VALUE"""),9265067.0)</f>
        <v>9265067</v>
      </c>
      <c r="P75" s="67">
        <f>IFERROR(__xludf.DUMMYFUNCTION("""COMPUTED_VALUE"""),0.0167)</f>
        <v>0.0167</v>
      </c>
      <c r="Q75" s="20" t="str">
        <f>IFERROR(__xludf.DUMMYFUNCTION("""COMPUTED_VALUE"""),"Baleada, Carne asada, Sopa de caracol")</f>
        <v>Baleada, Carne asada, Sopa de caracol</v>
      </c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65">
        <f>IFERROR(__xludf.DUMMYFUNCTION("""COMPUTED_VALUE"""),72.0)</f>
        <v>72</v>
      </c>
      <c r="B76" s="65" t="str">
        <f>IFERROR(__xludf.DUMMYFUNCTION("""COMPUTED_VALUE"""),"Senegal")</f>
        <v>Senegal</v>
      </c>
      <c r="C76" s="20" t="str">
        <f>IFERROR(__xludf.DUMMYFUNCTION("""COMPUTED_VALUE"""),"Africa")</f>
        <v>Africa</v>
      </c>
      <c r="D76" s="20" t="str">
        <f>IFERROR(__xludf.DUMMYFUNCTION("""COMPUTED_VALUE"""),"Western Africa")</f>
        <v>Western Africa</v>
      </c>
      <c r="E76" s="66">
        <f>IFERROR(__xludf.DUMMYFUNCTION("""COMPUTED_VALUE"""),1.5411614E7)</f>
        <v>15411614</v>
      </c>
      <c r="F76" s="66">
        <f>IFERROR(__xludf.DUMMYFUNCTION("""COMPUTED_VALUE"""),1.5850567E7)</f>
        <v>15850567</v>
      </c>
      <c r="G76" s="67">
        <f>IFERROR(__xludf.DUMMYFUNCTION("""COMPUTED_VALUE"""),0.0285)</f>
        <v>0.0285</v>
      </c>
      <c r="H76" s="60" t="str">
        <f>IFERROR(__xludf.DUMMYFUNCTION("""COMPUTED_VALUE"""),"Thieboudienne, Poulet Yassa")</f>
        <v>Thieboudienne, Poulet Yassa</v>
      </c>
      <c r="I76" s="20"/>
      <c r="J76" s="20">
        <f>IFERROR(__xludf.DUMMYFUNCTION("""COMPUTED_VALUE"""),131.0)</f>
        <v>131</v>
      </c>
      <c r="K76" s="20" t="str">
        <f>IFERROR(__xludf.DUMMYFUNCTION("""COMPUTED_VALUE"""),"Panama")</f>
        <v>Panama</v>
      </c>
      <c r="L76" s="20" t="str">
        <f>IFERROR(__xludf.DUMMYFUNCTION("""COMPUTED_VALUE"""),"Americas")</f>
        <v>Americas</v>
      </c>
      <c r="M76" s="20" t="str">
        <f>IFERROR(__xludf.DUMMYFUNCTION("""COMPUTED_VALUE"""),"Central America")</f>
        <v>Central America</v>
      </c>
      <c r="N76" s="66">
        <f>IFERROR(__xludf.DUMMYFUNCTION("""COMPUTED_VALUE"""),4034119.0)</f>
        <v>4034119</v>
      </c>
      <c r="O76" s="66">
        <f>IFERROR(__xludf.DUMMYFUNCTION("""COMPUTED_VALUE"""),4098587.0)</f>
        <v>4098587</v>
      </c>
      <c r="P76" s="67">
        <f>IFERROR(__xludf.DUMMYFUNCTION("""COMPUTED_VALUE"""),0.016)</f>
        <v>0.016</v>
      </c>
      <c r="Q76" s="20" t="str">
        <f>IFERROR(__xludf.DUMMYFUNCTION("""COMPUTED_VALUE"""),"Sancocho de gallina")</f>
        <v>Sancocho de gallina</v>
      </c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65">
        <f>IFERROR(__xludf.DUMMYFUNCTION("""COMPUTED_VALUE"""),73.0)</f>
        <v>73</v>
      </c>
      <c r="B77" s="65" t="str">
        <f>IFERROR(__xludf.DUMMYFUNCTION("""COMPUTED_VALUE"""),"Chad")</f>
        <v>Chad</v>
      </c>
      <c r="C77" s="20" t="str">
        <f>IFERROR(__xludf.DUMMYFUNCTION("""COMPUTED_VALUE"""),"Africa")</f>
        <v>Africa</v>
      </c>
      <c r="D77" s="20" t="str">
        <f>IFERROR(__xludf.DUMMYFUNCTION("""COMPUTED_VALUE"""),"Middle Africa")</f>
        <v>Middle Africa</v>
      </c>
      <c r="E77" s="66">
        <f>IFERROR(__xludf.DUMMYFUNCTION("""COMPUTED_VALUE"""),1.4452543E7)</f>
        <v>14452543</v>
      </c>
      <c r="F77" s="66">
        <f>IFERROR(__xludf.DUMMYFUNCTION("""COMPUTED_VALUE"""),1.4899994E7)</f>
        <v>14899994</v>
      </c>
      <c r="G77" s="67">
        <f>IFERROR(__xludf.DUMMYFUNCTION("""COMPUTED_VALUE"""),0.031)</f>
        <v>0.031</v>
      </c>
      <c r="H77" s="60" t="str">
        <f>IFERROR(__xludf.DUMMYFUNCTION("""COMPUTED_VALUE"""),"Boule")</f>
        <v>Boule</v>
      </c>
      <c r="I77" s="20"/>
      <c r="J77" s="20">
        <f>IFERROR(__xludf.DUMMYFUNCTION("""COMPUTED_VALUE"""),137.0)</f>
        <v>137</v>
      </c>
      <c r="K77" s="20" t="str">
        <f>IFERROR(__xludf.DUMMYFUNCTION("""COMPUTED_VALUE"""),"Mongolia")</f>
        <v>Mongolia</v>
      </c>
      <c r="L77" s="20" t="str">
        <f>IFERROR(__xludf.DUMMYFUNCTION("""COMPUTED_VALUE"""),"Asia")</f>
        <v>Asia</v>
      </c>
      <c r="M77" s="20" t="str">
        <f>IFERROR(__xludf.DUMMYFUNCTION("""COMPUTED_VALUE"""),"Eastern Asia")</f>
        <v>Eastern Asia</v>
      </c>
      <c r="N77" s="66">
        <f>IFERROR(__xludf.DUMMYFUNCTION("""COMPUTED_VALUE"""),3027398.0)</f>
        <v>3027398</v>
      </c>
      <c r="O77" s="66">
        <f>IFERROR(__xludf.DUMMYFUNCTION("""COMPUTED_VALUE"""),3075647.0)</f>
        <v>3075647</v>
      </c>
      <c r="P77" s="67">
        <f>IFERROR(__xludf.DUMMYFUNCTION("""COMPUTED_VALUE"""),0.0159)</f>
        <v>0.0159</v>
      </c>
      <c r="Q77" s="20" t="str">
        <f>IFERROR(__xludf.DUMMYFUNCTION("""COMPUTED_VALUE"""),"Buuz")</f>
        <v>Buuz</v>
      </c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65">
        <f>IFERROR(__xludf.DUMMYFUNCTION("""COMPUTED_VALUE"""),74.0)</f>
        <v>74</v>
      </c>
      <c r="B78" s="65" t="str">
        <f>IFERROR(__xludf.DUMMYFUNCTION("""COMPUTED_VALUE"""),"Somalia")</f>
        <v>Somalia</v>
      </c>
      <c r="C78" s="20" t="str">
        <f>IFERROR(__xludf.DUMMYFUNCTION("""COMPUTED_VALUE"""),"Africa")</f>
        <v>Africa</v>
      </c>
      <c r="D78" s="20" t="str">
        <f>IFERROR(__xludf.DUMMYFUNCTION("""COMPUTED_VALUE"""),"Eastern Africa")</f>
        <v>Eastern Africa</v>
      </c>
      <c r="E78" s="66">
        <f>IFERROR(__xludf.DUMMYFUNCTION("""COMPUTED_VALUE"""),1.4317996E7)</f>
        <v>14317996</v>
      </c>
      <c r="F78" s="66">
        <f>IFERROR(__xludf.DUMMYFUNCTION("""COMPUTED_VALUE"""),1.4742523E7)</f>
        <v>14742523</v>
      </c>
      <c r="G78" s="67">
        <f>IFERROR(__xludf.DUMMYFUNCTION("""COMPUTED_VALUE"""),0.0296)</f>
        <v>0.0296</v>
      </c>
      <c r="H78" s="60" t="str">
        <f>IFERROR(__xludf.DUMMYFUNCTION("""COMPUTED_VALUE"""),"Canjeero with goat stew, Lahoh, Gashaato (coconut confection)")</f>
        <v>Canjeero with goat stew, Lahoh, Gashaato (coconut confection)</v>
      </c>
      <c r="I78" s="20"/>
      <c r="J78" s="20">
        <f>IFERROR(__xludf.DUMMYFUNCTION("""COMPUTED_VALUE"""),100.0)</f>
        <v>100</v>
      </c>
      <c r="K78" s="20" t="str">
        <f>IFERROR(__xludf.DUMMYFUNCTION("""COMPUTED_VALUE"""),"Israel")</f>
        <v>Israel</v>
      </c>
      <c r="L78" s="20" t="str">
        <f>IFERROR(__xludf.DUMMYFUNCTION("""COMPUTED_VALUE"""),"Asia")</f>
        <v>Asia</v>
      </c>
      <c r="M78" s="20" t="str">
        <f>IFERROR(__xludf.DUMMYFUNCTION("""COMPUTED_VALUE"""),"Western Asia")</f>
        <v>Western Asia</v>
      </c>
      <c r="N78" s="66">
        <f>IFERROR(__xludf.DUMMYFUNCTION("""COMPUTED_VALUE"""),8191828.0)</f>
        <v>8191828</v>
      </c>
      <c r="O78" s="66">
        <f>IFERROR(__xludf.DUMMYFUNCTION("""COMPUTED_VALUE"""),8321570.0)</f>
        <v>8321570</v>
      </c>
      <c r="P78" s="67">
        <f>IFERROR(__xludf.DUMMYFUNCTION("""COMPUTED_VALUE"""),0.0158)</f>
        <v>0.0158</v>
      </c>
      <c r="Q78" s="20" t="str">
        <f>IFERROR(__xludf.DUMMYFUNCTION("""COMPUTED_VALUE"""),"Meorav Yerushalmi, Hummus, Falafel")</f>
        <v>Meorav Yerushalmi, Hummus, Falafel</v>
      </c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65">
        <f>IFERROR(__xludf.DUMMYFUNCTION("""COMPUTED_VALUE"""),75.0)</f>
        <v>75</v>
      </c>
      <c r="B79" s="65" t="str">
        <f>IFERROR(__xludf.DUMMYFUNCTION("""COMPUTED_VALUE"""),"Guinea")</f>
        <v>Guinea</v>
      </c>
      <c r="C79" s="20" t="str">
        <f>IFERROR(__xludf.DUMMYFUNCTION("""COMPUTED_VALUE"""),"Africa")</f>
        <v>Africa</v>
      </c>
      <c r="D79" s="20" t="str">
        <f>IFERROR(__xludf.DUMMYFUNCTION("""COMPUTED_VALUE"""),"Western Africa")</f>
        <v>Western Africa</v>
      </c>
      <c r="E79" s="66">
        <f>IFERROR(__xludf.DUMMYFUNCTION("""COMPUTED_VALUE"""),1.2395924E7)</f>
        <v>12395924</v>
      </c>
      <c r="F79" s="66">
        <f>IFERROR(__xludf.DUMMYFUNCTION("""COMPUTED_VALUE"""),1.2717176E7)</f>
        <v>12717176</v>
      </c>
      <c r="G79" s="67">
        <f>IFERROR(__xludf.DUMMYFUNCTION("""COMPUTED_VALUE"""),0.0259)</f>
        <v>0.0259</v>
      </c>
      <c r="H79" s="60" t="str">
        <f>IFERROR(__xludf.DUMMYFUNCTION("""COMPUTED_VALUE"""),"Poulet Yassa")</f>
        <v>Poulet Yassa</v>
      </c>
      <c r="I79" s="20"/>
      <c r="J79" s="20">
        <f>IFERROR(__xludf.DUMMYFUNCTION("""COMPUTED_VALUE"""),216.0)</f>
        <v>216</v>
      </c>
      <c r="K79" s="20" t="str">
        <f>IFERROR(__xludf.DUMMYFUNCTION("""COMPUTED_VALUE"""),"Turks and Caicos Islands")</f>
        <v>Turks and Caicos Islands</v>
      </c>
      <c r="L79" s="20" t="str">
        <f>IFERROR(__xludf.DUMMYFUNCTION("""COMPUTED_VALUE"""),"Americas")</f>
        <v>Americas</v>
      </c>
      <c r="M79" s="20" t="str">
        <f>IFERROR(__xludf.DUMMYFUNCTION("""COMPUTED_VALUE"""),"Caribbean")</f>
        <v>Caribbean</v>
      </c>
      <c r="N79" s="66">
        <f>IFERROR(__xludf.DUMMYFUNCTION("""COMPUTED_VALUE"""),34900.0)</f>
        <v>34900</v>
      </c>
      <c r="O79" s="66">
        <f>IFERROR(__xludf.DUMMYFUNCTION("""COMPUTED_VALUE"""),35446.0)</f>
        <v>35446</v>
      </c>
      <c r="P79" s="67">
        <f>IFERROR(__xludf.DUMMYFUNCTION("""COMPUTED_VALUE"""),0.0156)</f>
        <v>0.0156</v>
      </c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65">
        <f>IFERROR(__xludf.DUMMYFUNCTION("""COMPUTED_VALUE"""),76.0)</f>
        <v>76</v>
      </c>
      <c r="B80" s="65" t="str">
        <f>IFERROR(__xludf.DUMMYFUNCTION("""COMPUTED_VALUE"""),"South Sudan")</f>
        <v>South Sudan</v>
      </c>
      <c r="C80" s="20" t="str">
        <f>IFERROR(__xludf.DUMMYFUNCTION("""COMPUTED_VALUE"""),"Africa")</f>
        <v>Africa</v>
      </c>
      <c r="D80" s="20" t="str">
        <f>IFERROR(__xludf.DUMMYFUNCTION("""COMPUTED_VALUE"""),"Eastern Africa")</f>
        <v>Eastern Africa</v>
      </c>
      <c r="E80" s="66">
        <f>IFERROR(__xludf.DUMMYFUNCTION("""COMPUTED_VALUE"""),1.223073E7)</f>
        <v>12230730</v>
      </c>
      <c r="F80" s="66">
        <f>IFERROR(__xludf.DUMMYFUNCTION("""COMPUTED_VALUE"""),1.2575714E7)</f>
        <v>12575714</v>
      </c>
      <c r="G80" s="67">
        <f>IFERROR(__xludf.DUMMYFUNCTION("""COMPUTED_VALUE"""),0.0282)</f>
        <v>0.0282</v>
      </c>
      <c r="H80" s="60"/>
      <c r="I80" s="20"/>
      <c r="J80" s="20">
        <f>IFERROR(__xludf.DUMMYFUNCTION("""COMPUTED_VALUE"""),13.0)</f>
        <v>13</v>
      </c>
      <c r="K80" s="20" t="str">
        <f>IFERROR(__xludf.DUMMYFUNCTION("""COMPUTED_VALUE"""),"Philippines")</f>
        <v>Philippines</v>
      </c>
      <c r="L80" s="20" t="str">
        <f>IFERROR(__xludf.DUMMYFUNCTION("""COMPUTED_VALUE"""),"Asia")</f>
        <v>Asia</v>
      </c>
      <c r="M80" s="20" t="str">
        <f>IFERROR(__xludf.DUMMYFUNCTION("""COMPUTED_VALUE"""),"South-eastern Asia")</f>
        <v>South-eastern Asia</v>
      </c>
      <c r="N80" s="66">
        <f>IFERROR(__xludf.DUMMYFUNCTION("""COMPUTED_VALUE"""),1.03320222E8)</f>
        <v>103320222</v>
      </c>
      <c r="O80" s="66">
        <f>IFERROR(__xludf.DUMMYFUNCTION("""COMPUTED_VALUE"""),1.0491809E8)</f>
        <v>104918090</v>
      </c>
      <c r="P80" s="67">
        <f>IFERROR(__xludf.DUMMYFUNCTION("""COMPUTED_VALUE"""),0.0155)</f>
        <v>0.0155</v>
      </c>
      <c r="Q80" s="20" t="str">
        <f>IFERROR(__xludf.DUMMYFUNCTION("""COMPUTED_VALUE"""),"Adobo, Sinigang")</f>
        <v>Adobo, Sinigang</v>
      </c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65">
        <f>IFERROR(__xludf.DUMMYFUNCTION("""COMPUTED_VALUE"""),77.0)</f>
        <v>77</v>
      </c>
      <c r="B81" s="65" t="str">
        <f>IFERROR(__xludf.DUMMYFUNCTION("""COMPUTED_VALUE"""),"Rwanda")</f>
        <v>Rwanda</v>
      </c>
      <c r="C81" s="20" t="str">
        <f>IFERROR(__xludf.DUMMYFUNCTION("""COMPUTED_VALUE"""),"Africa")</f>
        <v>Africa</v>
      </c>
      <c r="D81" s="20" t="str">
        <f>IFERROR(__xludf.DUMMYFUNCTION("""COMPUTED_VALUE"""),"Eastern Africa")</f>
        <v>Eastern Africa</v>
      </c>
      <c r="E81" s="66">
        <f>IFERROR(__xludf.DUMMYFUNCTION("""COMPUTED_VALUE"""),1.1917508E7)</f>
        <v>11917508</v>
      </c>
      <c r="F81" s="66">
        <f>IFERROR(__xludf.DUMMYFUNCTION("""COMPUTED_VALUE"""),1.2208407E7)</f>
        <v>12208407</v>
      </c>
      <c r="G81" s="67">
        <f>IFERROR(__xludf.DUMMYFUNCTION("""COMPUTED_VALUE"""),0.0244)</f>
        <v>0.0244</v>
      </c>
      <c r="H81" s="60" t="str">
        <f>IFERROR(__xludf.DUMMYFUNCTION("""COMPUTED_VALUE"""),"Ugali")</f>
        <v>Ugali</v>
      </c>
      <c r="I81" s="20"/>
      <c r="J81" s="20">
        <f>IFERROR(__xludf.DUMMYFUNCTION("""COMPUTED_VALUE"""),19.0)</f>
        <v>19</v>
      </c>
      <c r="K81" s="20" t="str">
        <f>IFERROR(__xludf.DUMMYFUNCTION("""COMPUTED_VALUE"""),"Turkey")</f>
        <v>Turkey</v>
      </c>
      <c r="L81" s="20" t="str">
        <f>IFERROR(__xludf.DUMMYFUNCTION("""COMPUTED_VALUE"""),"Asia")</f>
        <v>Asia</v>
      </c>
      <c r="M81" s="20" t="str">
        <f>IFERROR(__xludf.DUMMYFUNCTION("""COMPUTED_VALUE"""),"Western Asia")</f>
        <v>Western Asia</v>
      </c>
      <c r="N81" s="66">
        <f>IFERROR(__xludf.DUMMYFUNCTION("""COMPUTED_VALUE"""),7.9512426E7)</f>
        <v>79512426</v>
      </c>
      <c r="O81" s="66">
        <f>IFERROR(__xludf.DUMMYFUNCTION("""COMPUTED_VALUE"""),8.074502E7)</f>
        <v>80745020</v>
      </c>
      <c r="P81" s="67">
        <f>IFERROR(__xludf.DUMMYFUNCTION("""COMPUTED_VALUE"""),0.0155)</f>
        <v>0.0155</v>
      </c>
      <c r="Q81" s="20" t="str">
        <f>IFERROR(__xludf.DUMMYFUNCTION("""COMPUTED_VALUE"""),"Döner, Kuru fasulye with pilav")</f>
        <v>Döner, Kuru fasulye with pilav</v>
      </c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65">
        <f>IFERROR(__xludf.DUMMYFUNCTION("""COMPUTED_VALUE"""),78.0)</f>
        <v>78</v>
      </c>
      <c r="B82" s="65" t="str">
        <f>IFERROR(__xludf.DUMMYFUNCTION("""COMPUTED_VALUE"""),"Tunisia")</f>
        <v>Tunisia</v>
      </c>
      <c r="C82" s="20" t="str">
        <f>IFERROR(__xludf.DUMMYFUNCTION("""COMPUTED_VALUE"""),"Africa")</f>
        <v>Africa</v>
      </c>
      <c r="D82" s="20" t="str">
        <f>IFERROR(__xludf.DUMMYFUNCTION("""COMPUTED_VALUE"""),"Northern Africa")</f>
        <v>Northern Africa</v>
      </c>
      <c r="E82" s="66">
        <f>IFERROR(__xludf.DUMMYFUNCTION("""COMPUTED_VALUE"""),1.1403248E7)</f>
        <v>11403248</v>
      </c>
      <c r="F82" s="66">
        <f>IFERROR(__xludf.DUMMYFUNCTION("""COMPUTED_VALUE"""),1.1532127E7)</f>
        <v>11532127</v>
      </c>
      <c r="G82" s="67">
        <f>IFERROR(__xludf.DUMMYFUNCTION("""COMPUTED_VALUE"""),0.0113)</f>
        <v>0.0113</v>
      </c>
      <c r="H82" s="60" t="str">
        <f>IFERROR(__xludf.DUMMYFUNCTION("""COMPUTED_VALUE"""),"Couscous, Kabkabou")</f>
        <v>Couscous, Kabkabou</v>
      </c>
      <c r="I82" s="20"/>
      <c r="J82" s="20">
        <f>IFERROR(__xludf.DUMMYFUNCTION("""COMPUTED_VALUE"""),160.0)</f>
        <v>160</v>
      </c>
      <c r="K82" s="20" t="str">
        <f>IFERROR(__xludf.DUMMYFUNCTION("""COMPUTED_VALUE"""),"Djibouti")</f>
        <v>Djibouti</v>
      </c>
      <c r="L82" s="20" t="str">
        <f>IFERROR(__xludf.DUMMYFUNCTION("""COMPUTED_VALUE"""),"Africa")</f>
        <v>Africa</v>
      </c>
      <c r="M82" s="20" t="str">
        <f>IFERROR(__xludf.DUMMYFUNCTION("""COMPUTED_VALUE"""),"Eastern Africa")</f>
        <v>Eastern Africa</v>
      </c>
      <c r="N82" s="66">
        <f>IFERROR(__xludf.DUMMYFUNCTION("""COMPUTED_VALUE"""),942333.0)</f>
        <v>942333</v>
      </c>
      <c r="O82" s="66">
        <f>IFERROR(__xludf.DUMMYFUNCTION("""COMPUTED_VALUE"""),956985.0)</f>
        <v>956985</v>
      </c>
      <c r="P82" s="67">
        <f>IFERROR(__xludf.DUMMYFUNCTION("""COMPUTED_VALUE"""),0.0155)</f>
        <v>0.0155</v>
      </c>
      <c r="Q82" s="20" t="str">
        <f>IFERROR(__xludf.DUMMYFUNCTION("""COMPUTED_VALUE"""),"Skoudehkaris")</f>
        <v>Skoudehkaris</v>
      </c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65">
        <f>IFERROR(__xludf.DUMMYFUNCTION("""COMPUTED_VALUE"""),79.0)</f>
        <v>79</v>
      </c>
      <c r="B83" s="65" t="str">
        <f>IFERROR(__xludf.DUMMYFUNCTION("""COMPUTED_VALUE"""),"Cuba")</f>
        <v>Cuba</v>
      </c>
      <c r="C83" s="20" t="str">
        <f>IFERROR(__xludf.DUMMYFUNCTION("""COMPUTED_VALUE"""),"Americas")</f>
        <v>Americas</v>
      </c>
      <c r="D83" s="20" t="str">
        <f>IFERROR(__xludf.DUMMYFUNCTION("""COMPUTED_VALUE"""),"Caribbean")</f>
        <v>Caribbean</v>
      </c>
      <c r="E83" s="66">
        <f>IFERROR(__xludf.DUMMYFUNCTION("""COMPUTED_VALUE"""),1.1475982E7)</f>
        <v>11475982</v>
      </c>
      <c r="F83" s="66">
        <f>IFERROR(__xludf.DUMMYFUNCTION("""COMPUTED_VALUE"""),1.1484636E7)</f>
        <v>11484636</v>
      </c>
      <c r="G83" s="67">
        <f>IFERROR(__xludf.DUMMYFUNCTION("""COMPUTED_VALUE"""),8.0E-4)</f>
        <v>0.0008</v>
      </c>
      <c r="H83" s="60" t="str">
        <f>IFERROR(__xludf.DUMMYFUNCTION("""COMPUTED_VALUE"""),"Ropa vieja, Moros y cristianos")</f>
        <v>Ropa vieja, Moros y cristianos</v>
      </c>
      <c r="I83" s="20"/>
      <c r="J83" s="20">
        <f>IFERROR(__xludf.DUMMYFUNCTION("""COMPUTED_VALUE"""),71.0)</f>
        <v>71</v>
      </c>
      <c r="K83" s="20" t="str">
        <f>IFERROR(__xludf.DUMMYFUNCTION("""COMPUTED_VALUE"""),"Cambodia")</f>
        <v>Cambodia</v>
      </c>
      <c r="L83" s="20" t="str">
        <f>IFERROR(__xludf.DUMMYFUNCTION("""COMPUTED_VALUE"""),"Asia")</f>
        <v>Asia</v>
      </c>
      <c r="M83" s="20" t="str">
        <f>IFERROR(__xludf.DUMMYFUNCTION("""COMPUTED_VALUE"""),"South-eastern Asia")</f>
        <v>South-eastern Asia</v>
      </c>
      <c r="N83" s="66">
        <f>IFERROR(__xludf.DUMMYFUNCTION("""COMPUTED_VALUE"""),1.576237E7)</f>
        <v>15762370</v>
      </c>
      <c r="O83" s="66">
        <f>IFERROR(__xludf.DUMMYFUNCTION("""COMPUTED_VALUE"""),1.6005373E7)</f>
        <v>16005373</v>
      </c>
      <c r="P83" s="67">
        <f>IFERROR(__xludf.DUMMYFUNCTION("""COMPUTED_VALUE"""),0.0154)</f>
        <v>0.0154</v>
      </c>
      <c r="Q83" s="20" t="str">
        <f>IFERROR(__xludf.DUMMYFUNCTION("""COMPUTED_VALUE"""),"Amok trey, Samlor Kako")</f>
        <v>Amok trey, Samlor Kako</v>
      </c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65">
        <f>IFERROR(__xludf.DUMMYFUNCTION("""COMPUTED_VALUE"""),80.0)</f>
        <v>80</v>
      </c>
      <c r="B84" s="65" t="str">
        <f>IFERROR(__xludf.DUMMYFUNCTION("""COMPUTED_VALUE"""),"Belgium")</f>
        <v>Belgium</v>
      </c>
      <c r="C84" s="20" t="str">
        <f>IFERROR(__xludf.DUMMYFUNCTION("""COMPUTED_VALUE"""),"Europe")</f>
        <v>Europe</v>
      </c>
      <c r="D84" s="20" t="str">
        <f>IFERROR(__xludf.DUMMYFUNCTION("""COMPUTED_VALUE"""),"Western Europe")</f>
        <v>Western Europe</v>
      </c>
      <c r="E84" s="66">
        <f>IFERROR(__xludf.DUMMYFUNCTION("""COMPUTED_VALUE"""),1.1358379E7)</f>
        <v>11358379</v>
      </c>
      <c r="F84" s="66">
        <f>IFERROR(__xludf.DUMMYFUNCTION("""COMPUTED_VALUE"""),1.1429336E7)</f>
        <v>11429336</v>
      </c>
      <c r="G84" s="67">
        <f>IFERROR(__xludf.DUMMYFUNCTION("""COMPUTED_VALUE"""),0.0062)</f>
        <v>0.0062</v>
      </c>
      <c r="H84" s="60" t="str">
        <f>IFERROR(__xludf.DUMMYFUNCTION("""COMPUTED_VALUE"""),"Moules-frites, Belgian waffle, frites")</f>
        <v>Moules-frites, Belgian waffle, frites</v>
      </c>
      <c r="I84" s="20"/>
      <c r="J84" s="20">
        <f>IFERROR(__xludf.DUMMYFUNCTION("""COMPUTED_VALUE"""),115.0)</f>
        <v>115</v>
      </c>
      <c r="K84" s="20" t="str">
        <f>IFERROR(__xludf.DUMMYFUNCTION("""COMPUTED_VALUE"""),"Singapore")</f>
        <v>Singapore</v>
      </c>
      <c r="L84" s="20" t="str">
        <f>IFERROR(__xludf.DUMMYFUNCTION("""COMPUTED_VALUE"""),"Asia")</f>
        <v>Asia</v>
      </c>
      <c r="M84" s="20" t="str">
        <f>IFERROR(__xludf.DUMMYFUNCTION("""COMPUTED_VALUE"""),"South-eastern Asia")</f>
        <v>South-eastern Asia</v>
      </c>
      <c r="N84" s="66">
        <f>IFERROR(__xludf.DUMMYFUNCTION("""COMPUTED_VALUE"""),5622455.0)</f>
        <v>5622455</v>
      </c>
      <c r="O84" s="66">
        <f>IFERROR(__xludf.DUMMYFUNCTION("""COMPUTED_VALUE"""),5708844.0)</f>
        <v>5708844</v>
      </c>
      <c r="P84" s="67">
        <f>IFERROR(__xludf.DUMMYFUNCTION("""COMPUTED_VALUE"""),0.0154)</f>
        <v>0.0154</v>
      </c>
      <c r="Q84" s="20" t="str">
        <f>IFERROR(__xludf.DUMMYFUNCTION("""COMPUTED_VALUE"""),"Chilli crab, Hainanese Chicken Rice")</f>
        <v>Chilli crab, Hainanese Chicken Rice</v>
      </c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65">
        <f>IFERROR(__xludf.DUMMYFUNCTION("""COMPUTED_VALUE"""),81.0)</f>
        <v>81</v>
      </c>
      <c r="B85" s="65" t="str">
        <f>IFERROR(__xludf.DUMMYFUNCTION("""COMPUTED_VALUE"""),"Benin")</f>
        <v>Benin</v>
      </c>
      <c r="C85" s="20" t="str">
        <f>IFERROR(__xludf.DUMMYFUNCTION("""COMPUTED_VALUE"""),"Africa")</f>
        <v>Africa</v>
      </c>
      <c r="D85" s="20" t="str">
        <f>IFERROR(__xludf.DUMMYFUNCTION("""COMPUTED_VALUE"""),"Western Africa")</f>
        <v>Western Africa</v>
      </c>
      <c r="E85" s="66">
        <f>IFERROR(__xludf.DUMMYFUNCTION("""COMPUTED_VALUE"""),1.0872298E7)</f>
        <v>10872298</v>
      </c>
      <c r="F85" s="66">
        <f>IFERROR(__xludf.DUMMYFUNCTION("""COMPUTED_VALUE"""),1.1175692E7)</f>
        <v>11175692</v>
      </c>
      <c r="G85" s="67">
        <f>IFERROR(__xludf.DUMMYFUNCTION("""COMPUTED_VALUE"""),0.0279)</f>
        <v>0.0279</v>
      </c>
      <c r="H85" s="60" t="str">
        <f>IFERROR(__xludf.DUMMYFUNCTION("""COMPUTED_VALUE"""),"Kuli Kuli")</f>
        <v>Kuli Kuli</v>
      </c>
      <c r="I85" s="20"/>
      <c r="J85" s="20">
        <f>IFERROR(__xludf.DUMMYFUNCTION("""COMPUTED_VALUE"""),220.0)</f>
        <v>220</v>
      </c>
      <c r="K85" s="20" t="str">
        <f>IFERROR(__xludf.DUMMYFUNCTION("""COMPUTED_VALUE"""),"Caribbean Netherlands")</f>
        <v>Caribbean Netherlands</v>
      </c>
      <c r="L85" s="20" t="str">
        <f>IFERROR(__xludf.DUMMYFUNCTION("""COMPUTED_VALUE"""),"Americas")</f>
        <v>Americas</v>
      </c>
      <c r="M85" s="20" t="str">
        <f>IFERROR(__xludf.DUMMYFUNCTION("""COMPUTED_VALUE"""),"Caribbean")</f>
        <v>Caribbean</v>
      </c>
      <c r="N85" s="66">
        <f>IFERROR(__xludf.DUMMYFUNCTION("""COMPUTED_VALUE"""),25019.0)</f>
        <v>25019</v>
      </c>
      <c r="O85" s="66">
        <f>IFERROR(__xludf.DUMMYFUNCTION("""COMPUTED_VALUE"""),25398.0)</f>
        <v>25398</v>
      </c>
      <c r="P85" s="67">
        <f>IFERROR(__xludf.DUMMYFUNCTION("""COMPUTED_VALUE"""),0.0151)</f>
        <v>0.0151</v>
      </c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65">
        <f>IFERROR(__xludf.DUMMYFUNCTION("""COMPUTED_VALUE"""),82.0)</f>
        <v>82</v>
      </c>
      <c r="B86" s="65" t="str">
        <f>IFERROR(__xludf.DUMMYFUNCTION("""COMPUTED_VALUE"""),"Greece")</f>
        <v>Greece</v>
      </c>
      <c r="C86" s="20" t="str">
        <f>IFERROR(__xludf.DUMMYFUNCTION("""COMPUTED_VALUE"""),"Europe")</f>
        <v>Europe</v>
      </c>
      <c r="D86" s="20" t="str">
        <f>IFERROR(__xludf.DUMMYFUNCTION("""COMPUTED_VALUE"""),"Southern Europe")</f>
        <v>Southern Europe</v>
      </c>
      <c r="E86" s="66">
        <f>IFERROR(__xludf.DUMMYFUNCTION("""COMPUTED_VALUE"""),1.1183716E7)</f>
        <v>11183716</v>
      </c>
      <c r="F86" s="66">
        <f>IFERROR(__xludf.DUMMYFUNCTION("""COMPUTED_VALUE"""),1.1159773E7)</f>
        <v>11159773</v>
      </c>
      <c r="G86" s="67">
        <f>IFERROR(__xludf.DUMMYFUNCTION("""COMPUTED_VALUE"""),-0.0021)</f>
        <v>-0.0021</v>
      </c>
      <c r="H86" s="60" t="str">
        <f>IFERROR(__xludf.DUMMYFUNCTION("""COMPUTED_VALUE"""),"Gyro, moussaka, Souvlaki, Magiritsa, Kokoretsi; Fasolada,")</f>
        <v>Gyro, moussaka, Souvlaki, Magiritsa, Kokoretsi; Fasolada,</v>
      </c>
      <c r="I86" s="20"/>
      <c r="J86" s="20">
        <f>IFERROR(__xludf.DUMMYFUNCTION("""COMPUTED_VALUE"""),83.0)</f>
        <v>83</v>
      </c>
      <c r="K86" s="20" t="str">
        <f>IFERROR(__xludf.DUMMYFUNCTION("""COMPUTED_VALUE"""),"Bolivia")</f>
        <v>Bolivia</v>
      </c>
      <c r="L86" s="20" t="str">
        <f>IFERROR(__xludf.DUMMYFUNCTION("""COMPUTED_VALUE"""),"Americas")</f>
        <v>Americas</v>
      </c>
      <c r="M86" s="20" t="str">
        <f>IFERROR(__xludf.DUMMYFUNCTION("""COMPUTED_VALUE"""),"South America")</f>
        <v>South America</v>
      </c>
      <c r="N86" s="66">
        <f>IFERROR(__xludf.DUMMYFUNCTION("""COMPUTED_VALUE"""),1.0887882E7)</f>
        <v>10887882</v>
      </c>
      <c r="O86" s="66">
        <f>IFERROR(__xludf.DUMMYFUNCTION("""COMPUTED_VALUE"""),1.10516E7)</f>
        <v>11051600</v>
      </c>
      <c r="P86" s="67">
        <f>IFERROR(__xludf.DUMMYFUNCTION("""COMPUTED_VALUE"""),0.015)</f>
        <v>0.015</v>
      </c>
      <c r="Q86" s="20" t="str">
        <f>IFERROR(__xludf.DUMMYFUNCTION("""COMPUTED_VALUE"""),"Salteñas")</f>
        <v>Salteñas</v>
      </c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65">
        <f>IFERROR(__xludf.DUMMYFUNCTION("""COMPUTED_VALUE"""),83.0)</f>
        <v>83</v>
      </c>
      <c r="B87" s="65" t="str">
        <f>IFERROR(__xludf.DUMMYFUNCTION("""COMPUTED_VALUE"""),"Bolivia")</f>
        <v>Bolivia</v>
      </c>
      <c r="C87" s="20" t="str">
        <f>IFERROR(__xludf.DUMMYFUNCTION("""COMPUTED_VALUE"""),"Americas")</f>
        <v>Americas</v>
      </c>
      <c r="D87" s="20" t="str">
        <f>IFERROR(__xludf.DUMMYFUNCTION("""COMPUTED_VALUE"""),"South America")</f>
        <v>South America</v>
      </c>
      <c r="E87" s="66">
        <f>IFERROR(__xludf.DUMMYFUNCTION("""COMPUTED_VALUE"""),1.0887882E7)</f>
        <v>10887882</v>
      </c>
      <c r="F87" s="66">
        <f>IFERROR(__xludf.DUMMYFUNCTION("""COMPUTED_VALUE"""),1.10516E7)</f>
        <v>11051600</v>
      </c>
      <c r="G87" s="67">
        <f>IFERROR(__xludf.DUMMYFUNCTION("""COMPUTED_VALUE"""),0.015)</f>
        <v>0.015</v>
      </c>
      <c r="H87" s="60" t="str">
        <f>IFERROR(__xludf.DUMMYFUNCTION("""COMPUTED_VALUE"""),"Salteñas")</f>
        <v>Salteñas</v>
      </c>
      <c r="I87" s="20"/>
      <c r="J87" s="20">
        <f>IFERROR(__xludf.DUMMYFUNCTION("""COMPUTED_VALUE"""),112.0)</f>
        <v>112</v>
      </c>
      <c r="K87" s="20" t="str">
        <f>IFERROR(__xludf.DUMMYFUNCTION("""COMPUTED_VALUE"""),"Kyrgyzstan")</f>
        <v>Kyrgyzstan</v>
      </c>
      <c r="L87" s="20" t="str">
        <f>IFERROR(__xludf.DUMMYFUNCTION("""COMPUTED_VALUE"""),"Asia")</f>
        <v>Asia</v>
      </c>
      <c r="M87" s="20" t="str">
        <f>IFERROR(__xludf.DUMMYFUNCTION("""COMPUTED_VALUE"""),"Central Asia")</f>
        <v>Central Asia</v>
      </c>
      <c r="N87" s="66">
        <f>IFERROR(__xludf.DUMMYFUNCTION("""COMPUTED_VALUE"""),5955734.0)</f>
        <v>5955734</v>
      </c>
      <c r="O87" s="66">
        <f>IFERROR(__xludf.DUMMYFUNCTION("""COMPUTED_VALUE"""),6045117.0)</f>
        <v>6045117</v>
      </c>
      <c r="P87" s="67">
        <f>IFERROR(__xludf.DUMMYFUNCTION("""COMPUTED_VALUE"""),0.015)</f>
        <v>0.015</v>
      </c>
      <c r="Q87" s="20" t="str">
        <f>IFERROR(__xludf.DUMMYFUNCTION("""COMPUTED_VALUE"""),"Beshbarmak, Laghman, Kuurdak")</f>
        <v>Beshbarmak, Laghman, Kuurdak</v>
      </c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65">
        <f>IFERROR(__xludf.DUMMYFUNCTION("""COMPUTED_VALUE"""),84.0)</f>
        <v>84</v>
      </c>
      <c r="B88" s="65" t="str">
        <f>IFERROR(__xludf.DUMMYFUNCTION("""COMPUTED_VALUE"""),"Haiti")</f>
        <v>Haiti</v>
      </c>
      <c r="C88" s="20" t="str">
        <f>IFERROR(__xludf.DUMMYFUNCTION("""COMPUTED_VALUE"""),"Americas")</f>
        <v>Americas</v>
      </c>
      <c r="D88" s="20" t="str">
        <f>IFERROR(__xludf.DUMMYFUNCTION("""COMPUTED_VALUE"""),"Caribbean")</f>
        <v>Caribbean</v>
      </c>
      <c r="E88" s="66">
        <f>IFERROR(__xludf.DUMMYFUNCTION("""COMPUTED_VALUE"""),1.0847334E7)</f>
        <v>10847334</v>
      </c>
      <c r="F88" s="66">
        <f>IFERROR(__xludf.DUMMYFUNCTION("""COMPUTED_VALUE"""),1.0981229E7)</f>
        <v>10981229</v>
      </c>
      <c r="G88" s="67">
        <f>IFERROR(__xludf.DUMMYFUNCTION("""COMPUTED_VALUE"""),0.0123)</f>
        <v>0.0123</v>
      </c>
      <c r="H88" s="60" t="str">
        <f>IFERROR(__xludf.DUMMYFUNCTION("""COMPUTED_VALUE"""),"Red beans and rice (unofficial), Diri ak djon djon")</f>
        <v>Red beans and rice (unofficial), Diri ak djon djon</v>
      </c>
      <c r="I88" s="20"/>
      <c r="J88" s="20">
        <f>IFERROR(__xludf.DUMMYFUNCTION("""COMPUTED_VALUE"""),44.0)</f>
        <v>44</v>
      </c>
      <c r="K88" s="20" t="str">
        <f>IFERROR(__xludf.DUMMYFUNCTION("""COMPUTED_VALUE"""),"Uzbekistan")</f>
        <v>Uzbekistan</v>
      </c>
      <c r="L88" s="20" t="str">
        <f>IFERROR(__xludf.DUMMYFUNCTION("""COMPUTED_VALUE"""),"Asia")</f>
        <v>Asia</v>
      </c>
      <c r="M88" s="20" t="str">
        <f>IFERROR(__xludf.DUMMYFUNCTION("""COMPUTED_VALUE"""),"Central Asia")</f>
        <v>Central Asia</v>
      </c>
      <c r="N88" s="66">
        <f>IFERROR(__xludf.DUMMYFUNCTION("""COMPUTED_VALUE"""),3.1446795E7)</f>
        <v>31446795</v>
      </c>
      <c r="O88" s="66">
        <f>IFERROR(__xludf.DUMMYFUNCTION("""COMPUTED_VALUE"""),3.1910641E7)</f>
        <v>31910641</v>
      </c>
      <c r="P88" s="67">
        <f>IFERROR(__xludf.DUMMYFUNCTION("""COMPUTED_VALUE"""),0.0148)</f>
        <v>0.0148</v>
      </c>
      <c r="Q88" s="20" t="str">
        <f>IFERROR(__xludf.DUMMYFUNCTION("""COMPUTED_VALUE"""),"O'sh (pilaf)")</f>
        <v>O'sh (pilaf)</v>
      </c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65">
        <f>IFERROR(__xludf.DUMMYFUNCTION("""COMPUTED_VALUE"""),85.0)</f>
        <v>85</v>
      </c>
      <c r="B89" s="65" t="str">
        <f>IFERROR(__xludf.DUMMYFUNCTION("""COMPUTED_VALUE"""),"Burundi")</f>
        <v>Burundi</v>
      </c>
      <c r="C89" s="20" t="str">
        <f>IFERROR(__xludf.DUMMYFUNCTION("""COMPUTED_VALUE"""),"Africa")</f>
        <v>Africa</v>
      </c>
      <c r="D89" s="20" t="str">
        <f>IFERROR(__xludf.DUMMYFUNCTION("""COMPUTED_VALUE"""),"Eastern Africa")</f>
        <v>Eastern Africa</v>
      </c>
      <c r="E89" s="66">
        <f>IFERROR(__xludf.DUMMYFUNCTION("""COMPUTED_VALUE"""),1.0524117E7)</f>
        <v>10524117</v>
      </c>
      <c r="F89" s="66">
        <f>IFERROR(__xludf.DUMMYFUNCTION("""COMPUTED_VALUE"""),1.0864245E7)</f>
        <v>10864245</v>
      </c>
      <c r="G89" s="67">
        <f>IFERROR(__xludf.DUMMYFUNCTION("""COMPUTED_VALUE"""),0.0323)</f>
        <v>0.0323</v>
      </c>
      <c r="H89" s="60" t="str">
        <f>IFERROR(__xludf.DUMMYFUNCTION("""COMPUTED_VALUE"""),"Elephant soup")</f>
        <v>Elephant soup</v>
      </c>
      <c r="I89" s="20"/>
      <c r="J89" s="20">
        <f>IFERROR(__xludf.DUMMYFUNCTION("""COMPUTED_VALUE"""),106.0)</f>
        <v>106</v>
      </c>
      <c r="K89" s="20" t="str">
        <f>IFERROR(__xludf.DUMMYFUNCTION("""COMPUTED_VALUE"""),"Laos")</f>
        <v>Laos</v>
      </c>
      <c r="L89" s="20" t="str">
        <f>IFERROR(__xludf.DUMMYFUNCTION("""COMPUTED_VALUE"""),"Asia")</f>
        <v>Asia</v>
      </c>
      <c r="M89" s="20" t="str">
        <f>IFERROR(__xludf.DUMMYFUNCTION("""COMPUTED_VALUE"""),"South-eastern Asia")</f>
        <v>South-eastern Asia</v>
      </c>
      <c r="N89" s="66">
        <f>IFERROR(__xludf.DUMMYFUNCTION("""COMPUTED_VALUE"""),6758353.0)</f>
        <v>6758353</v>
      </c>
      <c r="O89" s="66">
        <f>IFERROR(__xludf.DUMMYFUNCTION("""COMPUTED_VALUE"""),6858160.0)</f>
        <v>6858160</v>
      </c>
      <c r="P89" s="67">
        <f>IFERROR(__xludf.DUMMYFUNCTION("""COMPUTED_VALUE"""),0.0148)</f>
        <v>0.0148</v>
      </c>
      <c r="Q89" s="20" t="str">
        <f>IFERROR(__xludf.DUMMYFUNCTION("""COMPUTED_VALUE"""),"Tum Mak Hoong (Green papaya salad), Larb with sticky rice")</f>
        <v>Tum Mak Hoong (Green papaya salad), Larb with sticky rice</v>
      </c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65">
        <f>IFERROR(__xludf.DUMMYFUNCTION("""COMPUTED_VALUE"""),86.0)</f>
        <v>86</v>
      </c>
      <c r="B90" s="65" t="str">
        <f>IFERROR(__xludf.DUMMYFUNCTION("""COMPUTED_VALUE"""),"Dominican Republic")</f>
        <v>Dominican Republic</v>
      </c>
      <c r="C90" s="20" t="str">
        <f>IFERROR(__xludf.DUMMYFUNCTION("""COMPUTED_VALUE"""),"Americas")</f>
        <v>Americas</v>
      </c>
      <c r="D90" s="20" t="str">
        <f>IFERROR(__xludf.DUMMYFUNCTION("""COMPUTED_VALUE"""),"Caribbean")</f>
        <v>Caribbean</v>
      </c>
      <c r="E90" s="66">
        <f>IFERROR(__xludf.DUMMYFUNCTION("""COMPUTED_VALUE"""),1.0648791E7)</f>
        <v>10648791</v>
      </c>
      <c r="F90" s="66">
        <f>IFERROR(__xludf.DUMMYFUNCTION("""COMPUTED_VALUE"""),1.0766998E7)</f>
        <v>10766998</v>
      </c>
      <c r="G90" s="67">
        <f>IFERROR(__xludf.DUMMYFUNCTION("""COMPUTED_VALUE"""),0.0111)</f>
        <v>0.0111</v>
      </c>
      <c r="H90" s="60" t="str">
        <f>IFERROR(__xludf.DUMMYFUNCTION("""COMPUTED_VALUE"""),"La Bandera (""The Flag""; rice, red beans, and meat (beef, chicken, pork, or fish), Sancocho")</f>
        <v>La Bandera ("The Flag"; rice, red beans, and meat (beef, chicken, pork, or fish), Sancocho</v>
      </c>
      <c r="I90" s="20"/>
      <c r="J90" s="20">
        <f>IFERROR(__xludf.DUMMYFUNCTION("""COMPUTED_VALUE"""),213.0)</f>
        <v>213</v>
      </c>
      <c r="K90" s="20" t="str">
        <f>IFERROR(__xludf.DUMMYFUNCTION("""COMPUTED_VALUE"""),"Sint Maarten")</f>
        <v>Sint Maarten</v>
      </c>
      <c r="L90" s="20" t="str">
        <f>IFERROR(__xludf.DUMMYFUNCTION("""COMPUTED_VALUE"""),"Americas")</f>
        <v>Americas</v>
      </c>
      <c r="M90" s="20" t="str">
        <f>IFERROR(__xludf.DUMMYFUNCTION("""COMPUTED_VALUE"""),"Caribbean")</f>
        <v>Caribbean</v>
      </c>
      <c r="N90" s="66">
        <f>IFERROR(__xludf.DUMMYFUNCTION("""COMPUTED_VALUE"""),39537.0)</f>
        <v>39537</v>
      </c>
      <c r="O90" s="66">
        <f>IFERROR(__xludf.DUMMYFUNCTION("""COMPUTED_VALUE"""),40120.0)</f>
        <v>40120</v>
      </c>
      <c r="P90" s="67">
        <f>IFERROR(__xludf.DUMMYFUNCTION("""COMPUTED_VALUE"""),0.0147)</f>
        <v>0.0147</v>
      </c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65">
        <f>IFERROR(__xludf.DUMMYFUNCTION("""COMPUTED_VALUE"""),87.0)</f>
        <v>87</v>
      </c>
      <c r="B91" s="65" t="str">
        <f>IFERROR(__xludf.DUMMYFUNCTION("""COMPUTED_VALUE"""),"Czech Republic")</f>
        <v>Czech Republic</v>
      </c>
      <c r="C91" s="20" t="str">
        <f>IFERROR(__xludf.DUMMYFUNCTION("""COMPUTED_VALUE"""),"Europe")</f>
        <v>Europe</v>
      </c>
      <c r="D91" s="20" t="str">
        <f>IFERROR(__xludf.DUMMYFUNCTION("""COMPUTED_VALUE"""),"Eastern Europe")</f>
        <v>Eastern Europe</v>
      </c>
      <c r="E91" s="66">
        <f>IFERROR(__xludf.DUMMYFUNCTION("""COMPUTED_VALUE"""),1.0610947E7)</f>
        <v>10610947</v>
      </c>
      <c r="F91" s="66">
        <f>IFERROR(__xludf.DUMMYFUNCTION("""COMPUTED_VALUE"""),1.0618303E7)</f>
        <v>10618303</v>
      </c>
      <c r="G91" s="67">
        <f>IFERROR(__xludf.DUMMYFUNCTION("""COMPUTED_VALUE"""),7.0E-4)</f>
        <v>0.0007</v>
      </c>
      <c r="H91" s="60" t="str">
        <f>IFERROR(__xludf.DUMMYFUNCTION("""COMPUTED_VALUE"""),"Vepřo knedlo zelo (roast pork with dumplings and sauerkraut), Svíčková")</f>
        <v>Vepřo knedlo zelo (roast pork with dumplings and sauerkraut), Svíčková</v>
      </c>
      <c r="I91" s="20"/>
      <c r="J91" s="20">
        <f>IFERROR(__xludf.DUMMYFUNCTION("""COMPUTED_VALUE"""),69.0)</f>
        <v>69</v>
      </c>
      <c r="K91" s="20" t="str">
        <f>IFERROR(__xludf.DUMMYFUNCTION("""COMPUTED_VALUE"""),"Ecuador")</f>
        <v>Ecuador</v>
      </c>
      <c r="L91" s="20" t="str">
        <f>IFERROR(__xludf.DUMMYFUNCTION("""COMPUTED_VALUE"""),"Americas")</f>
        <v>Americas</v>
      </c>
      <c r="M91" s="20" t="str">
        <f>IFERROR(__xludf.DUMMYFUNCTION("""COMPUTED_VALUE"""),"South America")</f>
        <v>South America</v>
      </c>
      <c r="N91" s="66">
        <f>IFERROR(__xludf.DUMMYFUNCTION("""COMPUTED_VALUE"""),1.6385068E7)</f>
        <v>16385068</v>
      </c>
      <c r="O91" s="66">
        <f>IFERROR(__xludf.DUMMYFUNCTION("""COMPUTED_VALUE"""),1.6624858E7)</f>
        <v>16624858</v>
      </c>
      <c r="P91" s="67">
        <f>IFERROR(__xludf.DUMMYFUNCTION("""COMPUTED_VALUE"""),0.0146)</f>
        <v>0.0146</v>
      </c>
      <c r="Q91" s="20" t="str">
        <f>IFERROR(__xludf.DUMMYFUNCTION("""COMPUTED_VALUE"""),"Encebollado, Fritada, Guatitas, Ceviche")</f>
        <v>Encebollado, Fritada, Guatitas, Ceviche</v>
      </c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65">
        <f>IFERROR(__xludf.DUMMYFUNCTION("""COMPUTED_VALUE"""),88.0)</f>
        <v>88</v>
      </c>
      <c r="B92" s="65" t="str">
        <f>IFERROR(__xludf.DUMMYFUNCTION("""COMPUTED_VALUE"""),"Portugal")</f>
        <v>Portugal</v>
      </c>
      <c r="C92" s="20" t="str">
        <f>IFERROR(__xludf.DUMMYFUNCTION("""COMPUTED_VALUE"""),"Europe")</f>
        <v>Europe</v>
      </c>
      <c r="D92" s="20" t="str">
        <f>IFERROR(__xludf.DUMMYFUNCTION("""COMPUTED_VALUE"""),"Southern Europe")</f>
        <v>Southern Europe</v>
      </c>
      <c r="E92" s="66">
        <f>IFERROR(__xludf.DUMMYFUNCTION("""COMPUTED_VALUE"""),1.0371627E7)</f>
        <v>10371627</v>
      </c>
      <c r="F92" s="66">
        <f>IFERROR(__xludf.DUMMYFUNCTION("""COMPUTED_VALUE"""),1.0329506E7)</f>
        <v>10329506</v>
      </c>
      <c r="G92" s="67">
        <f>IFERROR(__xludf.DUMMYFUNCTION("""COMPUTED_VALUE"""),-0.0041)</f>
        <v>-0.0041</v>
      </c>
      <c r="H92" s="60" t="str">
        <f>IFERROR(__xludf.DUMMYFUNCTION("""COMPUTED_VALUE"""),"Cozido à Portuguesa, Bacalhau, Francesinha")</f>
        <v>Cozido à Portuguesa, Bacalhau, Francesinha</v>
      </c>
      <c r="I92" s="20"/>
      <c r="J92" s="20">
        <f>IFERROR(__xludf.DUMMYFUNCTION("""COMPUTED_VALUE"""),94.0)</f>
        <v>94</v>
      </c>
      <c r="K92" s="20" t="str">
        <f>IFERROR(__xludf.DUMMYFUNCTION("""COMPUTED_VALUE"""),"United Arab Emirates")</f>
        <v>United Arab Emirates</v>
      </c>
      <c r="L92" s="20" t="str">
        <f>IFERROR(__xludf.DUMMYFUNCTION("""COMPUTED_VALUE"""),"Asia")</f>
        <v>Asia</v>
      </c>
      <c r="M92" s="20" t="str">
        <f>IFERROR(__xludf.DUMMYFUNCTION("""COMPUTED_VALUE"""),"Western Asia")</f>
        <v>Western Asia</v>
      </c>
      <c r="N92" s="66">
        <f>IFERROR(__xludf.DUMMYFUNCTION("""COMPUTED_VALUE"""),9269612.0)</f>
        <v>9269612</v>
      </c>
      <c r="O92" s="66">
        <f>IFERROR(__xludf.DUMMYFUNCTION("""COMPUTED_VALUE"""),9400145.0)</f>
        <v>9400145</v>
      </c>
      <c r="P92" s="67">
        <f>IFERROR(__xludf.DUMMYFUNCTION("""COMPUTED_VALUE"""),0.0141)</f>
        <v>0.0141</v>
      </c>
      <c r="Q92" s="20" t="str">
        <f>IFERROR(__xludf.DUMMYFUNCTION("""COMPUTED_VALUE"""),"Biryani")</f>
        <v>Biryani</v>
      </c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65">
        <f>IFERROR(__xludf.DUMMYFUNCTION("""COMPUTED_VALUE"""),89.0)</f>
        <v>89</v>
      </c>
      <c r="B93" s="65" t="str">
        <f>IFERROR(__xludf.DUMMYFUNCTION("""COMPUTED_VALUE"""),"Sweden")</f>
        <v>Sweden</v>
      </c>
      <c r="C93" s="20" t="str">
        <f>IFERROR(__xludf.DUMMYFUNCTION("""COMPUTED_VALUE"""),"Europe")</f>
        <v>Europe</v>
      </c>
      <c r="D93" s="20" t="str">
        <f>IFERROR(__xludf.DUMMYFUNCTION("""COMPUTED_VALUE"""),"Northern Europe")</f>
        <v>Northern Europe</v>
      </c>
      <c r="E93" s="66">
        <f>IFERROR(__xludf.DUMMYFUNCTION("""COMPUTED_VALUE"""),9837533.0)</f>
        <v>9837533</v>
      </c>
      <c r="F93" s="66">
        <f>IFERROR(__xludf.DUMMYFUNCTION("""COMPUTED_VALUE"""),9910701.0)</f>
        <v>9910701</v>
      </c>
      <c r="G93" s="67">
        <f>IFERROR(__xludf.DUMMYFUNCTION("""COMPUTED_VALUE"""),0.0074)</f>
        <v>0.0074</v>
      </c>
      <c r="H93" s="60" t="str">
        <f>IFERROR(__xludf.DUMMYFUNCTION("""COMPUTED_VALUE"""),"Köttbullar, Kräftskiva, Surströmming, Ostkaka")</f>
        <v>Köttbullar, Kräftskiva, Surströmming, Ostkaka</v>
      </c>
      <c r="I93" s="20"/>
      <c r="J93" s="20">
        <f>IFERROR(__xludf.DUMMYFUNCTION("""COMPUTED_VALUE"""),45.0)</f>
        <v>45</v>
      </c>
      <c r="K93" s="20" t="str">
        <f>IFERROR(__xludf.DUMMYFUNCTION("""COMPUTED_VALUE"""),"Malaysia")</f>
        <v>Malaysia</v>
      </c>
      <c r="L93" s="20" t="str">
        <f>IFERROR(__xludf.DUMMYFUNCTION("""COMPUTED_VALUE"""),"Asia")</f>
        <v>Asia</v>
      </c>
      <c r="M93" s="20" t="str">
        <f>IFERROR(__xludf.DUMMYFUNCTION("""COMPUTED_VALUE"""),"South-eastern Asia")</f>
        <v>South-eastern Asia</v>
      </c>
      <c r="N93" s="66">
        <f>IFERROR(__xludf.DUMMYFUNCTION("""COMPUTED_VALUE"""),3.1187265E7)</f>
        <v>31187265</v>
      </c>
      <c r="O93" s="66">
        <f>IFERROR(__xludf.DUMMYFUNCTION("""COMPUTED_VALUE"""),3.1624264E7)</f>
        <v>31624264</v>
      </c>
      <c r="P93" s="67">
        <f>IFERROR(__xludf.DUMMYFUNCTION("""COMPUTED_VALUE"""),0.014)</f>
        <v>0.014</v>
      </c>
      <c r="Q93" s="20" t="str">
        <f>IFERROR(__xludf.DUMMYFUNCTION("""COMPUTED_VALUE"""),"Nasi lemak, Satay, Laksa, Roti canai")</f>
        <v>Nasi lemak, Satay, Laksa, Roti canai</v>
      </c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65">
        <f>IFERROR(__xludf.DUMMYFUNCTION("""COMPUTED_VALUE"""),90.0)</f>
        <v>90</v>
      </c>
      <c r="B94" s="65" t="str">
        <f>IFERROR(__xludf.DUMMYFUNCTION("""COMPUTED_VALUE"""),"Azerbaijan")</f>
        <v>Azerbaijan</v>
      </c>
      <c r="C94" s="20" t="str">
        <f>IFERROR(__xludf.DUMMYFUNCTION("""COMPUTED_VALUE"""),"Asia")</f>
        <v>Asia</v>
      </c>
      <c r="D94" s="20" t="str">
        <f>IFERROR(__xludf.DUMMYFUNCTION("""COMPUTED_VALUE"""),"Western Asia")</f>
        <v>Western Asia</v>
      </c>
      <c r="E94" s="66">
        <f>IFERROR(__xludf.DUMMYFUNCTION("""COMPUTED_VALUE"""),9725376.0)</f>
        <v>9725376</v>
      </c>
      <c r="F94" s="66">
        <f>IFERROR(__xludf.DUMMYFUNCTION("""COMPUTED_VALUE"""),9827589.0)</f>
        <v>9827589</v>
      </c>
      <c r="G94" s="67">
        <f>IFERROR(__xludf.DUMMYFUNCTION("""COMPUTED_VALUE"""),0.0105)</f>
        <v>0.0105</v>
      </c>
      <c r="H94" s="60" t="str">
        <f>IFERROR(__xludf.DUMMYFUNCTION("""COMPUTED_VALUE"""),"Dolma, qutab")</f>
        <v>Dolma, qutab</v>
      </c>
      <c r="I94" s="20"/>
      <c r="J94" s="20">
        <f>IFERROR(__xludf.DUMMYFUNCTION("""COMPUTED_VALUE"""),126.0)</f>
        <v>126</v>
      </c>
      <c r="K94" s="20" t="str">
        <f>IFERROR(__xludf.DUMMYFUNCTION("""COMPUTED_VALUE"""),"Central African Republic")</f>
        <v>Central African Republic</v>
      </c>
      <c r="L94" s="20" t="str">
        <f>IFERROR(__xludf.DUMMYFUNCTION("""COMPUTED_VALUE"""),"Africa")</f>
        <v>Africa</v>
      </c>
      <c r="M94" s="20" t="str">
        <f>IFERROR(__xludf.DUMMYFUNCTION("""COMPUTED_VALUE"""),"Middle Africa")</f>
        <v>Middle Africa</v>
      </c>
      <c r="N94" s="66">
        <f>IFERROR(__xludf.DUMMYFUNCTION("""COMPUTED_VALUE"""),4594621.0)</f>
        <v>4594621</v>
      </c>
      <c r="O94" s="66">
        <f>IFERROR(__xludf.DUMMYFUNCTION("""COMPUTED_VALUE"""),4659080.0)</f>
        <v>4659080</v>
      </c>
      <c r="P94" s="67">
        <f>IFERROR(__xludf.DUMMYFUNCTION("""COMPUTED_VALUE"""),0.014)</f>
        <v>0.014</v>
      </c>
      <c r="Q94" s="20" t="str">
        <f>IFERROR(__xludf.DUMMYFUNCTION("""COMPUTED_VALUE"""),"Cassava fufu, Peanut soup")</f>
        <v>Cassava fufu, Peanut soup</v>
      </c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65">
        <f>IFERROR(__xludf.DUMMYFUNCTION("""COMPUTED_VALUE"""),91.0)</f>
        <v>91</v>
      </c>
      <c r="B95" s="65" t="str">
        <f>IFERROR(__xludf.DUMMYFUNCTION("""COMPUTED_VALUE"""),"Hungary")</f>
        <v>Hungary</v>
      </c>
      <c r="C95" s="20" t="str">
        <f>IFERROR(__xludf.DUMMYFUNCTION("""COMPUTED_VALUE"""),"Europe")</f>
        <v>Europe</v>
      </c>
      <c r="D95" s="20" t="str">
        <f>IFERROR(__xludf.DUMMYFUNCTION("""COMPUTED_VALUE"""),"Eastern Europe")</f>
        <v>Eastern Europe</v>
      </c>
      <c r="E95" s="66">
        <f>IFERROR(__xludf.DUMMYFUNCTION("""COMPUTED_VALUE"""),9753281.0)</f>
        <v>9753281</v>
      </c>
      <c r="F95" s="66">
        <f>IFERROR(__xludf.DUMMYFUNCTION("""COMPUTED_VALUE"""),9721559.0)</f>
        <v>9721559</v>
      </c>
      <c r="G95" s="67">
        <f>IFERROR(__xludf.DUMMYFUNCTION("""COMPUTED_VALUE"""),-0.0033)</f>
        <v>-0.0033</v>
      </c>
      <c r="H95" s="60" t="str">
        <f>IFERROR(__xludf.DUMMYFUNCTION("""COMPUTED_VALUE"""),"Gulyás, chicken paprikash (paprikás csirke), Lecsó")</f>
        <v>Gulyás, chicken paprikash (paprikás csirke), Lecsó</v>
      </c>
      <c r="I95" s="20"/>
      <c r="J95" s="20">
        <f>IFERROR(__xludf.DUMMYFUNCTION("""COMPUTED_VALUE"""),232.0)</f>
        <v>232</v>
      </c>
      <c r="K95" s="20" t="str">
        <f>IFERROR(__xludf.DUMMYFUNCTION("""COMPUTED_VALUE"""),"Tokelau")</f>
        <v>Tokelau</v>
      </c>
      <c r="L95" s="20" t="str">
        <f>IFERROR(__xludf.DUMMYFUNCTION("""COMPUTED_VALUE"""),"Oceania")</f>
        <v>Oceania</v>
      </c>
      <c r="M95" s="20" t="str">
        <f>IFERROR(__xludf.DUMMYFUNCTION("""COMPUTED_VALUE"""),"Polynesia")</f>
        <v>Polynesia</v>
      </c>
      <c r="N95" s="66">
        <f>IFERROR(__xludf.DUMMYFUNCTION("""COMPUTED_VALUE"""),1282.0)</f>
        <v>1282</v>
      </c>
      <c r="O95" s="66">
        <f>IFERROR(__xludf.DUMMYFUNCTION("""COMPUTED_VALUE"""),1300.0)</f>
        <v>1300</v>
      </c>
      <c r="P95" s="67">
        <f>IFERROR(__xludf.DUMMYFUNCTION("""COMPUTED_VALUE"""),0.014)</f>
        <v>0.014</v>
      </c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65">
        <f>IFERROR(__xludf.DUMMYFUNCTION("""COMPUTED_VALUE"""),92.0)</f>
        <v>92</v>
      </c>
      <c r="B96" s="65" t="str">
        <f>IFERROR(__xludf.DUMMYFUNCTION("""COMPUTED_VALUE"""),"Jordan")</f>
        <v>Jordan</v>
      </c>
      <c r="C96" s="20" t="str">
        <f>IFERROR(__xludf.DUMMYFUNCTION("""COMPUTED_VALUE"""),"Asia")</f>
        <v>Asia</v>
      </c>
      <c r="D96" s="20" t="str">
        <f>IFERROR(__xludf.DUMMYFUNCTION("""COMPUTED_VALUE"""),"Western Asia")</f>
        <v>Western Asia</v>
      </c>
      <c r="E96" s="66">
        <f>IFERROR(__xludf.DUMMYFUNCTION("""COMPUTED_VALUE"""),9455802.0)</f>
        <v>9455802</v>
      </c>
      <c r="F96" s="66">
        <f>IFERROR(__xludf.DUMMYFUNCTION("""COMPUTED_VALUE"""),9702353.0)</f>
        <v>9702353</v>
      </c>
      <c r="G96" s="67">
        <f>IFERROR(__xludf.DUMMYFUNCTION("""COMPUTED_VALUE"""),0.0261)</f>
        <v>0.0261</v>
      </c>
      <c r="H96" s="60" t="str">
        <f>IFERROR(__xludf.DUMMYFUNCTION("""COMPUTED_VALUE"""),"Mansaf")</f>
        <v>Mansaf</v>
      </c>
      <c r="I96" s="20"/>
      <c r="J96" s="20">
        <f>IFERROR(__xludf.DUMMYFUNCTION("""COMPUTED_VALUE"""),53.0)</f>
        <v>53</v>
      </c>
      <c r="K96" s="20" t="str">
        <f>IFERROR(__xludf.DUMMYFUNCTION("""COMPUTED_VALUE"""),"Australia[g]")</f>
        <v>Australia[g]</v>
      </c>
      <c r="L96" s="20" t="str">
        <f>IFERROR(__xludf.DUMMYFUNCTION("""COMPUTED_VALUE"""),"Oceania")</f>
        <v>Oceania</v>
      </c>
      <c r="M96" s="20" t="str">
        <f>IFERROR(__xludf.DUMMYFUNCTION("""COMPUTED_VALUE"""),"Australia and New Zealand")</f>
        <v>Australia and New Zealand</v>
      </c>
      <c r="N96" s="66">
        <f>IFERROR(__xludf.DUMMYFUNCTION("""COMPUTED_VALUE"""),2.4125848E7)</f>
        <v>24125848</v>
      </c>
      <c r="O96" s="66">
        <f>IFERROR(__xludf.DUMMYFUNCTION("""COMPUTED_VALUE"""),2.4450561E7)</f>
        <v>24450561</v>
      </c>
      <c r="P96" s="67">
        <f>IFERROR(__xludf.DUMMYFUNCTION("""COMPUTED_VALUE"""),0.0135)</f>
        <v>0.0135</v>
      </c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65">
        <f>IFERROR(__xludf.DUMMYFUNCTION("""COMPUTED_VALUE"""),93.0)</f>
        <v>93</v>
      </c>
      <c r="B97" s="65" t="str">
        <f>IFERROR(__xludf.DUMMYFUNCTION("""COMPUTED_VALUE"""),"Belarus")</f>
        <v>Belarus</v>
      </c>
      <c r="C97" s="20" t="str">
        <f>IFERROR(__xludf.DUMMYFUNCTION("""COMPUTED_VALUE"""),"Europe")</f>
        <v>Europe</v>
      </c>
      <c r="D97" s="20" t="str">
        <f>IFERROR(__xludf.DUMMYFUNCTION("""COMPUTED_VALUE"""),"Eastern Europe")</f>
        <v>Eastern Europe</v>
      </c>
      <c r="E97" s="66">
        <f>IFERROR(__xludf.DUMMYFUNCTION("""COMPUTED_VALUE"""),9480042.0)</f>
        <v>9480042</v>
      </c>
      <c r="F97" s="66">
        <f>IFERROR(__xludf.DUMMYFUNCTION("""COMPUTED_VALUE"""),9468338.0)</f>
        <v>9468338</v>
      </c>
      <c r="G97" s="67">
        <f>IFERROR(__xludf.DUMMYFUNCTION("""COMPUTED_VALUE"""),-0.0012)</f>
        <v>-0.0012</v>
      </c>
      <c r="H97" s="60" t="str">
        <f>IFERROR(__xludf.DUMMYFUNCTION("""COMPUTED_VALUE"""),"Draniki")</f>
        <v>Draniki</v>
      </c>
      <c r="I97" s="20"/>
      <c r="J97" s="20">
        <f>IFERROR(__xludf.DUMMYFUNCTION("""COMPUTED_VALUE"""),145.0)</f>
        <v>145</v>
      </c>
      <c r="K97" s="20" t="str">
        <f>IFERROR(__xludf.DUMMYFUNCTION("""COMPUTED_VALUE"""),"Lesotho")</f>
        <v>Lesotho</v>
      </c>
      <c r="L97" s="20" t="str">
        <f>IFERROR(__xludf.DUMMYFUNCTION("""COMPUTED_VALUE"""),"Africa")</f>
        <v>Africa</v>
      </c>
      <c r="M97" s="20" t="str">
        <f>IFERROR(__xludf.DUMMYFUNCTION("""COMPUTED_VALUE"""),"Southern Africa")</f>
        <v>Southern Africa</v>
      </c>
      <c r="N97" s="66">
        <f>IFERROR(__xludf.DUMMYFUNCTION("""COMPUTED_VALUE"""),2203821.0)</f>
        <v>2203821</v>
      </c>
      <c r="O97" s="66">
        <f>IFERROR(__xludf.DUMMYFUNCTION("""COMPUTED_VALUE"""),2233339.0)</f>
        <v>2233339</v>
      </c>
      <c r="P97" s="67">
        <f>IFERROR(__xludf.DUMMYFUNCTION("""COMPUTED_VALUE"""),0.0134)</f>
        <v>0.0134</v>
      </c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65">
        <f>IFERROR(__xludf.DUMMYFUNCTION("""COMPUTED_VALUE"""),94.0)</f>
        <v>94</v>
      </c>
      <c r="B98" s="65" t="str">
        <f>IFERROR(__xludf.DUMMYFUNCTION("""COMPUTED_VALUE"""),"United Arab Emirates")</f>
        <v>United Arab Emirates</v>
      </c>
      <c r="C98" s="20" t="str">
        <f>IFERROR(__xludf.DUMMYFUNCTION("""COMPUTED_VALUE"""),"Asia")</f>
        <v>Asia</v>
      </c>
      <c r="D98" s="20" t="str">
        <f>IFERROR(__xludf.DUMMYFUNCTION("""COMPUTED_VALUE"""),"Western Asia")</f>
        <v>Western Asia</v>
      </c>
      <c r="E98" s="66">
        <f>IFERROR(__xludf.DUMMYFUNCTION("""COMPUTED_VALUE"""),9269612.0)</f>
        <v>9269612</v>
      </c>
      <c r="F98" s="66">
        <f>IFERROR(__xludf.DUMMYFUNCTION("""COMPUTED_VALUE"""),9400145.0)</f>
        <v>9400145</v>
      </c>
      <c r="G98" s="67">
        <f>IFERROR(__xludf.DUMMYFUNCTION("""COMPUTED_VALUE"""),0.0141)</f>
        <v>0.0141</v>
      </c>
      <c r="H98" s="60" t="str">
        <f>IFERROR(__xludf.DUMMYFUNCTION("""COMPUTED_VALUE"""),"Biryani")</f>
        <v>Biryani</v>
      </c>
      <c r="I98" s="20"/>
      <c r="J98" s="20">
        <f>IFERROR(__xludf.DUMMYFUNCTION("""COMPUTED_VALUE"""),169.0)</f>
        <v>169</v>
      </c>
      <c r="K98" s="20" t="str">
        <f>IFERROR(__xludf.DUMMYFUNCTION("""COMPUTED_VALUE"""),"Luxembourg")</f>
        <v>Luxembourg</v>
      </c>
      <c r="L98" s="20" t="str">
        <f>IFERROR(__xludf.DUMMYFUNCTION("""COMPUTED_VALUE"""),"Europe")</f>
        <v>Europe</v>
      </c>
      <c r="M98" s="20" t="str">
        <f>IFERROR(__xludf.DUMMYFUNCTION("""COMPUTED_VALUE"""),"Western Europe")</f>
        <v>Western Europe</v>
      </c>
      <c r="N98" s="66">
        <f>IFERROR(__xludf.DUMMYFUNCTION("""COMPUTED_VALUE"""),575747.0)</f>
        <v>575747</v>
      </c>
      <c r="O98" s="66">
        <f>IFERROR(__xludf.DUMMYFUNCTION("""COMPUTED_VALUE"""),583455.0)</f>
        <v>583455</v>
      </c>
      <c r="P98" s="67">
        <f>IFERROR(__xludf.DUMMYFUNCTION("""COMPUTED_VALUE"""),0.0134)</f>
        <v>0.0134</v>
      </c>
      <c r="Q98" s="20" t="str">
        <f>IFERROR(__xludf.DUMMYFUNCTION("""COMPUTED_VALUE"""),"Judd mat Gaardebounen,")</f>
        <v>Judd mat Gaardebounen,</v>
      </c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65">
        <f>IFERROR(__xludf.DUMMYFUNCTION("""COMPUTED_VALUE"""),95.0)</f>
        <v>95</v>
      </c>
      <c r="B99" s="65" t="str">
        <f>IFERROR(__xludf.DUMMYFUNCTION("""COMPUTED_VALUE"""),"Honduras")</f>
        <v>Honduras</v>
      </c>
      <c r="C99" s="20" t="str">
        <f>IFERROR(__xludf.DUMMYFUNCTION("""COMPUTED_VALUE"""),"Americas")</f>
        <v>Americas</v>
      </c>
      <c r="D99" s="20" t="str">
        <f>IFERROR(__xludf.DUMMYFUNCTION("""COMPUTED_VALUE"""),"Central America")</f>
        <v>Central America</v>
      </c>
      <c r="E99" s="66">
        <f>IFERROR(__xludf.DUMMYFUNCTION("""COMPUTED_VALUE"""),9112867.0)</f>
        <v>9112867</v>
      </c>
      <c r="F99" s="66">
        <f>IFERROR(__xludf.DUMMYFUNCTION("""COMPUTED_VALUE"""),9265067.0)</f>
        <v>9265067</v>
      </c>
      <c r="G99" s="67">
        <f>IFERROR(__xludf.DUMMYFUNCTION("""COMPUTED_VALUE"""),0.0167)</f>
        <v>0.0167</v>
      </c>
      <c r="H99" s="60" t="str">
        <f>IFERROR(__xludf.DUMMYFUNCTION("""COMPUTED_VALUE"""),"Baleada, Carne asada, Sopa de caracol")</f>
        <v>Baleada, Carne asada, Sopa de caracol</v>
      </c>
      <c r="I99" s="20"/>
      <c r="J99" s="20">
        <f>IFERROR(__xludf.DUMMYFUNCTION("""COMPUTED_VALUE"""),39.0)</f>
        <v>39</v>
      </c>
      <c r="K99" s="20" t="str">
        <f>IFERROR(__xludf.DUMMYFUNCTION("""COMPUTED_VALUE"""),"Morocco")</f>
        <v>Morocco</v>
      </c>
      <c r="L99" s="20" t="str">
        <f>IFERROR(__xludf.DUMMYFUNCTION("""COMPUTED_VALUE"""),"Africa")</f>
        <v>Africa</v>
      </c>
      <c r="M99" s="20" t="str">
        <f>IFERROR(__xludf.DUMMYFUNCTION("""COMPUTED_VALUE"""),"Northern Africa")</f>
        <v>Northern Africa</v>
      </c>
      <c r="N99" s="66">
        <f>IFERROR(__xludf.DUMMYFUNCTION("""COMPUTED_VALUE"""),3.5276786E7)</f>
        <v>35276786</v>
      </c>
      <c r="O99" s="66">
        <f>IFERROR(__xludf.DUMMYFUNCTION("""COMPUTED_VALUE"""),3.573958E7)</f>
        <v>35739580</v>
      </c>
      <c r="P99" s="67">
        <f>IFERROR(__xludf.DUMMYFUNCTION("""COMPUTED_VALUE"""),0.0131)</f>
        <v>0.0131</v>
      </c>
      <c r="Q99" s="20" t="str">
        <f>IFERROR(__xludf.DUMMYFUNCTION("""COMPUTED_VALUE"""),"Couscous, Tagine, Pastilla")</f>
        <v>Couscous, Tagine, Pastilla</v>
      </c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65">
        <f>IFERROR(__xludf.DUMMYFUNCTION("""COMPUTED_VALUE"""),96.0)</f>
        <v>96</v>
      </c>
      <c r="B100" s="65" t="str">
        <f>IFERROR(__xludf.DUMMYFUNCTION("""COMPUTED_VALUE"""),"Tajikistan")</f>
        <v>Tajikistan</v>
      </c>
      <c r="C100" s="20" t="str">
        <f>IFERROR(__xludf.DUMMYFUNCTION("""COMPUTED_VALUE"""),"Asia")</f>
        <v>Asia</v>
      </c>
      <c r="D100" s="20" t="str">
        <f>IFERROR(__xludf.DUMMYFUNCTION("""COMPUTED_VALUE"""),"Central Asia")</f>
        <v>Central Asia</v>
      </c>
      <c r="E100" s="66">
        <f>IFERROR(__xludf.DUMMYFUNCTION("""COMPUTED_VALUE"""),8734951.0)</f>
        <v>8734951</v>
      </c>
      <c r="F100" s="66">
        <f>IFERROR(__xludf.DUMMYFUNCTION("""COMPUTED_VALUE"""),8921343.0)</f>
        <v>8921343</v>
      </c>
      <c r="G100" s="67">
        <f>IFERROR(__xludf.DUMMYFUNCTION("""COMPUTED_VALUE"""),0.0213)</f>
        <v>0.0213</v>
      </c>
      <c r="H100" s="60" t="str">
        <f>IFERROR(__xludf.DUMMYFUNCTION("""COMPUTED_VALUE"""),"O'sh (pilaf)")</f>
        <v>O'sh (pilaf)</v>
      </c>
      <c r="I100" s="20"/>
      <c r="J100" s="20">
        <f>IFERROR(__xludf.DUMMYFUNCTION("""COMPUTED_VALUE"""),184.0)</f>
        <v>184</v>
      </c>
      <c r="K100" s="20" t="str">
        <f>IFERROR(__xludf.DUMMYFUNCTION("""COMPUTED_VALUE"""),"New Caledonia")</f>
        <v>New Caledonia</v>
      </c>
      <c r="L100" s="20" t="str">
        <f>IFERROR(__xludf.DUMMYFUNCTION("""COMPUTED_VALUE"""),"Oceania")</f>
        <v>Oceania</v>
      </c>
      <c r="M100" s="20" t="str">
        <f>IFERROR(__xludf.DUMMYFUNCTION("""COMPUTED_VALUE"""),"Melanesia")</f>
        <v>Melanesia</v>
      </c>
      <c r="N100" s="66">
        <f>IFERROR(__xludf.DUMMYFUNCTION("""COMPUTED_VALUE"""),272677.0)</f>
        <v>272677</v>
      </c>
      <c r="O100" s="66">
        <f>IFERROR(__xludf.DUMMYFUNCTION("""COMPUTED_VALUE"""),276255.0)</f>
        <v>276255</v>
      </c>
      <c r="P100" s="67">
        <f>IFERROR(__xludf.DUMMYFUNCTION("""COMPUTED_VALUE"""),0.0131)</f>
        <v>0.0131</v>
      </c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65">
        <f>IFERROR(__xludf.DUMMYFUNCTION("""COMPUTED_VALUE"""),97.0)</f>
        <v>97</v>
      </c>
      <c r="B101" s="65" t="str">
        <f>IFERROR(__xludf.DUMMYFUNCTION("""COMPUTED_VALUE"""),"Serbia")</f>
        <v>Serbia</v>
      </c>
      <c r="C101" s="20" t="str">
        <f>IFERROR(__xludf.DUMMYFUNCTION("""COMPUTED_VALUE"""),"Europe")</f>
        <v>Europe</v>
      </c>
      <c r="D101" s="20" t="str">
        <f>IFERROR(__xludf.DUMMYFUNCTION("""COMPUTED_VALUE"""),"Southern Europe")</f>
        <v>Southern Europe</v>
      </c>
      <c r="E101" s="66">
        <f>IFERROR(__xludf.DUMMYFUNCTION("""COMPUTED_VALUE"""),8820083.0)</f>
        <v>8820083</v>
      </c>
      <c r="F101" s="66">
        <f>IFERROR(__xludf.DUMMYFUNCTION("""COMPUTED_VALUE"""),8790574.0)</f>
        <v>8790574</v>
      </c>
      <c r="G101" s="67">
        <f>IFERROR(__xludf.DUMMYFUNCTION("""COMPUTED_VALUE"""),-0.0033)</f>
        <v>-0.0033</v>
      </c>
      <c r="H101" s="60" t="str">
        <f>IFERROR(__xludf.DUMMYFUNCTION("""COMPUTED_VALUE"""),"Ćevapčići (grilled meat sausages), Pljeskavica (meat patty), Ražnjići (skewered meat), Gibanica (pastry), Pasulj (bean soup), Punjena paprika (filled peppers)")</f>
        <v>Ćevapčići (grilled meat sausages), Pljeskavica (meat patty), Ražnjići (skewered meat), Gibanica (pastry), Pasulj (bean soup), Punjena paprika (filled peppers)</v>
      </c>
      <c r="I101" s="20"/>
      <c r="J101" s="20">
        <f>IFERROR(__xludf.DUMMYFUNCTION("""COMPUTED_VALUE"""),205.0)</f>
        <v>205</v>
      </c>
      <c r="K101" s="20" t="str">
        <f>IFERROR(__xludf.DUMMYFUNCTION("""COMPUTED_VALUE"""),"Cayman Islands")</f>
        <v>Cayman Islands</v>
      </c>
      <c r="L101" s="20" t="str">
        <f>IFERROR(__xludf.DUMMYFUNCTION("""COMPUTED_VALUE"""),"Americas")</f>
        <v>Americas</v>
      </c>
      <c r="M101" s="20" t="str">
        <f>IFERROR(__xludf.DUMMYFUNCTION("""COMPUTED_VALUE"""),"Caribbean")</f>
        <v>Caribbean</v>
      </c>
      <c r="N101" s="66">
        <f>IFERROR(__xludf.DUMMYFUNCTION("""COMPUTED_VALUE"""),60765.0)</f>
        <v>60765</v>
      </c>
      <c r="O101" s="66">
        <f>IFERROR(__xludf.DUMMYFUNCTION("""COMPUTED_VALUE"""),61559.0)</f>
        <v>61559</v>
      </c>
      <c r="P101" s="67">
        <f>IFERROR(__xludf.DUMMYFUNCTION("""COMPUTED_VALUE"""),0.0131)</f>
        <v>0.0131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65">
        <f>IFERROR(__xludf.DUMMYFUNCTION("""COMPUTED_VALUE"""),98.0)</f>
        <v>98</v>
      </c>
      <c r="B102" s="65" t="str">
        <f>IFERROR(__xludf.DUMMYFUNCTION("""COMPUTED_VALUE"""),"Austria")</f>
        <v>Austria</v>
      </c>
      <c r="C102" s="20" t="str">
        <f>IFERROR(__xludf.DUMMYFUNCTION("""COMPUTED_VALUE"""),"Europe")</f>
        <v>Europe</v>
      </c>
      <c r="D102" s="20" t="str">
        <f>IFERROR(__xludf.DUMMYFUNCTION("""COMPUTED_VALUE"""),"Western Europe")</f>
        <v>Western Europe</v>
      </c>
      <c r="E102" s="66">
        <f>IFERROR(__xludf.DUMMYFUNCTION("""COMPUTED_VALUE"""),8712137.0)</f>
        <v>8712137</v>
      </c>
      <c r="F102" s="66">
        <f>IFERROR(__xludf.DUMMYFUNCTION("""COMPUTED_VALUE"""),8735453.0)</f>
        <v>8735453</v>
      </c>
      <c r="G102" s="67">
        <f>IFERROR(__xludf.DUMMYFUNCTION("""COMPUTED_VALUE"""),0.0027)</f>
        <v>0.0027</v>
      </c>
      <c r="H102" s="60" t="str">
        <f>IFERROR(__xludf.DUMMYFUNCTION("""COMPUTED_VALUE"""),"Wiener Schnitzel, Tafelspitz")</f>
        <v>Wiener Schnitzel, Tafelspitz</v>
      </c>
      <c r="I102" s="20"/>
      <c r="J102" s="20">
        <f>IFERROR(__xludf.DUMMYFUNCTION("""COMPUTED_VALUE"""),43.0)</f>
        <v>43</v>
      </c>
      <c r="K102" s="20" t="str">
        <f>IFERROR(__xludf.DUMMYFUNCTION("""COMPUTED_VALUE"""),"Venezuela")</f>
        <v>Venezuela</v>
      </c>
      <c r="L102" s="20" t="str">
        <f>IFERROR(__xludf.DUMMYFUNCTION("""COMPUTED_VALUE"""),"Americas")</f>
        <v>Americas</v>
      </c>
      <c r="M102" s="20" t="str">
        <f>IFERROR(__xludf.DUMMYFUNCTION("""COMPUTED_VALUE"""),"South America")</f>
        <v>South America</v>
      </c>
      <c r="N102" s="66">
        <f>IFERROR(__xludf.DUMMYFUNCTION("""COMPUTED_VALUE"""),3.1568179E7)</f>
        <v>31568179</v>
      </c>
      <c r="O102" s="66">
        <f>IFERROR(__xludf.DUMMYFUNCTION("""COMPUTED_VALUE"""),3.1977065E7)</f>
        <v>31977065</v>
      </c>
      <c r="P102" s="67">
        <f>IFERROR(__xludf.DUMMYFUNCTION("""COMPUTED_VALUE"""),0.013)</f>
        <v>0.013</v>
      </c>
      <c r="Q102" s="20" t="str">
        <f>IFERROR(__xludf.DUMMYFUNCTION("""COMPUTED_VALUE"""),"Pabellón criollo")</f>
        <v>Pabellón criollo</v>
      </c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65">
        <f>IFERROR(__xludf.DUMMYFUNCTION("""COMPUTED_VALUE"""),99.0)</f>
        <v>99</v>
      </c>
      <c r="B103" s="65" t="str">
        <f>IFERROR(__xludf.DUMMYFUNCTION("""COMPUTED_VALUE"""),"Switzerland")</f>
        <v>Switzerland</v>
      </c>
      <c r="C103" s="20" t="str">
        <f>IFERROR(__xludf.DUMMYFUNCTION("""COMPUTED_VALUE"""),"Europe")</f>
        <v>Europe</v>
      </c>
      <c r="D103" s="20" t="str">
        <f>IFERROR(__xludf.DUMMYFUNCTION("""COMPUTED_VALUE"""),"Western Europe")</f>
        <v>Western Europe</v>
      </c>
      <c r="E103" s="66">
        <f>IFERROR(__xludf.DUMMYFUNCTION("""COMPUTED_VALUE"""),8401739.0)</f>
        <v>8401739</v>
      </c>
      <c r="F103" s="66">
        <f>IFERROR(__xludf.DUMMYFUNCTION("""COMPUTED_VALUE"""),8476005.0)</f>
        <v>8476005</v>
      </c>
      <c r="G103" s="67">
        <f>IFERROR(__xludf.DUMMYFUNCTION("""COMPUTED_VALUE"""),0.0088)</f>
        <v>0.0088</v>
      </c>
      <c r="H103" s="60" t="str">
        <f>IFERROR(__xludf.DUMMYFUNCTION("""COMPUTED_VALUE"""),"Cervelat, Fondue, Rösti")</f>
        <v>Cervelat, Fondue, Rösti</v>
      </c>
      <c r="I103" s="20"/>
      <c r="J103" s="20">
        <f>IFERROR(__xludf.DUMMYFUNCTION("""COMPUTED_VALUE"""),176.0)</f>
        <v>176</v>
      </c>
      <c r="K103" s="20" t="str">
        <f>IFERROR(__xludf.DUMMYFUNCTION("""COMPUTED_VALUE"""),"Brunei")</f>
        <v>Brunei</v>
      </c>
      <c r="L103" s="20" t="str">
        <f>IFERROR(__xludf.DUMMYFUNCTION("""COMPUTED_VALUE"""),"Asia")</f>
        <v>Asia</v>
      </c>
      <c r="M103" s="20" t="str">
        <f>IFERROR(__xludf.DUMMYFUNCTION("""COMPUTED_VALUE"""),"South-eastern Asia")</f>
        <v>South-eastern Asia</v>
      </c>
      <c r="N103" s="66">
        <f>IFERROR(__xludf.DUMMYFUNCTION("""COMPUTED_VALUE"""),423196.0)</f>
        <v>423196</v>
      </c>
      <c r="O103" s="66">
        <f>IFERROR(__xludf.DUMMYFUNCTION("""COMPUTED_VALUE"""),428697.0)</f>
        <v>428697</v>
      </c>
      <c r="P103" s="67">
        <f>IFERROR(__xludf.DUMMYFUNCTION("""COMPUTED_VALUE"""),0.013)</f>
        <v>0.013</v>
      </c>
      <c r="Q103" s="20" t="str">
        <f>IFERROR(__xludf.DUMMYFUNCTION("""COMPUTED_VALUE"""),"Ambuyat")</f>
        <v>Ambuyat</v>
      </c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65">
        <f>IFERROR(__xludf.DUMMYFUNCTION("""COMPUTED_VALUE"""),100.0)</f>
        <v>100</v>
      </c>
      <c r="B104" s="65" t="str">
        <f>IFERROR(__xludf.DUMMYFUNCTION("""COMPUTED_VALUE"""),"Israel")</f>
        <v>Israel</v>
      </c>
      <c r="C104" s="20" t="str">
        <f>IFERROR(__xludf.DUMMYFUNCTION("""COMPUTED_VALUE"""),"Asia")</f>
        <v>Asia</v>
      </c>
      <c r="D104" s="20" t="str">
        <f>IFERROR(__xludf.DUMMYFUNCTION("""COMPUTED_VALUE"""),"Western Asia")</f>
        <v>Western Asia</v>
      </c>
      <c r="E104" s="66">
        <f>IFERROR(__xludf.DUMMYFUNCTION("""COMPUTED_VALUE"""),8191828.0)</f>
        <v>8191828</v>
      </c>
      <c r="F104" s="66">
        <f>IFERROR(__xludf.DUMMYFUNCTION("""COMPUTED_VALUE"""),8321570.0)</f>
        <v>8321570</v>
      </c>
      <c r="G104" s="67">
        <f>IFERROR(__xludf.DUMMYFUNCTION("""COMPUTED_VALUE"""),0.0158)</f>
        <v>0.0158</v>
      </c>
      <c r="H104" s="60" t="str">
        <f>IFERROR(__xludf.DUMMYFUNCTION("""COMPUTED_VALUE"""),"Meorav Yerushalmi, Hummus, Falafel")</f>
        <v>Meorav Yerushalmi, Hummus, Falafel</v>
      </c>
      <c r="I104" s="20"/>
      <c r="J104" s="20">
        <f>IFERROR(__xludf.DUMMYFUNCTION("""COMPUTED_VALUE"""),109.0)</f>
        <v>109</v>
      </c>
      <c r="K104" s="20" t="str">
        <f>IFERROR(__xludf.DUMMYFUNCTION("""COMPUTED_VALUE"""),"Libya")</f>
        <v>Libya</v>
      </c>
      <c r="L104" s="20" t="str">
        <f>IFERROR(__xludf.DUMMYFUNCTION("""COMPUTED_VALUE"""),"Africa")</f>
        <v>Africa</v>
      </c>
      <c r="M104" s="20" t="str">
        <f>IFERROR(__xludf.DUMMYFUNCTION("""COMPUTED_VALUE"""),"Northern Africa")</f>
        <v>Northern Africa</v>
      </c>
      <c r="N104" s="66">
        <f>IFERROR(__xludf.DUMMYFUNCTION("""COMPUTED_VALUE"""),6293253.0)</f>
        <v>6293253</v>
      </c>
      <c r="O104" s="66">
        <f>IFERROR(__xludf.DUMMYFUNCTION("""COMPUTED_VALUE"""),6374616.0)</f>
        <v>6374616</v>
      </c>
      <c r="P104" s="67">
        <f>IFERROR(__xludf.DUMMYFUNCTION("""COMPUTED_VALUE"""),0.0129)</f>
        <v>0.0129</v>
      </c>
      <c r="Q104" s="20" t="str">
        <f>IFERROR(__xludf.DUMMYFUNCTION("""COMPUTED_VALUE"""),"Bazeen, Usban")</f>
        <v>Bazeen, Usban</v>
      </c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65">
        <f>IFERROR(__xludf.DUMMYFUNCTION("""COMPUTED_VALUE"""),101.0)</f>
        <v>101</v>
      </c>
      <c r="B105" s="65" t="str">
        <f>IFERROR(__xludf.DUMMYFUNCTION("""COMPUTED_VALUE"""),"Papua New Guinea")</f>
        <v>Papua New Guinea</v>
      </c>
      <c r="C105" s="20" t="str">
        <f>IFERROR(__xludf.DUMMYFUNCTION("""COMPUTED_VALUE"""),"Oceania")</f>
        <v>Oceania</v>
      </c>
      <c r="D105" s="20" t="str">
        <f>IFERROR(__xludf.DUMMYFUNCTION("""COMPUTED_VALUE"""),"Melanesia")</f>
        <v>Melanesia</v>
      </c>
      <c r="E105" s="66">
        <f>IFERROR(__xludf.DUMMYFUNCTION("""COMPUTED_VALUE"""),8084991.0)</f>
        <v>8084991</v>
      </c>
      <c r="F105" s="66">
        <f>IFERROR(__xludf.DUMMYFUNCTION("""COMPUTED_VALUE"""),8251162.0)</f>
        <v>8251162</v>
      </c>
      <c r="G105" s="67">
        <f>IFERROR(__xludf.DUMMYFUNCTION("""COMPUTED_VALUE"""),0.0206)</f>
        <v>0.0206</v>
      </c>
      <c r="H105" s="60" t="str">
        <f>IFERROR(__xludf.DUMMYFUNCTION("""COMPUTED_VALUE"""),"Mumu")</f>
        <v>Mumu</v>
      </c>
      <c r="I105" s="20"/>
      <c r="J105" s="20">
        <f>IFERROR(__xludf.DUMMYFUNCTION("""COMPUTED_VALUE"""),107.0)</f>
        <v>107</v>
      </c>
      <c r="K105" s="20" t="str">
        <f>IFERROR(__xludf.DUMMYFUNCTION("""COMPUTED_VALUE"""),"Paraguay")</f>
        <v>Paraguay</v>
      </c>
      <c r="L105" s="20" t="str">
        <f>IFERROR(__xludf.DUMMYFUNCTION("""COMPUTED_VALUE"""),"Americas")</f>
        <v>Americas</v>
      </c>
      <c r="M105" s="20" t="str">
        <f>IFERROR(__xludf.DUMMYFUNCTION("""COMPUTED_VALUE"""),"South America")</f>
        <v>South America</v>
      </c>
      <c r="N105" s="66">
        <f>IFERROR(__xludf.DUMMYFUNCTION("""COMPUTED_VALUE"""),6725308.0)</f>
        <v>6725308</v>
      </c>
      <c r="O105" s="66">
        <f>IFERROR(__xludf.DUMMYFUNCTION("""COMPUTED_VALUE"""),6811297.0)</f>
        <v>6811297</v>
      </c>
      <c r="P105" s="67">
        <f>IFERROR(__xludf.DUMMYFUNCTION("""COMPUTED_VALUE"""),0.0128)</f>
        <v>0.0128</v>
      </c>
      <c r="Q105" s="20" t="str">
        <f>IFERROR(__xludf.DUMMYFUNCTION("""COMPUTED_VALUE"""),"Sopa paraguaya")</f>
        <v>Sopa paraguaya</v>
      </c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65">
        <f>IFERROR(__xludf.DUMMYFUNCTION("""COMPUTED_VALUE"""),102.0)</f>
        <v>102</v>
      </c>
      <c r="B106" s="65" t="str">
        <f>IFERROR(__xludf.DUMMYFUNCTION("""COMPUTED_VALUE"""),"Togo")</f>
        <v>Togo</v>
      </c>
      <c r="C106" s="20" t="str">
        <f>IFERROR(__xludf.DUMMYFUNCTION("""COMPUTED_VALUE"""),"Africa")</f>
        <v>Africa</v>
      </c>
      <c r="D106" s="20" t="str">
        <f>IFERROR(__xludf.DUMMYFUNCTION("""COMPUTED_VALUE"""),"Western Africa")</f>
        <v>Western Africa</v>
      </c>
      <c r="E106" s="66">
        <f>IFERROR(__xludf.DUMMYFUNCTION("""COMPUTED_VALUE"""),7606374.0)</f>
        <v>7606374</v>
      </c>
      <c r="F106" s="66">
        <f>IFERROR(__xludf.DUMMYFUNCTION("""COMPUTED_VALUE"""),7797694.0)</f>
        <v>7797694</v>
      </c>
      <c r="G106" s="67">
        <f>IFERROR(__xludf.DUMMYFUNCTION("""COMPUTED_VALUE"""),0.0252)</f>
        <v>0.0252</v>
      </c>
      <c r="H106" s="60" t="str">
        <f>IFERROR(__xludf.DUMMYFUNCTION("""COMPUTED_VALUE"""),"Yeyebessissi")</f>
        <v>Yeyebessissi</v>
      </c>
      <c r="I106" s="20"/>
      <c r="J106" s="20">
        <f>IFERROR(__xludf.DUMMYFUNCTION("""COMPUTED_VALUE"""),10.0)</f>
        <v>10</v>
      </c>
      <c r="K106" s="20" t="str">
        <f>IFERROR(__xludf.DUMMYFUNCTION("""COMPUTED_VALUE"""),"Mexico")</f>
        <v>Mexico</v>
      </c>
      <c r="L106" s="20" t="str">
        <f>IFERROR(__xludf.DUMMYFUNCTION("""COMPUTED_VALUE"""),"Americas")</f>
        <v>Americas</v>
      </c>
      <c r="M106" s="20" t="str">
        <f>IFERROR(__xludf.DUMMYFUNCTION("""COMPUTED_VALUE"""),"Central America")</f>
        <v>Central America</v>
      </c>
      <c r="N106" s="66">
        <f>IFERROR(__xludf.DUMMYFUNCTION("""COMPUTED_VALUE"""),1.27540423E8)</f>
        <v>127540423</v>
      </c>
      <c r="O106" s="66">
        <f>IFERROR(__xludf.DUMMYFUNCTION("""COMPUTED_VALUE"""),1.29163276E8)</f>
        <v>129163276</v>
      </c>
      <c r="P106" s="67">
        <f>IFERROR(__xludf.DUMMYFUNCTION("""COMPUTED_VALUE"""),0.0127)</f>
        <v>0.0127</v>
      </c>
      <c r="Q106" s="20" t="str">
        <f>IFERROR(__xludf.DUMMYFUNCTION("""COMPUTED_VALUE"""),"Tacos, Mole poblano, Chiles en nogada")</f>
        <v>Tacos, Mole poblano, Chiles en nogada</v>
      </c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65">
        <f>IFERROR(__xludf.DUMMYFUNCTION("""COMPUTED_VALUE"""),103.0)</f>
        <v>103</v>
      </c>
      <c r="B107" s="65" t="str">
        <f>IFERROR(__xludf.DUMMYFUNCTION("""COMPUTED_VALUE"""),"Sierra Leone")</f>
        <v>Sierra Leone</v>
      </c>
      <c r="C107" s="20" t="str">
        <f>IFERROR(__xludf.DUMMYFUNCTION("""COMPUTED_VALUE"""),"Africa")</f>
        <v>Africa</v>
      </c>
      <c r="D107" s="20" t="str">
        <f>IFERROR(__xludf.DUMMYFUNCTION("""COMPUTED_VALUE"""),"Western Africa")</f>
        <v>Western Africa</v>
      </c>
      <c r="E107" s="66">
        <f>IFERROR(__xludf.DUMMYFUNCTION("""COMPUTED_VALUE"""),7396190.0)</f>
        <v>7396190</v>
      </c>
      <c r="F107" s="66">
        <f>IFERROR(__xludf.DUMMYFUNCTION("""COMPUTED_VALUE"""),7557212.0)</f>
        <v>7557212</v>
      </c>
      <c r="G107" s="67">
        <f>IFERROR(__xludf.DUMMYFUNCTION("""COMPUTED_VALUE"""),0.0218)</f>
        <v>0.0218</v>
      </c>
      <c r="H107" s="60" t="str">
        <f>IFERROR(__xludf.DUMMYFUNCTION("""COMPUTED_VALUE"""),"Cassava leaves")</f>
        <v>Cassava leaves</v>
      </c>
      <c r="I107" s="20"/>
      <c r="J107" s="20">
        <f>IFERROR(__xludf.DUMMYFUNCTION("""COMPUTED_VALUE"""),172.0)</f>
        <v>172</v>
      </c>
      <c r="K107" s="20" t="str">
        <f>IFERROR(__xludf.DUMMYFUNCTION("""COMPUTED_VALUE"""),"Cape Verde")</f>
        <v>Cape Verde</v>
      </c>
      <c r="L107" s="20" t="str">
        <f>IFERROR(__xludf.DUMMYFUNCTION("""COMPUTED_VALUE"""),"Africa")</f>
        <v>Africa</v>
      </c>
      <c r="M107" s="20" t="str">
        <f>IFERROR(__xludf.DUMMYFUNCTION("""COMPUTED_VALUE"""),"Western Africa")</f>
        <v>Western Africa</v>
      </c>
      <c r="N107" s="66">
        <f>IFERROR(__xludf.DUMMYFUNCTION("""COMPUTED_VALUE"""),539560.0)</f>
        <v>539560</v>
      </c>
      <c r="O107" s="66">
        <f>IFERROR(__xludf.DUMMYFUNCTION("""COMPUTED_VALUE"""),546388.0)</f>
        <v>546388</v>
      </c>
      <c r="P107" s="67">
        <f>IFERROR(__xludf.DUMMYFUNCTION("""COMPUTED_VALUE"""),0.0127)</f>
        <v>0.0127</v>
      </c>
      <c r="Q107" s="20" t="str">
        <f>IFERROR(__xludf.DUMMYFUNCTION("""COMPUTED_VALUE"""),"Cachupa")</f>
        <v>Cachupa</v>
      </c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65">
        <f>IFERROR(__xludf.DUMMYFUNCTION("""COMPUTED_VALUE"""),104.0)</f>
        <v>104</v>
      </c>
      <c r="B108" s="65" t="str">
        <f>IFERROR(__xludf.DUMMYFUNCTION("""COMPUTED_VALUE"""),"Hong Kong")</f>
        <v>Hong Kong</v>
      </c>
      <c r="C108" s="20" t="str">
        <f>IFERROR(__xludf.DUMMYFUNCTION("""COMPUTED_VALUE"""),"Asia")</f>
        <v>Asia</v>
      </c>
      <c r="D108" s="20" t="str">
        <f>IFERROR(__xludf.DUMMYFUNCTION("""COMPUTED_VALUE"""),"Eastern Asia")</f>
        <v>Eastern Asia</v>
      </c>
      <c r="E108" s="66">
        <f>IFERROR(__xludf.DUMMYFUNCTION("""COMPUTED_VALUE"""),7302843.0)</f>
        <v>7302843</v>
      </c>
      <c r="F108" s="66">
        <f>IFERROR(__xludf.DUMMYFUNCTION("""COMPUTED_VALUE"""),7364883.0)</f>
        <v>7364883</v>
      </c>
      <c r="G108" s="67">
        <f>IFERROR(__xludf.DUMMYFUNCTION("""COMPUTED_VALUE"""),0.0085)</f>
        <v>0.0085</v>
      </c>
      <c r="H108" s="60"/>
      <c r="I108" s="20"/>
      <c r="J108" s="20">
        <f>IFERROR(__xludf.DUMMYFUNCTION("""COMPUTED_VALUE"""),111.0)</f>
        <v>111</v>
      </c>
      <c r="K108" s="20" t="str">
        <f>IFERROR(__xludf.DUMMYFUNCTION("""COMPUTED_VALUE"""),"Lebanon")</f>
        <v>Lebanon</v>
      </c>
      <c r="L108" s="20" t="str">
        <f>IFERROR(__xludf.DUMMYFUNCTION("""COMPUTED_VALUE"""),"Asia")</f>
        <v>Asia</v>
      </c>
      <c r="M108" s="20" t="str">
        <f>IFERROR(__xludf.DUMMYFUNCTION("""COMPUTED_VALUE"""),"Western Asia")</f>
        <v>Western Asia</v>
      </c>
      <c r="N108" s="66">
        <f>IFERROR(__xludf.DUMMYFUNCTION("""COMPUTED_VALUE"""),6006668.0)</f>
        <v>6006668</v>
      </c>
      <c r="O108" s="66">
        <f>IFERROR(__xludf.DUMMYFUNCTION("""COMPUTED_VALUE"""),6082357.0)</f>
        <v>6082357</v>
      </c>
      <c r="P108" s="67">
        <f>IFERROR(__xludf.DUMMYFUNCTION("""COMPUTED_VALUE"""),0.0126)</f>
        <v>0.0126</v>
      </c>
      <c r="Q108" s="20" t="str">
        <f>IFERROR(__xludf.DUMMYFUNCTION("""COMPUTED_VALUE"""),"Kibbeh, tabbouleh")</f>
        <v>Kibbeh, tabbouleh</v>
      </c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65">
        <f>IFERROR(__xludf.DUMMYFUNCTION("""COMPUTED_VALUE"""),105.0)</f>
        <v>105</v>
      </c>
      <c r="B109" s="65" t="str">
        <f>IFERROR(__xludf.DUMMYFUNCTION("""COMPUTED_VALUE"""),"Bulgaria")</f>
        <v>Bulgaria</v>
      </c>
      <c r="C109" s="20" t="str">
        <f>IFERROR(__xludf.DUMMYFUNCTION("""COMPUTED_VALUE"""),"Europe")</f>
        <v>Europe</v>
      </c>
      <c r="D109" s="20" t="str">
        <f>IFERROR(__xludf.DUMMYFUNCTION("""COMPUTED_VALUE"""),"Eastern Europe")</f>
        <v>Eastern Europe</v>
      </c>
      <c r="E109" s="66">
        <f>IFERROR(__xludf.DUMMYFUNCTION("""COMPUTED_VALUE"""),7131494.0)</f>
        <v>7131494</v>
      </c>
      <c r="F109" s="66">
        <f>IFERROR(__xludf.DUMMYFUNCTION("""COMPUTED_VALUE"""),7084571.0)</f>
        <v>7084571</v>
      </c>
      <c r="G109" s="67">
        <f>IFERROR(__xludf.DUMMYFUNCTION("""COMPUTED_VALUE"""),-0.0066)</f>
        <v>-0.0066</v>
      </c>
      <c r="H109" s="60" t="str">
        <f>IFERROR(__xludf.DUMMYFUNCTION("""COMPUTED_VALUE"""),"Banitsa, Bob chorba")</f>
        <v>Banitsa, Bob chorba</v>
      </c>
      <c r="I109" s="20"/>
      <c r="J109" s="20">
        <f>IFERROR(__xludf.DUMMYFUNCTION("""COMPUTED_VALUE"""),25.0)</f>
        <v>25</v>
      </c>
      <c r="K109" s="20" t="str">
        <f>IFERROR(__xludf.DUMMYFUNCTION("""COMPUTED_VALUE"""),"South Africa")</f>
        <v>South Africa</v>
      </c>
      <c r="L109" s="20" t="str">
        <f>IFERROR(__xludf.DUMMYFUNCTION("""COMPUTED_VALUE"""),"Africa")</f>
        <v>Africa</v>
      </c>
      <c r="M109" s="20" t="str">
        <f>IFERROR(__xludf.DUMMYFUNCTION("""COMPUTED_VALUE"""),"Southern Africa")</f>
        <v>Southern Africa</v>
      </c>
      <c r="N109" s="66">
        <f>IFERROR(__xludf.DUMMYFUNCTION("""COMPUTED_VALUE"""),5.6015473E7)</f>
        <v>56015473</v>
      </c>
      <c r="O109" s="66">
        <f>IFERROR(__xludf.DUMMYFUNCTION("""COMPUTED_VALUE"""),5.6717156E7)</f>
        <v>56717156</v>
      </c>
      <c r="P109" s="67">
        <f>IFERROR(__xludf.DUMMYFUNCTION("""COMPUTED_VALUE"""),0.0125)</f>
        <v>0.0125</v>
      </c>
      <c r="Q109" s="20" t="str">
        <f>IFERROR(__xludf.DUMMYFUNCTION("""COMPUTED_VALUE"""),"Bobotie")</f>
        <v>Bobotie</v>
      </c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65">
        <f>IFERROR(__xludf.DUMMYFUNCTION("""COMPUTED_VALUE"""),106.0)</f>
        <v>106</v>
      </c>
      <c r="B110" s="65" t="str">
        <f>IFERROR(__xludf.DUMMYFUNCTION("""COMPUTED_VALUE"""),"Laos")</f>
        <v>Laos</v>
      </c>
      <c r="C110" s="20" t="str">
        <f>IFERROR(__xludf.DUMMYFUNCTION("""COMPUTED_VALUE"""),"Asia")</f>
        <v>Asia</v>
      </c>
      <c r="D110" s="20" t="str">
        <f>IFERROR(__xludf.DUMMYFUNCTION("""COMPUTED_VALUE"""),"South-eastern Asia")</f>
        <v>South-eastern Asia</v>
      </c>
      <c r="E110" s="66">
        <f>IFERROR(__xludf.DUMMYFUNCTION("""COMPUTED_VALUE"""),6758353.0)</f>
        <v>6758353</v>
      </c>
      <c r="F110" s="66">
        <f>IFERROR(__xludf.DUMMYFUNCTION("""COMPUTED_VALUE"""),6858160.0)</f>
        <v>6858160</v>
      </c>
      <c r="G110" s="67">
        <f>IFERROR(__xludf.DUMMYFUNCTION("""COMPUTED_VALUE"""),0.0148)</f>
        <v>0.0148</v>
      </c>
      <c r="H110" s="60" t="str">
        <f>IFERROR(__xludf.DUMMYFUNCTION("""COMPUTED_VALUE"""),"Tum Mak Hoong (Green papaya salad), Larb with sticky rice")</f>
        <v>Tum Mak Hoong (Green papaya salad), Larb with sticky rice</v>
      </c>
      <c r="I110" s="20"/>
      <c r="J110" s="20">
        <f>IFERROR(__xludf.DUMMYFUNCTION("""COMPUTED_VALUE"""),42.0)</f>
        <v>42</v>
      </c>
      <c r="K110" s="20" t="str">
        <f>IFERROR(__xludf.DUMMYFUNCTION("""COMPUTED_VALUE"""),"Peru")</f>
        <v>Peru</v>
      </c>
      <c r="L110" s="20" t="str">
        <f>IFERROR(__xludf.DUMMYFUNCTION("""COMPUTED_VALUE"""),"Americas")</f>
        <v>Americas</v>
      </c>
      <c r="M110" s="20" t="str">
        <f>IFERROR(__xludf.DUMMYFUNCTION("""COMPUTED_VALUE"""),"South America")</f>
        <v>South America</v>
      </c>
      <c r="N110" s="66">
        <f>IFERROR(__xludf.DUMMYFUNCTION("""COMPUTED_VALUE"""),3.1773839E7)</f>
        <v>31773839</v>
      </c>
      <c r="O110" s="66">
        <f>IFERROR(__xludf.DUMMYFUNCTION("""COMPUTED_VALUE"""),3.2165485E7)</f>
        <v>32165485</v>
      </c>
      <c r="P110" s="67">
        <f>IFERROR(__xludf.DUMMYFUNCTION("""COMPUTED_VALUE"""),0.0123)</f>
        <v>0.0123</v>
      </c>
      <c r="Q110" s="20" t="str">
        <f>IFERROR(__xludf.DUMMYFUNCTION("""COMPUTED_VALUE"""),"Ceviche")</f>
        <v>Ceviche</v>
      </c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65">
        <f>IFERROR(__xludf.DUMMYFUNCTION("""COMPUTED_VALUE"""),107.0)</f>
        <v>107</v>
      </c>
      <c r="B111" s="65" t="str">
        <f>IFERROR(__xludf.DUMMYFUNCTION("""COMPUTED_VALUE"""),"Paraguay")</f>
        <v>Paraguay</v>
      </c>
      <c r="C111" s="20" t="str">
        <f>IFERROR(__xludf.DUMMYFUNCTION("""COMPUTED_VALUE"""),"Americas")</f>
        <v>Americas</v>
      </c>
      <c r="D111" s="20" t="str">
        <f>IFERROR(__xludf.DUMMYFUNCTION("""COMPUTED_VALUE"""),"South America")</f>
        <v>South America</v>
      </c>
      <c r="E111" s="66">
        <f>IFERROR(__xludf.DUMMYFUNCTION("""COMPUTED_VALUE"""),6725308.0)</f>
        <v>6725308</v>
      </c>
      <c r="F111" s="66">
        <f>IFERROR(__xludf.DUMMYFUNCTION("""COMPUTED_VALUE"""),6811297.0)</f>
        <v>6811297</v>
      </c>
      <c r="G111" s="67">
        <f>IFERROR(__xludf.DUMMYFUNCTION("""COMPUTED_VALUE"""),0.0128)</f>
        <v>0.0128</v>
      </c>
      <c r="H111" s="60" t="str">
        <f>IFERROR(__xludf.DUMMYFUNCTION("""COMPUTED_VALUE"""),"Sopa paraguaya")</f>
        <v>Sopa paraguaya</v>
      </c>
      <c r="I111" s="20"/>
      <c r="J111" s="20">
        <f>IFERROR(__xludf.DUMMYFUNCTION("""COMPUTED_VALUE"""),84.0)</f>
        <v>84</v>
      </c>
      <c r="K111" s="20" t="str">
        <f>IFERROR(__xludf.DUMMYFUNCTION("""COMPUTED_VALUE"""),"Haiti")</f>
        <v>Haiti</v>
      </c>
      <c r="L111" s="20" t="str">
        <f>IFERROR(__xludf.DUMMYFUNCTION("""COMPUTED_VALUE"""),"Americas")</f>
        <v>Americas</v>
      </c>
      <c r="M111" s="20" t="str">
        <f>IFERROR(__xludf.DUMMYFUNCTION("""COMPUTED_VALUE"""),"Caribbean")</f>
        <v>Caribbean</v>
      </c>
      <c r="N111" s="66">
        <f>IFERROR(__xludf.DUMMYFUNCTION("""COMPUTED_VALUE"""),1.0847334E7)</f>
        <v>10847334</v>
      </c>
      <c r="O111" s="66">
        <f>IFERROR(__xludf.DUMMYFUNCTION("""COMPUTED_VALUE"""),1.0981229E7)</f>
        <v>10981229</v>
      </c>
      <c r="P111" s="67">
        <f>IFERROR(__xludf.DUMMYFUNCTION("""COMPUTED_VALUE"""),0.0123)</f>
        <v>0.0123</v>
      </c>
      <c r="Q111" s="20" t="str">
        <f>IFERROR(__xludf.DUMMYFUNCTION("""COMPUTED_VALUE"""),"Red beans and rice (unofficial), Diri ak djon djon")</f>
        <v>Red beans and rice (unofficial), Diri ak djon djon</v>
      </c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65">
        <f>IFERROR(__xludf.DUMMYFUNCTION("""COMPUTED_VALUE"""),108.0)</f>
        <v>108</v>
      </c>
      <c r="B112" s="65" t="str">
        <f>IFERROR(__xludf.DUMMYFUNCTION("""COMPUTED_VALUE"""),"El Salvador")</f>
        <v>El Salvador</v>
      </c>
      <c r="C112" s="20" t="str">
        <f>IFERROR(__xludf.DUMMYFUNCTION("""COMPUTED_VALUE"""),"Americas")</f>
        <v>Americas</v>
      </c>
      <c r="D112" s="20" t="str">
        <f>IFERROR(__xludf.DUMMYFUNCTION("""COMPUTED_VALUE"""),"Central America")</f>
        <v>Central America</v>
      </c>
      <c r="E112" s="66">
        <f>IFERROR(__xludf.DUMMYFUNCTION("""COMPUTED_VALUE"""),6344722.0)</f>
        <v>6344722</v>
      </c>
      <c r="F112" s="66">
        <f>IFERROR(__xludf.DUMMYFUNCTION("""COMPUTED_VALUE"""),6377853.0)</f>
        <v>6377853</v>
      </c>
      <c r="G112" s="67">
        <f>IFERROR(__xludf.DUMMYFUNCTION("""COMPUTED_VALUE"""),0.0052)</f>
        <v>0.0052</v>
      </c>
      <c r="H112" s="60" t="str">
        <f>IFERROR(__xludf.DUMMYFUNCTION("""COMPUTED_VALUE"""),"Pupusa")</f>
        <v>Pupusa</v>
      </c>
      <c r="I112" s="20"/>
      <c r="J112" s="20">
        <f>IFERROR(__xludf.DUMMYFUNCTION("""COMPUTED_VALUE"""),164.0)</f>
        <v>164</v>
      </c>
      <c r="K112" s="20" t="str">
        <f>IFERROR(__xludf.DUMMYFUNCTION("""COMPUTED_VALUE"""),"Bhutan")</f>
        <v>Bhutan</v>
      </c>
      <c r="L112" s="20" t="str">
        <f>IFERROR(__xludf.DUMMYFUNCTION("""COMPUTED_VALUE"""),"Asia")</f>
        <v>Asia</v>
      </c>
      <c r="M112" s="20" t="str">
        <f>IFERROR(__xludf.DUMMYFUNCTION("""COMPUTED_VALUE"""),"Southern Asia")</f>
        <v>Southern Asia</v>
      </c>
      <c r="N112" s="66">
        <f>IFERROR(__xludf.DUMMYFUNCTION("""COMPUTED_VALUE"""),797765.0)</f>
        <v>797765</v>
      </c>
      <c r="O112" s="66">
        <f>IFERROR(__xludf.DUMMYFUNCTION("""COMPUTED_VALUE"""),807610.0)</f>
        <v>807610</v>
      </c>
      <c r="P112" s="67">
        <f>IFERROR(__xludf.DUMMYFUNCTION("""COMPUTED_VALUE"""),0.0123)</f>
        <v>0.0123</v>
      </c>
      <c r="Q112" s="20" t="str">
        <f>IFERROR(__xludf.DUMMYFUNCTION("""COMPUTED_VALUE"""),"Ema datshi")</f>
        <v>Ema datshi</v>
      </c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65">
        <f>IFERROR(__xludf.DUMMYFUNCTION("""COMPUTED_VALUE"""),109.0)</f>
        <v>109</v>
      </c>
      <c r="B113" s="65" t="str">
        <f>IFERROR(__xludf.DUMMYFUNCTION("""COMPUTED_VALUE"""),"Libya")</f>
        <v>Libya</v>
      </c>
      <c r="C113" s="20" t="str">
        <f>IFERROR(__xludf.DUMMYFUNCTION("""COMPUTED_VALUE"""),"Africa")</f>
        <v>Africa</v>
      </c>
      <c r="D113" s="20" t="str">
        <f>IFERROR(__xludf.DUMMYFUNCTION("""COMPUTED_VALUE"""),"Northern Africa")</f>
        <v>Northern Africa</v>
      </c>
      <c r="E113" s="66">
        <f>IFERROR(__xludf.DUMMYFUNCTION("""COMPUTED_VALUE"""),6293253.0)</f>
        <v>6293253</v>
      </c>
      <c r="F113" s="66">
        <f>IFERROR(__xludf.DUMMYFUNCTION("""COMPUTED_VALUE"""),6374616.0)</f>
        <v>6374616</v>
      </c>
      <c r="G113" s="67">
        <f>IFERROR(__xludf.DUMMYFUNCTION("""COMPUTED_VALUE"""),0.0129)</f>
        <v>0.0129</v>
      </c>
      <c r="H113" s="60" t="str">
        <f>IFERROR(__xludf.DUMMYFUNCTION("""COMPUTED_VALUE"""),"Bazeen, Usban")</f>
        <v>Bazeen, Usban</v>
      </c>
      <c r="I113" s="20"/>
      <c r="J113" s="20">
        <f>IFERROR(__xludf.DUMMYFUNCTION("""COMPUTED_VALUE"""),64.0)</f>
        <v>64</v>
      </c>
      <c r="K113" s="20" t="str">
        <f>IFERROR(__xludf.DUMMYFUNCTION("""COMPUTED_VALUE"""),"Kazakhstan")</f>
        <v>Kazakhstan</v>
      </c>
      <c r="L113" s="20" t="str">
        <f>IFERROR(__xludf.DUMMYFUNCTION("""COMPUTED_VALUE"""),"Asia")</f>
        <v>Asia</v>
      </c>
      <c r="M113" s="20" t="str">
        <f>IFERROR(__xludf.DUMMYFUNCTION("""COMPUTED_VALUE"""),"Central Asia")</f>
        <v>Central Asia</v>
      </c>
      <c r="N113" s="66">
        <f>IFERROR(__xludf.DUMMYFUNCTION("""COMPUTED_VALUE"""),1.7987736E7)</f>
        <v>17987736</v>
      </c>
      <c r="O113" s="66">
        <f>IFERROR(__xludf.DUMMYFUNCTION("""COMPUTED_VALUE"""),1.8204499E7)</f>
        <v>18204499</v>
      </c>
      <c r="P113" s="67">
        <f>IFERROR(__xludf.DUMMYFUNCTION("""COMPUTED_VALUE"""),0.0121)</f>
        <v>0.0121</v>
      </c>
      <c r="Q113" s="20" t="str">
        <f>IFERROR(__xludf.DUMMYFUNCTION("""COMPUTED_VALUE"""),"Beshbarmak, Shalgam")</f>
        <v>Beshbarmak, Shalgam</v>
      </c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65">
        <f>IFERROR(__xludf.DUMMYFUNCTION("""COMPUTED_VALUE"""),110.0)</f>
        <v>110</v>
      </c>
      <c r="B114" s="65" t="str">
        <f>IFERROR(__xludf.DUMMYFUNCTION("""COMPUTED_VALUE"""),"Nicaragua")</f>
        <v>Nicaragua</v>
      </c>
      <c r="C114" s="20" t="str">
        <f>IFERROR(__xludf.DUMMYFUNCTION("""COMPUTED_VALUE"""),"Americas")</f>
        <v>Americas</v>
      </c>
      <c r="D114" s="20" t="str">
        <f>IFERROR(__xludf.DUMMYFUNCTION("""COMPUTED_VALUE"""),"Central America")</f>
        <v>Central America</v>
      </c>
      <c r="E114" s="66">
        <f>IFERROR(__xludf.DUMMYFUNCTION("""COMPUTED_VALUE"""),6149928.0)</f>
        <v>6149928</v>
      </c>
      <c r="F114" s="66">
        <f>IFERROR(__xludf.DUMMYFUNCTION("""COMPUTED_VALUE"""),6217581.0)</f>
        <v>6217581</v>
      </c>
      <c r="G114" s="67">
        <f>IFERROR(__xludf.DUMMYFUNCTION("""COMPUTED_VALUE"""),0.011)</f>
        <v>0.011</v>
      </c>
      <c r="H114" s="60" t="str">
        <f>IFERROR(__xludf.DUMMYFUNCTION("""COMPUTED_VALUE"""),"Gallo pinto")</f>
        <v>Gallo pinto</v>
      </c>
      <c r="I114" s="20"/>
      <c r="J114" s="20">
        <f>IFERROR(__xludf.DUMMYFUNCTION("""COMPUTED_VALUE"""),2.0)</f>
        <v>2</v>
      </c>
      <c r="K114" s="20" t="str">
        <f>IFERROR(__xludf.DUMMYFUNCTION("""COMPUTED_VALUE"""),"India")</f>
        <v>India</v>
      </c>
      <c r="L114" s="20" t="str">
        <f>IFERROR(__xludf.DUMMYFUNCTION("""COMPUTED_VALUE"""),"Asia")</f>
        <v>Asia</v>
      </c>
      <c r="M114" s="20" t="str">
        <f>IFERROR(__xludf.DUMMYFUNCTION("""COMPUTED_VALUE"""),"Southern Asia")</f>
        <v>Southern Asia</v>
      </c>
      <c r="N114" s="66">
        <f>IFERROR(__xludf.DUMMYFUNCTION("""COMPUTED_VALUE"""),1.324171354E9)</f>
        <v>1324171354</v>
      </c>
      <c r="O114" s="66">
        <f>IFERROR(__xludf.DUMMYFUNCTION("""COMPUTED_VALUE"""),1.339180127E9)</f>
        <v>1339180127</v>
      </c>
      <c r="P114" s="67">
        <f>IFERROR(__xludf.DUMMYFUNCTION("""COMPUTED_VALUE"""),0.0113)</f>
        <v>0.0113</v>
      </c>
      <c r="Q114" s="20" t="str">
        <f>IFERROR(__xludf.DUMMYFUNCTION("""COMPUTED_VALUE"""),"Achar, Dosa, Idli, Roti, Paratta, Bhindi, Samosa, Pav Bhaji, Baingan, Lassi, Paan, Tandoori Chicken, Rogan Josh, Chicken Tikka Masala, Chicken Vindaloo, Shami Kabab")</f>
        <v>Achar, Dosa, Idli, Roti, Paratta, Bhindi, Samosa, Pav Bhaji, Baingan, Lassi, Paan, Tandoori Chicken, Rogan Josh, Chicken Tikka Masala, Chicken Vindaloo, Shami Kabab</v>
      </c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65">
        <f>IFERROR(__xludf.DUMMYFUNCTION("""COMPUTED_VALUE"""),111.0)</f>
        <v>111</v>
      </c>
      <c r="B115" s="65" t="str">
        <f>IFERROR(__xludf.DUMMYFUNCTION("""COMPUTED_VALUE"""),"Lebanon")</f>
        <v>Lebanon</v>
      </c>
      <c r="C115" s="20" t="str">
        <f>IFERROR(__xludf.DUMMYFUNCTION("""COMPUTED_VALUE"""),"Asia")</f>
        <v>Asia</v>
      </c>
      <c r="D115" s="20" t="str">
        <f>IFERROR(__xludf.DUMMYFUNCTION("""COMPUTED_VALUE"""),"Western Asia")</f>
        <v>Western Asia</v>
      </c>
      <c r="E115" s="66">
        <f>IFERROR(__xludf.DUMMYFUNCTION("""COMPUTED_VALUE"""),6006668.0)</f>
        <v>6006668</v>
      </c>
      <c r="F115" s="66">
        <f>IFERROR(__xludf.DUMMYFUNCTION("""COMPUTED_VALUE"""),6082357.0)</f>
        <v>6082357</v>
      </c>
      <c r="G115" s="67">
        <f>IFERROR(__xludf.DUMMYFUNCTION("""COMPUTED_VALUE"""),0.0126)</f>
        <v>0.0126</v>
      </c>
      <c r="H115" s="60" t="str">
        <f>IFERROR(__xludf.DUMMYFUNCTION("""COMPUTED_VALUE"""),"Kibbeh, tabbouleh")</f>
        <v>Kibbeh, tabbouleh</v>
      </c>
      <c r="I115" s="20"/>
      <c r="J115" s="20">
        <f>IFERROR(__xludf.DUMMYFUNCTION("""COMPUTED_VALUE"""),78.0)</f>
        <v>78</v>
      </c>
      <c r="K115" s="20" t="str">
        <f>IFERROR(__xludf.DUMMYFUNCTION("""COMPUTED_VALUE"""),"Tunisia")</f>
        <v>Tunisia</v>
      </c>
      <c r="L115" s="20" t="str">
        <f>IFERROR(__xludf.DUMMYFUNCTION("""COMPUTED_VALUE"""),"Africa")</f>
        <v>Africa</v>
      </c>
      <c r="M115" s="20" t="str">
        <f>IFERROR(__xludf.DUMMYFUNCTION("""COMPUTED_VALUE"""),"Northern Africa")</f>
        <v>Northern Africa</v>
      </c>
      <c r="N115" s="66">
        <f>IFERROR(__xludf.DUMMYFUNCTION("""COMPUTED_VALUE"""),1.1403248E7)</f>
        <v>11403248</v>
      </c>
      <c r="O115" s="66">
        <f>IFERROR(__xludf.DUMMYFUNCTION("""COMPUTED_VALUE"""),1.1532127E7)</f>
        <v>11532127</v>
      </c>
      <c r="P115" s="67">
        <f>IFERROR(__xludf.DUMMYFUNCTION("""COMPUTED_VALUE"""),0.0113)</f>
        <v>0.0113</v>
      </c>
      <c r="Q115" s="20" t="str">
        <f>IFERROR(__xludf.DUMMYFUNCTION("""COMPUTED_VALUE"""),"Couscous, Kabkabou")</f>
        <v>Couscous, Kabkabou</v>
      </c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65">
        <f>IFERROR(__xludf.DUMMYFUNCTION("""COMPUTED_VALUE"""),112.0)</f>
        <v>112</v>
      </c>
      <c r="B116" s="65" t="str">
        <f>IFERROR(__xludf.DUMMYFUNCTION("""COMPUTED_VALUE"""),"Kyrgyzstan")</f>
        <v>Kyrgyzstan</v>
      </c>
      <c r="C116" s="20" t="str">
        <f>IFERROR(__xludf.DUMMYFUNCTION("""COMPUTED_VALUE"""),"Asia")</f>
        <v>Asia</v>
      </c>
      <c r="D116" s="20" t="str">
        <f>IFERROR(__xludf.DUMMYFUNCTION("""COMPUTED_VALUE"""),"Central Asia")</f>
        <v>Central Asia</v>
      </c>
      <c r="E116" s="66">
        <f>IFERROR(__xludf.DUMMYFUNCTION("""COMPUTED_VALUE"""),5955734.0)</f>
        <v>5955734</v>
      </c>
      <c r="F116" s="66">
        <f>IFERROR(__xludf.DUMMYFUNCTION("""COMPUTED_VALUE"""),6045117.0)</f>
        <v>6045117</v>
      </c>
      <c r="G116" s="67">
        <f>IFERROR(__xludf.DUMMYFUNCTION("""COMPUTED_VALUE"""),0.015)</f>
        <v>0.015</v>
      </c>
      <c r="H116" s="60" t="str">
        <f>IFERROR(__xludf.DUMMYFUNCTION("""COMPUTED_VALUE"""),"Beshbarmak, Laghman, Kuurdak")</f>
        <v>Beshbarmak, Laghman, Kuurdak</v>
      </c>
      <c r="I116" s="20"/>
      <c r="J116" s="20">
        <f>IFERROR(__xludf.DUMMYFUNCTION("""COMPUTED_VALUE"""),48.0)</f>
        <v>48</v>
      </c>
      <c r="K116" s="20" t="str">
        <f>IFERROR(__xludf.DUMMYFUNCTION("""COMPUTED_VALUE"""),"Nepal")</f>
        <v>Nepal</v>
      </c>
      <c r="L116" s="20" t="str">
        <f>IFERROR(__xludf.DUMMYFUNCTION("""COMPUTED_VALUE"""),"Asia")</f>
        <v>Asia</v>
      </c>
      <c r="M116" s="20" t="str">
        <f>IFERROR(__xludf.DUMMYFUNCTION("""COMPUTED_VALUE"""),"Southern Asia")</f>
        <v>Southern Asia</v>
      </c>
      <c r="N116" s="66">
        <f>IFERROR(__xludf.DUMMYFUNCTION("""COMPUTED_VALUE"""),2.8982771E7)</f>
        <v>28982771</v>
      </c>
      <c r="O116" s="66">
        <f>IFERROR(__xludf.DUMMYFUNCTION("""COMPUTED_VALUE"""),2.9304998E7)</f>
        <v>29304998</v>
      </c>
      <c r="P116" s="67">
        <f>IFERROR(__xludf.DUMMYFUNCTION("""COMPUTED_VALUE"""),0.0111)</f>
        <v>0.0111</v>
      </c>
      <c r="Q116" s="20" t="str">
        <f>IFERROR(__xludf.DUMMYFUNCTION("""COMPUTED_VALUE"""),"Dal bhat")</f>
        <v>Dal bhat</v>
      </c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65">
        <f>IFERROR(__xludf.DUMMYFUNCTION("""COMPUTED_VALUE"""),113.0)</f>
        <v>113</v>
      </c>
      <c r="B117" s="65" t="str">
        <f>IFERROR(__xludf.DUMMYFUNCTION("""COMPUTED_VALUE"""),"Turkmenistan")</f>
        <v>Turkmenistan</v>
      </c>
      <c r="C117" s="20" t="str">
        <f>IFERROR(__xludf.DUMMYFUNCTION("""COMPUTED_VALUE"""),"Asia")</f>
        <v>Asia</v>
      </c>
      <c r="D117" s="20" t="str">
        <f>IFERROR(__xludf.DUMMYFUNCTION("""COMPUTED_VALUE"""),"Central Asia")</f>
        <v>Central Asia</v>
      </c>
      <c r="E117" s="66">
        <f>IFERROR(__xludf.DUMMYFUNCTION("""COMPUTED_VALUE"""),5662544.0)</f>
        <v>5662544</v>
      </c>
      <c r="F117" s="66">
        <f>IFERROR(__xludf.DUMMYFUNCTION("""COMPUTED_VALUE"""),5758075.0)</f>
        <v>5758075</v>
      </c>
      <c r="G117" s="67">
        <f>IFERROR(__xludf.DUMMYFUNCTION("""COMPUTED_VALUE"""),0.0169)</f>
        <v>0.0169</v>
      </c>
      <c r="H117" s="60" t="str">
        <f>IFERROR(__xludf.DUMMYFUNCTION("""COMPUTED_VALUE"""),"Palaw")</f>
        <v>Palaw</v>
      </c>
      <c r="I117" s="20"/>
      <c r="J117" s="20">
        <f>IFERROR(__xludf.DUMMYFUNCTION("""COMPUTED_VALUE"""),86.0)</f>
        <v>86</v>
      </c>
      <c r="K117" s="20" t="str">
        <f>IFERROR(__xludf.DUMMYFUNCTION("""COMPUTED_VALUE"""),"Dominican Republic")</f>
        <v>Dominican Republic</v>
      </c>
      <c r="L117" s="20" t="str">
        <f>IFERROR(__xludf.DUMMYFUNCTION("""COMPUTED_VALUE"""),"Americas")</f>
        <v>Americas</v>
      </c>
      <c r="M117" s="20" t="str">
        <f>IFERROR(__xludf.DUMMYFUNCTION("""COMPUTED_VALUE"""),"Caribbean")</f>
        <v>Caribbean</v>
      </c>
      <c r="N117" s="66">
        <f>IFERROR(__xludf.DUMMYFUNCTION("""COMPUTED_VALUE"""),1.0648791E7)</f>
        <v>10648791</v>
      </c>
      <c r="O117" s="66">
        <f>IFERROR(__xludf.DUMMYFUNCTION("""COMPUTED_VALUE"""),1.0766998E7)</f>
        <v>10766998</v>
      </c>
      <c r="P117" s="67">
        <f>IFERROR(__xludf.DUMMYFUNCTION("""COMPUTED_VALUE"""),0.0111)</f>
        <v>0.0111</v>
      </c>
      <c r="Q117" s="20" t="str">
        <f>IFERROR(__xludf.DUMMYFUNCTION("""COMPUTED_VALUE"""),"La Bandera (""The Flag""; rice, red beans, and meat (beef, chicken, pork, or fish), Sancocho")</f>
        <v>La Bandera ("The Flag"; rice, red beans, and meat (beef, chicken, pork, or fish), Sancocho</v>
      </c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65">
        <f>IFERROR(__xludf.DUMMYFUNCTION("""COMPUTED_VALUE"""),114.0)</f>
        <v>114</v>
      </c>
      <c r="B118" s="65" t="str">
        <f>IFERROR(__xludf.DUMMYFUNCTION("""COMPUTED_VALUE"""),"Denmark")</f>
        <v>Denmark</v>
      </c>
      <c r="C118" s="20" t="str">
        <f>IFERROR(__xludf.DUMMYFUNCTION("""COMPUTED_VALUE"""),"Europe")</f>
        <v>Europe</v>
      </c>
      <c r="D118" s="20" t="str">
        <f>IFERROR(__xludf.DUMMYFUNCTION("""COMPUTED_VALUE"""),"Northern Europe")</f>
        <v>Northern Europe</v>
      </c>
      <c r="E118" s="66">
        <f>IFERROR(__xludf.DUMMYFUNCTION("""COMPUTED_VALUE"""),5711870.0)</f>
        <v>5711870</v>
      </c>
      <c r="F118" s="66">
        <f>IFERROR(__xludf.DUMMYFUNCTION("""COMPUTED_VALUE"""),5733551.0)</f>
        <v>5733551</v>
      </c>
      <c r="G118" s="67">
        <f>IFERROR(__xludf.DUMMYFUNCTION("""COMPUTED_VALUE"""),0.0038)</f>
        <v>0.0038</v>
      </c>
      <c r="H118" s="60" t="str">
        <f>IFERROR(__xludf.DUMMYFUNCTION("""COMPUTED_VALUE"""),"Stegt Flæsk fried pork and potato-based dish, Bøfsandwich, Frikadeller and Smørrebrød")</f>
        <v>Stegt Flæsk fried pork and potato-based dish, Bøfsandwich, Frikadeller and Smørrebrød</v>
      </c>
      <c r="I118" s="20"/>
      <c r="J118" s="20">
        <f>IFERROR(__xludf.DUMMYFUNCTION("""COMPUTED_VALUE"""),4.0)</f>
        <v>4</v>
      </c>
      <c r="K118" s="20" t="str">
        <f>IFERROR(__xludf.DUMMYFUNCTION("""COMPUTED_VALUE"""),"Indonesia")</f>
        <v>Indonesia</v>
      </c>
      <c r="L118" s="20" t="str">
        <f>IFERROR(__xludf.DUMMYFUNCTION("""COMPUTED_VALUE"""),"Asia")</f>
        <v>Asia</v>
      </c>
      <c r="M118" s="20" t="str">
        <f>IFERROR(__xludf.DUMMYFUNCTION("""COMPUTED_VALUE"""),"South-eastern Asia")</f>
        <v>South-eastern Asia</v>
      </c>
      <c r="N118" s="66">
        <f>IFERROR(__xludf.DUMMYFUNCTION("""COMPUTED_VALUE"""),2.61115456E8)</f>
        <v>261115456</v>
      </c>
      <c r="O118" s="66">
        <f>IFERROR(__xludf.DUMMYFUNCTION("""COMPUTED_VALUE"""),2.63991379E8)</f>
        <v>263991379</v>
      </c>
      <c r="P118" s="67">
        <f>IFERROR(__xludf.DUMMYFUNCTION("""COMPUTED_VALUE"""),0.011)</f>
        <v>0.011</v>
      </c>
      <c r="Q118" s="20" t="str">
        <f>IFERROR(__xludf.DUMMYFUNCTION("""COMPUTED_VALUE"""),"Soto, Rendang, Sate, Nasi goreng, Gado gado, Tumpeng,")</f>
        <v>Soto, Rendang, Sate, Nasi goreng, Gado gado, Tumpeng,</v>
      </c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65">
        <f>IFERROR(__xludf.DUMMYFUNCTION("""COMPUTED_VALUE"""),115.0)</f>
        <v>115</v>
      </c>
      <c r="B119" s="65" t="str">
        <f>IFERROR(__xludf.DUMMYFUNCTION("""COMPUTED_VALUE"""),"Singapore")</f>
        <v>Singapore</v>
      </c>
      <c r="C119" s="20" t="str">
        <f>IFERROR(__xludf.DUMMYFUNCTION("""COMPUTED_VALUE"""),"Asia")</f>
        <v>Asia</v>
      </c>
      <c r="D119" s="20" t="str">
        <f>IFERROR(__xludf.DUMMYFUNCTION("""COMPUTED_VALUE"""),"South-eastern Asia")</f>
        <v>South-eastern Asia</v>
      </c>
      <c r="E119" s="66">
        <f>IFERROR(__xludf.DUMMYFUNCTION("""COMPUTED_VALUE"""),5622455.0)</f>
        <v>5622455</v>
      </c>
      <c r="F119" s="66">
        <f>IFERROR(__xludf.DUMMYFUNCTION("""COMPUTED_VALUE"""),5708844.0)</f>
        <v>5708844</v>
      </c>
      <c r="G119" s="67">
        <f>IFERROR(__xludf.DUMMYFUNCTION("""COMPUTED_VALUE"""),0.0154)</f>
        <v>0.0154</v>
      </c>
      <c r="H119" s="60" t="str">
        <f>IFERROR(__xludf.DUMMYFUNCTION("""COMPUTED_VALUE"""),"Chilli crab, Hainanese Chicken Rice")</f>
        <v>Chilli crab, Hainanese Chicken Rice</v>
      </c>
      <c r="I119" s="20"/>
      <c r="J119" s="20">
        <f>IFERROR(__xludf.DUMMYFUNCTION("""COMPUTED_VALUE"""),18.0)</f>
        <v>18</v>
      </c>
      <c r="K119" s="20" t="str">
        <f>IFERROR(__xludf.DUMMYFUNCTION("""COMPUTED_VALUE"""),"Iran")</f>
        <v>Iran</v>
      </c>
      <c r="L119" s="20" t="str">
        <f>IFERROR(__xludf.DUMMYFUNCTION("""COMPUTED_VALUE"""),"Asia")</f>
        <v>Asia</v>
      </c>
      <c r="M119" s="20" t="str">
        <f>IFERROR(__xludf.DUMMYFUNCTION("""COMPUTED_VALUE"""),"Southern Asia")</f>
        <v>Southern Asia</v>
      </c>
      <c r="N119" s="66">
        <f>IFERROR(__xludf.DUMMYFUNCTION("""COMPUTED_VALUE"""),8.0277428E7)</f>
        <v>80277428</v>
      </c>
      <c r="O119" s="66">
        <f>IFERROR(__xludf.DUMMYFUNCTION("""COMPUTED_VALUE"""),8.1162788E7)</f>
        <v>81162788</v>
      </c>
      <c r="P119" s="67">
        <f>IFERROR(__xludf.DUMMYFUNCTION("""COMPUTED_VALUE"""),0.011)</f>
        <v>0.011</v>
      </c>
      <c r="Q119" s="20" t="str">
        <f>IFERROR(__xludf.DUMMYFUNCTION("""COMPUTED_VALUE"""),"Abgoosht, Fesenjan, Chelo kabab, Ghormeh sabzi")</f>
        <v>Abgoosht, Fesenjan, Chelo kabab, Ghormeh sabzi</v>
      </c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65">
        <f>IFERROR(__xludf.DUMMYFUNCTION("""COMPUTED_VALUE"""),116.0)</f>
        <v>116</v>
      </c>
      <c r="B120" s="65" t="str">
        <f>IFERROR(__xludf.DUMMYFUNCTION("""COMPUTED_VALUE"""),"Finland")</f>
        <v>Finland</v>
      </c>
      <c r="C120" s="20" t="str">
        <f>IFERROR(__xludf.DUMMYFUNCTION("""COMPUTED_VALUE"""),"Europe")</f>
        <v>Europe</v>
      </c>
      <c r="D120" s="20" t="str">
        <f>IFERROR(__xludf.DUMMYFUNCTION("""COMPUTED_VALUE"""),"Northern Europe")</f>
        <v>Northern Europe</v>
      </c>
      <c r="E120" s="66">
        <f>IFERROR(__xludf.DUMMYFUNCTION("""COMPUTED_VALUE"""),5503132.0)</f>
        <v>5503132</v>
      </c>
      <c r="F120" s="66">
        <f>IFERROR(__xludf.DUMMYFUNCTION("""COMPUTED_VALUE"""),5523231.0)</f>
        <v>5523231</v>
      </c>
      <c r="G120" s="67">
        <f>IFERROR(__xludf.DUMMYFUNCTION("""COMPUTED_VALUE"""),0.0037)</f>
        <v>0.0037</v>
      </c>
      <c r="H120" s="60" t="str">
        <f>IFERROR(__xludf.DUMMYFUNCTION("""COMPUTED_VALUE"""),"Karjalanpaisti, Mämmi, Sautéed reindeer")</f>
        <v>Karjalanpaisti, Mämmi, Sautéed reindeer</v>
      </c>
      <c r="I120" s="20"/>
      <c r="J120" s="20">
        <f>IFERROR(__xludf.DUMMYFUNCTION("""COMPUTED_VALUE"""),110.0)</f>
        <v>110</v>
      </c>
      <c r="K120" s="20" t="str">
        <f>IFERROR(__xludf.DUMMYFUNCTION("""COMPUTED_VALUE"""),"Nicaragua")</f>
        <v>Nicaragua</v>
      </c>
      <c r="L120" s="20" t="str">
        <f>IFERROR(__xludf.DUMMYFUNCTION("""COMPUTED_VALUE"""),"Americas")</f>
        <v>Americas</v>
      </c>
      <c r="M120" s="20" t="str">
        <f>IFERROR(__xludf.DUMMYFUNCTION("""COMPUTED_VALUE"""),"Central America")</f>
        <v>Central America</v>
      </c>
      <c r="N120" s="66">
        <f>IFERROR(__xludf.DUMMYFUNCTION("""COMPUTED_VALUE"""),6149928.0)</f>
        <v>6149928</v>
      </c>
      <c r="O120" s="66">
        <f>IFERROR(__xludf.DUMMYFUNCTION("""COMPUTED_VALUE"""),6217581.0)</f>
        <v>6217581</v>
      </c>
      <c r="P120" s="67">
        <f>IFERROR(__xludf.DUMMYFUNCTION("""COMPUTED_VALUE"""),0.011)</f>
        <v>0.011</v>
      </c>
      <c r="Q120" s="20" t="str">
        <f>IFERROR(__xludf.DUMMYFUNCTION("""COMPUTED_VALUE"""),"Gallo pinto")</f>
        <v>Gallo pinto</v>
      </c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65">
        <f>IFERROR(__xludf.DUMMYFUNCTION("""COMPUTED_VALUE"""),117.0)</f>
        <v>117</v>
      </c>
      <c r="B121" s="65" t="str">
        <f>IFERROR(__xludf.DUMMYFUNCTION("""COMPUTED_VALUE"""),"Slovakia")</f>
        <v>Slovakia</v>
      </c>
      <c r="C121" s="20" t="str">
        <f>IFERROR(__xludf.DUMMYFUNCTION("""COMPUTED_VALUE"""),"Europe")</f>
        <v>Europe</v>
      </c>
      <c r="D121" s="20" t="str">
        <f>IFERROR(__xludf.DUMMYFUNCTION("""COMPUTED_VALUE"""),"Eastern Europe")</f>
        <v>Eastern Europe</v>
      </c>
      <c r="E121" s="66">
        <f>IFERROR(__xludf.DUMMYFUNCTION("""COMPUTED_VALUE"""),5444218.0)</f>
        <v>5444218</v>
      </c>
      <c r="F121" s="66">
        <f>IFERROR(__xludf.DUMMYFUNCTION("""COMPUTED_VALUE"""),5447662.0)</f>
        <v>5447662</v>
      </c>
      <c r="G121" s="67">
        <f>IFERROR(__xludf.DUMMYFUNCTION("""COMPUTED_VALUE"""),6.0E-4)</f>
        <v>0.0006</v>
      </c>
      <c r="H121" s="60" t="str">
        <f>IFERROR(__xludf.DUMMYFUNCTION("""COMPUTED_VALUE"""),"Bryndzové halušky")</f>
        <v>Bryndzové halušky</v>
      </c>
      <c r="I121" s="20"/>
      <c r="J121" s="20">
        <f>IFERROR(__xludf.DUMMYFUNCTION("""COMPUTED_VALUE"""),177.0)</f>
        <v>177</v>
      </c>
      <c r="K121" s="20" t="str">
        <f>IFERROR(__xludf.DUMMYFUNCTION("""COMPUTED_VALUE"""),"Bahamas")</f>
        <v>Bahamas</v>
      </c>
      <c r="L121" s="20" t="str">
        <f>IFERROR(__xludf.DUMMYFUNCTION("""COMPUTED_VALUE"""),"Americas")</f>
        <v>Americas</v>
      </c>
      <c r="M121" s="20" t="str">
        <f>IFERROR(__xludf.DUMMYFUNCTION("""COMPUTED_VALUE"""),"Caribbean")</f>
        <v>Caribbean</v>
      </c>
      <c r="N121" s="66">
        <f>IFERROR(__xludf.DUMMYFUNCTION("""COMPUTED_VALUE"""),391232.0)</f>
        <v>391232</v>
      </c>
      <c r="O121" s="66">
        <f>IFERROR(__xludf.DUMMYFUNCTION("""COMPUTED_VALUE"""),395361.0)</f>
        <v>395361</v>
      </c>
      <c r="P121" s="67">
        <f>IFERROR(__xludf.DUMMYFUNCTION("""COMPUTED_VALUE"""),0.0106)</f>
        <v>0.0106</v>
      </c>
      <c r="Q121" s="20" t="str">
        <f>IFERROR(__xludf.DUMMYFUNCTION("""COMPUTED_VALUE"""),"Crack conch with peas and rice")</f>
        <v>Crack conch with peas and rice</v>
      </c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65">
        <f>IFERROR(__xludf.DUMMYFUNCTION("""COMPUTED_VALUE"""),118.0)</f>
        <v>118</v>
      </c>
      <c r="B122" s="65" t="str">
        <f>IFERROR(__xludf.DUMMYFUNCTION("""COMPUTED_VALUE"""),"Norway")</f>
        <v>Norway</v>
      </c>
      <c r="C122" s="20" t="str">
        <f>IFERROR(__xludf.DUMMYFUNCTION("""COMPUTED_VALUE"""),"Europe")</f>
        <v>Europe</v>
      </c>
      <c r="D122" s="20" t="str">
        <f>IFERROR(__xludf.DUMMYFUNCTION("""COMPUTED_VALUE"""),"Northern Europe")</f>
        <v>Northern Europe</v>
      </c>
      <c r="E122" s="66">
        <f>IFERROR(__xludf.DUMMYFUNCTION("""COMPUTED_VALUE"""),5254694.0)</f>
        <v>5254694</v>
      </c>
      <c r="F122" s="66">
        <f>IFERROR(__xludf.DUMMYFUNCTION("""COMPUTED_VALUE"""),5305383.0)</f>
        <v>5305383</v>
      </c>
      <c r="G122" s="67">
        <f>IFERROR(__xludf.DUMMYFUNCTION("""COMPUTED_VALUE"""),0.0096)</f>
        <v>0.0096</v>
      </c>
      <c r="H122" s="60" t="str">
        <f>IFERROR(__xludf.DUMMYFUNCTION("""COMPUTED_VALUE"""),"Fårikål")</f>
        <v>Fårikål</v>
      </c>
      <c r="I122" s="20"/>
      <c r="J122" s="20">
        <f>IFERROR(__xludf.DUMMYFUNCTION("""COMPUTED_VALUE"""),8.0)</f>
        <v>8</v>
      </c>
      <c r="K122" s="20" t="str">
        <f>IFERROR(__xludf.DUMMYFUNCTION("""COMPUTED_VALUE"""),"Bangladesh")</f>
        <v>Bangladesh</v>
      </c>
      <c r="L122" s="20" t="str">
        <f>IFERROR(__xludf.DUMMYFUNCTION("""COMPUTED_VALUE"""),"Asia")</f>
        <v>Asia</v>
      </c>
      <c r="M122" s="20" t="str">
        <f>IFERROR(__xludf.DUMMYFUNCTION("""COMPUTED_VALUE"""),"Southern Asia")</f>
        <v>Southern Asia</v>
      </c>
      <c r="N122" s="66">
        <f>IFERROR(__xludf.DUMMYFUNCTION("""COMPUTED_VALUE"""),1.6295156E8)</f>
        <v>162951560</v>
      </c>
      <c r="O122" s="66">
        <f>IFERROR(__xludf.DUMMYFUNCTION("""COMPUTED_VALUE"""),1.64669751E8)</f>
        <v>164669751</v>
      </c>
      <c r="P122" s="67">
        <f>IFERROR(__xludf.DUMMYFUNCTION("""COMPUTED_VALUE"""),0.0105)</f>
        <v>0.0105</v>
      </c>
      <c r="Q122" s="20" t="str">
        <f>IFERROR(__xludf.DUMMYFUNCTION("""COMPUTED_VALUE"""),"Rice and Ilish, Shorshe Ilish, Machh bhaja, Machher Jhol, Bhuna, Chicken Korma")</f>
        <v>Rice and Ilish, Shorshe Ilish, Machh bhaja, Machher Jhol, Bhuna, Chicken Korma</v>
      </c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65">
        <f>IFERROR(__xludf.DUMMYFUNCTION("""COMPUTED_VALUE"""),119.0)</f>
        <v>119</v>
      </c>
      <c r="B123" s="65" t="str">
        <f>IFERROR(__xludf.DUMMYFUNCTION("""COMPUTED_VALUE"""),"Congo")</f>
        <v>Congo</v>
      </c>
      <c r="C123" s="20" t="str">
        <f>IFERROR(__xludf.DUMMYFUNCTION("""COMPUTED_VALUE"""),"Africa")</f>
        <v>Africa</v>
      </c>
      <c r="D123" s="20" t="str">
        <f>IFERROR(__xludf.DUMMYFUNCTION("""COMPUTED_VALUE"""),"Middle Africa")</f>
        <v>Middle Africa</v>
      </c>
      <c r="E123" s="66">
        <f>IFERROR(__xludf.DUMMYFUNCTION("""COMPUTED_VALUE"""),5125821.0)</f>
        <v>5125821</v>
      </c>
      <c r="F123" s="66">
        <f>IFERROR(__xludf.DUMMYFUNCTION("""COMPUTED_VALUE"""),5260750.0)</f>
        <v>5260750</v>
      </c>
      <c r="G123" s="67">
        <f>IFERROR(__xludf.DUMMYFUNCTION("""COMPUTED_VALUE"""),0.0263)</f>
        <v>0.0263</v>
      </c>
      <c r="H123" s="60"/>
      <c r="I123" s="20"/>
      <c r="J123" s="20">
        <f>IFERROR(__xludf.DUMMYFUNCTION("""COMPUTED_VALUE"""),90.0)</f>
        <v>90</v>
      </c>
      <c r="K123" s="20" t="str">
        <f>IFERROR(__xludf.DUMMYFUNCTION("""COMPUTED_VALUE"""),"Azerbaijan")</f>
        <v>Azerbaijan</v>
      </c>
      <c r="L123" s="20" t="str">
        <f>IFERROR(__xludf.DUMMYFUNCTION("""COMPUTED_VALUE"""),"Asia")</f>
        <v>Asia</v>
      </c>
      <c r="M123" s="20" t="str">
        <f>IFERROR(__xludf.DUMMYFUNCTION("""COMPUTED_VALUE"""),"Western Asia")</f>
        <v>Western Asia</v>
      </c>
      <c r="N123" s="66">
        <f>IFERROR(__xludf.DUMMYFUNCTION("""COMPUTED_VALUE"""),9725376.0)</f>
        <v>9725376</v>
      </c>
      <c r="O123" s="66">
        <f>IFERROR(__xludf.DUMMYFUNCTION("""COMPUTED_VALUE"""),9827589.0)</f>
        <v>9827589</v>
      </c>
      <c r="P123" s="67">
        <f>IFERROR(__xludf.DUMMYFUNCTION("""COMPUTED_VALUE"""),0.0105)</f>
        <v>0.0105</v>
      </c>
      <c r="Q123" s="20" t="str">
        <f>IFERROR(__xludf.DUMMYFUNCTION("""COMPUTED_VALUE"""),"Dolma, qutab")</f>
        <v>Dolma, qutab</v>
      </c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65">
        <f>IFERROR(__xludf.DUMMYFUNCTION("""COMPUTED_VALUE"""),120.0)</f>
        <v>120</v>
      </c>
      <c r="B124" s="65" t="str">
        <f>IFERROR(__xludf.DUMMYFUNCTION("""COMPUTED_VALUE"""),"Eritrea")</f>
        <v>Eritrea</v>
      </c>
      <c r="C124" s="20" t="str">
        <f>IFERROR(__xludf.DUMMYFUNCTION("""COMPUTED_VALUE"""),"Africa")</f>
        <v>Africa</v>
      </c>
      <c r="D124" s="20" t="str">
        <f>IFERROR(__xludf.DUMMYFUNCTION("""COMPUTED_VALUE"""),"Eastern Africa")</f>
        <v>Eastern Africa</v>
      </c>
      <c r="E124" s="66">
        <f>IFERROR(__xludf.DUMMYFUNCTION("""COMPUTED_VALUE"""),4954645.0)</f>
        <v>4954645</v>
      </c>
      <c r="F124" s="66">
        <f>IFERROR(__xludf.DUMMYFUNCTION("""COMPUTED_VALUE"""),5068831.0)</f>
        <v>5068831</v>
      </c>
      <c r="G124" s="67">
        <f>IFERROR(__xludf.DUMMYFUNCTION("""COMPUTED_VALUE"""),0.023)</f>
        <v>0.023</v>
      </c>
      <c r="H124" s="60" t="str">
        <f>IFERROR(__xludf.DUMMYFUNCTION("""COMPUTED_VALUE"""),"Zigini with injera, Gored gored")</f>
        <v>Zigini with injera, Gored gored</v>
      </c>
      <c r="I124" s="20"/>
      <c r="J124" s="20">
        <f>IFERROR(__xludf.DUMMYFUNCTION("""COMPUTED_VALUE"""),221.0)</f>
        <v>221</v>
      </c>
      <c r="K124" s="20" t="str">
        <f>IFERROR(__xludf.DUMMYFUNCTION("""COMPUTED_VALUE"""),"Palau")</f>
        <v>Palau</v>
      </c>
      <c r="L124" s="20" t="str">
        <f>IFERROR(__xludf.DUMMYFUNCTION("""COMPUTED_VALUE"""),"Oceania")</f>
        <v>Oceania</v>
      </c>
      <c r="M124" s="20" t="str">
        <f>IFERROR(__xludf.DUMMYFUNCTION("""COMPUTED_VALUE"""),"Micronesia")</f>
        <v>Micronesia</v>
      </c>
      <c r="N124" s="66">
        <f>IFERROR(__xludf.DUMMYFUNCTION("""COMPUTED_VALUE"""),21503.0)</f>
        <v>21503</v>
      </c>
      <c r="O124" s="66">
        <f>IFERROR(__xludf.DUMMYFUNCTION("""COMPUTED_VALUE"""),21729.0)</f>
        <v>21729</v>
      </c>
      <c r="P124" s="67">
        <f>IFERROR(__xludf.DUMMYFUNCTION("""COMPUTED_VALUE"""),0.0105)</f>
        <v>0.0105</v>
      </c>
      <c r="Q124" s="20" t="str">
        <f>IFERROR(__xludf.DUMMYFUNCTION("""COMPUTED_VALUE"""),"Bat soup")</f>
        <v>Bat soup</v>
      </c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65">
        <f>IFERROR(__xludf.DUMMYFUNCTION("""COMPUTED_VALUE"""),121.0)</f>
        <v>121</v>
      </c>
      <c r="B125" s="65" t="str">
        <f>IFERROR(__xludf.DUMMYFUNCTION("""COMPUTED_VALUE"""),"Palestine")</f>
        <v>Palestine</v>
      </c>
      <c r="C125" s="20" t="str">
        <f>IFERROR(__xludf.DUMMYFUNCTION("""COMPUTED_VALUE"""),"Asia")</f>
        <v>Asia</v>
      </c>
      <c r="D125" s="20" t="str">
        <f>IFERROR(__xludf.DUMMYFUNCTION("""COMPUTED_VALUE"""),"Western Asia")</f>
        <v>Western Asia</v>
      </c>
      <c r="E125" s="66">
        <f>IFERROR(__xludf.DUMMYFUNCTION("""COMPUTED_VALUE"""),4790705.0)</f>
        <v>4790705</v>
      </c>
      <c r="F125" s="66">
        <f>IFERROR(__xludf.DUMMYFUNCTION("""COMPUTED_VALUE"""),4920724.0)</f>
        <v>4920724</v>
      </c>
      <c r="G125" s="67">
        <f>IFERROR(__xludf.DUMMYFUNCTION("""COMPUTED_VALUE"""),0.0271)</f>
        <v>0.0271</v>
      </c>
      <c r="H125" s="60" t="str">
        <f>IFERROR(__xludf.DUMMYFUNCTION("""COMPUTED_VALUE"""),"Arab salad, Falafel, Mujaddara, Musakhan, Hummus with tahini")</f>
        <v>Arab salad, Falafel, Mujaddara, Musakhan, Hummus with tahini</v>
      </c>
      <c r="I125" s="20"/>
      <c r="J125" s="20">
        <f>IFERROR(__xludf.DUMMYFUNCTION("""COMPUTED_VALUE"""),200.0)</f>
        <v>200</v>
      </c>
      <c r="K125" s="20" t="str">
        <f>IFERROR(__xludf.DUMMYFUNCTION("""COMPUTED_VALUE"""),"Antigua and Barbuda")</f>
        <v>Antigua and Barbuda</v>
      </c>
      <c r="L125" s="20" t="str">
        <f>IFERROR(__xludf.DUMMYFUNCTION("""COMPUTED_VALUE"""),"Americas")</f>
        <v>Americas</v>
      </c>
      <c r="M125" s="20" t="str">
        <f>IFERROR(__xludf.DUMMYFUNCTION("""COMPUTED_VALUE"""),"Caribbean")</f>
        <v>Caribbean</v>
      </c>
      <c r="N125" s="66">
        <f>IFERROR(__xludf.DUMMYFUNCTION("""COMPUTED_VALUE"""),100963.0)</f>
        <v>100963</v>
      </c>
      <c r="O125" s="66">
        <f>IFERROR(__xludf.DUMMYFUNCTION("""COMPUTED_VALUE"""),102012.0)</f>
        <v>102012</v>
      </c>
      <c r="P125" s="67">
        <f>IFERROR(__xludf.DUMMYFUNCTION("""COMPUTED_VALUE"""),0.0104)</f>
        <v>0.0104</v>
      </c>
      <c r="Q125" s="20" t="str">
        <f>IFERROR(__xludf.DUMMYFUNCTION("""COMPUTED_VALUE"""),"Pepperpot, Fungee")</f>
        <v>Pepperpot, Fungee</v>
      </c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65">
        <f>IFERROR(__xludf.DUMMYFUNCTION("""COMPUTED_VALUE"""),122.0)</f>
        <v>122</v>
      </c>
      <c r="B126" s="65" t="str">
        <f>IFERROR(__xludf.DUMMYFUNCTION("""COMPUTED_VALUE"""),"Costa Rica")</f>
        <v>Costa Rica</v>
      </c>
      <c r="C126" s="20" t="str">
        <f>IFERROR(__xludf.DUMMYFUNCTION("""COMPUTED_VALUE"""),"Americas")</f>
        <v>Americas</v>
      </c>
      <c r="D126" s="20" t="str">
        <f>IFERROR(__xludf.DUMMYFUNCTION("""COMPUTED_VALUE"""),"Central America")</f>
        <v>Central America</v>
      </c>
      <c r="E126" s="66">
        <f>IFERROR(__xludf.DUMMYFUNCTION("""COMPUTED_VALUE"""),4857274.0)</f>
        <v>4857274</v>
      </c>
      <c r="F126" s="66">
        <f>IFERROR(__xludf.DUMMYFUNCTION("""COMPUTED_VALUE"""),4905769.0)</f>
        <v>4905769</v>
      </c>
      <c r="G126" s="67">
        <f>IFERROR(__xludf.DUMMYFUNCTION("""COMPUTED_VALUE"""),0.01)</f>
        <v>0.01</v>
      </c>
      <c r="H126" s="60" t="str">
        <f>IFERROR(__xludf.DUMMYFUNCTION("""COMPUTED_VALUE"""),"Gallo pinto")</f>
        <v>Gallo pinto</v>
      </c>
      <c r="I126" s="20"/>
      <c r="J126" s="20">
        <f>IFERROR(__xludf.DUMMYFUNCTION("""COMPUTED_VALUE"""),15.0)</f>
        <v>15</v>
      </c>
      <c r="K126" s="20" t="str">
        <f>IFERROR(__xludf.DUMMYFUNCTION("""COMPUTED_VALUE"""),"Vietnam")</f>
        <v>Vietnam</v>
      </c>
      <c r="L126" s="20" t="str">
        <f>IFERROR(__xludf.DUMMYFUNCTION("""COMPUTED_VALUE"""),"Asia")</f>
        <v>Asia</v>
      </c>
      <c r="M126" s="20" t="str">
        <f>IFERROR(__xludf.DUMMYFUNCTION("""COMPUTED_VALUE"""),"South-eastern Asia")</f>
        <v>South-eastern Asia</v>
      </c>
      <c r="N126" s="66">
        <f>IFERROR(__xludf.DUMMYFUNCTION("""COMPUTED_VALUE"""),9.4569072E7)</f>
        <v>94569072</v>
      </c>
      <c r="O126" s="66">
        <f>IFERROR(__xludf.DUMMYFUNCTION("""COMPUTED_VALUE"""),9.55408E7)</f>
        <v>95540800</v>
      </c>
      <c r="P126" s="67">
        <f>IFERROR(__xludf.DUMMYFUNCTION("""COMPUTED_VALUE"""),0.0103)</f>
        <v>0.0103</v>
      </c>
      <c r="Q126" s="20" t="str">
        <f>IFERROR(__xludf.DUMMYFUNCTION("""COMPUTED_VALUE"""),"Phở, Bún bò Huế, Bò kho")</f>
        <v>Phở, Bún bò Huế, Bò kho</v>
      </c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65">
        <f>IFERROR(__xludf.DUMMYFUNCTION("""COMPUTED_VALUE"""),123.0)</f>
        <v>123</v>
      </c>
      <c r="B127" s="65" t="str">
        <f>IFERROR(__xludf.DUMMYFUNCTION("""COMPUTED_VALUE"""),"Ireland")</f>
        <v>Ireland</v>
      </c>
      <c r="C127" s="20" t="str">
        <f>IFERROR(__xludf.DUMMYFUNCTION("""COMPUTED_VALUE"""),"Europe")</f>
        <v>Europe</v>
      </c>
      <c r="D127" s="20" t="str">
        <f>IFERROR(__xludf.DUMMYFUNCTION("""COMPUTED_VALUE"""),"Northern Europe")</f>
        <v>Northern Europe</v>
      </c>
      <c r="E127" s="66">
        <f>IFERROR(__xludf.DUMMYFUNCTION("""COMPUTED_VALUE"""),4726078.0)</f>
        <v>4726078</v>
      </c>
      <c r="F127" s="66">
        <f>IFERROR(__xludf.DUMMYFUNCTION("""COMPUTED_VALUE"""),4761657.0)</f>
        <v>4761657</v>
      </c>
      <c r="G127" s="67">
        <f>IFERROR(__xludf.DUMMYFUNCTION("""COMPUTED_VALUE"""),0.0075)</f>
        <v>0.0075</v>
      </c>
      <c r="H127" s="60" t="str">
        <f>IFERROR(__xludf.DUMMYFUNCTION("""COMPUTED_VALUE"""),"Irish stew, Colcannon")</f>
        <v>Irish stew, Colcannon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65">
        <f>IFERROR(__xludf.DUMMYFUNCTION("""COMPUTED_VALUE"""),124.0)</f>
        <v>124</v>
      </c>
      <c r="B128" s="65" t="str">
        <f>IFERROR(__xludf.DUMMYFUNCTION("""COMPUTED_VALUE"""),"Liberia")</f>
        <v>Liberia</v>
      </c>
      <c r="C128" s="20" t="str">
        <f>IFERROR(__xludf.DUMMYFUNCTION("""COMPUTED_VALUE"""),"Africa")</f>
        <v>Africa</v>
      </c>
      <c r="D128" s="20" t="str">
        <f>IFERROR(__xludf.DUMMYFUNCTION("""COMPUTED_VALUE"""),"Western Africa")</f>
        <v>Western Africa</v>
      </c>
      <c r="E128" s="66">
        <f>IFERROR(__xludf.DUMMYFUNCTION("""COMPUTED_VALUE"""),4613823.0)</f>
        <v>4613823</v>
      </c>
      <c r="F128" s="66">
        <f>IFERROR(__xludf.DUMMYFUNCTION("""COMPUTED_VALUE"""),4731906.0)</f>
        <v>4731906</v>
      </c>
      <c r="G128" s="67">
        <f>IFERROR(__xludf.DUMMYFUNCTION("""COMPUTED_VALUE"""),0.0256)</f>
        <v>0.0256</v>
      </c>
      <c r="H128" s="60" t="str">
        <f>IFERROR(__xludf.DUMMYFUNCTION("""COMPUTED_VALUE"""),"Dumboy")</f>
        <v>Dumboy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65">
        <f>IFERROR(__xludf.DUMMYFUNCTION("""COMPUTED_VALUE"""),125.0)</f>
        <v>125</v>
      </c>
      <c r="B129" s="65" t="str">
        <f>IFERROR(__xludf.DUMMYFUNCTION("""COMPUTED_VALUE"""),"New Zealand")</f>
        <v>New Zealand</v>
      </c>
      <c r="C129" s="20" t="str">
        <f>IFERROR(__xludf.DUMMYFUNCTION("""COMPUTED_VALUE"""),"Oceania")</f>
        <v>Oceania</v>
      </c>
      <c r="D129" s="20" t="str">
        <f>IFERROR(__xludf.DUMMYFUNCTION("""COMPUTED_VALUE"""),"Australia and New Zealand")</f>
        <v>Australia and New Zealand</v>
      </c>
      <c r="E129" s="66">
        <f>IFERROR(__xludf.DUMMYFUNCTION("""COMPUTED_VALUE"""),4660833.0)</f>
        <v>4660833</v>
      </c>
      <c r="F129" s="66">
        <f>IFERROR(__xludf.DUMMYFUNCTION("""COMPUTED_VALUE"""),4705818.0)</f>
        <v>4705818</v>
      </c>
      <c r="G129" s="67">
        <f>IFERROR(__xludf.DUMMYFUNCTION("""COMPUTED_VALUE"""),0.0097)</f>
        <v>0.0097</v>
      </c>
      <c r="H129" s="60" t="str">
        <f>IFERROR(__xludf.DUMMYFUNCTION("""COMPUTED_VALUE"""),"Bacon and egg pie, lamb")</f>
        <v>Bacon and egg pie, lamb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65">
        <f>IFERROR(__xludf.DUMMYFUNCTION("""COMPUTED_VALUE"""),126.0)</f>
        <v>126</v>
      </c>
      <c r="B130" s="65" t="str">
        <f>IFERROR(__xludf.DUMMYFUNCTION("""COMPUTED_VALUE"""),"Central African Republic")</f>
        <v>Central African Republic</v>
      </c>
      <c r="C130" s="20" t="str">
        <f>IFERROR(__xludf.DUMMYFUNCTION("""COMPUTED_VALUE"""),"Africa")</f>
        <v>Africa</v>
      </c>
      <c r="D130" s="20" t="str">
        <f>IFERROR(__xludf.DUMMYFUNCTION("""COMPUTED_VALUE"""),"Middle Africa")</f>
        <v>Middle Africa</v>
      </c>
      <c r="E130" s="66">
        <f>IFERROR(__xludf.DUMMYFUNCTION("""COMPUTED_VALUE"""),4594621.0)</f>
        <v>4594621</v>
      </c>
      <c r="F130" s="66">
        <f>IFERROR(__xludf.DUMMYFUNCTION("""COMPUTED_VALUE"""),4659080.0)</f>
        <v>4659080</v>
      </c>
      <c r="G130" s="67">
        <f>IFERROR(__xludf.DUMMYFUNCTION("""COMPUTED_VALUE"""),0.014)</f>
        <v>0.014</v>
      </c>
      <c r="H130" s="60" t="str">
        <f>IFERROR(__xludf.DUMMYFUNCTION("""COMPUTED_VALUE"""),"Cassava fufu, Peanut soup")</f>
        <v>Cassava fufu, Peanut soup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65">
        <f>IFERROR(__xludf.DUMMYFUNCTION("""COMPUTED_VALUE"""),127.0)</f>
        <v>127</v>
      </c>
      <c r="B131" s="65" t="str">
        <f>IFERROR(__xludf.DUMMYFUNCTION("""COMPUTED_VALUE"""),"Oman")</f>
        <v>Oman</v>
      </c>
      <c r="C131" s="20" t="str">
        <f>IFERROR(__xludf.DUMMYFUNCTION("""COMPUTED_VALUE"""),"Asia")</f>
        <v>Asia</v>
      </c>
      <c r="D131" s="20" t="str">
        <f>IFERROR(__xludf.DUMMYFUNCTION("""COMPUTED_VALUE"""),"Western Asia")</f>
        <v>Western Asia</v>
      </c>
      <c r="E131" s="66">
        <f>IFERROR(__xludf.DUMMYFUNCTION("""COMPUTED_VALUE"""),4424762.0)</f>
        <v>4424762</v>
      </c>
      <c r="F131" s="66">
        <f>IFERROR(__xludf.DUMMYFUNCTION("""COMPUTED_VALUE"""),4636262.0)</f>
        <v>4636262</v>
      </c>
      <c r="G131" s="67">
        <f>IFERROR(__xludf.DUMMYFUNCTION("""COMPUTED_VALUE"""),0.0478)</f>
        <v>0.0478</v>
      </c>
      <c r="H131" s="60" t="str">
        <f>IFERROR(__xludf.DUMMYFUNCTION("""COMPUTED_VALUE"""),"Shuwa")</f>
        <v>Shuwa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65">
        <f>IFERROR(__xludf.DUMMYFUNCTION("""COMPUTED_VALUE"""),128.0)</f>
        <v>128</v>
      </c>
      <c r="B132" s="65" t="str">
        <f>IFERROR(__xludf.DUMMYFUNCTION("""COMPUTED_VALUE"""),"Mauritania")</f>
        <v>Mauritania</v>
      </c>
      <c r="C132" s="20" t="str">
        <f>IFERROR(__xludf.DUMMYFUNCTION("""COMPUTED_VALUE"""),"Africa")</f>
        <v>Africa</v>
      </c>
      <c r="D132" s="20" t="str">
        <f>IFERROR(__xludf.DUMMYFUNCTION("""COMPUTED_VALUE"""),"Western Africa")</f>
        <v>Western Africa</v>
      </c>
      <c r="E132" s="66">
        <f>IFERROR(__xludf.DUMMYFUNCTION("""COMPUTED_VALUE"""),4301018.0)</f>
        <v>4301018</v>
      </c>
      <c r="F132" s="66">
        <f>IFERROR(__xludf.DUMMYFUNCTION("""COMPUTED_VALUE"""),4420184.0)</f>
        <v>4420184</v>
      </c>
      <c r="G132" s="67">
        <f>IFERROR(__xludf.DUMMYFUNCTION("""COMPUTED_VALUE"""),0.0277)</f>
        <v>0.0277</v>
      </c>
      <c r="H132" s="60" t="str">
        <f>IFERROR(__xludf.DUMMYFUNCTION("""COMPUTED_VALUE"""),"Thieboudienne, Couscous")</f>
        <v>Thieboudienne, Couscous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65">
        <f>IFERROR(__xludf.DUMMYFUNCTION("""COMPUTED_VALUE"""),129.0)</f>
        <v>129</v>
      </c>
      <c r="B133" s="65" t="str">
        <f>IFERROR(__xludf.DUMMYFUNCTION("""COMPUTED_VALUE"""),"Croatia")</f>
        <v>Croatia</v>
      </c>
      <c r="C133" s="20" t="str">
        <f>IFERROR(__xludf.DUMMYFUNCTION("""COMPUTED_VALUE"""),"Europe")</f>
        <v>Europe</v>
      </c>
      <c r="D133" s="20" t="str">
        <f>IFERROR(__xludf.DUMMYFUNCTION("""COMPUTED_VALUE"""),"Southern Europe")</f>
        <v>Southern Europe</v>
      </c>
      <c r="E133" s="66">
        <f>IFERROR(__xludf.DUMMYFUNCTION("""COMPUTED_VALUE"""),4213265.0)</f>
        <v>4213265</v>
      </c>
      <c r="F133" s="66">
        <f>IFERROR(__xludf.DUMMYFUNCTION("""COMPUTED_VALUE"""),4189353.0)</f>
        <v>4189353</v>
      </c>
      <c r="G133" s="67">
        <f>IFERROR(__xludf.DUMMYFUNCTION("""COMPUTED_VALUE"""),-0.0057)</f>
        <v>-0.0057</v>
      </c>
      <c r="H133" s="60" t="str">
        <f>IFERROR(__xludf.DUMMYFUNCTION("""COMPUTED_VALUE"""),"Zagorski Štrukli, Mlinci, Brudet, Kulen, Istrian stew")</f>
        <v>Zagorski Štrukli, Mlinci, Brudet, Kulen, Istrian stew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65">
        <f>IFERROR(__xludf.DUMMYFUNCTION("""COMPUTED_VALUE"""),130.0)</f>
        <v>130</v>
      </c>
      <c r="B134" s="65" t="str">
        <f>IFERROR(__xludf.DUMMYFUNCTION("""COMPUTED_VALUE"""),"Kuwait")</f>
        <v>Kuwait</v>
      </c>
      <c r="C134" s="20" t="str">
        <f>IFERROR(__xludf.DUMMYFUNCTION("""COMPUTED_VALUE"""),"Asia")</f>
        <v>Asia</v>
      </c>
      <c r="D134" s="20" t="str">
        <f>IFERROR(__xludf.DUMMYFUNCTION("""COMPUTED_VALUE"""),"Western Asia")</f>
        <v>Western Asia</v>
      </c>
      <c r="E134" s="66">
        <f>IFERROR(__xludf.DUMMYFUNCTION("""COMPUTED_VALUE"""),4052584.0)</f>
        <v>4052584</v>
      </c>
      <c r="F134" s="66">
        <f>IFERROR(__xludf.DUMMYFUNCTION("""COMPUTED_VALUE"""),4136528.0)</f>
        <v>4136528</v>
      </c>
      <c r="G134" s="67">
        <f>IFERROR(__xludf.DUMMYFUNCTION("""COMPUTED_VALUE"""),0.0207)</f>
        <v>0.0207</v>
      </c>
      <c r="H134" s="60" t="str">
        <f>IFERROR(__xludf.DUMMYFUNCTION("""COMPUTED_VALUE"""),"Machboos")</f>
        <v>Machboos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65">
        <f>IFERROR(__xludf.DUMMYFUNCTION("""COMPUTED_VALUE"""),131.0)</f>
        <v>131</v>
      </c>
      <c r="B135" s="65" t="str">
        <f>IFERROR(__xludf.DUMMYFUNCTION("""COMPUTED_VALUE"""),"Panama")</f>
        <v>Panama</v>
      </c>
      <c r="C135" s="20" t="str">
        <f>IFERROR(__xludf.DUMMYFUNCTION("""COMPUTED_VALUE"""),"Americas")</f>
        <v>Americas</v>
      </c>
      <c r="D135" s="20" t="str">
        <f>IFERROR(__xludf.DUMMYFUNCTION("""COMPUTED_VALUE"""),"Central America")</f>
        <v>Central America</v>
      </c>
      <c r="E135" s="66">
        <f>IFERROR(__xludf.DUMMYFUNCTION("""COMPUTED_VALUE"""),4034119.0)</f>
        <v>4034119</v>
      </c>
      <c r="F135" s="66">
        <f>IFERROR(__xludf.DUMMYFUNCTION("""COMPUTED_VALUE"""),4098587.0)</f>
        <v>4098587</v>
      </c>
      <c r="G135" s="67">
        <f>IFERROR(__xludf.DUMMYFUNCTION("""COMPUTED_VALUE"""),0.016)</f>
        <v>0.016</v>
      </c>
      <c r="H135" s="60" t="str">
        <f>IFERROR(__xludf.DUMMYFUNCTION("""COMPUTED_VALUE"""),"Sancocho de gallina")</f>
        <v>Sancocho de gallina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65">
        <f>IFERROR(__xludf.DUMMYFUNCTION("""COMPUTED_VALUE"""),132.0)</f>
        <v>132</v>
      </c>
      <c r="B136" s="65" t="str">
        <f>IFERROR(__xludf.DUMMYFUNCTION("""COMPUTED_VALUE"""),"Moldova")</f>
        <v>Moldova</v>
      </c>
      <c r="C136" s="20" t="str">
        <f>IFERROR(__xludf.DUMMYFUNCTION("""COMPUTED_VALUE"""),"Europe")</f>
        <v>Europe</v>
      </c>
      <c r="D136" s="20" t="str">
        <f>IFERROR(__xludf.DUMMYFUNCTION("""COMPUTED_VALUE"""),"Eastern Europe")</f>
        <v>Eastern Europe</v>
      </c>
      <c r="E136" s="66">
        <f>IFERROR(__xludf.DUMMYFUNCTION("""COMPUTED_VALUE"""),4059608.0)</f>
        <v>4059608</v>
      </c>
      <c r="F136" s="66">
        <f>IFERROR(__xludf.DUMMYFUNCTION("""COMPUTED_VALUE"""),4051212.0)</f>
        <v>4051212</v>
      </c>
      <c r="G136" s="67">
        <f>IFERROR(__xludf.DUMMYFUNCTION("""COMPUTED_VALUE"""),-0.0021)</f>
        <v>-0.0021</v>
      </c>
      <c r="H136" s="60" t="str">
        <f>IFERROR(__xludf.DUMMYFUNCTION("""COMPUTED_VALUE"""),"Mămăligă, Sarmale, Mici")</f>
        <v>Mămăligă, Sarmale, Mici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65">
        <f>IFERROR(__xludf.DUMMYFUNCTION("""COMPUTED_VALUE"""),133.0)</f>
        <v>133</v>
      </c>
      <c r="B137" s="65" t="str">
        <f>IFERROR(__xludf.DUMMYFUNCTION("""COMPUTED_VALUE"""),"Georgia")</f>
        <v>Georgia</v>
      </c>
      <c r="C137" s="20" t="str">
        <f>IFERROR(__xludf.DUMMYFUNCTION("""COMPUTED_VALUE"""),"Asia")</f>
        <v>Asia</v>
      </c>
      <c r="D137" s="20" t="str">
        <f>IFERROR(__xludf.DUMMYFUNCTION("""COMPUTED_VALUE"""),"Western Asia")</f>
        <v>Western Asia</v>
      </c>
      <c r="E137" s="66">
        <f>IFERROR(__xludf.DUMMYFUNCTION("""COMPUTED_VALUE"""),3925405.0)</f>
        <v>3925405</v>
      </c>
      <c r="F137" s="66">
        <f>IFERROR(__xludf.DUMMYFUNCTION("""COMPUTED_VALUE"""),3912061.0)</f>
        <v>3912061</v>
      </c>
      <c r="G137" s="67">
        <f>IFERROR(__xludf.DUMMYFUNCTION("""COMPUTED_VALUE"""),-0.0034)</f>
        <v>-0.0034</v>
      </c>
      <c r="H137" s="60" t="str">
        <f>IFERROR(__xludf.DUMMYFUNCTION("""COMPUTED_VALUE"""),"Khachapuri, Khinkali")</f>
        <v>Khachapuri, Khinkali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65">
        <f>IFERROR(__xludf.DUMMYFUNCTION("""COMPUTED_VALUE"""),134.0)</f>
        <v>134</v>
      </c>
      <c r="B138" s="65" t="str">
        <f>IFERROR(__xludf.DUMMYFUNCTION("""COMPUTED_VALUE"""),"Puerto Rico")</f>
        <v>Puerto Rico</v>
      </c>
      <c r="C138" s="20" t="str">
        <f>IFERROR(__xludf.DUMMYFUNCTION("""COMPUTED_VALUE"""),"Americas")</f>
        <v>Americas</v>
      </c>
      <c r="D138" s="20" t="str">
        <f>IFERROR(__xludf.DUMMYFUNCTION("""COMPUTED_VALUE"""),"Caribbean")</f>
        <v>Caribbean</v>
      </c>
      <c r="E138" s="66">
        <f>IFERROR(__xludf.DUMMYFUNCTION("""COMPUTED_VALUE"""),3667903.0)</f>
        <v>3667903</v>
      </c>
      <c r="F138" s="66">
        <f>IFERROR(__xludf.DUMMYFUNCTION("""COMPUTED_VALUE"""),3663131.0)</f>
        <v>3663131</v>
      </c>
      <c r="G138" s="67">
        <f>IFERROR(__xludf.DUMMYFUNCTION("""COMPUTED_VALUE"""),-0.0013)</f>
        <v>-0.0013</v>
      </c>
      <c r="H138" s="60" t="str">
        <f>IFERROR(__xludf.DUMMYFUNCTION("""COMPUTED_VALUE"""),"Arroz con gandules, Lechon, Mofongo")</f>
        <v>Arroz con gandules, Lechon, Mofongo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65">
        <f>IFERROR(__xludf.DUMMYFUNCTION("""COMPUTED_VALUE"""),135.0)</f>
        <v>135</v>
      </c>
      <c r="B139" s="65" t="str">
        <f>IFERROR(__xludf.DUMMYFUNCTION("""COMPUTED_VALUE"""),"Bosnia and Herzegovina")</f>
        <v>Bosnia and Herzegovina</v>
      </c>
      <c r="C139" s="20" t="str">
        <f>IFERROR(__xludf.DUMMYFUNCTION("""COMPUTED_VALUE"""),"Europe")</f>
        <v>Europe</v>
      </c>
      <c r="D139" s="20" t="str">
        <f>IFERROR(__xludf.DUMMYFUNCTION("""COMPUTED_VALUE"""),"Southern Europe")</f>
        <v>Southern Europe</v>
      </c>
      <c r="E139" s="66">
        <f>IFERROR(__xludf.DUMMYFUNCTION("""COMPUTED_VALUE"""),3516816.0)</f>
        <v>3516816</v>
      </c>
      <c r="F139" s="66">
        <f>IFERROR(__xludf.DUMMYFUNCTION("""COMPUTED_VALUE"""),3507017.0)</f>
        <v>3507017</v>
      </c>
      <c r="G139" s="67">
        <f>IFERROR(__xludf.DUMMYFUNCTION("""COMPUTED_VALUE"""),-0.0028)</f>
        <v>-0.0028</v>
      </c>
      <c r="H139" s="60" t="str">
        <f>IFERROR(__xludf.DUMMYFUNCTION("""COMPUTED_VALUE"""),"Bosnian pot, Ćevapi")</f>
        <v>Bosnian pot, Ćevapi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65">
        <f>IFERROR(__xludf.DUMMYFUNCTION("""COMPUTED_VALUE"""),136.0)</f>
        <v>136</v>
      </c>
      <c r="B140" s="65" t="str">
        <f>IFERROR(__xludf.DUMMYFUNCTION("""COMPUTED_VALUE"""),"Uruguay")</f>
        <v>Uruguay</v>
      </c>
      <c r="C140" s="20" t="str">
        <f>IFERROR(__xludf.DUMMYFUNCTION("""COMPUTED_VALUE"""),"Americas")</f>
        <v>Americas</v>
      </c>
      <c r="D140" s="20" t="str">
        <f>IFERROR(__xludf.DUMMYFUNCTION("""COMPUTED_VALUE"""),"South America")</f>
        <v>South America</v>
      </c>
      <c r="E140" s="66">
        <f>IFERROR(__xludf.DUMMYFUNCTION("""COMPUTED_VALUE"""),3444006.0)</f>
        <v>3444006</v>
      </c>
      <c r="F140" s="66">
        <f>IFERROR(__xludf.DUMMYFUNCTION("""COMPUTED_VALUE"""),3456750.0)</f>
        <v>3456750</v>
      </c>
      <c r="G140" s="67">
        <f>IFERROR(__xludf.DUMMYFUNCTION("""COMPUTED_VALUE"""),0.0037)</f>
        <v>0.0037</v>
      </c>
      <c r="H140" s="60" t="str">
        <f>IFERROR(__xludf.DUMMYFUNCTION("""COMPUTED_VALUE"""),"Asado, Chivito")</f>
        <v>Asado, Chivito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65">
        <f>IFERROR(__xludf.DUMMYFUNCTION("""COMPUTED_VALUE"""),137.0)</f>
        <v>137</v>
      </c>
      <c r="B141" s="65" t="str">
        <f>IFERROR(__xludf.DUMMYFUNCTION("""COMPUTED_VALUE"""),"Mongolia")</f>
        <v>Mongolia</v>
      </c>
      <c r="C141" s="20" t="str">
        <f>IFERROR(__xludf.DUMMYFUNCTION("""COMPUTED_VALUE"""),"Asia")</f>
        <v>Asia</v>
      </c>
      <c r="D141" s="20" t="str">
        <f>IFERROR(__xludf.DUMMYFUNCTION("""COMPUTED_VALUE"""),"Eastern Asia")</f>
        <v>Eastern Asia</v>
      </c>
      <c r="E141" s="66">
        <f>IFERROR(__xludf.DUMMYFUNCTION("""COMPUTED_VALUE"""),3027398.0)</f>
        <v>3027398</v>
      </c>
      <c r="F141" s="66">
        <f>IFERROR(__xludf.DUMMYFUNCTION("""COMPUTED_VALUE"""),3075647.0)</f>
        <v>3075647</v>
      </c>
      <c r="G141" s="67">
        <f>IFERROR(__xludf.DUMMYFUNCTION("""COMPUTED_VALUE"""),0.0159)</f>
        <v>0.0159</v>
      </c>
      <c r="H141" s="60" t="str">
        <f>IFERROR(__xludf.DUMMYFUNCTION("""COMPUTED_VALUE"""),"Buuz")</f>
        <v>Buuz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65">
        <f>IFERROR(__xludf.DUMMYFUNCTION("""COMPUTED_VALUE"""),138.0)</f>
        <v>138</v>
      </c>
      <c r="B142" s="65" t="str">
        <f>IFERROR(__xludf.DUMMYFUNCTION("""COMPUTED_VALUE"""),"Armenia")</f>
        <v>Armenia</v>
      </c>
      <c r="C142" s="20" t="str">
        <f>IFERROR(__xludf.DUMMYFUNCTION("""COMPUTED_VALUE"""),"Asia")</f>
        <v>Asia</v>
      </c>
      <c r="D142" s="20" t="str">
        <f>IFERROR(__xludf.DUMMYFUNCTION("""COMPUTED_VALUE"""),"Western Asia")</f>
        <v>Western Asia</v>
      </c>
      <c r="E142" s="66">
        <f>IFERROR(__xludf.DUMMYFUNCTION("""COMPUTED_VALUE"""),2924816.0)</f>
        <v>2924816</v>
      </c>
      <c r="F142" s="66">
        <f>IFERROR(__xludf.DUMMYFUNCTION("""COMPUTED_VALUE"""),2930450.0)</f>
        <v>2930450</v>
      </c>
      <c r="G142" s="67">
        <f>IFERROR(__xludf.DUMMYFUNCTION("""COMPUTED_VALUE"""),0.0019)</f>
        <v>0.0019</v>
      </c>
      <c r="H142" s="60" t="str">
        <f>IFERROR(__xludf.DUMMYFUNCTION("""COMPUTED_VALUE"""),"Khash, Harissa, Dolma, Khorovats")</f>
        <v>Khash, Harissa, Dolma, Khorovats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65">
        <f>IFERROR(__xludf.DUMMYFUNCTION("""COMPUTED_VALUE"""),139.0)</f>
        <v>139</v>
      </c>
      <c r="B143" s="65" t="str">
        <f>IFERROR(__xludf.DUMMYFUNCTION("""COMPUTED_VALUE"""),"Albania")</f>
        <v>Albania</v>
      </c>
      <c r="C143" s="20" t="str">
        <f>IFERROR(__xludf.DUMMYFUNCTION("""COMPUTED_VALUE"""),"Europe")</f>
        <v>Europe</v>
      </c>
      <c r="D143" s="20" t="str">
        <f>IFERROR(__xludf.DUMMYFUNCTION("""COMPUTED_VALUE"""),"Southern Europe")</f>
        <v>Southern Europe</v>
      </c>
      <c r="E143" s="66">
        <f>IFERROR(__xludf.DUMMYFUNCTION("""COMPUTED_VALUE"""),2926348.0)</f>
        <v>2926348</v>
      </c>
      <c r="F143" s="66">
        <f>IFERROR(__xludf.DUMMYFUNCTION("""COMPUTED_VALUE"""),2930187.0)</f>
        <v>2930187</v>
      </c>
      <c r="G143" s="67">
        <f>IFERROR(__xludf.DUMMYFUNCTION("""COMPUTED_VALUE"""),0.0013)</f>
        <v>0.0013</v>
      </c>
      <c r="H143" s="60" t="str">
        <f>IFERROR(__xludf.DUMMYFUNCTION("""COMPUTED_VALUE"""),"Tavë kosi")</f>
        <v>Tavë kosi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65">
        <f>IFERROR(__xludf.DUMMYFUNCTION("""COMPUTED_VALUE"""),140.0)</f>
        <v>140</v>
      </c>
      <c r="B144" s="65" t="str">
        <f>IFERROR(__xludf.DUMMYFUNCTION("""COMPUTED_VALUE"""),"Jamaica")</f>
        <v>Jamaica</v>
      </c>
      <c r="C144" s="20" t="str">
        <f>IFERROR(__xludf.DUMMYFUNCTION("""COMPUTED_VALUE"""),"Americas")</f>
        <v>Americas</v>
      </c>
      <c r="D144" s="20" t="str">
        <f>IFERROR(__xludf.DUMMYFUNCTION("""COMPUTED_VALUE"""),"Caribbean")</f>
        <v>Caribbean</v>
      </c>
      <c r="E144" s="66">
        <f>IFERROR(__xludf.DUMMYFUNCTION("""COMPUTED_VALUE"""),2881355.0)</f>
        <v>2881355</v>
      </c>
      <c r="F144" s="66">
        <f>IFERROR(__xludf.DUMMYFUNCTION("""COMPUTED_VALUE"""),2890299.0)</f>
        <v>2890299</v>
      </c>
      <c r="G144" s="67">
        <f>IFERROR(__xludf.DUMMYFUNCTION("""COMPUTED_VALUE"""),0.0031)</f>
        <v>0.0031</v>
      </c>
      <c r="H144" s="60" t="str">
        <f>IFERROR(__xludf.DUMMYFUNCTION("""COMPUTED_VALUE"""),"Ackee and Saltfish, Jerk chicken, Jamaican patty")</f>
        <v>Ackee and Saltfish, Jerk chicken, Jamaican patty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65">
        <f>IFERROR(__xludf.DUMMYFUNCTION("""COMPUTED_VALUE"""),141.0)</f>
        <v>141</v>
      </c>
      <c r="B145" s="65" t="str">
        <f>IFERROR(__xludf.DUMMYFUNCTION("""COMPUTED_VALUE"""),"Lithuania")</f>
        <v>Lithuania</v>
      </c>
      <c r="C145" s="20" t="str">
        <f>IFERROR(__xludf.DUMMYFUNCTION("""COMPUTED_VALUE"""),"Europe")</f>
        <v>Europe</v>
      </c>
      <c r="D145" s="20" t="str">
        <f>IFERROR(__xludf.DUMMYFUNCTION("""COMPUTED_VALUE"""),"Northern Europe")</f>
        <v>Northern Europe</v>
      </c>
      <c r="E145" s="66">
        <f>IFERROR(__xludf.DUMMYFUNCTION("""COMPUTED_VALUE"""),2908249.0)</f>
        <v>2908249</v>
      </c>
      <c r="F145" s="66">
        <f>IFERROR(__xludf.DUMMYFUNCTION("""COMPUTED_VALUE"""),2890297.0)</f>
        <v>2890297</v>
      </c>
      <c r="G145" s="67">
        <f>IFERROR(__xludf.DUMMYFUNCTION("""COMPUTED_VALUE"""),-0.0062)</f>
        <v>-0.0062</v>
      </c>
      <c r="H145" s="60" t="str">
        <f>IFERROR(__xludf.DUMMYFUNCTION("""COMPUTED_VALUE"""),"Cepelinai")</f>
        <v>Cepelinai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65">
        <f>IFERROR(__xludf.DUMMYFUNCTION("""COMPUTED_VALUE"""),142.0)</f>
        <v>142</v>
      </c>
      <c r="B146" s="65" t="str">
        <f>IFERROR(__xludf.DUMMYFUNCTION("""COMPUTED_VALUE"""),"Qatar")</f>
        <v>Qatar</v>
      </c>
      <c r="C146" s="20" t="str">
        <f>IFERROR(__xludf.DUMMYFUNCTION("""COMPUTED_VALUE"""),"Asia")</f>
        <v>Asia</v>
      </c>
      <c r="D146" s="20" t="str">
        <f>IFERROR(__xludf.DUMMYFUNCTION("""COMPUTED_VALUE"""),"Western Asia")</f>
        <v>Western Asia</v>
      </c>
      <c r="E146" s="66">
        <f>IFERROR(__xludf.DUMMYFUNCTION("""COMPUTED_VALUE"""),2569804.0)</f>
        <v>2569804</v>
      </c>
      <c r="F146" s="66">
        <f>IFERROR(__xludf.DUMMYFUNCTION("""COMPUTED_VALUE"""),2639211.0)</f>
        <v>2639211</v>
      </c>
      <c r="G146" s="67">
        <f>IFERROR(__xludf.DUMMYFUNCTION("""COMPUTED_VALUE"""),0.027)</f>
        <v>0.027</v>
      </c>
      <c r="H146" s="60" t="str">
        <f>IFERROR(__xludf.DUMMYFUNCTION("""COMPUTED_VALUE"""),"Machboos")</f>
        <v>Machboos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65">
        <f>IFERROR(__xludf.DUMMYFUNCTION("""COMPUTED_VALUE"""),143.0)</f>
        <v>143</v>
      </c>
      <c r="B147" s="65" t="str">
        <f>IFERROR(__xludf.DUMMYFUNCTION("""COMPUTED_VALUE"""),"Namibia")</f>
        <v>Namibia</v>
      </c>
      <c r="C147" s="20" t="str">
        <f>IFERROR(__xludf.DUMMYFUNCTION("""COMPUTED_VALUE"""),"Africa")</f>
        <v>Africa</v>
      </c>
      <c r="D147" s="20" t="str">
        <f>IFERROR(__xludf.DUMMYFUNCTION("""COMPUTED_VALUE"""),"Southern Africa")</f>
        <v>Southern Africa</v>
      </c>
      <c r="E147" s="66">
        <f>IFERROR(__xludf.DUMMYFUNCTION("""COMPUTED_VALUE"""),2479713.0)</f>
        <v>2479713</v>
      </c>
      <c r="F147" s="66">
        <f>IFERROR(__xludf.DUMMYFUNCTION("""COMPUTED_VALUE"""),2533794.0)</f>
        <v>2533794</v>
      </c>
      <c r="G147" s="67">
        <f>IFERROR(__xludf.DUMMYFUNCTION("""COMPUTED_VALUE"""),0.0218)</f>
        <v>0.0218</v>
      </c>
      <c r="H147" s="60" t="str">
        <f>IFERROR(__xludf.DUMMYFUNCTION("""COMPUTED_VALUE"""),"Süßer Hirsebrei")</f>
        <v>Süßer Hirsebrei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65">
        <f>IFERROR(__xludf.DUMMYFUNCTION("""COMPUTED_VALUE"""),144.0)</f>
        <v>144</v>
      </c>
      <c r="B148" s="65" t="str">
        <f>IFERROR(__xludf.DUMMYFUNCTION("""COMPUTED_VALUE"""),"Botswana")</f>
        <v>Botswana</v>
      </c>
      <c r="C148" s="20" t="str">
        <f>IFERROR(__xludf.DUMMYFUNCTION("""COMPUTED_VALUE"""),"Africa")</f>
        <v>Africa</v>
      </c>
      <c r="D148" s="20" t="str">
        <f>IFERROR(__xludf.DUMMYFUNCTION("""COMPUTED_VALUE"""),"Southern Africa")</f>
        <v>Southern Africa</v>
      </c>
      <c r="E148" s="66">
        <f>IFERROR(__xludf.DUMMYFUNCTION("""COMPUTED_VALUE"""),2250260.0)</f>
        <v>2250260</v>
      </c>
      <c r="F148" s="66">
        <f>IFERROR(__xludf.DUMMYFUNCTION("""COMPUTED_VALUE"""),2291661.0)</f>
        <v>2291661</v>
      </c>
      <c r="G148" s="67">
        <f>IFERROR(__xludf.DUMMYFUNCTION("""COMPUTED_VALUE"""),0.0184)</f>
        <v>0.0184</v>
      </c>
      <c r="H148" s="60" t="str">
        <f>IFERROR(__xludf.DUMMYFUNCTION("""COMPUTED_VALUE"""),"Seswaa")</f>
        <v>Seswaa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65">
        <f>IFERROR(__xludf.DUMMYFUNCTION("""COMPUTED_VALUE"""),145.0)</f>
        <v>145</v>
      </c>
      <c r="B149" s="65" t="str">
        <f>IFERROR(__xludf.DUMMYFUNCTION("""COMPUTED_VALUE"""),"Lesotho")</f>
        <v>Lesotho</v>
      </c>
      <c r="C149" s="20" t="str">
        <f>IFERROR(__xludf.DUMMYFUNCTION("""COMPUTED_VALUE"""),"Africa")</f>
        <v>Africa</v>
      </c>
      <c r="D149" s="20" t="str">
        <f>IFERROR(__xludf.DUMMYFUNCTION("""COMPUTED_VALUE"""),"Southern Africa")</f>
        <v>Southern Africa</v>
      </c>
      <c r="E149" s="66">
        <f>IFERROR(__xludf.DUMMYFUNCTION("""COMPUTED_VALUE"""),2203821.0)</f>
        <v>2203821</v>
      </c>
      <c r="F149" s="66">
        <f>IFERROR(__xludf.DUMMYFUNCTION("""COMPUTED_VALUE"""),2233339.0)</f>
        <v>2233339</v>
      </c>
      <c r="G149" s="67">
        <f>IFERROR(__xludf.DUMMYFUNCTION("""COMPUTED_VALUE"""),0.0134)</f>
        <v>0.0134</v>
      </c>
      <c r="H149" s="6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65">
        <f>IFERROR(__xludf.DUMMYFUNCTION("""COMPUTED_VALUE"""),146.0)</f>
        <v>146</v>
      </c>
      <c r="B150" s="65" t="str">
        <f>IFERROR(__xludf.DUMMYFUNCTION("""COMPUTED_VALUE"""),"The Gambia")</f>
        <v>The Gambia</v>
      </c>
      <c r="C150" s="20" t="str">
        <f>IFERROR(__xludf.DUMMYFUNCTION("""COMPUTED_VALUE"""),"Africa")</f>
        <v>Africa</v>
      </c>
      <c r="D150" s="20" t="str">
        <f>IFERROR(__xludf.DUMMYFUNCTION("""COMPUTED_VALUE"""),"Western Africa")</f>
        <v>Western Africa</v>
      </c>
      <c r="E150" s="66">
        <f>IFERROR(__xludf.DUMMYFUNCTION("""COMPUTED_VALUE"""),2038501.0)</f>
        <v>2038501</v>
      </c>
      <c r="F150" s="66">
        <f>IFERROR(__xludf.DUMMYFUNCTION("""COMPUTED_VALUE"""),2100568.0)</f>
        <v>2100568</v>
      </c>
      <c r="G150" s="67">
        <f>IFERROR(__xludf.DUMMYFUNCTION("""COMPUTED_VALUE"""),0.0304)</f>
        <v>0.0304</v>
      </c>
      <c r="H150" s="6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65">
        <f>IFERROR(__xludf.DUMMYFUNCTION("""COMPUTED_VALUE"""),147.0)</f>
        <v>147</v>
      </c>
      <c r="B151" s="65" t="str">
        <f>IFERROR(__xludf.DUMMYFUNCTION("""COMPUTED_VALUE"""),"Republic of Macedonia")</f>
        <v>Republic of Macedonia</v>
      </c>
      <c r="C151" s="20" t="str">
        <f>IFERROR(__xludf.DUMMYFUNCTION("""COMPUTED_VALUE"""),"Europe")</f>
        <v>Europe</v>
      </c>
      <c r="D151" s="20" t="str">
        <f>IFERROR(__xludf.DUMMYFUNCTION("""COMPUTED_VALUE"""),"Southern Europe")</f>
        <v>Southern Europe</v>
      </c>
      <c r="E151" s="66">
        <f>IFERROR(__xludf.DUMMYFUNCTION("""COMPUTED_VALUE"""),2081206.0)</f>
        <v>2081206</v>
      </c>
      <c r="F151" s="66">
        <f>IFERROR(__xludf.DUMMYFUNCTION("""COMPUTED_VALUE"""),2083160.0)</f>
        <v>2083160</v>
      </c>
      <c r="G151" s="67">
        <f>IFERROR(__xludf.DUMMYFUNCTION("""COMPUTED_VALUE"""),9.0E-4)</f>
        <v>0.0009</v>
      </c>
      <c r="H151" s="6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65">
        <f>IFERROR(__xludf.DUMMYFUNCTION("""COMPUTED_VALUE"""),148.0)</f>
        <v>148</v>
      </c>
      <c r="B152" s="65" t="str">
        <f>IFERROR(__xludf.DUMMYFUNCTION("""COMPUTED_VALUE"""),"Slovenia")</f>
        <v>Slovenia</v>
      </c>
      <c r="C152" s="20" t="str">
        <f>IFERROR(__xludf.DUMMYFUNCTION("""COMPUTED_VALUE"""),"Europe")</f>
        <v>Europe</v>
      </c>
      <c r="D152" s="20" t="str">
        <f>IFERROR(__xludf.DUMMYFUNCTION("""COMPUTED_VALUE"""),"Southern Europe")</f>
        <v>Southern Europe</v>
      </c>
      <c r="E152" s="66">
        <f>IFERROR(__xludf.DUMMYFUNCTION("""COMPUTED_VALUE"""),2077862.0)</f>
        <v>2077862</v>
      </c>
      <c r="F152" s="66">
        <f>IFERROR(__xludf.DUMMYFUNCTION("""COMPUTED_VALUE"""),2079976.0)</f>
        <v>2079976</v>
      </c>
      <c r="G152" s="67">
        <f>IFERROR(__xludf.DUMMYFUNCTION("""COMPUTED_VALUE"""),0.001)</f>
        <v>0.001</v>
      </c>
      <c r="H152" s="60" t="str">
        <f>IFERROR(__xludf.DUMMYFUNCTION("""COMPUTED_VALUE"""),"Ajdovi žganci, Belokranjska povitica, Obara")</f>
        <v>Ajdovi žganci, Belokranjska povitica, Obara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65">
        <f>IFERROR(__xludf.DUMMYFUNCTION("""COMPUTED_VALUE"""),149.0)</f>
        <v>149</v>
      </c>
      <c r="B153" s="65" t="str">
        <f>IFERROR(__xludf.DUMMYFUNCTION("""COMPUTED_VALUE"""),"Gabon")</f>
        <v>Gabon</v>
      </c>
      <c r="C153" s="20" t="str">
        <f>IFERROR(__xludf.DUMMYFUNCTION("""COMPUTED_VALUE"""),"Africa")</f>
        <v>Africa</v>
      </c>
      <c r="D153" s="20" t="str">
        <f>IFERROR(__xludf.DUMMYFUNCTION("""COMPUTED_VALUE"""),"Middle Africa")</f>
        <v>Middle Africa</v>
      </c>
      <c r="E153" s="66">
        <f>IFERROR(__xludf.DUMMYFUNCTION("""COMPUTED_VALUE"""),1979786.0)</f>
        <v>1979786</v>
      </c>
      <c r="F153" s="66">
        <f>IFERROR(__xludf.DUMMYFUNCTION("""COMPUTED_VALUE"""),2025137.0)</f>
        <v>2025137</v>
      </c>
      <c r="G153" s="67">
        <f>IFERROR(__xludf.DUMMYFUNCTION("""COMPUTED_VALUE"""),0.0229)</f>
        <v>0.0229</v>
      </c>
      <c r="H153" s="60" t="str">
        <f>IFERROR(__xludf.DUMMYFUNCTION("""COMPUTED_VALUE"""),"Poulet Nyembwe")</f>
        <v>Poulet Nyembwe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65">
        <f>IFERROR(__xludf.DUMMYFUNCTION("""COMPUTED_VALUE"""),150.0)</f>
        <v>150</v>
      </c>
      <c r="B154" s="65" t="str">
        <f>IFERROR(__xludf.DUMMYFUNCTION("""COMPUTED_VALUE"""),"Latvia")</f>
        <v>Latvia</v>
      </c>
      <c r="C154" s="20" t="str">
        <f>IFERROR(__xludf.DUMMYFUNCTION("""COMPUTED_VALUE"""),"Europe")</f>
        <v>Europe</v>
      </c>
      <c r="D154" s="20" t="str">
        <f>IFERROR(__xludf.DUMMYFUNCTION("""COMPUTED_VALUE"""),"Northern Europe")</f>
        <v>Northern Europe</v>
      </c>
      <c r="E154" s="66">
        <f>IFERROR(__xludf.DUMMYFUNCTION("""COMPUTED_VALUE"""),1970530.0)</f>
        <v>1970530</v>
      </c>
      <c r="F154" s="66">
        <f>IFERROR(__xludf.DUMMYFUNCTION("""COMPUTED_VALUE"""),1949670.0)</f>
        <v>1949670</v>
      </c>
      <c r="G154" s="67">
        <f>IFERROR(__xludf.DUMMYFUNCTION("""COMPUTED_VALUE"""),-0.0106)</f>
        <v>-0.0106</v>
      </c>
      <c r="H154" s="60" t="str">
        <f>IFERROR(__xludf.DUMMYFUNCTION("""COMPUTED_VALUE"""),"Latke")</f>
        <v>Latke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65">
        <f>IFERROR(__xludf.DUMMYFUNCTION("""COMPUTED_VALUE"""),151.0)</f>
        <v>151</v>
      </c>
      <c r="B155" s="65" t="str">
        <f>IFERROR(__xludf.DUMMYFUNCTION("""COMPUTED_VALUE"""),"Guinea-Bissau")</f>
        <v>Guinea-Bissau</v>
      </c>
      <c r="C155" s="20" t="str">
        <f>IFERROR(__xludf.DUMMYFUNCTION("""COMPUTED_VALUE"""),"Africa")</f>
        <v>Africa</v>
      </c>
      <c r="D155" s="20" t="str">
        <f>IFERROR(__xludf.DUMMYFUNCTION("""COMPUTED_VALUE"""),"Western Africa")</f>
        <v>Western Africa</v>
      </c>
      <c r="E155" s="66">
        <f>IFERROR(__xludf.DUMMYFUNCTION("""COMPUTED_VALUE"""),1815698.0)</f>
        <v>1815698</v>
      </c>
      <c r="F155" s="66">
        <f>IFERROR(__xludf.DUMMYFUNCTION("""COMPUTED_VALUE"""),1861283.0)</f>
        <v>1861283</v>
      </c>
      <c r="G155" s="67">
        <f>IFERROR(__xludf.DUMMYFUNCTION("""COMPUTED_VALUE"""),0.0251)</f>
        <v>0.0251</v>
      </c>
      <c r="H155" s="60" t="str">
        <f>IFERROR(__xludf.DUMMYFUNCTION("""COMPUTED_VALUE"""),"Jollof rice")</f>
        <v>Jollof rice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65">
        <f>IFERROR(__xludf.DUMMYFUNCTION("""COMPUTED_VALUE"""),152.0)</f>
        <v>152</v>
      </c>
      <c r="B156" s="65" t="str">
        <f>IFERROR(__xludf.DUMMYFUNCTION("""COMPUTED_VALUE"""),"Bahrain")</f>
        <v>Bahrain</v>
      </c>
      <c r="C156" s="20" t="str">
        <f>IFERROR(__xludf.DUMMYFUNCTION("""COMPUTED_VALUE"""),"Asia")</f>
        <v>Asia</v>
      </c>
      <c r="D156" s="20" t="str">
        <f>IFERROR(__xludf.DUMMYFUNCTION("""COMPUTED_VALUE"""),"Western Asia")</f>
        <v>Western Asia</v>
      </c>
      <c r="E156" s="66">
        <f>IFERROR(__xludf.DUMMYFUNCTION("""COMPUTED_VALUE"""),1425171.0)</f>
        <v>1425171</v>
      </c>
      <c r="F156" s="66">
        <f>IFERROR(__xludf.DUMMYFUNCTION("""COMPUTED_VALUE"""),1492584.0)</f>
        <v>1492584</v>
      </c>
      <c r="G156" s="67">
        <f>IFERROR(__xludf.DUMMYFUNCTION("""COMPUTED_VALUE"""),0.0473)</f>
        <v>0.0473</v>
      </c>
      <c r="H156" s="60" t="str">
        <f>IFERROR(__xludf.DUMMYFUNCTION("""COMPUTED_VALUE"""),"Machboos")</f>
        <v>Machboos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65">
        <f>IFERROR(__xludf.DUMMYFUNCTION("""COMPUTED_VALUE"""),153.0)</f>
        <v>153</v>
      </c>
      <c r="B157" s="65" t="str">
        <f>IFERROR(__xludf.DUMMYFUNCTION("""COMPUTED_VALUE"""),"Trinidad and Tobago")</f>
        <v>Trinidad and Tobago</v>
      </c>
      <c r="C157" s="20" t="str">
        <f>IFERROR(__xludf.DUMMYFUNCTION("""COMPUTED_VALUE"""),"Americas")</f>
        <v>Americas</v>
      </c>
      <c r="D157" s="20" t="str">
        <f>IFERROR(__xludf.DUMMYFUNCTION("""COMPUTED_VALUE"""),"Caribbean")</f>
        <v>Caribbean</v>
      </c>
      <c r="E157" s="66">
        <f>IFERROR(__xludf.DUMMYFUNCTION("""COMPUTED_VALUE"""),1364962.0)</f>
        <v>1364962</v>
      </c>
      <c r="F157" s="66">
        <f>IFERROR(__xludf.DUMMYFUNCTION("""COMPUTED_VALUE"""),1369125.0)</f>
        <v>1369125</v>
      </c>
      <c r="G157" s="67">
        <f>IFERROR(__xludf.DUMMYFUNCTION("""COMPUTED_VALUE"""),0.003)</f>
        <v>0.003</v>
      </c>
      <c r="H157" s="60" t="str">
        <f>IFERROR(__xludf.DUMMYFUNCTION("""COMPUTED_VALUE"""),"Callaloo, Doubles")</f>
        <v>Callaloo, Doubles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65">
        <f>IFERROR(__xludf.DUMMYFUNCTION("""COMPUTED_VALUE"""),154.0)</f>
        <v>154</v>
      </c>
      <c r="B158" s="65" t="str">
        <f>IFERROR(__xludf.DUMMYFUNCTION("""COMPUTED_VALUE"""),"Swaziland")</f>
        <v>Swaziland</v>
      </c>
      <c r="C158" s="20" t="str">
        <f>IFERROR(__xludf.DUMMYFUNCTION("""COMPUTED_VALUE"""),"Africa")</f>
        <v>Africa</v>
      </c>
      <c r="D158" s="20" t="str">
        <f>IFERROR(__xludf.DUMMYFUNCTION("""COMPUTED_VALUE"""),"Southern Africa")</f>
        <v>Southern Africa</v>
      </c>
      <c r="E158" s="66">
        <f>IFERROR(__xludf.DUMMYFUNCTION("""COMPUTED_VALUE"""),1343098.0)</f>
        <v>1343098</v>
      </c>
      <c r="F158" s="66">
        <f>IFERROR(__xludf.DUMMYFUNCTION("""COMPUTED_VALUE"""),1367254.0)</f>
        <v>1367254</v>
      </c>
      <c r="G158" s="67">
        <f>IFERROR(__xludf.DUMMYFUNCTION("""COMPUTED_VALUE"""),0.018)</f>
        <v>0.018</v>
      </c>
      <c r="H158" s="6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65">
        <f>IFERROR(__xludf.DUMMYFUNCTION("""COMPUTED_VALUE"""),155.0)</f>
        <v>155</v>
      </c>
      <c r="B159" s="65" t="str">
        <f>IFERROR(__xludf.DUMMYFUNCTION("""COMPUTED_VALUE"""),"Estonia")</f>
        <v>Estonia</v>
      </c>
      <c r="C159" s="20" t="str">
        <f>IFERROR(__xludf.DUMMYFUNCTION("""COMPUTED_VALUE"""),"Europe")</f>
        <v>Europe</v>
      </c>
      <c r="D159" s="20" t="str">
        <f>IFERROR(__xludf.DUMMYFUNCTION("""COMPUTED_VALUE"""),"Northern Europe")</f>
        <v>Northern Europe</v>
      </c>
      <c r="E159" s="66">
        <f>IFERROR(__xludf.DUMMYFUNCTION("""COMPUTED_VALUE"""),1312442.0)</f>
        <v>1312442</v>
      </c>
      <c r="F159" s="66">
        <f>IFERROR(__xludf.DUMMYFUNCTION("""COMPUTED_VALUE"""),1309632.0)</f>
        <v>1309632</v>
      </c>
      <c r="G159" s="67">
        <f>IFERROR(__xludf.DUMMYFUNCTION("""COMPUTED_VALUE"""),-0.0021)</f>
        <v>-0.0021</v>
      </c>
      <c r="H159" s="60" t="str">
        <f>IFERROR(__xludf.DUMMYFUNCTION("""COMPUTED_VALUE"""),"Verivorst with Mulgikapsad (sauerkraut stew)")</f>
        <v>Verivorst with Mulgikapsad (sauerkraut stew)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65">
        <f>IFERROR(__xludf.DUMMYFUNCTION("""COMPUTED_VALUE"""),156.0)</f>
        <v>156</v>
      </c>
      <c r="B160" s="65" t="str">
        <f>IFERROR(__xludf.DUMMYFUNCTION("""COMPUTED_VALUE"""),"East Timor")</f>
        <v>East Timor</v>
      </c>
      <c r="C160" s="20" t="str">
        <f>IFERROR(__xludf.DUMMYFUNCTION("""COMPUTED_VALUE"""),"Asia")</f>
        <v>Asia</v>
      </c>
      <c r="D160" s="20" t="str">
        <f>IFERROR(__xludf.DUMMYFUNCTION("""COMPUTED_VALUE"""),"South-eastern Asia")</f>
        <v>South-eastern Asia</v>
      </c>
      <c r="E160" s="66">
        <f>IFERROR(__xludf.DUMMYFUNCTION("""COMPUTED_VALUE"""),1268671.0)</f>
        <v>1268671</v>
      </c>
      <c r="F160" s="66">
        <f>IFERROR(__xludf.DUMMYFUNCTION("""COMPUTED_VALUE"""),1296311.0)</f>
        <v>1296311</v>
      </c>
      <c r="G160" s="67">
        <f>IFERROR(__xludf.DUMMYFUNCTION("""COMPUTED_VALUE"""),0.0218)</f>
        <v>0.0218</v>
      </c>
      <c r="H160" s="60" t="str">
        <f>IFERROR(__xludf.DUMMYFUNCTION("""COMPUTED_VALUE"""),"Ikan Pepes")</f>
        <v>Ikan Pepes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65">
        <f>IFERROR(__xludf.DUMMYFUNCTION("""COMPUTED_VALUE"""),157.0)</f>
        <v>157</v>
      </c>
      <c r="B161" s="65" t="str">
        <f>IFERROR(__xludf.DUMMYFUNCTION("""COMPUTED_VALUE"""),"Equatorial Guinea")</f>
        <v>Equatorial Guinea</v>
      </c>
      <c r="C161" s="20" t="str">
        <f>IFERROR(__xludf.DUMMYFUNCTION("""COMPUTED_VALUE"""),"Africa")</f>
        <v>Africa</v>
      </c>
      <c r="D161" s="20" t="str">
        <f>IFERROR(__xludf.DUMMYFUNCTION("""COMPUTED_VALUE"""),"Middle Africa")</f>
        <v>Middle Africa</v>
      </c>
      <c r="E161" s="66">
        <f>IFERROR(__xludf.DUMMYFUNCTION("""COMPUTED_VALUE"""),1221490.0)</f>
        <v>1221490</v>
      </c>
      <c r="F161" s="66">
        <f>IFERROR(__xludf.DUMMYFUNCTION("""COMPUTED_VALUE"""),1267689.0)</f>
        <v>1267689</v>
      </c>
      <c r="G161" s="67">
        <f>IFERROR(__xludf.DUMMYFUNCTION("""COMPUTED_VALUE"""),0.0378)</f>
        <v>0.0378</v>
      </c>
      <c r="H161" s="60" t="str">
        <f>IFERROR(__xludf.DUMMYFUNCTION("""COMPUTED_VALUE"""),"Succotash, Peppersoup")</f>
        <v>Succotash, Peppersoup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65">
        <f>IFERROR(__xludf.DUMMYFUNCTION("""COMPUTED_VALUE"""),158.0)</f>
        <v>158</v>
      </c>
      <c r="B162" s="65" t="str">
        <f>IFERROR(__xludf.DUMMYFUNCTION("""COMPUTED_VALUE"""),"Mauritius")</f>
        <v>Mauritius</v>
      </c>
      <c r="C162" s="20" t="str">
        <f>IFERROR(__xludf.DUMMYFUNCTION("""COMPUTED_VALUE"""),"Africa")</f>
        <v>Africa</v>
      </c>
      <c r="D162" s="20" t="str">
        <f>IFERROR(__xludf.DUMMYFUNCTION("""COMPUTED_VALUE"""),"Eastern Africa")</f>
        <v>Eastern Africa</v>
      </c>
      <c r="E162" s="66">
        <f>IFERROR(__xludf.DUMMYFUNCTION("""COMPUTED_VALUE"""),1262132.0)</f>
        <v>1262132</v>
      </c>
      <c r="F162" s="66">
        <f>IFERROR(__xludf.DUMMYFUNCTION("""COMPUTED_VALUE"""),1265138.0)</f>
        <v>1265138</v>
      </c>
      <c r="G162" s="67">
        <f>IFERROR(__xludf.DUMMYFUNCTION("""COMPUTED_VALUE"""),0.0024)</f>
        <v>0.0024</v>
      </c>
      <c r="H162" s="60" t="str">
        <f>IFERROR(__xludf.DUMMYFUNCTION("""COMPUTED_VALUE"""),"Octopus Curry, Rougaille, Gateux Piment")</f>
        <v>Octopus Curry, Rougaille, Gateux Piment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65">
        <f>IFERROR(__xludf.DUMMYFUNCTION("""COMPUTED_VALUE"""),159.0)</f>
        <v>159</v>
      </c>
      <c r="B163" s="65" t="str">
        <f>IFERROR(__xludf.DUMMYFUNCTION("""COMPUTED_VALUE"""),"Cyprus")</f>
        <v>Cyprus</v>
      </c>
      <c r="C163" s="20" t="str">
        <f>IFERROR(__xludf.DUMMYFUNCTION("""COMPUTED_VALUE"""),"Asia")</f>
        <v>Asia</v>
      </c>
      <c r="D163" s="20" t="str">
        <f>IFERROR(__xludf.DUMMYFUNCTION("""COMPUTED_VALUE"""),"Western Asia")</f>
        <v>Western Asia</v>
      </c>
      <c r="E163" s="66">
        <f>IFERROR(__xludf.DUMMYFUNCTION("""COMPUTED_VALUE"""),1170125.0)</f>
        <v>1170125</v>
      </c>
      <c r="F163" s="66">
        <f>IFERROR(__xludf.DUMMYFUNCTION("""COMPUTED_VALUE"""),1179551.0)</f>
        <v>1179551</v>
      </c>
      <c r="G163" s="67">
        <f>IFERROR(__xludf.DUMMYFUNCTION("""COMPUTED_VALUE"""),0.0081)</f>
        <v>0.0081</v>
      </c>
      <c r="H163" s="60" t="str">
        <f>IFERROR(__xludf.DUMMYFUNCTION("""COMPUTED_VALUE"""),"Souvla")</f>
        <v>Souvla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65">
        <f>IFERROR(__xludf.DUMMYFUNCTION("""COMPUTED_VALUE"""),160.0)</f>
        <v>160</v>
      </c>
      <c r="B164" s="65" t="str">
        <f>IFERROR(__xludf.DUMMYFUNCTION("""COMPUTED_VALUE"""),"Djibouti")</f>
        <v>Djibouti</v>
      </c>
      <c r="C164" s="20" t="str">
        <f>IFERROR(__xludf.DUMMYFUNCTION("""COMPUTED_VALUE"""),"Africa")</f>
        <v>Africa</v>
      </c>
      <c r="D164" s="20" t="str">
        <f>IFERROR(__xludf.DUMMYFUNCTION("""COMPUTED_VALUE"""),"Eastern Africa")</f>
        <v>Eastern Africa</v>
      </c>
      <c r="E164" s="66">
        <f>IFERROR(__xludf.DUMMYFUNCTION("""COMPUTED_VALUE"""),942333.0)</f>
        <v>942333</v>
      </c>
      <c r="F164" s="66">
        <f>IFERROR(__xludf.DUMMYFUNCTION("""COMPUTED_VALUE"""),956985.0)</f>
        <v>956985</v>
      </c>
      <c r="G164" s="67">
        <f>IFERROR(__xludf.DUMMYFUNCTION("""COMPUTED_VALUE"""),0.0155)</f>
        <v>0.0155</v>
      </c>
      <c r="H164" s="60" t="str">
        <f>IFERROR(__xludf.DUMMYFUNCTION("""COMPUTED_VALUE"""),"Skoudehkaris")</f>
        <v>Skoudehkaris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65">
        <f>IFERROR(__xludf.DUMMYFUNCTION("""COMPUTED_VALUE"""),161.0)</f>
        <v>161</v>
      </c>
      <c r="B165" s="65" t="str">
        <f>IFERROR(__xludf.DUMMYFUNCTION("""COMPUTED_VALUE"""),"Fiji")</f>
        <v>Fiji</v>
      </c>
      <c r="C165" s="20" t="str">
        <f>IFERROR(__xludf.DUMMYFUNCTION("""COMPUTED_VALUE"""),"Oceania")</f>
        <v>Oceania</v>
      </c>
      <c r="D165" s="20" t="str">
        <f>IFERROR(__xludf.DUMMYFUNCTION("""COMPUTED_VALUE"""),"Melanesia")</f>
        <v>Melanesia</v>
      </c>
      <c r="E165" s="66">
        <f>IFERROR(__xludf.DUMMYFUNCTION("""COMPUTED_VALUE"""),898760.0)</f>
        <v>898760</v>
      </c>
      <c r="F165" s="66">
        <f>IFERROR(__xludf.DUMMYFUNCTION("""COMPUTED_VALUE"""),905502.0)</f>
        <v>905502</v>
      </c>
      <c r="G165" s="67">
        <f>IFERROR(__xludf.DUMMYFUNCTION("""COMPUTED_VALUE"""),0.0075)</f>
        <v>0.0075</v>
      </c>
      <c r="H165" s="60" t="str">
        <f>IFERROR(__xludf.DUMMYFUNCTION("""COMPUTED_VALUE"""),"Kokoda (poke-like ceviche)")</f>
        <v>Kokoda (poke-like ceviche)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65">
        <f>IFERROR(__xludf.DUMMYFUNCTION("""COMPUTED_VALUE"""),162.0)</f>
        <v>162</v>
      </c>
      <c r="B166" s="65" t="str">
        <f>IFERROR(__xludf.DUMMYFUNCTION("""COMPUTED_VALUE"""),"Réunion")</f>
        <v>Réunion</v>
      </c>
      <c r="C166" s="20" t="str">
        <f>IFERROR(__xludf.DUMMYFUNCTION("""COMPUTED_VALUE"""),"Africa")</f>
        <v>Africa</v>
      </c>
      <c r="D166" s="20" t="str">
        <f>IFERROR(__xludf.DUMMYFUNCTION("""COMPUTED_VALUE"""),"Eastern Africa")</f>
        <v>Eastern Africa</v>
      </c>
      <c r="E166" s="66">
        <f>IFERROR(__xludf.DUMMYFUNCTION("""COMPUTED_VALUE"""),869925.0)</f>
        <v>869925</v>
      </c>
      <c r="F166" s="66">
        <f>IFERROR(__xludf.DUMMYFUNCTION("""COMPUTED_VALUE"""),876562.0)</f>
        <v>876562</v>
      </c>
      <c r="G166" s="67">
        <f>IFERROR(__xludf.DUMMYFUNCTION("""COMPUTED_VALUE"""),0.0076)</f>
        <v>0.0076</v>
      </c>
      <c r="H166" s="6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65">
        <f>IFERROR(__xludf.DUMMYFUNCTION("""COMPUTED_VALUE"""),163.0)</f>
        <v>163</v>
      </c>
      <c r="B167" s="65" t="str">
        <f>IFERROR(__xludf.DUMMYFUNCTION("""COMPUTED_VALUE"""),"Comoros")</f>
        <v>Comoros</v>
      </c>
      <c r="C167" s="20" t="str">
        <f>IFERROR(__xludf.DUMMYFUNCTION("""COMPUTED_VALUE"""),"Africa")</f>
        <v>Africa</v>
      </c>
      <c r="D167" s="20" t="str">
        <f>IFERROR(__xludf.DUMMYFUNCTION("""COMPUTED_VALUE"""),"Eastern Africa")</f>
        <v>Eastern Africa</v>
      </c>
      <c r="E167" s="66">
        <f>IFERROR(__xludf.DUMMYFUNCTION("""COMPUTED_VALUE"""),795601.0)</f>
        <v>795601</v>
      </c>
      <c r="F167" s="66">
        <f>IFERROR(__xludf.DUMMYFUNCTION("""COMPUTED_VALUE"""),813912.0)</f>
        <v>813912</v>
      </c>
      <c r="G167" s="67">
        <f>IFERROR(__xludf.DUMMYFUNCTION("""COMPUTED_VALUE"""),0.023)</f>
        <v>0.023</v>
      </c>
      <c r="H167" s="60" t="str">
        <f>IFERROR(__xludf.DUMMYFUNCTION("""COMPUTED_VALUE"""),"Langouste a la Vanille")</f>
        <v>Langouste a la Vanille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65">
        <f>IFERROR(__xludf.DUMMYFUNCTION("""COMPUTED_VALUE"""),164.0)</f>
        <v>164</v>
      </c>
      <c r="B168" s="65" t="str">
        <f>IFERROR(__xludf.DUMMYFUNCTION("""COMPUTED_VALUE"""),"Bhutan")</f>
        <v>Bhutan</v>
      </c>
      <c r="C168" s="20" t="str">
        <f>IFERROR(__xludf.DUMMYFUNCTION("""COMPUTED_VALUE"""),"Asia")</f>
        <v>Asia</v>
      </c>
      <c r="D168" s="20" t="str">
        <f>IFERROR(__xludf.DUMMYFUNCTION("""COMPUTED_VALUE"""),"Southern Asia")</f>
        <v>Southern Asia</v>
      </c>
      <c r="E168" s="66">
        <f>IFERROR(__xludf.DUMMYFUNCTION("""COMPUTED_VALUE"""),797765.0)</f>
        <v>797765</v>
      </c>
      <c r="F168" s="66">
        <f>IFERROR(__xludf.DUMMYFUNCTION("""COMPUTED_VALUE"""),807610.0)</f>
        <v>807610</v>
      </c>
      <c r="G168" s="67">
        <f>IFERROR(__xludf.DUMMYFUNCTION("""COMPUTED_VALUE"""),0.0123)</f>
        <v>0.0123</v>
      </c>
      <c r="H168" s="60" t="str">
        <f>IFERROR(__xludf.DUMMYFUNCTION("""COMPUTED_VALUE"""),"Ema datshi")</f>
        <v>Ema datshi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65">
        <f>IFERROR(__xludf.DUMMYFUNCTION("""COMPUTED_VALUE"""),165.0)</f>
        <v>165</v>
      </c>
      <c r="B169" s="65" t="str">
        <f>IFERROR(__xludf.DUMMYFUNCTION("""COMPUTED_VALUE"""),"Guyana")</f>
        <v>Guyana</v>
      </c>
      <c r="C169" s="20" t="str">
        <f>IFERROR(__xludf.DUMMYFUNCTION("""COMPUTED_VALUE"""),"Americas")</f>
        <v>Americas</v>
      </c>
      <c r="D169" s="20" t="str">
        <f>IFERROR(__xludf.DUMMYFUNCTION("""COMPUTED_VALUE"""),"South America")</f>
        <v>South America</v>
      </c>
      <c r="E169" s="66">
        <f>IFERROR(__xludf.DUMMYFUNCTION("""COMPUTED_VALUE"""),773303.0)</f>
        <v>773303</v>
      </c>
      <c r="F169" s="66">
        <f>IFERROR(__xludf.DUMMYFUNCTION("""COMPUTED_VALUE"""),777859.0)</f>
        <v>777859</v>
      </c>
      <c r="G169" s="67">
        <f>IFERROR(__xludf.DUMMYFUNCTION("""COMPUTED_VALUE"""),0.0059)</f>
        <v>0.0059</v>
      </c>
      <c r="H169" s="60" t="str">
        <f>IFERROR(__xludf.DUMMYFUNCTION("""COMPUTED_VALUE"""),"Pepperpot")</f>
        <v>Pepperpot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65">
        <f>IFERROR(__xludf.DUMMYFUNCTION("""COMPUTED_VALUE"""),166.0)</f>
        <v>166</v>
      </c>
      <c r="B170" s="65" t="str">
        <f>IFERROR(__xludf.DUMMYFUNCTION("""COMPUTED_VALUE"""),"Montenegro")</f>
        <v>Montenegro</v>
      </c>
      <c r="C170" s="20" t="str">
        <f>IFERROR(__xludf.DUMMYFUNCTION("""COMPUTED_VALUE"""),"Europe")</f>
        <v>Europe</v>
      </c>
      <c r="D170" s="20" t="str">
        <f>IFERROR(__xludf.DUMMYFUNCTION("""COMPUTED_VALUE"""),"Southern Europe")</f>
        <v>Southern Europe</v>
      </c>
      <c r="E170" s="66">
        <f>IFERROR(__xludf.DUMMYFUNCTION("""COMPUTED_VALUE"""),628615.0)</f>
        <v>628615</v>
      </c>
      <c r="F170" s="66">
        <f>IFERROR(__xludf.DUMMYFUNCTION("""COMPUTED_VALUE"""),628960.0)</f>
        <v>628960</v>
      </c>
      <c r="G170" s="67">
        <f>IFERROR(__xludf.DUMMYFUNCTION("""COMPUTED_VALUE"""),5.0E-4)</f>
        <v>0.0005</v>
      </c>
      <c r="H170" s="60" t="str">
        <f>IFERROR(__xludf.DUMMYFUNCTION("""COMPUTED_VALUE"""),"Kačamak, Raštan")</f>
        <v>Kačamak, Raštan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65">
        <f>IFERROR(__xludf.DUMMYFUNCTION("""COMPUTED_VALUE"""),167.0)</f>
        <v>167</v>
      </c>
      <c r="B171" s="65" t="str">
        <f>IFERROR(__xludf.DUMMYFUNCTION("""COMPUTED_VALUE"""),"Macau")</f>
        <v>Macau</v>
      </c>
      <c r="C171" s="20" t="str">
        <f>IFERROR(__xludf.DUMMYFUNCTION("""COMPUTED_VALUE"""),"Asia")</f>
        <v>Asia</v>
      </c>
      <c r="D171" s="20" t="str">
        <f>IFERROR(__xludf.DUMMYFUNCTION("""COMPUTED_VALUE"""),"Eastern Asia")</f>
        <v>Eastern Asia</v>
      </c>
      <c r="E171" s="66">
        <f>IFERROR(__xludf.DUMMYFUNCTION("""COMPUTED_VALUE"""),612167.0)</f>
        <v>612167</v>
      </c>
      <c r="F171" s="66">
        <f>IFERROR(__xludf.DUMMYFUNCTION("""COMPUTED_VALUE"""),622567.0)</f>
        <v>622567</v>
      </c>
      <c r="G171" s="67">
        <f>IFERROR(__xludf.DUMMYFUNCTION("""COMPUTED_VALUE"""),0.017)</f>
        <v>0.017</v>
      </c>
      <c r="H171" s="60" t="str">
        <f>IFERROR(__xludf.DUMMYFUNCTION("""COMPUTED_VALUE"""),"Minchee")</f>
        <v>Minchee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65">
        <f>IFERROR(__xludf.DUMMYFUNCTION("""COMPUTED_VALUE"""),168.0)</f>
        <v>168</v>
      </c>
      <c r="B172" s="65" t="str">
        <f>IFERROR(__xludf.DUMMYFUNCTION("""COMPUTED_VALUE"""),"Solomon Islands")</f>
        <v>Solomon Islands</v>
      </c>
      <c r="C172" s="20" t="str">
        <f>IFERROR(__xludf.DUMMYFUNCTION("""COMPUTED_VALUE"""),"Oceania")</f>
        <v>Oceania</v>
      </c>
      <c r="D172" s="20" t="str">
        <f>IFERROR(__xludf.DUMMYFUNCTION("""COMPUTED_VALUE"""),"Melanesia")</f>
        <v>Melanesia</v>
      </c>
      <c r="E172" s="66">
        <f>IFERROR(__xludf.DUMMYFUNCTION("""COMPUTED_VALUE"""),599419.0)</f>
        <v>599419</v>
      </c>
      <c r="F172" s="66">
        <f>IFERROR(__xludf.DUMMYFUNCTION("""COMPUTED_VALUE"""),611343.0)</f>
        <v>611343</v>
      </c>
      <c r="G172" s="67">
        <f>IFERROR(__xludf.DUMMYFUNCTION("""COMPUTED_VALUE"""),0.0199)</f>
        <v>0.0199</v>
      </c>
      <c r="H172" s="60" t="str">
        <f>IFERROR(__xludf.DUMMYFUNCTION("""COMPUTED_VALUE"""),"Poi")</f>
        <v>Poi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65">
        <f>IFERROR(__xludf.DUMMYFUNCTION("""COMPUTED_VALUE"""),169.0)</f>
        <v>169</v>
      </c>
      <c r="B173" s="65" t="str">
        <f>IFERROR(__xludf.DUMMYFUNCTION("""COMPUTED_VALUE"""),"Luxembourg")</f>
        <v>Luxembourg</v>
      </c>
      <c r="C173" s="20" t="str">
        <f>IFERROR(__xludf.DUMMYFUNCTION("""COMPUTED_VALUE"""),"Europe")</f>
        <v>Europe</v>
      </c>
      <c r="D173" s="20" t="str">
        <f>IFERROR(__xludf.DUMMYFUNCTION("""COMPUTED_VALUE"""),"Western Europe")</f>
        <v>Western Europe</v>
      </c>
      <c r="E173" s="66">
        <f>IFERROR(__xludf.DUMMYFUNCTION("""COMPUTED_VALUE"""),575747.0)</f>
        <v>575747</v>
      </c>
      <c r="F173" s="66">
        <f>IFERROR(__xludf.DUMMYFUNCTION("""COMPUTED_VALUE"""),583455.0)</f>
        <v>583455</v>
      </c>
      <c r="G173" s="67">
        <f>IFERROR(__xludf.DUMMYFUNCTION("""COMPUTED_VALUE"""),0.0134)</f>
        <v>0.0134</v>
      </c>
      <c r="H173" s="60" t="str">
        <f>IFERROR(__xludf.DUMMYFUNCTION("""COMPUTED_VALUE"""),"Judd mat Gaardebounen,")</f>
        <v>Judd mat Gaardebounen,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65">
        <f>IFERROR(__xludf.DUMMYFUNCTION("""COMPUTED_VALUE"""),170.0)</f>
        <v>170</v>
      </c>
      <c r="B174" s="65" t="str">
        <f>IFERROR(__xludf.DUMMYFUNCTION("""COMPUTED_VALUE"""),"Suriname")</f>
        <v>Suriname</v>
      </c>
      <c r="C174" s="20" t="str">
        <f>IFERROR(__xludf.DUMMYFUNCTION("""COMPUTED_VALUE"""),"Americas")</f>
        <v>Americas</v>
      </c>
      <c r="D174" s="20" t="str">
        <f>IFERROR(__xludf.DUMMYFUNCTION("""COMPUTED_VALUE"""),"South America")</f>
        <v>South America</v>
      </c>
      <c r="E174" s="66">
        <f>IFERROR(__xludf.DUMMYFUNCTION("""COMPUTED_VALUE"""),558368.0)</f>
        <v>558368</v>
      </c>
      <c r="F174" s="66">
        <f>IFERROR(__xludf.DUMMYFUNCTION("""COMPUTED_VALUE"""),563402.0)</f>
        <v>563402</v>
      </c>
      <c r="G174" s="67">
        <f>IFERROR(__xludf.DUMMYFUNCTION("""COMPUTED_VALUE"""),0.009)</f>
        <v>0.009</v>
      </c>
      <c r="H174" s="60" t="str">
        <f>IFERROR(__xludf.DUMMYFUNCTION("""COMPUTED_VALUE"""),"Pom")</f>
        <v>Pom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65">
        <f>IFERROR(__xludf.DUMMYFUNCTION("""COMPUTED_VALUE"""),171.0)</f>
        <v>171</v>
      </c>
      <c r="B175" s="65" t="str">
        <f>IFERROR(__xludf.DUMMYFUNCTION("""COMPUTED_VALUE"""),"Western Sahara")</f>
        <v>Western Sahara</v>
      </c>
      <c r="C175" s="20" t="str">
        <f>IFERROR(__xludf.DUMMYFUNCTION("""COMPUTED_VALUE"""),"Africa")</f>
        <v>Africa</v>
      </c>
      <c r="D175" s="20" t="str">
        <f>IFERROR(__xludf.DUMMYFUNCTION("""COMPUTED_VALUE"""),"Northern Africa")</f>
        <v>Northern Africa</v>
      </c>
      <c r="E175" s="66">
        <f>IFERROR(__xludf.DUMMYFUNCTION("""COMPUTED_VALUE"""),538755.0)</f>
        <v>538755</v>
      </c>
      <c r="F175" s="66">
        <f>IFERROR(__xludf.DUMMYFUNCTION("""COMPUTED_VALUE"""),552628.0)</f>
        <v>552628</v>
      </c>
      <c r="G175" s="67">
        <f>IFERROR(__xludf.DUMMYFUNCTION("""COMPUTED_VALUE"""),0.0258)</f>
        <v>0.0258</v>
      </c>
      <c r="H175" s="6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65">
        <f>IFERROR(__xludf.DUMMYFUNCTION("""COMPUTED_VALUE"""),172.0)</f>
        <v>172</v>
      </c>
      <c r="B176" s="65" t="str">
        <f>IFERROR(__xludf.DUMMYFUNCTION("""COMPUTED_VALUE"""),"Cape Verde")</f>
        <v>Cape Verde</v>
      </c>
      <c r="C176" s="20" t="str">
        <f>IFERROR(__xludf.DUMMYFUNCTION("""COMPUTED_VALUE"""),"Africa")</f>
        <v>Africa</v>
      </c>
      <c r="D176" s="20" t="str">
        <f>IFERROR(__xludf.DUMMYFUNCTION("""COMPUTED_VALUE"""),"Western Africa")</f>
        <v>Western Africa</v>
      </c>
      <c r="E176" s="66">
        <f>IFERROR(__xludf.DUMMYFUNCTION("""COMPUTED_VALUE"""),539560.0)</f>
        <v>539560</v>
      </c>
      <c r="F176" s="66">
        <f>IFERROR(__xludf.DUMMYFUNCTION("""COMPUTED_VALUE"""),546388.0)</f>
        <v>546388</v>
      </c>
      <c r="G176" s="67">
        <f>IFERROR(__xludf.DUMMYFUNCTION("""COMPUTED_VALUE"""),0.0127)</f>
        <v>0.0127</v>
      </c>
      <c r="H176" s="60" t="str">
        <f>IFERROR(__xludf.DUMMYFUNCTION("""COMPUTED_VALUE"""),"Cachupa")</f>
        <v>Cachupa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65">
        <f>IFERROR(__xludf.DUMMYFUNCTION("""COMPUTED_VALUE"""),173.0)</f>
        <v>173</v>
      </c>
      <c r="B177" s="65" t="str">
        <f>IFERROR(__xludf.DUMMYFUNCTION("""COMPUTED_VALUE"""),"Guadeloupe")</f>
        <v>Guadeloupe</v>
      </c>
      <c r="C177" s="20" t="str">
        <f>IFERROR(__xludf.DUMMYFUNCTION("""COMPUTED_VALUE"""),"Americas")</f>
        <v>Americas</v>
      </c>
      <c r="D177" s="20" t="str">
        <f>IFERROR(__xludf.DUMMYFUNCTION("""COMPUTED_VALUE"""),"Caribbean")</f>
        <v>Caribbean</v>
      </c>
      <c r="E177" s="66">
        <f>IFERROR(__xludf.DUMMYFUNCTION("""COMPUTED_VALUE"""),449975.0)</f>
        <v>449975</v>
      </c>
      <c r="F177" s="66">
        <f>IFERROR(__xludf.DUMMYFUNCTION("""COMPUTED_VALUE"""),449568.0)</f>
        <v>449568</v>
      </c>
      <c r="G177" s="67">
        <f>IFERROR(__xludf.DUMMYFUNCTION("""COMPUTED_VALUE"""),-9.0E-4)</f>
        <v>-0.0009</v>
      </c>
      <c r="H177" s="6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65">
        <f>IFERROR(__xludf.DUMMYFUNCTION("""COMPUTED_VALUE"""),174.0)</f>
        <v>174</v>
      </c>
      <c r="B178" s="65" t="str">
        <f>IFERROR(__xludf.DUMMYFUNCTION("""COMPUTED_VALUE"""),"Maldives")</f>
        <v>Maldives</v>
      </c>
      <c r="C178" s="20" t="str">
        <f>IFERROR(__xludf.DUMMYFUNCTION("""COMPUTED_VALUE"""),"Asia")</f>
        <v>Asia</v>
      </c>
      <c r="D178" s="20" t="str">
        <f>IFERROR(__xludf.DUMMYFUNCTION("""COMPUTED_VALUE"""),"Southern Asia")</f>
        <v>Southern Asia</v>
      </c>
      <c r="E178" s="66">
        <f>IFERROR(__xludf.DUMMYFUNCTION("""COMPUTED_VALUE"""),427756.0)</f>
        <v>427756</v>
      </c>
      <c r="F178" s="66">
        <f>IFERROR(__xludf.DUMMYFUNCTION("""COMPUTED_VALUE"""),436330.0)</f>
        <v>436330</v>
      </c>
      <c r="G178" s="67">
        <f>IFERROR(__xludf.DUMMYFUNCTION("""COMPUTED_VALUE"""),0.02)</f>
        <v>0.02</v>
      </c>
      <c r="H178" s="60" t="str">
        <f>IFERROR(__xludf.DUMMYFUNCTION("""COMPUTED_VALUE"""),"Garudhiya")</f>
        <v>Garudhiya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65">
        <f>IFERROR(__xludf.DUMMYFUNCTION("""COMPUTED_VALUE"""),175.0)</f>
        <v>175</v>
      </c>
      <c r="B179" s="65" t="str">
        <f>IFERROR(__xludf.DUMMYFUNCTION("""COMPUTED_VALUE"""),"Malta")</f>
        <v>Malta</v>
      </c>
      <c r="C179" s="20" t="str">
        <f>IFERROR(__xludf.DUMMYFUNCTION("""COMPUTED_VALUE"""),"Europe")</f>
        <v>Europe</v>
      </c>
      <c r="D179" s="20" t="str">
        <f>IFERROR(__xludf.DUMMYFUNCTION("""COMPUTED_VALUE"""),"Southern Europe")</f>
        <v>Southern Europe</v>
      </c>
      <c r="E179" s="66">
        <f>IFERROR(__xludf.DUMMYFUNCTION("""COMPUTED_VALUE"""),429362.0)</f>
        <v>429362</v>
      </c>
      <c r="F179" s="66">
        <f>IFERROR(__xludf.DUMMYFUNCTION("""COMPUTED_VALUE"""),430835.0)</f>
        <v>430835</v>
      </c>
      <c r="G179" s="67">
        <f>IFERROR(__xludf.DUMMYFUNCTION("""COMPUTED_VALUE"""),0.0034)</f>
        <v>0.0034</v>
      </c>
      <c r="H179" s="60" t="str">
        <f>IFERROR(__xludf.DUMMYFUNCTION("""COMPUTED_VALUE"""),"Pastizzi, rabbit stew (Fenkata)")</f>
        <v>Pastizzi, rabbit stew (Fenkata)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65">
        <f>IFERROR(__xludf.DUMMYFUNCTION("""COMPUTED_VALUE"""),176.0)</f>
        <v>176</v>
      </c>
      <c r="B180" s="65" t="str">
        <f>IFERROR(__xludf.DUMMYFUNCTION("""COMPUTED_VALUE"""),"Brunei")</f>
        <v>Brunei</v>
      </c>
      <c r="C180" s="20" t="str">
        <f>IFERROR(__xludf.DUMMYFUNCTION("""COMPUTED_VALUE"""),"Asia")</f>
        <v>Asia</v>
      </c>
      <c r="D180" s="20" t="str">
        <f>IFERROR(__xludf.DUMMYFUNCTION("""COMPUTED_VALUE"""),"South-eastern Asia")</f>
        <v>South-eastern Asia</v>
      </c>
      <c r="E180" s="66">
        <f>IFERROR(__xludf.DUMMYFUNCTION("""COMPUTED_VALUE"""),423196.0)</f>
        <v>423196</v>
      </c>
      <c r="F180" s="66">
        <f>IFERROR(__xludf.DUMMYFUNCTION("""COMPUTED_VALUE"""),428697.0)</f>
        <v>428697</v>
      </c>
      <c r="G180" s="67">
        <f>IFERROR(__xludf.DUMMYFUNCTION("""COMPUTED_VALUE"""),0.013)</f>
        <v>0.013</v>
      </c>
      <c r="H180" s="60" t="str">
        <f>IFERROR(__xludf.DUMMYFUNCTION("""COMPUTED_VALUE"""),"Ambuyat")</f>
        <v>Ambuyat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65">
        <f>IFERROR(__xludf.DUMMYFUNCTION("""COMPUTED_VALUE"""),177.0)</f>
        <v>177</v>
      </c>
      <c r="B181" s="65" t="str">
        <f>IFERROR(__xludf.DUMMYFUNCTION("""COMPUTED_VALUE"""),"Bahamas")</f>
        <v>Bahamas</v>
      </c>
      <c r="C181" s="20" t="str">
        <f>IFERROR(__xludf.DUMMYFUNCTION("""COMPUTED_VALUE"""),"Americas")</f>
        <v>Americas</v>
      </c>
      <c r="D181" s="20" t="str">
        <f>IFERROR(__xludf.DUMMYFUNCTION("""COMPUTED_VALUE"""),"Caribbean")</f>
        <v>Caribbean</v>
      </c>
      <c r="E181" s="66">
        <f>IFERROR(__xludf.DUMMYFUNCTION("""COMPUTED_VALUE"""),391232.0)</f>
        <v>391232</v>
      </c>
      <c r="F181" s="66">
        <f>IFERROR(__xludf.DUMMYFUNCTION("""COMPUTED_VALUE"""),395361.0)</f>
        <v>395361</v>
      </c>
      <c r="G181" s="67">
        <f>IFERROR(__xludf.DUMMYFUNCTION("""COMPUTED_VALUE"""),0.0106)</f>
        <v>0.0106</v>
      </c>
      <c r="H181" s="60" t="str">
        <f>IFERROR(__xludf.DUMMYFUNCTION("""COMPUTED_VALUE"""),"Crack conch with peas and rice")</f>
        <v>Crack conch with peas and rice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65">
        <f>IFERROR(__xludf.DUMMYFUNCTION("""COMPUTED_VALUE"""),178.0)</f>
        <v>178</v>
      </c>
      <c r="B182" s="65" t="str">
        <f>IFERROR(__xludf.DUMMYFUNCTION("""COMPUTED_VALUE"""),"Martinique")</f>
        <v>Martinique</v>
      </c>
      <c r="C182" s="20" t="str">
        <f>IFERROR(__xludf.DUMMYFUNCTION("""COMPUTED_VALUE"""),"Americas")</f>
        <v>Americas</v>
      </c>
      <c r="D182" s="20" t="str">
        <f>IFERROR(__xludf.DUMMYFUNCTION("""COMPUTED_VALUE"""),"Caribbean")</f>
        <v>Caribbean</v>
      </c>
      <c r="E182" s="66">
        <f>IFERROR(__xludf.DUMMYFUNCTION("""COMPUTED_VALUE"""),385103.0)</f>
        <v>385103</v>
      </c>
      <c r="F182" s="66">
        <f>IFERROR(__xludf.DUMMYFUNCTION("""COMPUTED_VALUE"""),384896.0)</f>
        <v>384896</v>
      </c>
      <c r="G182" s="67">
        <f>IFERROR(__xludf.DUMMYFUNCTION("""COMPUTED_VALUE"""),-5.0E-4)</f>
        <v>-0.0005</v>
      </c>
      <c r="H182" s="6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65">
        <f>IFERROR(__xludf.DUMMYFUNCTION("""COMPUTED_VALUE"""),179.0)</f>
        <v>179</v>
      </c>
      <c r="B183" s="65" t="str">
        <f>IFERROR(__xludf.DUMMYFUNCTION("""COMPUTED_VALUE"""),"Belize")</f>
        <v>Belize</v>
      </c>
      <c r="C183" s="20" t="str">
        <f>IFERROR(__xludf.DUMMYFUNCTION("""COMPUTED_VALUE"""),"Americas")</f>
        <v>Americas</v>
      </c>
      <c r="D183" s="20" t="str">
        <f>IFERROR(__xludf.DUMMYFUNCTION("""COMPUTED_VALUE"""),"Central America")</f>
        <v>Central America</v>
      </c>
      <c r="E183" s="66">
        <f>IFERROR(__xludf.DUMMYFUNCTION("""COMPUTED_VALUE"""),366954.0)</f>
        <v>366954</v>
      </c>
      <c r="F183" s="66">
        <f>IFERROR(__xludf.DUMMYFUNCTION("""COMPUTED_VALUE"""),374681.0)</f>
        <v>374681</v>
      </c>
      <c r="G183" s="67">
        <f>IFERROR(__xludf.DUMMYFUNCTION("""COMPUTED_VALUE"""),0.0211)</f>
        <v>0.0211</v>
      </c>
      <c r="H183" s="60" t="str">
        <f>IFERROR(__xludf.DUMMYFUNCTION("""COMPUTED_VALUE"""),"Boil up, Fry jack")</f>
        <v>Boil up, Fry jack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65">
        <f>IFERROR(__xludf.DUMMYFUNCTION("""COMPUTED_VALUE"""),180.0)</f>
        <v>180</v>
      </c>
      <c r="B184" s="65" t="str">
        <f>IFERROR(__xludf.DUMMYFUNCTION("""COMPUTED_VALUE"""),"Iceland")</f>
        <v>Iceland</v>
      </c>
      <c r="C184" s="20" t="str">
        <f>IFERROR(__xludf.DUMMYFUNCTION("""COMPUTED_VALUE"""),"Europe")</f>
        <v>Europe</v>
      </c>
      <c r="D184" s="20" t="str">
        <f>IFERROR(__xludf.DUMMYFUNCTION("""COMPUTED_VALUE"""),"Northern Europe")</f>
        <v>Northern Europe</v>
      </c>
      <c r="E184" s="66">
        <f>IFERROR(__xludf.DUMMYFUNCTION("""COMPUTED_VALUE"""),332474.0)</f>
        <v>332474</v>
      </c>
      <c r="F184" s="66">
        <f>IFERROR(__xludf.DUMMYFUNCTION("""COMPUTED_VALUE"""),335025.0)</f>
        <v>335025</v>
      </c>
      <c r="G184" s="67">
        <f>IFERROR(__xludf.DUMMYFUNCTION("""COMPUTED_VALUE"""),0.0077)</f>
        <v>0.0077</v>
      </c>
      <c r="H184" s="60" t="str">
        <f>IFERROR(__xludf.DUMMYFUNCTION("""COMPUTED_VALUE"""),"Hákarl, Þorramatur")</f>
        <v>Hákarl, Þorramatur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65">
        <f>IFERROR(__xludf.DUMMYFUNCTION("""COMPUTED_VALUE"""),181.0)</f>
        <v>181</v>
      </c>
      <c r="B185" s="65" t="str">
        <f>IFERROR(__xludf.DUMMYFUNCTION("""COMPUTED_VALUE"""),"Barbados")</f>
        <v>Barbados</v>
      </c>
      <c r="C185" s="20" t="str">
        <f>IFERROR(__xludf.DUMMYFUNCTION("""COMPUTED_VALUE"""),"Americas")</f>
        <v>Americas</v>
      </c>
      <c r="D185" s="20" t="str">
        <f>IFERROR(__xludf.DUMMYFUNCTION("""COMPUTED_VALUE"""),"Caribbean")</f>
        <v>Caribbean</v>
      </c>
      <c r="E185" s="66">
        <f>IFERROR(__xludf.DUMMYFUNCTION("""COMPUTED_VALUE"""),284996.0)</f>
        <v>284996</v>
      </c>
      <c r="F185" s="66">
        <f>IFERROR(__xludf.DUMMYFUNCTION("""COMPUTED_VALUE"""),285719.0)</f>
        <v>285719</v>
      </c>
      <c r="G185" s="67">
        <f>IFERROR(__xludf.DUMMYFUNCTION("""COMPUTED_VALUE"""),0.0025)</f>
        <v>0.0025</v>
      </c>
      <c r="H185" s="60" t="str">
        <f>IFERROR(__xludf.DUMMYFUNCTION("""COMPUTED_VALUE"""),"Cou-Cou and Flying Fish")</f>
        <v>Cou-Cou and Flying Fish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65">
        <f>IFERROR(__xludf.DUMMYFUNCTION("""COMPUTED_VALUE"""),182.0)</f>
        <v>182</v>
      </c>
      <c r="B186" s="65" t="str">
        <f>IFERROR(__xludf.DUMMYFUNCTION("""COMPUTED_VALUE"""),"French Polynesia")</f>
        <v>French Polynesia</v>
      </c>
      <c r="C186" s="20" t="str">
        <f>IFERROR(__xludf.DUMMYFUNCTION("""COMPUTED_VALUE"""),"Oceania")</f>
        <v>Oceania</v>
      </c>
      <c r="D186" s="20" t="str">
        <f>IFERROR(__xludf.DUMMYFUNCTION("""COMPUTED_VALUE"""),"Polynesia")</f>
        <v>Polynesia</v>
      </c>
      <c r="E186" s="66">
        <f>IFERROR(__xludf.DUMMYFUNCTION("""COMPUTED_VALUE"""),280208.0)</f>
        <v>280208</v>
      </c>
      <c r="F186" s="66">
        <f>IFERROR(__xludf.DUMMYFUNCTION("""COMPUTED_VALUE"""),283007.0)</f>
        <v>283007</v>
      </c>
      <c r="G186" s="67">
        <f>IFERROR(__xludf.DUMMYFUNCTION("""COMPUTED_VALUE"""),0.01)</f>
        <v>0.01</v>
      </c>
      <c r="H186" s="6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65">
        <f>IFERROR(__xludf.DUMMYFUNCTION("""COMPUTED_VALUE"""),183.0)</f>
        <v>183</v>
      </c>
      <c r="B187" s="65" t="str">
        <f>IFERROR(__xludf.DUMMYFUNCTION("""COMPUTED_VALUE"""),"French Guiana")</f>
        <v>French Guiana</v>
      </c>
      <c r="C187" s="20" t="str">
        <f>IFERROR(__xludf.DUMMYFUNCTION("""COMPUTED_VALUE"""),"Americas")</f>
        <v>Americas</v>
      </c>
      <c r="D187" s="20" t="str">
        <f>IFERROR(__xludf.DUMMYFUNCTION("""COMPUTED_VALUE"""),"South America")</f>
        <v>South America</v>
      </c>
      <c r="E187" s="66">
        <f>IFERROR(__xludf.DUMMYFUNCTION("""COMPUTED_VALUE"""),275713.0)</f>
        <v>275713</v>
      </c>
      <c r="F187" s="66">
        <f>IFERROR(__xludf.DUMMYFUNCTION("""COMPUTED_VALUE"""),282731.0)</f>
        <v>282731</v>
      </c>
      <c r="G187" s="67">
        <f>IFERROR(__xludf.DUMMYFUNCTION("""COMPUTED_VALUE"""),0.0255)</f>
        <v>0.0255</v>
      </c>
      <c r="H187" s="6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65">
        <f>IFERROR(__xludf.DUMMYFUNCTION("""COMPUTED_VALUE"""),184.0)</f>
        <v>184</v>
      </c>
      <c r="B188" s="65" t="str">
        <f>IFERROR(__xludf.DUMMYFUNCTION("""COMPUTED_VALUE"""),"New Caledonia")</f>
        <v>New Caledonia</v>
      </c>
      <c r="C188" s="20" t="str">
        <f>IFERROR(__xludf.DUMMYFUNCTION("""COMPUTED_VALUE"""),"Oceania")</f>
        <v>Oceania</v>
      </c>
      <c r="D188" s="20" t="str">
        <f>IFERROR(__xludf.DUMMYFUNCTION("""COMPUTED_VALUE"""),"Melanesia")</f>
        <v>Melanesia</v>
      </c>
      <c r="E188" s="66">
        <f>IFERROR(__xludf.DUMMYFUNCTION("""COMPUTED_VALUE"""),272677.0)</f>
        <v>272677</v>
      </c>
      <c r="F188" s="66">
        <f>IFERROR(__xludf.DUMMYFUNCTION("""COMPUTED_VALUE"""),276255.0)</f>
        <v>276255</v>
      </c>
      <c r="G188" s="67">
        <f>IFERROR(__xludf.DUMMYFUNCTION("""COMPUTED_VALUE"""),0.0131)</f>
        <v>0.0131</v>
      </c>
      <c r="H188" s="6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65">
        <f>IFERROR(__xludf.DUMMYFUNCTION("""COMPUTED_VALUE"""),185.0)</f>
        <v>185</v>
      </c>
      <c r="B189" s="65" t="str">
        <f>IFERROR(__xludf.DUMMYFUNCTION("""COMPUTED_VALUE"""),"Vanuatu")</f>
        <v>Vanuatu</v>
      </c>
      <c r="C189" s="20" t="str">
        <f>IFERROR(__xludf.DUMMYFUNCTION("""COMPUTED_VALUE"""),"Oceania")</f>
        <v>Oceania</v>
      </c>
      <c r="D189" s="20" t="str">
        <f>IFERROR(__xludf.DUMMYFUNCTION("""COMPUTED_VALUE"""),"Melanesia")</f>
        <v>Melanesia</v>
      </c>
      <c r="E189" s="66">
        <f>IFERROR(__xludf.DUMMYFUNCTION("""COMPUTED_VALUE"""),270402.0)</f>
        <v>270402</v>
      </c>
      <c r="F189" s="66">
        <f>IFERROR(__xludf.DUMMYFUNCTION("""COMPUTED_VALUE"""),276244.0)</f>
        <v>276244</v>
      </c>
      <c r="G189" s="67">
        <f>IFERROR(__xludf.DUMMYFUNCTION("""COMPUTED_VALUE"""),0.0216)</f>
        <v>0.0216</v>
      </c>
      <c r="H189" s="60" t="str">
        <f>IFERROR(__xludf.DUMMYFUNCTION("""COMPUTED_VALUE"""),"Lap lap")</f>
        <v>Lap lap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65">
        <f>IFERROR(__xludf.DUMMYFUNCTION("""COMPUTED_VALUE"""),186.0)</f>
        <v>186</v>
      </c>
      <c r="B190" s="65" t="str">
        <f>IFERROR(__xludf.DUMMYFUNCTION("""COMPUTED_VALUE"""),"Mayotte")</f>
        <v>Mayotte</v>
      </c>
      <c r="C190" s="20" t="str">
        <f>IFERROR(__xludf.DUMMYFUNCTION("""COMPUTED_VALUE"""),"Africa")</f>
        <v>Africa</v>
      </c>
      <c r="D190" s="20" t="str">
        <f>IFERROR(__xludf.DUMMYFUNCTION("""COMPUTED_VALUE"""),"Eastern Africa")</f>
        <v>Eastern Africa</v>
      </c>
      <c r="E190" s="66">
        <f>IFERROR(__xludf.DUMMYFUNCTION("""COMPUTED_VALUE"""),246489.0)</f>
        <v>246489</v>
      </c>
      <c r="F190" s="66">
        <f>IFERROR(__xludf.DUMMYFUNCTION("""COMPUTED_VALUE"""),253045.0)</f>
        <v>253045</v>
      </c>
      <c r="G190" s="67">
        <f>IFERROR(__xludf.DUMMYFUNCTION("""COMPUTED_VALUE"""),0.0266)</f>
        <v>0.0266</v>
      </c>
      <c r="H190" s="6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65">
        <f>IFERROR(__xludf.DUMMYFUNCTION("""COMPUTED_VALUE"""),187.0)</f>
        <v>187</v>
      </c>
      <c r="B191" s="65" t="str">
        <f>IFERROR(__xludf.DUMMYFUNCTION("""COMPUTED_VALUE"""),"Sao Tome and Principe")</f>
        <v>Sao Tome and Principe</v>
      </c>
      <c r="C191" s="20" t="str">
        <f>IFERROR(__xludf.DUMMYFUNCTION("""COMPUTED_VALUE"""),"Africa")</f>
        <v>Africa</v>
      </c>
      <c r="D191" s="20" t="str">
        <f>IFERROR(__xludf.DUMMYFUNCTION("""COMPUTED_VALUE"""),"Middle Africa")</f>
        <v>Middle Africa</v>
      </c>
      <c r="E191" s="66">
        <f>IFERROR(__xludf.DUMMYFUNCTION("""COMPUTED_VALUE"""),199910.0)</f>
        <v>199910</v>
      </c>
      <c r="F191" s="66">
        <f>IFERROR(__xludf.DUMMYFUNCTION("""COMPUTED_VALUE"""),204327.0)</f>
        <v>204327</v>
      </c>
      <c r="G191" s="67">
        <f>IFERROR(__xludf.DUMMYFUNCTION("""COMPUTED_VALUE"""),0.0221)</f>
        <v>0.0221</v>
      </c>
      <c r="H191" s="60" t="str">
        <f>IFERROR(__xludf.DUMMYFUNCTION("""COMPUTED_VALUE"""),"Palm oil stew")</f>
        <v>Palm oil stew</v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65">
        <f>IFERROR(__xludf.DUMMYFUNCTION("""COMPUTED_VALUE"""),188.0)</f>
        <v>188</v>
      </c>
      <c r="B192" s="65" t="str">
        <f>IFERROR(__xludf.DUMMYFUNCTION("""COMPUTED_VALUE"""),"Samoa")</f>
        <v>Samoa</v>
      </c>
      <c r="C192" s="20" t="str">
        <f>IFERROR(__xludf.DUMMYFUNCTION("""COMPUTED_VALUE"""),"Oceania")</f>
        <v>Oceania</v>
      </c>
      <c r="D192" s="20" t="str">
        <f>IFERROR(__xludf.DUMMYFUNCTION("""COMPUTED_VALUE"""),"Polynesia")</f>
        <v>Polynesia</v>
      </c>
      <c r="E192" s="66">
        <f>IFERROR(__xludf.DUMMYFUNCTION("""COMPUTED_VALUE"""),195125.0)</f>
        <v>195125</v>
      </c>
      <c r="F192" s="66">
        <f>IFERROR(__xludf.DUMMYFUNCTION("""COMPUTED_VALUE"""),196440.0)</f>
        <v>196440</v>
      </c>
      <c r="G192" s="67">
        <f>IFERROR(__xludf.DUMMYFUNCTION("""COMPUTED_VALUE"""),0.0067)</f>
        <v>0.0067</v>
      </c>
      <c r="H192" s="60" t="str">
        <f>IFERROR(__xludf.DUMMYFUNCTION("""COMPUTED_VALUE"""),"Palusami")</f>
        <v>Palusami</v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65">
        <f>IFERROR(__xludf.DUMMYFUNCTION("""COMPUTED_VALUE"""),189.0)</f>
        <v>189</v>
      </c>
      <c r="B193" s="65" t="str">
        <f>IFERROR(__xludf.DUMMYFUNCTION("""COMPUTED_VALUE"""),"Saint Lucia")</f>
        <v>Saint Lucia</v>
      </c>
      <c r="C193" s="20" t="str">
        <f>IFERROR(__xludf.DUMMYFUNCTION("""COMPUTED_VALUE"""),"Americas")</f>
        <v>Americas</v>
      </c>
      <c r="D193" s="20" t="str">
        <f>IFERROR(__xludf.DUMMYFUNCTION("""COMPUTED_VALUE"""),"Caribbean")</f>
        <v>Caribbean</v>
      </c>
      <c r="E193" s="66">
        <f>IFERROR(__xludf.DUMMYFUNCTION("""COMPUTED_VALUE"""),178015.0)</f>
        <v>178015</v>
      </c>
      <c r="F193" s="66">
        <f>IFERROR(__xludf.DUMMYFUNCTION("""COMPUTED_VALUE"""),178844.0)</f>
        <v>178844</v>
      </c>
      <c r="G193" s="67">
        <f>IFERROR(__xludf.DUMMYFUNCTION("""COMPUTED_VALUE"""),0.0047)</f>
        <v>0.0047</v>
      </c>
      <c r="H193" s="60" t="str">
        <f>IFERROR(__xludf.DUMMYFUNCTION("""COMPUTED_VALUE"""),"Green fig and saltfish")</f>
        <v>Green fig and saltfish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65">
        <f>IFERROR(__xludf.DUMMYFUNCTION("""COMPUTED_VALUE"""),190.0)</f>
        <v>190</v>
      </c>
      <c r="B194" s="65" t="str">
        <f>IFERROR(__xludf.DUMMYFUNCTION("""COMPUTED_VALUE"""),"Guernsey and  Jersey")</f>
        <v>Guernsey and  Jersey</v>
      </c>
      <c r="C194" s="20" t="str">
        <f>IFERROR(__xludf.DUMMYFUNCTION("""COMPUTED_VALUE"""),"Europe")</f>
        <v>Europe</v>
      </c>
      <c r="D194" s="20" t="str">
        <f>IFERROR(__xludf.DUMMYFUNCTION("""COMPUTED_VALUE"""),"Northern Europe")</f>
        <v>Northern Europe</v>
      </c>
      <c r="E194" s="66">
        <f>IFERROR(__xludf.DUMMYFUNCTION("""COMPUTED_VALUE"""),164541.0)</f>
        <v>164541</v>
      </c>
      <c r="F194" s="66">
        <f>IFERROR(__xludf.DUMMYFUNCTION("""COMPUTED_VALUE"""),165314.0)</f>
        <v>165314</v>
      </c>
      <c r="G194" s="67">
        <f>IFERROR(__xludf.DUMMYFUNCTION("""COMPUTED_VALUE"""),0.0047)</f>
        <v>0.0047</v>
      </c>
      <c r="H194" s="6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65">
        <f>IFERROR(__xludf.DUMMYFUNCTION("""COMPUTED_VALUE"""),191.0)</f>
        <v>191</v>
      </c>
      <c r="B195" s="65" t="str">
        <f>IFERROR(__xludf.DUMMYFUNCTION("""COMPUTED_VALUE"""),"Guam")</f>
        <v>Guam</v>
      </c>
      <c r="C195" s="20" t="str">
        <f>IFERROR(__xludf.DUMMYFUNCTION("""COMPUTED_VALUE"""),"Oceania")</f>
        <v>Oceania</v>
      </c>
      <c r="D195" s="20" t="str">
        <f>IFERROR(__xludf.DUMMYFUNCTION("""COMPUTED_VALUE"""),"Micronesia")</f>
        <v>Micronesia</v>
      </c>
      <c r="E195" s="66">
        <f>IFERROR(__xludf.DUMMYFUNCTION("""COMPUTED_VALUE"""),162896.0)</f>
        <v>162896</v>
      </c>
      <c r="F195" s="66">
        <f>IFERROR(__xludf.DUMMYFUNCTION("""COMPUTED_VALUE"""),164229.0)</f>
        <v>164229</v>
      </c>
      <c r="G195" s="67">
        <f>IFERROR(__xludf.DUMMYFUNCTION("""COMPUTED_VALUE"""),0.0082)</f>
        <v>0.0082</v>
      </c>
      <c r="H195" s="6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65">
        <f>IFERROR(__xludf.DUMMYFUNCTION("""COMPUTED_VALUE"""),192.0)</f>
        <v>192</v>
      </c>
      <c r="B196" s="65" t="str">
        <f>IFERROR(__xludf.DUMMYFUNCTION("""COMPUTED_VALUE"""),"Curaçao")</f>
        <v>Curaçao</v>
      </c>
      <c r="C196" s="20" t="str">
        <f>IFERROR(__xludf.DUMMYFUNCTION("""COMPUTED_VALUE"""),"Americas")</f>
        <v>Americas</v>
      </c>
      <c r="D196" s="20" t="str">
        <f>IFERROR(__xludf.DUMMYFUNCTION("""COMPUTED_VALUE"""),"Caribbean")</f>
        <v>Caribbean</v>
      </c>
      <c r="E196" s="66">
        <f>IFERROR(__xludf.DUMMYFUNCTION("""COMPUTED_VALUE"""),159371.0)</f>
        <v>159371</v>
      </c>
      <c r="F196" s="66">
        <f>IFERROR(__xludf.DUMMYFUNCTION("""COMPUTED_VALUE"""),160539.0)</f>
        <v>160539</v>
      </c>
      <c r="G196" s="67">
        <f>IFERROR(__xludf.DUMMYFUNCTION("""COMPUTED_VALUE"""),0.0073)</f>
        <v>0.0073</v>
      </c>
      <c r="H196" s="6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65">
        <f>IFERROR(__xludf.DUMMYFUNCTION("""COMPUTED_VALUE"""),193.0)</f>
        <v>193</v>
      </c>
      <c r="B197" s="65" t="str">
        <f>IFERROR(__xludf.DUMMYFUNCTION("""COMPUTED_VALUE"""),"Kiribati")</f>
        <v>Kiribati</v>
      </c>
      <c r="C197" s="20" t="str">
        <f>IFERROR(__xludf.DUMMYFUNCTION("""COMPUTED_VALUE"""),"Oceania")</f>
        <v>Oceania</v>
      </c>
      <c r="D197" s="20" t="str">
        <f>IFERROR(__xludf.DUMMYFUNCTION("""COMPUTED_VALUE"""),"Micronesia")</f>
        <v>Micronesia</v>
      </c>
      <c r="E197" s="66">
        <f>IFERROR(__xludf.DUMMYFUNCTION("""COMPUTED_VALUE"""),114395.0)</f>
        <v>114395</v>
      </c>
      <c r="F197" s="66">
        <f>IFERROR(__xludf.DUMMYFUNCTION("""COMPUTED_VALUE"""),116398.0)</f>
        <v>116398</v>
      </c>
      <c r="G197" s="67">
        <f>IFERROR(__xludf.DUMMYFUNCTION("""COMPUTED_VALUE"""),0.0175)</f>
        <v>0.0175</v>
      </c>
      <c r="H197" s="60" t="str">
        <f>IFERROR(__xludf.DUMMYFUNCTION("""COMPUTED_VALUE"""),"Palusami")</f>
        <v>Palusami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65">
        <f>IFERROR(__xludf.DUMMYFUNCTION("""COMPUTED_VALUE"""),194.0)</f>
        <v>194</v>
      </c>
      <c r="B198" s="65" t="str">
        <f>IFERROR(__xludf.DUMMYFUNCTION("""COMPUTED_VALUE"""),"Saint Vincent and the Grenadines")</f>
        <v>Saint Vincent and the Grenadines</v>
      </c>
      <c r="C198" s="20" t="str">
        <f>IFERROR(__xludf.DUMMYFUNCTION("""COMPUTED_VALUE"""),"Americas")</f>
        <v>Americas</v>
      </c>
      <c r="D198" s="20" t="str">
        <f>IFERROR(__xludf.DUMMYFUNCTION("""COMPUTED_VALUE"""),"Caribbean")</f>
        <v>Caribbean</v>
      </c>
      <c r="E198" s="66">
        <f>IFERROR(__xludf.DUMMYFUNCTION("""COMPUTED_VALUE"""),109643.0)</f>
        <v>109643</v>
      </c>
      <c r="F198" s="66">
        <f>IFERROR(__xludf.DUMMYFUNCTION("""COMPUTED_VALUE"""),109897.0)</f>
        <v>109897</v>
      </c>
      <c r="G198" s="67">
        <f>IFERROR(__xludf.DUMMYFUNCTION("""COMPUTED_VALUE"""),0.0023)</f>
        <v>0.0023</v>
      </c>
      <c r="H198" s="60" t="str">
        <f>IFERROR(__xludf.DUMMYFUNCTION("""COMPUTED_VALUE"""),"Roasted breadfruit and fried jackfish")</f>
        <v>Roasted breadfruit and fried jackfish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5">
        <f>IFERROR(__xludf.DUMMYFUNCTION("""COMPUTED_VALUE"""),195.0)</f>
        <v>195</v>
      </c>
      <c r="B199" s="65" t="str">
        <f>IFERROR(__xludf.DUMMYFUNCTION("""COMPUTED_VALUE"""),"Tonga")</f>
        <v>Tonga</v>
      </c>
      <c r="C199" s="20" t="str">
        <f>IFERROR(__xludf.DUMMYFUNCTION("""COMPUTED_VALUE"""),"Oceania")</f>
        <v>Oceania</v>
      </c>
      <c r="D199" s="20" t="str">
        <f>IFERROR(__xludf.DUMMYFUNCTION("""COMPUTED_VALUE"""),"Polynesia")</f>
        <v>Polynesia</v>
      </c>
      <c r="E199" s="66">
        <f>IFERROR(__xludf.DUMMYFUNCTION("""COMPUTED_VALUE"""),107122.0)</f>
        <v>107122</v>
      </c>
      <c r="F199" s="66">
        <f>IFERROR(__xludf.DUMMYFUNCTION("""COMPUTED_VALUE"""),108020.0)</f>
        <v>108020</v>
      </c>
      <c r="G199" s="67">
        <f>IFERROR(__xludf.DUMMYFUNCTION("""COMPUTED_VALUE"""),0.0084)</f>
        <v>0.0084</v>
      </c>
      <c r="H199" s="6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5">
        <f>IFERROR(__xludf.DUMMYFUNCTION("""COMPUTED_VALUE"""),196.0)</f>
        <v>196</v>
      </c>
      <c r="B200" s="65" t="str">
        <f>IFERROR(__xludf.DUMMYFUNCTION("""COMPUTED_VALUE"""),"Grenada")</f>
        <v>Grenada</v>
      </c>
      <c r="C200" s="20" t="str">
        <f>IFERROR(__xludf.DUMMYFUNCTION("""COMPUTED_VALUE"""),"Americas")</f>
        <v>Americas</v>
      </c>
      <c r="D200" s="20" t="str">
        <f>IFERROR(__xludf.DUMMYFUNCTION("""COMPUTED_VALUE"""),"Caribbean")</f>
        <v>Caribbean</v>
      </c>
      <c r="E200" s="66">
        <f>IFERROR(__xludf.DUMMYFUNCTION("""COMPUTED_VALUE"""),107317.0)</f>
        <v>107317</v>
      </c>
      <c r="F200" s="66">
        <f>IFERROR(__xludf.DUMMYFUNCTION("""COMPUTED_VALUE"""),107825.0)</f>
        <v>107825</v>
      </c>
      <c r="G200" s="67">
        <f>IFERROR(__xludf.DUMMYFUNCTION("""COMPUTED_VALUE"""),0.0047)</f>
        <v>0.0047</v>
      </c>
      <c r="H200" s="60" t="str">
        <f>IFERROR(__xludf.DUMMYFUNCTION("""COMPUTED_VALUE"""),"Oil Down")</f>
        <v>Oil Down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5">
        <f>IFERROR(__xludf.DUMMYFUNCTION("""COMPUTED_VALUE"""),197.0)</f>
        <v>197</v>
      </c>
      <c r="B201" s="65" t="str">
        <f>IFERROR(__xludf.DUMMYFUNCTION("""COMPUTED_VALUE"""),"Federated States of Micronesia")</f>
        <v>Federated States of Micronesia</v>
      </c>
      <c r="C201" s="20" t="str">
        <f>IFERROR(__xludf.DUMMYFUNCTION("""COMPUTED_VALUE"""),"Oceania")</f>
        <v>Oceania</v>
      </c>
      <c r="D201" s="20" t="str">
        <f>IFERROR(__xludf.DUMMYFUNCTION("""COMPUTED_VALUE"""),"Micronesia")</f>
        <v>Micronesia</v>
      </c>
      <c r="E201" s="66">
        <f>IFERROR(__xludf.DUMMYFUNCTION("""COMPUTED_VALUE"""),104937.0)</f>
        <v>104937</v>
      </c>
      <c r="F201" s="66">
        <f>IFERROR(__xludf.DUMMYFUNCTION("""COMPUTED_VALUE"""),105544.0)</f>
        <v>105544</v>
      </c>
      <c r="G201" s="67">
        <f>IFERROR(__xludf.DUMMYFUNCTION("""COMPUTED_VALUE"""),0.0058)</f>
        <v>0.0058</v>
      </c>
      <c r="H201" s="60" t="str">
        <f>IFERROR(__xludf.DUMMYFUNCTION("""COMPUTED_VALUE"""),"Bat soup")</f>
        <v>Bat soup</v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5">
        <f>IFERROR(__xludf.DUMMYFUNCTION("""COMPUTED_VALUE"""),198.0)</f>
        <v>198</v>
      </c>
      <c r="B202" s="65" t="str">
        <f>IFERROR(__xludf.DUMMYFUNCTION("""COMPUTED_VALUE"""),"Aruba")</f>
        <v>Aruba</v>
      </c>
      <c r="C202" s="20" t="str">
        <f>IFERROR(__xludf.DUMMYFUNCTION("""COMPUTED_VALUE"""),"Americas")</f>
        <v>Americas</v>
      </c>
      <c r="D202" s="20" t="str">
        <f>IFERROR(__xludf.DUMMYFUNCTION("""COMPUTED_VALUE"""),"Caribbean")</f>
        <v>Caribbean</v>
      </c>
      <c r="E202" s="66">
        <f>IFERROR(__xludf.DUMMYFUNCTION("""COMPUTED_VALUE"""),104822.0)</f>
        <v>104822</v>
      </c>
      <c r="F202" s="66">
        <f>IFERROR(__xludf.DUMMYFUNCTION("""COMPUTED_VALUE"""),105264.0)</f>
        <v>105264</v>
      </c>
      <c r="G202" s="67">
        <f>IFERROR(__xludf.DUMMYFUNCTION("""COMPUTED_VALUE"""),0.0042)</f>
        <v>0.0042</v>
      </c>
      <c r="H202" s="60" t="str">
        <f>IFERROR(__xludf.DUMMYFUNCTION("""COMPUTED_VALUE"""),"Keshi yena")</f>
        <v>Keshi yena</v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5">
        <f>IFERROR(__xludf.DUMMYFUNCTION("""COMPUTED_VALUE"""),199.0)</f>
        <v>199</v>
      </c>
      <c r="B203" s="65" t="str">
        <f>IFERROR(__xludf.DUMMYFUNCTION("""COMPUTED_VALUE"""),"United States Virgin Islands")</f>
        <v>United States Virgin Islands</v>
      </c>
      <c r="C203" s="20" t="str">
        <f>IFERROR(__xludf.DUMMYFUNCTION("""COMPUTED_VALUE"""),"Americas")</f>
        <v>Americas</v>
      </c>
      <c r="D203" s="20" t="str">
        <f>IFERROR(__xludf.DUMMYFUNCTION("""COMPUTED_VALUE"""),"Caribbean")</f>
        <v>Caribbean</v>
      </c>
      <c r="E203" s="66">
        <f>IFERROR(__xludf.DUMMYFUNCTION("""COMPUTED_VALUE"""),104913.0)</f>
        <v>104913</v>
      </c>
      <c r="F203" s="66">
        <f>IFERROR(__xludf.DUMMYFUNCTION("""COMPUTED_VALUE"""),104901.0)</f>
        <v>104901</v>
      </c>
      <c r="G203" s="67">
        <f>IFERROR(__xludf.DUMMYFUNCTION("""COMPUTED_VALUE"""),-1.0E-4)</f>
        <v>-0.0001</v>
      </c>
      <c r="H203" s="60" t="str">
        <f>IFERROR(__xludf.DUMMYFUNCTION("""COMPUTED_VALUE"""),"Fish and Fungi")</f>
        <v>Fish and Fungi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5">
        <f>IFERROR(__xludf.DUMMYFUNCTION("""COMPUTED_VALUE"""),200.0)</f>
        <v>200</v>
      </c>
      <c r="B204" s="65" t="str">
        <f>IFERROR(__xludf.DUMMYFUNCTION("""COMPUTED_VALUE"""),"Antigua and Barbuda")</f>
        <v>Antigua and Barbuda</v>
      </c>
      <c r="C204" s="20" t="str">
        <f>IFERROR(__xludf.DUMMYFUNCTION("""COMPUTED_VALUE"""),"Americas")</f>
        <v>Americas</v>
      </c>
      <c r="D204" s="20" t="str">
        <f>IFERROR(__xludf.DUMMYFUNCTION("""COMPUTED_VALUE"""),"Caribbean")</f>
        <v>Caribbean</v>
      </c>
      <c r="E204" s="66">
        <f>IFERROR(__xludf.DUMMYFUNCTION("""COMPUTED_VALUE"""),100963.0)</f>
        <v>100963</v>
      </c>
      <c r="F204" s="66">
        <f>IFERROR(__xludf.DUMMYFUNCTION("""COMPUTED_VALUE"""),102012.0)</f>
        <v>102012</v>
      </c>
      <c r="G204" s="67">
        <f>IFERROR(__xludf.DUMMYFUNCTION("""COMPUTED_VALUE"""),0.0104)</f>
        <v>0.0104</v>
      </c>
      <c r="H204" s="60" t="str">
        <f>IFERROR(__xludf.DUMMYFUNCTION("""COMPUTED_VALUE"""),"Pepperpot, Fungee")</f>
        <v>Pepperpot, Fungee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5">
        <f>IFERROR(__xludf.DUMMYFUNCTION("""COMPUTED_VALUE"""),201.0)</f>
        <v>201</v>
      </c>
      <c r="B205" s="65" t="str">
        <f>IFERROR(__xludf.DUMMYFUNCTION("""COMPUTED_VALUE"""),"Seychelles")</f>
        <v>Seychelles</v>
      </c>
      <c r="C205" s="20" t="str">
        <f>IFERROR(__xludf.DUMMYFUNCTION("""COMPUTED_VALUE"""),"Africa")</f>
        <v>Africa</v>
      </c>
      <c r="D205" s="20" t="str">
        <f>IFERROR(__xludf.DUMMYFUNCTION("""COMPUTED_VALUE"""),"Eastern Africa")</f>
        <v>Eastern Africa</v>
      </c>
      <c r="E205" s="66">
        <f>IFERROR(__xludf.DUMMYFUNCTION("""COMPUTED_VALUE"""),94228.0)</f>
        <v>94228</v>
      </c>
      <c r="F205" s="66">
        <f>IFERROR(__xludf.DUMMYFUNCTION("""COMPUTED_VALUE"""),94737.0)</f>
        <v>94737</v>
      </c>
      <c r="G205" s="67">
        <f>IFERROR(__xludf.DUMMYFUNCTION("""COMPUTED_VALUE"""),0.0054)</f>
        <v>0.0054</v>
      </c>
      <c r="H205" s="60" t="str">
        <f>IFERROR(__xludf.DUMMYFUNCTION("""COMPUTED_VALUE"""),"Fruit Bat Soup")</f>
        <v>Fruit Bat Soup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5">
        <f>IFERROR(__xludf.DUMMYFUNCTION("""COMPUTED_VALUE"""),202.0)</f>
        <v>202</v>
      </c>
      <c r="B206" s="65" t="str">
        <f>IFERROR(__xludf.DUMMYFUNCTION("""COMPUTED_VALUE"""),"Isle of Man")</f>
        <v>Isle of Man</v>
      </c>
      <c r="C206" s="20" t="str">
        <f>IFERROR(__xludf.DUMMYFUNCTION("""COMPUTED_VALUE"""),"Europe")</f>
        <v>Europe</v>
      </c>
      <c r="D206" s="20" t="str">
        <f>IFERROR(__xludf.DUMMYFUNCTION("""COMPUTED_VALUE"""),"Northern Europe")</f>
        <v>Northern Europe</v>
      </c>
      <c r="E206" s="66">
        <f>IFERROR(__xludf.DUMMYFUNCTION("""COMPUTED_VALUE"""),83737.0)</f>
        <v>83737</v>
      </c>
      <c r="F206" s="66">
        <f>IFERROR(__xludf.DUMMYFUNCTION("""COMPUTED_VALUE"""),84287.0)</f>
        <v>84287</v>
      </c>
      <c r="G206" s="67">
        <f>IFERROR(__xludf.DUMMYFUNCTION("""COMPUTED_VALUE"""),0.0066)</f>
        <v>0.0066</v>
      </c>
      <c r="H206" s="60" t="str">
        <f>IFERROR(__xludf.DUMMYFUNCTION("""COMPUTED_VALUE"""),"Skeddan jiarg, Chips cheese and gravy")</f>
        <v>Skeddan jiarg, Chips cheese and gravy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5">
        <f>IFERROR(__xludf.DUMMYFUNCTION("""COMPUTED_VALUE"""),203.0)</f>
        <v>203</v>
      </c>
      <c r="B207" s="65" t="str">
        <f>IFERROR(__xludf.DUMMYFUNCTION("""COMPUTED_VALUE"""),"Andorra")</f>
        <v>Andorra</v>
      </c>
      <c r="C207" s="20" t="str">
        <f>IFERROR(__xludf.DUMMYFUNCTION("""COMPUTED_VALUE"""),"Europe")</f>
        <v>Europe</v>
      </c>
      <c r="D207" s="20" t="str">
        <f>IFERROR(__xludf.DUMMYFUNCTION("""COMPUTED_VALUE"""),"Southern Europe")</f>
        <v>Southern Europe</v>
      </c>
      <c r="E207" s="66">
        <f>IFERROR(__xludf.DUMMYFUNCTION("""COMPUTED_VALUE"""),77281.0)</f>
        <v>77281</v>
      </c>
      <c r="F207" s="66">
        <f>IFERROR(__xludf.DUMMYFUNCTION("""COMPUTED_VALUE"""),76965.0)</f>
        <v>76965</v>
      </c>
      <c r="G207" s="67">
        <f>IFERROR(__xludf.DUMMYFUNCTION("""COMPUTED_VALUE"""),-0.0041)</f>
        <v>-0.0041</v>
      </c>
      <c r="H207" s="60" t="str">
        <f>IFERROR(__xludf.DUMMYFUNCTION("""COMPUTED_VALUE"""),"Escudella")</f>
        <v>Escudella</v>
      </c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5">
        <f>IFERROR(__xludf.DUMMYFUNCTION("""COMPUTED_VALUE"""),204.0)</f>
        <v>204</v>
      </c>
      <c r="B208" s="65" t="str">
        <f>IFERROR(__xludf.DUMMYFUNCTION("""COMPUTED_VALUE"""),"Dominica")</f>
        <v>Dominica</v>
      </c>
      <c r="C208" s="20" t="str">
        <f>IFERROR(__xludf.DUMMYFUNCTION("""COMPUTED_VALUE"""),"Americas")</f>
        <v>Americas</v>
      </c>
      <c r="D208" s="20" t="str">
        <f>IFERROR(__xludf.DUMMYFUNCTION("""COMPUTED_VALUE"""),"Caribbean")</f>
        <v>Caribbean</v>
      </c>
      <c r="E208" s="66">
        <f>IFERROR(__xludf.DUMMYFUNCTION("""COMPUTED_VALUE"""),73543.0)</f>
        <v>73543</v>
      </c>
      <c r="F208" s="66">
        <f>IFERROR(__xludf.DUMMYFUNCTION("""COMPUTED_VALUE"""),73925.0)</f>
        <v>73925</v>
      </c>
      <c r="G208" s="67">
        <f>IFERROR(__xludf.DUMMYFUNCTION("""COMPUTED_VALUE"""),0.0052)</f>
        <v>0.0052</v>
      </c>
      <c r="H208" s="60" t="str">
        <f>IFERROR(__xludf.DUMMYFUNCTION("""COMPUTED_VALUE"""),"Mountain chicken, Fish broth")</f>
        <v>Mountain chicken, Fish broth</v>
      </c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5">
        <f>IFERROR(__xludf.DUMMYFUNCTION("""COMPUTED_VALUE"""),205.0)</f>
        <v>205</v>
      </c>
      <c r="B209" s="65" t="str">
        <f>IFERROR(__xludf.DUMMYFUNCTION("""COMPUTED_VALUE"""),"Cayman Islands")</f>
        <v>Cayman Islands</v>
      </c>
      <c r="C209" s="20" t="str">
        <f>IFERROR(__xludf.DUMMYFUNCTION("""COMPUTED_VALUE"""),"Americas")</f>
        <v>Americas</v>
      </c>
      <c r="D209" s="20" t="str">
        <f>IFERROR(__xludf.DUMMYFUNCTION("""COMPUTED_VALUE"""),"Caribbean")</f>
        <v>Caribbean</v>
      </c>
      <c r="E209" s="66">
        <f>IFERROR(__xludf.DUMMYFUNCTION("""COMPUTED_VALUE"""),60765.0)</f>
        <v>60765</v>
      </c>
      <c r="F209" s="66">
        <f>IFERROR(__xludf.DUMMYFUNCTION("""COMPUTED_VALUE"""),61559.0)</f>
        <v>61559</v>
      </c>
      <c r="G209" s="67">
        <f>IFERROR(__xludf.DUMMYFUNCTION("""COMPUTED_VALUE"""),0.0131)</f>
        <v>0.0131</v>
      </c>
      <c r="H209" s="6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5">
        <f>IFERROR(__xludf.DUMMYFUNCTION("""COMPUTED_VALUE"""),206.0)</f>
        <v>206</v>
      </c>
      <c r="B210" s="65" t="str">
        <f>IFERROR(__xludf.DUMMYFUNCTION("""COMPUTED_VALUE"""),"Bermuda")</f>
        <v>Bermuda</v>
      </c>
      <c r="C210" s="20" t="str">
        <f>IFERROR(__xludf.DUMMYFUNCTION("""COMPUTED_VALUE"""),"Americas")</f>
        <v>Americas</v>
      </c>
      <c r="D210" s="20" t="str">
        <f>IFERROR(__xludf.DUMMYFUNCTION("""COMPUTED_VALUE"""),"Northern America")</f>
        <v>Northern America</v>
      </c>
      <c r="E210" s="66">
        <f>IFERROR(__xludf.DUMMYFUNCTION("""COMPUTED_VALUE"""),61666.0)</f>
        <v>61666</v>
      </c>
      <c r="F210" s="66">
        <f>IFERROR(__xludf.DUMMYFUNCTION("""COMPUTED_VALUE"""),61349.0)</f>
        <v>61349</v>
      </c>
      <c r="G210" s="67">
        <f>IFERROR(__xludf.DUMMYFUNCTION("""COMPUTED_VALUE"""),-0.0051)</f>
        <v>-0.0051</v>
      </c>
      <c r="H210" s="60" t="str">
        <f>IFERROR(__xludf.DUMMYFUNCTION("""COMPUTED_VALUE"""),"Bermuda fish chowder")</f>
        <v>Bermuda fish chowder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5">
        <f>IFERROR(__xludf.DUMMYFUNCTION("""COMPUTED_VALUE"""),207.0)</f>
        <v>207</v>
      </c>
      <c r="B211" s="65" t="str">
        <f>IFERROR(__xludf.DUMMYFUNCTION("""COMPUTED_VALUE"""),"Greenland")</f>
        <v>Greenland</v>
      </c>
      <c r="C211" s="20" t="str">
        <f>IFERROR(__xludf.DUMMYFUNCTION("""COMPUTED_VALUE"""),"Americas")</f>
        <v>Americas</v>
      </c>
      <c r="D211" s="20" t="str">
        <f>IFERROR(__xludf.DUMMYFUNCTION("""COMPUTED_VALUE"""),"Northern America")</f>
        <v>Northern America</v>
      </c>
      <c r="E211" s="66">
        <f>IFERROR(__xludf.DUMMYFUNCTION("""COMPUTED_VALUE"""),56412.0)</f>
        <v>56412</v>
      </c>
      <c r="F211" s="66">
        <f>IFERROR(__xludf.DUMMYFUNCTION("""COMPUTED_VALUE"""),56480.0)</f>
        <v>56480</v>
      </c>
      <c r="G211" s="67">
        <f>IFERROR(__xludf.DUMMYFUNCTION("""COMPUTED_VALUE"""),0.0012)</f>
        <v>0.0012</v>
      </c>
      <c r="H211" s="60" t="str">
        <f>IFERROR(__xludf.DUMMYFUNCTION("""COMPUTED_VALUE"""),"Kiviak, suaasat")</f>
        <v>Kiviak, suaasat</v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5">
        <f>IFERROR(__xludf.DUMMYFUNCTION("""COMPUTED_VALUE"""),208.0)</f>
        <v>208</v>
      </c>
      <c r="B212" s="65" t="str">
        <f>IFERROR(__xludf.DUMMYFUNCTION("""COMPUTED_VALUE"""),"American Samoa")</f>
        <v>American Samoa</v>
      </c>
      <c r="C212" s="20" t="str">
        <f>IFERROR(__xludf.DUMMYFUNCTION("""COMPUTED_VALUE"""),"Oceania")</f>
        <v>Oceania</v>
      </c>
      <c r="D212" s="20" t="str">
        <f>IFERROR(__xludf.DUMMYFUNCTION("""COMPUTED_VALUE"""),"Polynesia")</f>
        <v>Polynesia</v>
      </c>
      <c r="E212" s="66">
        <f>IFERROR(__xludf.DUMMYFUNCTION("""COMPUTED_VALUE"""),55599.0)</f>
        <v>55599</v>
      </c>
      <c r="F212" s="66">
        <f>IFERROR(__xludf.DUMMYFUNCTION("""COMPUTED_VALUE"""),55641.0)</f>
        <v>55641</v>
      </c>
      <c r="G212" s="67">
        <f>IFERROR(__xludf.DUMMYFUNCTION("""COMPUTED_VALUE"""),8.0E-4)</f>
        <v>0.0008</v>
      </c>
      <c r="H212" s="6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5">
        <f>IFERROR(__xludf.DUMMYFUNCTION("""COMPUTED_VALUE"""),209.0)</f>
        <v>209</v>
      </c>
      <c r="B213" s="65" t="str">
        <f>IFERROR(__xludf.DUMMYFUNCTION("""COMPUTED_VALUE"""),"Saint Kitts and Nevis")</f>
        <v>Saint Kitts and Nevis</v>
      </c>
      <c r="C213" s="20" t="str">
        <f>IFERROR(__xludf.DUMMYFUNCTION("""COMPUTED_VALUE"""),"Americas")</f>
        <v>Americas</v>
      </c>
      <c r="D213" s="20" t="str">
        <f>IFERROR(__xludf.DUMMYFUNCTION("""COMPUTED_VALUE"""),"Caribbean")</f>
        <v>Caribbean</v>
      </c>
      <c r="E213" s="66">
        <f>IFERROR(__xludf.DUMMYFUNCTION("""COMPUTED_VALUE"""),54821.0)</f>
        <v>54821</v>
      </c>
      <c r="F213" s="66">
        <f>IFERROR(__xludf.DUMMYFUNCTION("""COMPUTED_VALUE"""),55345.0)</f>
        <v>55345</v>
      </c>
      <c r="G213" s="67">
        <f>IFERROR(__xludf.DUMMYFUNCTION("""COMPUTED_VALUE"""),0.0096)</f>
        <v>0.0096</v>
      </c>
      <c r="H213" s="60" t="str">
        <f>IFERROR(__xludf.DUMMYFUNCTION("""COMPUTED_VALUE"""),"Saltfish")</f>
        <v>Saltfish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5">
        <f>IFERROR(__xludf.DUMMYFUNCTION("""COMPUTED_VALUE"""),210.0)</f>
        <v>210</v>
      </c>
      <c r="B214" s="65" t="str">
        <f>IFERROR(__xludf.DUMMYFUNCTION("""COMPUTED_VALUE"""),"Northern Mariana Islands")</f>
        <v>Northern Mariana Islands</v>
      </c>
      <c r="C214" s="20" t="str">
        <f>IFERROR(__xludf.DUMMYFUNCTION("""COMPUTED_VALUE"""),"Oceania")</f>
        <v>Oceania</v>
      </c>
      <c r="D214" s="20" t="str">
        <f>IFERROR(__xludf.DUMMYFUNCTION("""COMPUTED_VALUE"""),"Micronesia")</f>
        <v>Micronesia</v>
      </c>
      <c r="E214" s="66">
        <f>IFERROR(__xludf.DUMMYFUNCTION("""COMPUTED_VALUE"""),55023.0)</f>
        <v>55023</v>
      </c>
      <c r="F214" s="66">
        <f>IFERROR(__xludf.DUMMYFUNCTION("""COMPUTED_VALUE"""),55144.0)</f>
        <v>55144</v>
      </c>
      <c r="G214" s="67">
        <f>IFERROR(__xludf.DUMMYFUNCTION("""COMPUTED_VALUE"""),0.0022)</f>
        <v>0.0022</v>
      </c>
      <c r="H214" s="6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5">
        <f>IFERROR(__xludf.DUMMYFUNCTION("""COMPUTED_VALUE"""),211.0)</f>
        <v>211</v>
      </c>
      <c r="B215" s="65" t="str">
        <f>IFERROR(__xludf.DUMMYFUNCTION("""COMPUTED_VALUE"""),"Marshall Islands")</f>
        <v>Marshall Islands</v>
      </c>
      <c r="C215" s="20" t="str">
        <f>IFERROR(__xludf.DUMMYFUNCTION("""COMPUTED_VALUE"""),"Oceania")</f>
        <v>Oceania</v>
      </c>
      <c r="D215" s="20" t="str">
        <f>IFERROR(__xludf.DUMMYFUNCTION("""COMPUTED_VALUE"""),"Micronesia")</f>
        <v>Micronesia</v>
      </c>
      <c r="E215" s="66">
        <f>IFERROR(__xludf.DUMMYFUNCTION("""COMPUTED_VALUE"""),53066.0)</f>
        <v>53066</v>
      </c>
      <c r="F215" s="66">
        <f>IFERROR(__xludf.DUMMYFUNCTION("""COMPUTED_VALUE"""),53127.0)</f>
        <v>53127</v>
      </c>
      <c r="G215" s="67">
        <f>IFERROR(__xludf.DUMMYFUNCTION("""COMPUTED_VALUE"""),0.0011)</f>
        <v>0.0011</v>
      </c>
      <c r="H215" s="60" t="str">
        <f>IFERROR(__xludf.DUMMYFUNCTION("""COMPUTED_VALUE"""),"Macadamia nut pie")</f>
        <v>Macadamia nut pie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5">
        <f>IFERROR(__xludf.DUMMYFUNCTION("""COMPUTED_VALUE"""),212.0)</f>
        <v>212</v>
      </c>
      <c r="B216" s="65" t="str">
        <f>IFERROR(__xludf.DUMMYFUNCTION("""COMPUTED_VALUE"""),"Faroe Islands")</f>
        <v>Faroe Islands</v>
      </c>
      <c r="C216" s="20" t="str">
        <f>IFERROR(__xludf.DUMMYFUNCTION("""COMPUTED_VALUE"""),"Europe")</f>
        <v>Europe</v>
      </c>
      <c r="D216" s="20" t="str">
        <f>IFERROR(__xludf.DUMMYFUNCTION("""COMPUTED_VALUE"""),"Northern Europe")</f>
        <v>Northern Europe</v>
      </c>
      <c r="E216" s="66">
        <f>IFERROR(__xludf.DUMMYFUNCTION("""COMPUTED_VALUE"""),49117.0)</f>
        <v>49117</v>
      </c>
      <c r="F216" s="66">
        <f>IFERROR(__xludf.DUMMYFUNCTION("""COMPUTED_VALUE"""),49290.0)</f>
        <v>49290</v>
      </c>
      <c r="G216" s="67">
        <f>IFERROR(__xludf.DUMMYFUNCTION("""COMPUTED_VALUE"""),0.0035)</f>
        <v>0.0035</v>
      </c>
      <c r="H216" s="6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5">
        <f>IFERROR(__xludf.DUMMYFUNCTION("""COMPUTED_VALUE"""),213.0)</f>
        <v>213</v>
      </c>
      <c r="B217" s="65" t="str">
        <f>IFERROR(__xludf.DUMMYFUNCTION("""COMPUTED_VALUE"""),"Sint Maarten")</f>
        <v>Sint Maarten</v>
      </c>
      <c r="C217" s="20" t="str">
        <f>IFERROR(__xludf.DUMMYFUNCTION("""COMPUTED_VALUE"""),"Americas")</f>
        <v>Americas</v>
      </c>
      <c r="D217" s="20" t="str">
        <f>IFERROR(__xludf.DUMMYFUNCTION("""COMPUTED_VALUE"""),"Caribbean")</f>
        <v>Caribbean</v>
      </c>
      <c r="E217" s="66">
        <f>IFERROR(__xludf.DUMMYFUNCTION("""COMPUTED_VALUE"""),39537.0)</f>
        <v>39537</v>
      </c>
      <c r="F217" s="66">
        <f>IFERROR(__xludf.DUMMYFUNCTION("""COMPUTED_VALUE"""),40120.0)</f>
        <v>40120</v>
      </c>
      <c r="G217" s="67">
        <f>IFERROR(__xludf.DUMMYFUNCTION("""COMPUTED_VALUE"""),0.0147)</f>
        <v>0.0147</v>
      </c>
      <c r="H217" s="6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5">
        <f>IFERROR(__xludf.DUMMYFUNCTION("""COMPUTED_VALUE"""),214.0)</f>
        <v>214</v>
      </c>
      <c r="B218" s="65" t="str">
        <f>IFERROR(__xludf.DUMMYFUNCTION("""COMPUTED_VALUE"""),"Monaco")</f>
        <v>Monaco</v>
      </c>
      <c r="C218" s="20" t="str">
        <f>IFERROR(__xludf.DUMMYFUNCTION("""COMPUTED_VALUE"""),"Europe")</f>
        <v>Europe</v>
      </c>
      <c r="D218" s="20" t="str">
        <f>IFERROR(__xludf.DUMMYFUNCTION("""COMPUTED_VALUE"""),"Western Europe")</f>
        <v>Western Europe</v>
      </c>
      <c r="E218" s="66">
        <f>IFERROR(__xludf.DUMMYFUNCTION("""COMPUTED_VALUE"""),38499.0)</f>
        <v>38499</v>
      </c>
      <c r="F218" s="66">
        <f>IFERROR(__xludf.DUMMYFUNCTION("""COMPUTED_VALUE"""),38695.0)</f>
        <v>38695</v>
      </c>
      <c r="G218" s="67">
        <f>IFERROR(__xludf.DUMMYFUNCTION("""COMPUTED_VALUE"""),0.0051)</f>
        <v>0.0051</v>
      </c>
      <c r="H218" s="60" t="str">
        <f>IFERROR(__xludf.DUMMYFUNCTION("""COMPUTED_VALUE"""),"Barbaguian")</f>
        <v>Barbaguian</v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5">
        <f>IFERROR(__xludf.DUMMYFUNCTION("""COMPUTED_VALUE"""),215.0)</f>
        <v>215</v>
      </c>
      <c r="B219" s="65" t="str">
        <f>IFERROR(__xludf.DUMMYFUNCTION("""COMPUTED_VALUE"""),"Liechtenstein")</f>
        <v>Liechtenstein</v>
      </c>
      <c r="C219" s="20" t="str">
        <f>IFERROR(__xludf.DUMMYFUNCTION("""COMPUTED_VALUE"""),"Europe")</f>
        <v>Europe</v>
      </c>
      <c r="D219" s="20" t="str">
        <f>IFERROR(__xludf.DUMMYFUNCTION("""COMPUTED_VALUE"""),"Western Europe")</f>
        <v>Western Europe</v>
      </c>
      <c r="E219" s="66">
        <f>IFERROR(__xludf.DUMMYFUNCTION("""COMPUTED_VALUE"""),37666.0)</f>
        <v>37666</v>
      </c>
      <c r="F219" s="66">
        <f>IFERROR(__xludf.DUMMYFUNCTION("""COMPUTED_VALUE"""),37922.0)</f>
        <v>37922</v>
      </c>
      <c r="G219" s="67">
        <f>IFERROR(__xludf.DUMMYFUNCTION("""COMPUTED_VALUE"""),0.0068)</f>
        <v>0.0068</v>
      </c>
      <c r="H219" s="60" t="str">
        <f>IFERROR(__xludf.DUMMYFUNCTION("""COMPUTED_VALUE"""),"Käsknöpfle")</f>
        <v>Käsknöpfle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5">
        <f>IFERROR(__xludf.DUMMYFUNCTION("""COMPUTED_VALUE"""),216.0)</f>
        <v>216</v>
      </c>
      <c r="B220" s="65" t="str">
        <f>IFERROR(__xludf.DUMMYFUNCTION("""COMPUTED_VALUE"""),"Turks and Caicos Islands")</f>
        <v>Turks and Caicos Islands</v>
      </c>
      <c r="C220" s="20" t="str">
        <f>IFERROR(__xludf.DUMMYFUNCTION("""COMPUTED_VALUE"""),"Americas")</f>
        <v>Americas</v>
      </c>
      <c r="D220" s="20" t="str">
        <f>IFERROR(__xludf.DUMMYFUNCTION("""COMPUTED_VALUE"""),"Caribbean")</f>
        <v>Caribbean</v>
      </c>
      <c r="E220" s="66">
        <f>IFERROR(__xludf.DUMMYFUNCTION("""COMPUTED_VALUE"""),34900.0)</f>
        <v>34900</v>
      </c>
      <c r="F220" s="66">
        <f>IFERROR(__xludf.DUMMYFUNCTION("""COMPUTED_VALUE"""),35446.0)</f>
        <v>35446</v>
      </c>
      <c r="G220" s="67">
        <f>IFERROR(__xludf.DUMMYFUNCTION("""COMPUTED_VALUE"""),0.0156)</f>
        <v>0.0156</v>
      </c>
      <c r="H220" s="6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5">
        <f>IFERROR(__xludf.DUMMYFUNCTION("""COMPUTED_VALUE"""),217.0)</f>
        <v>217</v>
      </c>
      <c r="B221" s="65" t="str">
        <f>IFERROR(__xludf.DUMMYFUNCTION("""COMPUTED_VALUE"""),"Gibraltar")</f>
        <v>Gibraltar</v>
      </c>
      <c r="C221" s="20" t="str">
        <f>IFERROR(__xludf.DUMMYFUNCTION("""COMPUTED_VALUE"""),"Europe")</f>
        <v>Europe</v>
      </c>
      <c r="D221" s="20" t="str">
        <f>IFERROR(__xludf.DUMMYFUNCTION("""COMPUTED_VALUE"""),"Southern Europe")</f>
        <v>Southern Europe</v>
      </c>
      <c r="E221" s="66">
        <f>IFERROR(__xludf.DUMMYFUNCTION("""COMPUTED_VALUE"""),34408.0)</f>
        <v>34408</v>
      </c>
      <c r="F221" s="66">
        <f>IFERROR(__xludf.DUMMYFUNCTION("""COMPUTED_VALUE"""),34571.0)</f>
        <v>34571</v>
      </c>
      <c r="G221" s="67">
        <f>IFERROR(__xludf.DUMMYFUNCTION("""COMPUTED_VALUE"""),0.0047)</f>
        <v>0.0047</v>
      </c>
      <c r="H221" s="60" t="str">
        <f>IFERROR(__xludf.DUMMYFUNCTION("""COMPUTED_VALUE"""),"Profiteroles")</f>
        <v>Profiteroles</v>
      </c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5">
        <f>IFERROR(__xludf.DUMMYFUNCTION("""COMPUTED_VALUE"""),218.0)</f>
        <v>218</v>
      </c>
      <c r="B222" s="65" t="str">
        <f>IFERROR(__xludf.DUMMYFUNCTION("""COMPUTED_VALUE"""),"San Marino")</f>
        <v>San Marino</v>
      </c>
      <c r="C222" s="20" t="str">
        <f>IFERROR(__xludf.DUMMYFUNCTION("""COMPUTED_VALUE"""),"Europe")</f>
        <v>Europe</v>
      </c>
      <c r="D222" s="20" t="str">
        <f>IFERROR(__xludf.DUMMYFUNCTION("""COMPUTED_VALUE"""),"Southern Europe")</f>
        <v>Southern Europe</v>
      </c>
      <c r="E222" s="66">
        <f>IFERROR(__xludf.DUMMYFUNCTION("""COMPUTED_VALUE"""),33203.0)</f>
        <v>33203</v>
      </c>
      <c r="F222" s="66">
        <f>IFERROR(__xludf.DUMMYFUNCTION("""COMPUTED_VALUE"""),33400.0)</f>
        <v>33400</v>
      </c>
      <c r="G222" s="67">
        <f>IFERROR(__xludf.DUMMYFUNCTION("""COMPUTED_VALUE"""),0.0059)</f>
        <v>0.0059</v>
      </c>
      <c r="H222" s="60" t="str">
        <f>IFERROR(__xludf.DUMMYFUNCTION("""COMPUTED_VALUE"""),"Torta Tre Monti")</f>
        <v>Torta Tre Monti</v>
      </c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5">
        <f>IFERROR(__xludf.DUMMYFUNCTION("""COMPUTED_VALUE"""),219.0)</f>
        <v>219</v>
      </c>
      <c r="B223" s="65" t="str">
        <f>IFERROR(__xludf.DUMMYFUNCTION("""COMPUTED_VALUE"""),"British Virgin Islands")</f>
        <v>British Virgin Islands</v>
      </c>
      <c r="C223" s="20" t="str">
        <f>IFERROR(__xludf.DUMMYFUNCTION("""COMPUTED_VALUE"""),"Americas")</f>
        <v>Americas</v>
      </c>
      <c r="D223" s="20" t="str">
        <f>IFERROR(__xludf.DUMMYFUNCTION("""COMPUTED_VALUE"""),"Caribbean")</f>
        <v>Caribbean</v>
      </c>
      <c r="E223" s="66">
        <f>IFERROR(__xludf.DUMMYFUNCTION("""COMPUTED_VALUE"""),30661.0)</f>
        <v>30661</v>
      </c>
      <c r="F223" s="66">
        <f>IFERROR(__xludf.DUMMYFUNCTION("""COMPUTED_VALUE"""),31196.0)</f>
        <v>31196</v>
      </c>
      <c r="G223" s="67">
        <f>IFERROR(__xludf.DUMMYFUNCTION("""COMPUTED_VALUE"""),0.0174)</f>
        <v>0.0174</v>
      </c>
      <c r="H223" s="6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5">
        <f>IFERROR(__xludf.DUMMYFUNCTION("""COMPUTED_VALUE"""),220.0)</f>
        <v>220</v>
      </c>
      <c r="B224" s="65" t="str">
        <f>IFERROR(__xludf.DUMMYFUNCTION("""COMPUTED_VALUE"""),"Caribbean Netherlands")</f>
        <v>Caribbean Netherlands</v>
      </c>
      <c r="C224" s="20" t="str">
        <f>IFERROR(__xludf.DUMMYFUNCTION("""COMPUTED_VALUE"""),"Americas")</f>
        <v>Americas</v>
      </c>
      <c r="D224" s="20" t="str">
        <f>IFERROR(__xludf.DUMMYFUNCTION("""COMPUTED_VALUE"""),"Caribbean")</f>
        <v>Caribbean</v>
      </c>
      <c r="E224" s="66">
        <f>IFERROR(__xludf.DUMMYFUNCTION("""COMPUTED_VALUE"""),25019.0)</f>
        <v>25019</v>
      </c>
      <c r="F224" s="66">
        <f>IFERROR(__xludf.DUMMYFUNCTION("""COMPUTED_VALUE"""),25398.0)</f>
        <v>25398</v>
      </c>
      <c r="G224" s="67">
        <f>IFERROR(__xludf.DUMMYFUNCTION("""COMPUTED_VALUE"""),0.0151)</f>
        <v>0.0151</v>
      </c>
      <c r="H224" s="6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5">
        <f>IFERROR(__xludf.DUMMYFUNCTION("""COMPUTED_VALUE"""),221.0)</f>
        <v>221</v>
      </c>
      <c r="B225" s="65" t="str">
        <f>IFERROR(__xludf.DUMMYFUNCTION("""COMPUTED_VALUE"""),"Palau")</f>
        <v>Palau</v>
      </c>
      <c r="C225" s="20" t="str">
        <f>IFERROR(__xludf.DUMMYFUNCTION("""COMPUTED_VALUE"""),"Oceania")</f>
        <v>Oceania</v>
      </c>
      <c r="D225" s="20" t="str">
        <f>IFERROR(__xludf.DUMMYFUNCTION("""COMPUTED_VALUE"""),"Micronesia")</f>
        <v>Micronesia</v>
      </c>
      <c r="E225" s="66">
        <f>IFERROR(__xludf.DUMMYFUNCTION("""COMPUTED_VALUE"""),21503.0)</f>
        <v>21503</v>
      </c>
      <c r="F225" s="66">
        <f>IFERROR(__xludf.DUMMYFUNCTION("""COMPUTED_VALUE"""),21729.0)</f>
        <v>21729</v>
      </c>
      <c r="G225" s="67">
        <f>IFERROR(__xludf.DUMMYFUNCTION("""COMPUTED_VALUE"""),0.0105)</f>
        <v>0.0105</v>
      </c>
      <c r="H225" s="60" t="str">
        <f>IFERROR(__xludf.DUMMYFUNCTION("""COMPUTED_VALUE"""),"Bat soup")</f>
        <v>Bat soup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5">
        <f>IFERROR(__xludf.DUMMYFUNCTION("""COMPUTED_VALUE"""),222.0)</f>
        <v>222</v>
      </c>
      <c r="B226" s="65" t="str">
        <f>IFERROR(__xludf.DUMMYFUNCTION("""COMPUTED_VALUE"""),"Cook Islands")</f>
        <v>Cook Islands</v>
      </c>
      <c r="C226" s="20" t="str">
        <f>IFERROR(__xludf.DUMMYFUNCTION("""COMPUTED_VALUE"""),"Oceania")</f>
        <v>Oceania</v>
      </c>
      <c r="D226" s="20" t="str">
        <f>IFERROR(__xludf.DUMMYFUNCTION("""COMPUTED_VALUE"""),"Polynesia")</f>
        <v>Polynesia</v>
      </c>
      <c r="E226" s="66">
        <f>IFERROR(__xludf.DUMMYFUNCTION("""COMPUTED_VALUE"""),17379.0)</f>
        <v>17379</v>
      </c>
      <c r="F226" s="66">
        <f>IFERROR(__xludf.DUMMYFUNCTION("""COMPUTED_VALUE"""),17380.0)</f>
        <v>17380</v>
      </c>
      <c r="G226" s="67">
        <f>IFERROR(__xludf.DUMMYFUNCTION("""COMPUTED_VALUE"""),1.0E-4)</f>
        <v>0.0001</v>
      </c>
      <c r="H226" s="6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5">
        <f>IFERROR(__xludf.DUMMYFUNCTION("""COMPUTED_VALUE"""),223.0)</f>
        <v>223</v>
      </c>
      <c r="B227" s="65" t="str">
        <f>IFERROR(__xludf.DUMMYFUNCTION("""COMPUTED_VALUE"""),"Anguilla")</f>
        <v>Anguilla</v>
      </c>
      <c r="C227" s="20" t="str">
        <f>IFERROR(__xludf.DUMMYFUNCTION("""COMPUTED_VALUE"""),"Americas")</f>
        <v>Americas</v>
      </c>
      <c r="D227" s="20" t="str">
        <f>IFERROR(__xludf.DUMMYFUNCTION("""COMPUTED_VALUE"""),"Caribbean")</f>
        <v>Caribbean</v>
      </c>
      <c r="E227" s="66">
        <f>IFERROR(__xludf.DUMMYFUNCTION("""COMPUTED_VALUE"""),14764.0)</f>
        <v>14764</v>
      </c>
      <c r="F227" s="66">
        <f>IFERROR(__xludf.DUMMYFUNCTION("""COMPUTED_VALUE"""),14909.0)</f>
        <v>14909</v>
      </c>
      <c r="G227" s="67">
        <f>IFERROR(__xludf.DUMMYFUNCTION("""COMPUTED_VALUE"""),0.0098)</f>
        <v>0.0098</v>
      </c>
      <c r="H227" s="6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5">
        <f>IFERROR(__xludf.DUMMYFUNCTION("""COMPUTED_VALUE"""),224.0)</f>
        <v>224</v>
      </c>
      <c r="B228" s="65" t="str">
        <f>IFERROR(__xludf.DUMMYFUNCTION("""COMPUTED_VALUE"""),"Wallis and Futuna")</f>
        <v>Wallis and Futuna</v>
      </c>
      <c r="C228" s="20" t="str">
        <f>IFERROR(__xludf.DUMMYFUNCTION("""COMPUTED_VALUE"""),"Oceania")</f>
        <v>Oceania</v>
      </c>
      <c r="D228" s="20" t="str">
        <f>IFERROR(__xludf.DUMMYFUNCTION("""COMPUTED_VALUE"""),"Polynesia")</f>
        <v>Polynesia</v>
      </c>
      <c r="E228" s="66">
        <f>IFERROR(__xludf.DUMMYFUNCTION("""COMPUTED_VALUE"""),11899.0)</f>
        <v>11899</v>
      </c>
      <c r="F228" s="66">
        <f>IFERROR(__xludf.DUMMYFUNCTION("""COMPUTED_VALUE"""),11773.0)</f>
        <v>11773</v>
      </c>
      <c r="G228" s="67">
        <f>IFERROR(__xludf.DUMMYFUNCTION("""COMPUTED_VALUE"""),-0.0106)</f>
        <v>-0.0106</v>
      </c>
      <c r="H228" s="6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5">
        <f>IFERROR(__xludf.DUMMYFUNCTION("""COMPUTED_VALUE"""),225.0)</f>
        <v>225</v>
      </c>
      <c r="B229" s="65" t="str">
        <f>IFERROR(__xludf.DUMMYFUNCTION("""COMPUTED_VALUE"""),"Nauru")</f>
        <v>Nauru</v>
      </c>
      <c r="C229" s="20" t="str">
        <f>IFERROR(__xludf.DUMMYFUNCTION("""COMPUTED_VALUE"""),"Oceania")</f>
        <v>Oceania</v>
      </c>
      <c r="D229" s="20" t="str">
        <f>IFERROR(__xludf.DUMMYFUNCTION("""COMPUTED_VALUE"""),"Micronesia")</f>
        <v>Micronesia</v>
      </c>
      <c r="E229" s="66">
        <f>IFERROR(__xludf.DUMMYFUNCTION("""COMPUTED_VALUE"""),11347.0)</f>
        <v>11347</v>
      </c>
      <c r="F229" s="66">
        <f>IFERROR(__xludf.DUMMYFUNCTION("""COMPUTED_VALUE"""),11359.0)</f>
        <v>11359</v>
      </c>
      <c r="G229" s="67">
        <f>IFERROR(__xludf.DUMMYFUNCTION("""COMPUTED_VALUE"""),0.0011)</f>
        <v>0.0011</v>
      </c>
      <c r="H229" s="60" t="str">
        <f>IFERROR(__xludf.DUMMYFUNCTION("""COMPUTED_VALUE"""),"Coconut fish")</f>
        <v>Coconut fish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5">
        <f>IFERROR(__xludf.DUMMYFUNCTION("""COMPUTED_VALUE"""),226.0)</f>
        <v>226</v>
      </c>
      <c r="B230" s="65" t="str">
        <f>IFERROR(__xludf.DUMMYFUNCTION("""COMPUTED_VALUE"""),"Tuvalu")</f>
        <v>Tuvalu</v>
      </c>
      <c r="C230" s="20" t="str">
        <f>IFERROR(__xludf.DUMMYFUNCTION("""COMPUTED_VALUE"""),"Oceania")</f>
        <v>Oceania</v>
      </c>
      <c r="D230" s="20" t="str">
        <f>IFERROR(__xludf.DUMMYFUNCTION("""COMPUTED_VALUE"""),"Polynesia")</f>
        <v>Polynesia</v>
      </c>
      <c r="E230" s="66">
        <f>IFERROR(__xludf.DUMMYFUNCTION("""COMPUTED_VALUE"""),11097.0)</f>
        <v>11097</v>
      </c>
      <c r="F230" s="66">
        <f>IFERROR(__xludf.DUMMYFUNCTION("""COMPUTED_VALUE"""),11192.0)</f>
        <v>11192</v>
      </c>
      <c r="G230" s="67">
        <f>IFERROR(__xludf.DUMMYFUNCTION("""COMPUTED_VALUE"""),0.0086)</f>
        <v>0.0086</v>
      </c>
      <c r="H230" s="60" t="str">
        <f>IFERROR(__xludf.DUMMYFUNCTION("""COMPUTED_VALUE"""),"Pulaka")</f>
        <v>Pulaka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5">
        <f>IFERROR(__xludf.DUMMYFUNCTION("""COMPUTED_VALUE"""),227.0)</f>
        <v>227</v>
      </c>
      <c r="B231" s="65" t="str">
        <f>IFERROR(__xludf.DUMMYFUNCTION("""COMPUTED_VALUE"""),"Saint Pierre and Miquelon")</f>
        <v>Saint Pierre and Miquelon</v>
      </c>
      <c r="C231" s="20" t="str">
        <f>IFERROR(__xludf.DUMMYFUNCTION("""COMPUTED_VALUE"""),"Americas")</f>
        <v>Americas</v>
      </c>
      <c r="D231" s="20" t="str">
        <f>IFERROR(__xludf.DUMMYFUNCTION("""COMPUTED_VALUE"""),"Northern America")</f>
        <v>Northern America</v>
      </c>
      <c r="E231" s="66">
        <f>IFERROR(__xludf.DUMMYFUNCTION("""COMPUTED_VALUE"""),6305.0)</f>
        <v>6305</v>
      </c>
      <c r="F231" s="66">
        <f>IFERROR(__xludf.DUMMYFUNCTION("""COMPUTED_VALUE"""),6320.0)</f>
        <v>6320</v>
      </c>
      <c r="G231" s="67">
        <f>IFERROR(__xludf.DUMMYFUNCTION("""COMPUTED_VALUE"""),0.0024)</f>
        <v>0.0024</v>
      </c>
      <c r="H231" s="6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5">
        <f>IFERROR(__xludf.DUMMYFUNCTION("""COMPUTED_VALUE"""),228.0)</f>
        <v>228</v>
      </c>
      <c r="B232" s="65" t="str">
        <f>IFERROR(__xludf.DUMMYFUNCTION("""COMPUTED_VALUE"""),"Montserrat")</f>
        <v>Montserrat</v>
      </c>
      <c r="C232" s="20" t="str">
        <f>IFERROR(__xludf.DUMMYFUNCTION("""COMPUTED_VALUE"""),"Americas")</f>
        <v>Americas</v>
      </c>
      <c r="D232" s="20" t="str">
        <f>IFERROR(__xludf.DUMMYFUNCTION("""COMPUTED_VALUE"""),"Caribbean")</f>
        <v>Caribbean</v>
      </c>
      <c r="E232" s="66">
        <f>IFERROR(__xludf.DUMMYFUNCTION("""COMPUTED_VALUE"""),5152.0)</f>
        <v>5152</v>
      </c>
      <c r="F232" s="66">
        <f>IFERROR(__xludf.DUMMYFUNCTION("""COMPUTED_VALUE"""),5177.0)</f>
        <v>5177</v>
      </c>
      <c r="G232" s="67">
        <f>IFERROR(__xludf.DUMMYFUNCTION("""COMPUTED_VALUE"""),0.0049)</f>
        <v>0.0049</v>
      </c>
      <c r="H232" s="60" t="str">
        <f>IFERROR(__xludf.DUMMYFUNCTION("""COMPUTED_VALUE"""),"Goat water")</f>
        <v>Goat water</v>
      </c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5">
        <f>IFERROR(__xludf.DUMMYFUNCTION("""COMPUTED_VALUE"""),229.0)</f>
        <v>229</v>
      </c>
      <c r="B233" s="65" t="str">
        <f>IFERROR(__xludf.DUMMYFUNCTION("""COMPUTED_VALUE"""),"Saint Helena, Ascension and Tristan da Cunha")</f>
        <v>Saint Helena, Ascension and Tristan da Cunha</v>
      </c>
      <c r="C233" s="20" t="str">
        <f>IFERROR(__xludf.DUMMYFUNCTION("""COMPUTED_VALUE"""),"Africa")</f>
        <v>Africa</v>
      </c>
      <c r="D233" s="20" t="str">
        <f>IFERROR(__xludf.DUMMYFUNCTION("""COMPUTED_VALUE"""),"Western Africa")</f>
        <v>Western Africa</v>
      </c>
      <c r="E233" s="66">
        <f>IFERROR(__xludf.DUMMYFUNCTION("""COMPUTED_VALUE"""),4035.0)</f>
        <v>4035</v>
      </c>
      <c r="F233" s="66">
        <f>IFERROR(__xludf.DUMMYFUNCTION("""COMPUTED_VALUE"""),4049.0)</f>
        <v>4049</v>
      </c>
      <c r="G233" s="67">
        <f>IFERROR(__xludf.DUMMYFUNCTION("""COMPUTED_VALUE"""),0.0035)</f>
        <v>0.0035</v>
      </c>
      <c r="H233" s="6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5">
        <f>IFERROR(__xludf.DUMMYFUNCTION("""COMPUTED_VALUE"""),230.0)</f>
        <v>230</v>
      </c>
      <c r="B234" s="65" t="str">
        <f>IFERROR(__xludf.DUMMYFUNCTION("""COMPUTED_VALUE"""),"Falkland Islands")</f>
        <v>Falkland Islands</v>
      </c>
      <c r="C234" s="20" t="str">
        <f>IFERROR(__xludf.DUMMYFUNCTION("""COMPUTED_VALUE"""),"Americas")</f>
        <v>Americas</v>
      </c>
      <c r="D234" s="20" t="str">
        <f>IFERROR(__xludf.DUMMYFUNCTION("""COMPUTED_VALUE"""),"South America")</f>
        <v>South America</v>
      </c>
      <c r="E234" s="66">
        <f>IFERROR(__xludf.DUMMYFUNCTION("""COMPUTED_VALUE"""),2910.0)</f>
        <v>2910</v>
      </c>
      <c r="F234" s="66">
        <f>IFERROR(__xludf.DUMMYFUNCTION("""COMPUTED_VALUE"""),2910.0)</f>
        <v>2910</v>
      </c>
      <c r="G234" s="67">
        <f>IFERROR(__xludf.DUMMYFUNCTION("""COMPUTED_VALUE"""),0.0)</f>
        <v>0</v>
      </c>
      <c r="H234" s="6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5">
        <f>IFERROR(__xludf.DUMMYFUNCTION("""COMPUTED_VALUE"""),231.0)</f>
        <v>231</v>
      </c>
      <c r="B235" s="65" t="str">
        <f>IFERROR(__xludf.DUMMYFUNCTION("""COMPUTED_VALUE"""),"Niue")</f>
        <v>Niue</v>
      </c>
      <c r="C235" s="20" t="str">
        <f>IFERROR(__xludf.DUMMYFUNCTION("""COMPUTED_VALUE"""),"Oceania")</f>
        <v>Oceania</v>
      </c>
      <c r="D235" s="20" t="str">
        <f>IFERROR(__xludf.DUMMYFUNCTION("""COMPUTED_VALUE"""),"Polynesia")</f>
        <v>Polynesia</v>
      </c>
      <c r="E235" s="66">
        <f>IFERROR(__xludf.DUMMYFUNCTION("""COMPUTED_VALUE"""),1624.0)</f>
        <v>1624</v>
      </c>
      <c r="F235" s="66">
        <f>IFERROR(__xludf.DUMMYFUNCTION("""COMPUTED_VALUE"""),1618.0)</f>
        <v>1618</v>
      </c>
      <c r="G235" s="67">
        <f>IFERROR(__xludf.DUMMYFUNCTION("""COMPUTED_VALUE"""),-0.0037)</f>
        <v>-0.0037</v>
      </c>
      <c r="H235" s="6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5">
        <f>IFERROR(__xludf.DUMMYFUNCTION("""COMPUTED_VALUE"""),232.0)</f>
        <v>232</v>
      </c>
      <c r="B236" s="65" t="str">
        <f>IFERROR(__xludf.DUMMYFUNCTION("""COMPUTED_VALUE"""),"Tokelau")</f>
        <v>Tokelau</v>
      </c>
      <c r="C236" s="20" t="str">
        <f>IFERROR(__xludf.DUMMYFUNCTION("""COMPUTED_VALUE"""),"Oceania")</f>
        <v>Oceania</v>
      </c>
      <c r="D236" s="20" t="str">
        <f>IFERROR(__xludf.DUMMYFUNCTION("""COMPUTED_VALUE"""),"Polynesia")</f>
        <v>Polynesia</v>
      </c>
      <c r="E236" s="66">
        <f>IFERROR(__xludf.DUMMYFUNCTION("""COMPUTED_VALUE"""),1282.0)</f>
        <v>1282</v>
      </c>
      <c r="F236" s="66">
        <f>IFERROR(__xludf.DUMMYFUNCTION("""COMPUTED_VALUE"""),1300.0)</f>
        <v>1300</v>
      </c>
      <c r="G236" s="67">
        <f>IFERROR(__xludf.DUMMYFUNCTION("""COMPUTED_VALUE"""),0.014)</f>
        <v>0.014</v>
      </c>
      <c r="H236" s="6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5">
        <f>IFERROR(__xludf.DUMMYFUNCTION("""COMPUTED_VALUE"""),233.0)</f>
        <v>233</v>
      </c>
      <c r="B237" s="65" t="str">
        <f>IFERROR(__xludf.DUMMYFUNCTION("""COMPUTED_VALUE"""),"Vatican City")</f>
        <v>Vatican City</v>
      </c>
      <c r="C237" s="20" t="str">
        <f>IFERROR(__xludf.DUMMYFUNCTION("""COMPUTED_VALUE"""),"Europe")</f>
        <v>Europe</v>
      </c>
      <c r="D237" s="20" t="str">
        <f>IFERROR(__xludf.DUMMYFUNCTION("""COMPUTED_VALUE"""),"Southern Europe")</f>
        <v>Southern Europe</v>
      </c>
      <c r="E237" s="66">
        <f>IFERROR(__xludf.DUMMYFUNCTION("""COMPUTED_VALUE"""),801.0)</f>
        <v>801</v>
      </c>
      <c r="F237" s="66">
        <f>IFERROR(__xludf.DUMMYFUNCTION("""COMPUTED_VALUE"""),792.0)</f>
        <v>792</v>
      </c>
      <c r="G237" s="67">
        <f>IFERROR(__xludf.DUMMYFUNCTION("""COMPUTED_VALUE"""),-0.0112)</f>
        <v>-0.0112</v>
      </c>
      <c r="H237" s="6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5"/>
      <c r="B238" s="65" t="str">
        <f>IFERROR(__xludf.DUMMYFUNCTION("""COMPUTED_VALUE"""),"*World*")</f>
        <v>*World*</v>
      </c>
      <c r="C238" s="20" t="str">
        <f>IFERROR(__xludf.DUMMYFUNCTION("""COMPUTED_VALUE"""),"—")</f>
        <v>—</v>
      </c>
      <c r="D238" s="20" t="str">
        <f>IFERROR(__xludf.DUMMYFUNCTION("""COMPUTED_VALUE"""),"—")</f>
        <v>—</v>
      </c>
      <c r="E238" s="66">
        <f>IFERROR(__xludf.DUMMYFUNCTION("""COMPUTED_VALUE"""),7.46696428E9)</f>
        <v>7466964280</v>
      </c>
      <c r="F238" s="66">
        <f>IFERROR(__xludf.DUMMYFUNCTION("""COMPUTED_VALUE"""),7.550262101E9)</f>
        <v>7550262101</v>
      </c>
      <c r="G238" s="67">
        <f>IFERROR(__xludf.DUMMYFUNCTION("""COMPUTED_VALUE"""),0.0112)</f>
        <v>0.0112</v>
      </c>
      <c r="H238" s="6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5"/>
      <c r="B239" s="65"/>
      <c r="C239" s="20"/>
      <c r="D239" s="20"/>
      <c r="E239" s="20"/>
      <c r="F239" s="20"/>
      <c r="G239" s="20"/>
      <c r="H239" s="6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5"/>
      <c r="B240" s="65"/>
      <c r="C240" s="20"/>
      <c r="D240" s="20"/>
      <c r="E240" s="20"/>
      <c r="F240" s="20"/>
      <c r="G240" s="20"/>
      <c r="H240" s="6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5"/>
      <c r="B241" s="65"/>
      <c r="C241" s="20"/>
      <c r="D241" s="20"/>
      <c r="E241" s="20"/>
      <c r="F241" s="20"/>
      <c r="G241" s="20"/>
      <c r="H241" s="6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5"/>
      <c r="B242" s="65"/>
      <c r="C242" s="20"/>
      <c r="D242" s="20"/>
      <c r="E242" s="20"/>
      <c r="F242" s="20"/>
      <c r="G242" s="20"/>
      <c r="H242" s="6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5"/>
      <c r="B243" s="65"/>
      <c r="C243" s="20"/>
      <c r="D243" s="20"/>
      <c r="E243" s="20"/>
      <c r="F243" s="20"/>
      <c r="G243" s="20"/>
      <c r="H243" s="6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5"/>
      <c r="B244" s="65"/>
      <c r="C244" s="20"/>
      <c r="D244" s="20"/>
      <c r="E244" s="20"/>
      <c r="F244" s="20"/>
      <c r="G244" s="20"/>
      <c r="H244" s="6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5"/>
      <c r="B245" s="65"/>
      <c r="C245" s="20"/>
      <c r="D245" s="20"/>
      <c r="E245" s="20"/>
      <c r="F245" s="20"/>
      <c r="G245" s="20"/>
      <c r="H245" s="6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5"/>
      <c r="B246" s="65"/>
      <c r="C246" s="20"/>
      <c r="D246" s="20"/>
      <c r="E246" s="20"/>
      <c r="F246" s="20"/>
      <c r="G246" s="20"/>
      <c r="H246" s="6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5"/>
      <c r="B247" s="65"/>
      <c r="C247" s="20"/>
      <c r="D247" s="20"/>
      <c r="E247" s="20"/>
      <c r="F247" s="20"/>
      <c r="G247" s="20"/>
      <c r="H247" s="6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5"/>
      <c r="B248" s="65"/>
      <c r="C248" s="20"/>
      <c r="D248" s="20"/>
      <c r="E248" s="20"/>
      <c r="F248" s="20"/>
      <c r="G248" s="20"/>
      <c r="H248" s="6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5"/>
      <c r="B249" s="65"/>
      <c r="C249" s="20"/>
      <c r="D249" s="20"/>
      <c r="E249" s="20"/>
      <c r="F249" s="20"/>
      <c r="G249" s="20"/>
      <c r="H249" s="6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5"/>
      <c r="B250" s="65"/>
      <c r="C250" s="20"/>
      <c r="D250" s="20"/>
      <c r="E250" s="20"/>
      <c r="F250" s="20"/>
      <c r="G250" s="20"/>
      <c r="H250" s="6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5"/>
      <c r="B251" s="65"/>
      <c r="C251" s="20"/>
      <c r="D251" s="20"/>
      <c r="E251" s="20"/>
      <c r="F251" s="20"/>
      <c r="G251" s="20"/>
      <c r="H251" s="6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5"/>
      <c r="B252" s="65"/>
      <c r="C252" s="20"/>
      <c r="D252" s="20"/>
      <c r="E252" s="20"/>
      <c r="F252" s="20"/>
      <c r="G252" s="20"/>
      <c r="H252" s="6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5"/>
      <c r="B253" s="65"/>
      <c r="C253" s="20"/>
      <c r="D253" s="20"/>
      <c r="E253" s="20"/>
      <c r="F253" s="20"/>
      <c r="G253" s="20"/>
      <c r="H253" s="6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5"/>
      <c r="B254" s="65"/>
      <c r="C254" s="20"/>
      <c r="D254" s="20"/>
      <c r="E254" s="20"/>
      <c r="F254" s="20"/>
      <c r="G254" s="20"/>
      <c r="H254" s="6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5"/>
      <c r="B255" s="65"/>
      <c r="C255" s="20"/>
      <c r="D255" s="20"/>
      <c r="E255" s="20"/>
      <c r="F255" s="20"/>
      <c r="G255" s="20"/>
      <c r="H255" s="6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5"/>
      <c r="B256" s="65"/>
      <c r="C256" s="20"/>
      <c r="D256" s="20"/>
      <c r="E256" s="20"/>
      <c r="F256" s="20"/>
      <c r="G256" s="20"/>
      <c r="H256" s="6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5"/>
      <c r="B257" s="65"/>
      <c r="C257" s="20"/>
      <c r="D257" s="20"/>
      <c r="E257" s="20"/>
      <c r="F257" s="20"/>
      <c r="G257" s="20"/>
      <c r="H257" s="6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5"/>
      <c r="B258" s="65"/>
      <c r="C258" s="20"/>
      <c r="D258" s="20"/>
      <c r="E258" s="20"/>
      <c r="F258" s="20"/>
      <c r="G258" s="20"/>
      <c r="H258" s="6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5"/>
      <c r="B259" s="65"/>
      <c r="C259" s="20"/>
      <c r="D259" s="20"/>
      <c r="E259" s="20"/>
      <c r="F259" s="20"/>
      <c r="G259" s="20"/>
      <c r="H259" s="6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5"/>
      <c r="B260" s="65"/>
      <c r="C260" s="20"/>
      <c r="D260" s="20"/>
      <c r="E260" s="20"/>
      <c r="F260" s="20"/>
      <c r="G260" s="20"/>
      <c r="H260" s="6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5"/>
      <c r="B261" s="65"/>
      <c r="C261" s="20"/>
      <c r="D261" s="20"/>
      <c r="E261" s="20"/>
      <c r="F261" s="20"/>
      <c r="G261" s="20"/>
      <c r="H261" s="6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5"/>
      <c r="B262" s="65"/>
      <c r="C262" s="20"/>
      <c r="D262" s="20"/>
      <c r="E262" s="20"/>
      <c r="F262" s="20"/>
      <c r="G262" s="20"/>
      <c r="H262" s="6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5"/>
      <c r="B263" s="65"/>
      <c r="C263" s="20"/>
      <c r="D263" s="20"/>
      <c r="E263" s="20"/>
      <c r="F263" s="20"/>
      <c r="G263" s="20"/>
      <c r="H263" s="6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5"/>
      <c r="B264" s="65"/>
      <c r="C264" s="20"/>
      <c r="D264" s="20"/>
      <c r="E264" s="20"/>
      <c r="F264" s="20"/>
      <c r="G264" s="20"/>
      <c r="H264" s="6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5"/>
      <c r="B265" s="65"/>
      <c r="C265" s="20"/>
      <c r="D265" s="20"/>
      <c r="E265" s="20"/>
      <c r="F265" s="20"/>
      <c r="G265" s="20"/>
      <c r="H265" s="6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5"/>
      <c r="B266" s="65"/>
      <c r="C266" s="20"/>
      <c r="D266" s="20"/>
      <c r="E266" s="20"/>
      <c r="F266" s="20"/>
      <c r="G266" s="20"/>
      <c r="H266" s="6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5"/>
      <c r="B267" s="65"/>
      <c r="C267" s="20"/>
      <c r="D267" s="20"/>
      <c r="E267" s="20"/>
      <c r="F267" s="20"/>
      <c r="G267" s="20"/>
      <c r="H267" s="6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5"/>
      <c r="B268" s="65"/>
      <c r="C268" s="20"/>
      <c r="D268" s="20"/>
      <c r="E268" s="20"/>
      <c r="F268" s="20"/>
      <c r="G268" s="20"/>
      <c r="H268" s="6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5"/>
      <c r="B269" s="65"/>
      <c r="C269" s="20"/>
      <c r="D269" s="20"/>
      <c r="E269" s="20"/>
      <c r="F269" s="20"/>
      <c r="G269" s="20"/>
      <c r="H269" s="6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5"/>
      <c r="B270" s="65"/>
      <c r="C270" s="20"/>
      <c r="D270" s="20"/>
      <c r="E270" s="20"/>
      <c r="F270" s="20"/>
      <c r="G270" s="20"/>
      <c r="H270" s="6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5"/>
      <c r="B271" s="65"/>
      <c r="C271" s="20"/>
      <c r="D271" s="20"/>
      <c r="E271" s="20"/>
      <c r="F271" s="20"/>
      <c r="G271" s="20"/>
      <c r="H271" s="6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5"/>
      <c r="B272" s="65"/>
      <c r="C272" s="20"/>
      <c r="D272" s="20"/>
      <c r="E272" s="20"/>
      <c r="F272" s="20"/>
      <c r="G272" s="20"/>
      <c r="H272" s="6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5"/>
      <c r="B273" s="65"/>
      <c r="C273" s="20"/>
      <c r="D273" s="20"/>
      <c r="E273" s="20"/>
      <c r="F273" s="20"/>
      <c r="G273" s="20"/>
      <c r="H273" s="6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5"/>
      <c r="B274" s="65"/>
      <c r="C274" s="20"/>
      <c r="D274" s="20"/>
      <c r="E274" s="20"/>
      <c r="F274" s="20"/>
      <c r="G274" s="20"/>
      <c r="H274" s="6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5"/>
      <c r="B275" s="65"/>
      <c r="C275" s="20"/>
      <c r="D275" s="20"/>
      <c r="E275" s="20"/>
      <c r="F275" s="20"/>
      <c r="G275" s="20"/>
      <c r="H275" s="6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5"/>
      <c r="B276" s="65"/>
      <c r="C276" s="20"/>
      <c r="D276" s="20"/>
      <c r="E276" s="20"/>
      <c r="F276" s="20"/>
      <c r="G276" s="20"/>
      <c r="H276" s="6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5"/>
      <c r="B277" s="65"/>
      <c r="C277" s="20"/>
      <c r="D277" s="20"/>
      <c r="E277" s="20"/>
      <c r="F277" s="20"/>
      <c r="G277" s="20"/>
      <c r="H277" s="6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5"/>
      <c r="B278" s="65"/>
      <c r="C278" s="20"/>
      <c r="D278" s="20"/>
      <c r="E278" s="20"/>
      <c r="F278" s="20"/>
      <c r="G278" s="20"/>
      <c r="H278" s="6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5"/>
      <c r="B279" s="65"/>
      <c r="C279" s="20"/>
      <c r="D279" s="20"/>
      <c r="E279" s="20"/>
      <c r="F279" s="20"/>
      <c r="G279" s="20"/>
      <c r="H279" s="6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5"/>
      <c r="B280" s="65"/>
      <c r="C280" s="20"/>
      <c r="D280" s="20"/>
      <c r="E280" s="20"/>
      <c r="F280" s="20"/>
      <c r="G280" s="20"/>
      <c r="H280" s="6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5"/>
      <c r="B281" s="65"/>
      <c r="C281" s="20"/>
      <c r="D281" s="20"/>
      <c r="E281" s="20"/>
      <c r="F281" s="20"/>
      <c r="G281" s="20"/>
      <c r="H281" s="6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5"/>
      <c r="B282" s="65"/>
      <c r="C282" s="20"/>
      <c r="D282" s="20"/>
      <c r="E282" s="20"/>
      <c r="F282" s="20"/>
      <c r="G282" s="20"/>
      <c r="H282" s="6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5"/>
      <c r="B283" s="65"/>
      <c r="C283" s="20"/>
      <c r="D283" s="20"/>
      <c r="E283" s="20"/>
      <c r="F283" s="20"/>
      <c r="G283" s="20"/>
      <c r="H283" s="6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5"/>
      <c r="B284" s="65"/>
      <c r="C284" s="20"/>
      <c r="D284" s="20"/>
      <c r="E284" s="20"/>
      <c r="F284" s="20"/>
      <c r="G284" s="20"/>
      <c r="H284" s="6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5"/>
      <c r="B285" s="65"/>
      <c r="C285" s="20"/>
      <c r="D285" s="20"/>
      <c r="E285" s="20"/>
      <c r="F285" s="20"/>
      <c r="G285" s="20"/>
      <c r="H285" s="6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5"/>
      <c r="B286" s="65"/>
      <c r="C286" s="20"/>
      <c r="D286" s="20"/>
      <c r="E286" s="20"/>
      <c r="F286" s="20"/>
      <c r="G286" s="20"/>
      <c r="H286" s="6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5"/>
      <c r="B287" s="65"/>
      <c r="C287" s="20"/>
      <c r="D287" s="20"/>
      <c r="E287" s="20"/>
      <c r="F287" s="20"/>
      <c r="G287" s="20"/>
      <c r="H287" s="6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5"/>
      <c r="B288" s="65"/>
      <c r="C288" s="20"/>
      <c r="D288" s="20"/>
      <c r="E288" s="20"/>
      <c r="F288" s="20"/>
      <c r="G288" s="20"/>
      <c r="H288" s="6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5"/>
      <c r="B289" s="65"/>
      <c r="C289" s="20"/>
      <c r="D289" s="20"/>
      <c r="E289" s="20"/>
      <c r="F289" s="20"/>
      <c r="G289" s="20"/>
      <c r="H289" s="6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5"/>
      <c r="B290" s="65"/>
      <c r="C290" s="20"/>
      <c r="D290" s="20"/>
      <c r="E290" s="20"/>
      <c r="F290" s="20"/>
      <c r="G290" s="20"/>
      <c r="H290" s="6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5"/>
      <c r="B291" s="65"/>
      <c r="C291" s="20"/>
      <c r="D291" s="20"/>
      <c r="E291" s="20"/>
      <c r="F291" s="20"/>
      <c r="G291" s="20"/>
      <c r="H291" s="6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5"/>
      <c r="B292" s="65"/>
      <c r="C292" s="20"/>
      <c r="D292" s="20"/>
      <c r="E292" s="20"/>
      <c r="F292" s="20"/>
      <c r="G292" s="20"/>
      <c r="H292" s="6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5"/>
      <c r="B293" s="65"/>
      <c r="C293" s="20"/>
      <c r="D293" s="20"/>
      <c r="E293" s="20"/>
      <c r="F293" s="20"/>
      <c r="G293" s="20"/>
      <c r="H293" s="6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5"/>
      <c r="B294" s="65"/>
      <c r="C294" s="20"/>
      <c r="D294" s="20"/>
      <c r="E294" s="20"/>
      <c r="F294" s="20"/>
      <c r="G294" s="20"/>
      <c r="H294" s="6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5"/>
      <c r="B295" s="65"/>
      <c r="C295" s="20"/>
      <c r="D295" s="20"/>
      <c r="E295" s="20"/>
      <c r="F295" s="20"/>
      <c r="G295" s="20"/>
      <c r="H295" s="6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5"/>
      <c r="B296" s="65"/>
      <c r="C296" s="20"/>
      <c r="D296" s="20"/>
      <c r="E296" s="20"/>
      <c r="F296" s="20"/>
      <c r="G296" s="20"/>
      <c r="H296" s="6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5"/>
      <c r="B297" s="65"/>
      <c r="C297" s="20"/>
      <c r="D297" s="20"/>
      <c r="E297" s="20"/>
      <c r="F297" s="20"/>
      <c r="G297" s="20"/>
      <c r="H297" s="6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5"/>
      <c r="B298" s="65"/>
      <c r="C298" s="20"/>
      <c r="D298" s="20"/>
      <c r="E298" s="20"/>
      <c r="F298" s="20"/>
      <c r="G298" s="20"/>
      <c r="H298" s="6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5"/>
      <c r="B299" s="65"/>
      <c r="C299" s="20"/>
      <c r="D299" s="20"/>
      <c r="E299" s="20"/>
      <c r="F299" s="20"/>
      <c r="G299" s="20"/>
      <c r="H299" s="6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5"/>
      <c r="B300" s="65"/>
      <c r="C300" s="20"/>
      <c r="D300" s="20"/>
      <c r="E300" s="20"/>
      <c r="F300" s="20"/>
      <c r="G300" s="20"/>
      <c r="H300" s="6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5"/>
      <c r="B301" s="65"/>
      <c r="C301" s="20"/>
      <c r="D301" s="20"/>
      <c r="E301" s="20"/>
      <c r="F301" s="20"/>
      <c r="G301" s="20"/>
      <c r="H301" s="6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5"/>
      <c r="B302" s="65"/>
      <c r="C302" s="20"/>
      <c r="D302" s="20"/>
      <c r="E302" s="20"/>
      <c r="F302" s="20"/>
      <c r="G302" s="20"/>
      <c r="H302" s="6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5"/>
      <c r="B303" s="65"/>
      <c r="C303" s="20"/>
      <c r="D303" s="20"/>
      <c r="E303" s="20"/>
      <c r="F303" s="20"/>
      <c r="G303" s="20"/>
      <c r="H303" s="6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5"/>
      <c r="B304" s="65"/>
      <c r="C304" s="20"/>
      <c r="D304" s="20"/>
      <c r="E304" s="20"/>
      <c r="F304" s="20"/>
      <c r="G304" s="20"/>
      <c r="H304" s="6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5"/>
      <c r="B305" s="65"/>
      <c r="C305" s="20"/>
      <c r="D305" s="20"/>
      <c r="E305" s="20"/>
      <c r="F305" s="20"/>
      <c r="G305" s="20"/>
      <c r="H305" s="6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5"/>
      <c r="B306" s="65"/>
      <c r="C306" s="20"/>
      <c r="D306" s="20"/>
      <c r="E306" s="20"/>
      <c r="F306" s="20"/>
      <c r="G306" s="20"/>
      <c r="H306" s="6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5"/>
      <c r="B307" s="65"/>
      <c r="C307" s="20"/>
      <c r="D307" s="20"/>
      <c r="E307" s="20"/>
      <c r="F307" s="20"/>
      <c r="G307" s="20"/>
      <c r="H307" s="6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5"/>
      <c r="B308" s="65"/>
      <c r="C308" s="20"/>
      <c r="D308" s="20"/>
      <c r="E308" s="20"/>
      <c r="F308" s="20"/>
      <c r="G308" s="20"/>
      <c r="H308" s="6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5"/>
      <c r="B309" s="65"/>
      <c r="C309" s="20"/>
      <c r="D309" s="20"/>
      <c r="E309" s="20"/>
      <c r="F309" s="20"/>
      <c r="G309" s="20"/>
      <c r="H309" s="6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5"/>
      <c r="B310" s="65"/>
      <c r="C310" s="20"/>
      <c r="D310" s="20"/>
      <c r="E310" s="20"/>
      <c r="F310" s="20"/>
      <c r="G310" s="20"/>
      <c r="H310" s="6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5"/>
      <c r="B311" s="65"/>
      <c r="C311" s="20"/>
      <c r="D311" s="20"/>
      <c r="E311" s="20"/>
      <c r="F311" s="20"/>
      <c r="G311" s="20"/>
      <c r="H311" s="6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5"/>
      <c r="B312" s="65"/>
      <c r="C312" s="20"/>
      <c r="D312" s="20"/>
      <c r="E312" s="20"/>
      <c r="F312" s="20"/>
      <c r="G312" s="20"/>
      <c r="H312" s="6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5"/>
      <c r="B313" s="65"/>
      <c r="C313" s="20"/>
      <c r="D313" s="20"/>
      <c r="E313" s="20"/>
      <c r="F313" s="20"/>
      <c r="G313" s="20"/>
      <c r="H313" s="6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5"/>
      <c r="B314" s="65"/>
      <c r="C314" s="20"/>
      <c r="D314" s="20"/>
      <c r="E314" s="20"/>
      <c r="F314" s="20"/>
      <c r="G314" s="20"/>
      <c r="H314" s="6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5"/>
      <c r="B315" s="65"/>
      <c r="C315" s="20"/>
      <c r="D315" s="20"/>
      <c r="E315" s="20"/>
      <c r="F315" s="20"/>
      <c r="G315" s="20"/>
      <c r="H315" s="6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5"/>
      <c r="B316" s="65"/>
      <c r="C316" s="20"/>
      <c r="D316" s="20"/>
      <c r="E316" s="20"/>
      <c r="F316" s="20"/>
      <c r="G316" s="20"/>
      <c r="H316" s="6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5"/>
      <c r="B317" s="65"/>
      <c r="C317" s="20"/>
      <c r="D317" s="20"/>
      <c r="E317" s="20"/>
      <c r="F317" s="20"/>
      <c r="G317" s="20"/>
      <c r="H317" s="6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5"/>
      <c r="B318" s="65"/>
      <c r="C318" s="20"/>
      <c r="D318" s="20"/>
      <c r="E318" s="20"/>
      <c r="F318" s="20"/>
      <c r="G318" s="20"/>
      <c r="H318" s="6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5"/>
      <c r="B319" s="65"/>
      <c r="C319" s="20"/>
      <c r="D319" s="20"/>
      <c r="E319" s="20"/>
      <c r="F319" s="20"/>
      <c r="G319" s="20"/>
      <c r="H319" s="6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5"/>
      <c r="B320" s="65"/>
      <c r="C320" s="20"/>
      <c r="D320" s="20"/>
      <c r="E320" s="20"/>
      <c r="F320" s="20"/>
      <c r="G320" s="20"/>
      <c r="H320" s="6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5"/>
      <c r="B321" s="65"/>
      <c r="C321" s="20"/>
      <c r="D321" s="20"/>
      <c r="E321" s="20"/>
      <c r="F321" s="20"/>
      <c r="G321" s="20"/>
      <c r="H321" s="6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5"/>
      <c r="B322" s="65"/>
      <c r="C322" s="20"/>
      <c r="D322" s="20"/>
      <c r="E322" s="20"/>
      <c r="F322" s="20"/>
      <c r="G322" s="20"/>
      <c r="H322" s="6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5"/>
      <c r="B323" s="65"/>
      <c r="C323" s="20"/>
      <c r="D323" s="20"/>
      <c r="E323" s="20"/>
      <c r="F323" s="20"/>
      <c r="G323" s="20"/>
      <c r="H323" s="6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5"/>
      <c r="B324" s="65"/>
      <c r="C324" s="20"/>
      <c r="D324" s="20"/>
      <c r="E324" s="20"/>
      <c r="F324" s="20"/>
      <c r="G324" s="20"/>
      <c r="H324" s="6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5"/>
      <c r="B325" s="65"/>
      <c r="C325" s="20"/>
      <c r="D325" s="20"/>
      <c r="E325" s="20"/>
      <c r="F325" s="20"/>
      <c r="G325" s="20"/>
      <c r="H325" s="6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5"/>
      <c r="B326" s="65"/>
      <c r="C326" s="20"/>
      <c r="D326" s="20"/>
      <c r="E326" s="20"/>
      <c r="F326" s="20"/>
      <c r="G326" s="20"/>
      <c r="H326" s="6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5"/>
      <c r="B327" s="65"/>
      <c r="C327" s="20"/>
      <c r="D327" s="20"/>
      <c r="E327" s="20"/>
      <c r="F327" s="20"/>
      <c r="G327" s="20"/>
      <c r="H327" s="6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5"/>
      <c r="B328" s="65"/>
      <c r="C328" s="20"/>
      <c r="D328" s="20"/>
      <c r="E328" s="20"/>
      <c r="F328" s="20"/>
      <c r="G328" s="20"/>
      <c r="H328" s="6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5"/>
      <c r="B329" s="65"/>
      <c r="C329" s="20"/>
      <c r="D329" s="20"/>
      <c r="E329" s="20"/>
      <c r="F329" s="20"/>
      <c r="G329" s="20"/>
      <c r="H329" s="6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5"/>
      <c r="B330" s="65"/>
      <c r="C330" s="20"/>
      <c r="D330" s="20"/>
      <c r="E330" s="20"/>
      <c r="F330" s="20"/>
      <c r="G330" s="20"/>
      <c r="H330" s="6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5"/>
      <c r="B331" s="65"/>
      <c r="C331" s="20"/>
      <c r="D331" s="20"/>
      <c r="E331" s="20"/>
      <c r="F331" s="20"/>
      <c r="G331" s="20"/>
      <c r="H331" s="6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5"/>
      <c r="B332" s="65"/>
      <c r="C332" s="20"/>
      <c r="D332" s="20"/>
      <c r="E332" s="20"/>
      <c r="F332" s="20"/>
      <c r="G332" s="20"/>
      <c r="H332" s="6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5"/>
      <c r="B333" s="65"/>
      <c r="C333" s="20"/>
      <c r="D333" s="20"/>
      <c r="E333" s="20"/>
      <c r="F333" s="20"/>
      <c r="G333" s="20"/>
      <c r="H333" s="6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5"/>
      <c r="B334" s="65"/>
      <c r="C334" s="20"/>
      <c r="D334" s="20"/>
      <c r="E334" s="20"/>
      <c r="F334" s="20"/>
      <c r="G334" s="20"/>
      <c r="H334" s="6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5"/>
      <c r="B335" s="65"/>
      <c r="C335" s="20"/>
      <c r="D335" s="20"/>
      <c r="E335" s="20"/>
      <c r="F335" s="20"/>
      <c r="G335" s="20"/>
      <c r="H335" s="6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>
        <f>RANDBETWEEN(0,10)</f>
        <v>2</v>
      </c>
      <c r="Z335" s="20"/>
    </row>
    <row r="336">
      <c r="A336" s="65"/>
      <c r="B336" s="65"/>
      <c r="C336" s="20"/>
      <c r="D336" s="20"/>
      <c r="E336" s="20"/>
      <c r="F336" s="20"/>
      <c r="G336" s="20"/>
      <c r="H336" s="6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5" t="s">
        <v>26</v>
      </c>
      <c r="Y336" s="25" t="s">
        <v>483</v>
      </c>
      <c r="Z336" s="20"/>
    </row>
    <row r="337">
      <c r="A337" s="65"/>
      <c r="B337" s="65"/>
      <c r="C337" s="20"/>
      <c r="D337" s="20"/>
      <c r="E337" s="20"/>
      <c r="F337" s="20"/>
      <c r="G337" s="20"/>
      <c r="H337" s="6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5">
        <v>1.0</v>
      </c>
      <c r="Y337" s="25" t="s">
        <v>484</v>
      </c>
      <c r="Z337" s="20"/>
    </row>
    <row r="338">
      <c r="A338" s="65"/>
      <c r="B338" s="65"/>
      <c r="C338" s="20"/>
      <c r="D338" s="20"/>
      <c r="E338" s="20"/>
      <c r="F338" s="20"/>
      <c r="G338" s="20"/>
      <c r="H338" s="6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5">
        <v>2.0</v>
      </c>
      <c r="Y338" s="25" t="s">
        <v>485</v>
      </c>
      <c r="Z338" s="20"/>
    </row>
    <row r="339">
      <c r="A339" s="65"/>
      <c r="B339" s="65"/>
      <c r="C339" s="20"/>
      <c r="D339" s="20"/>
      <c r="E339" s="20"/>
      <c r="F339" s="20"/>
      <c r="G339" s="20"/>
      <c r="H339" s="6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5">
        <v>3.0</v>
      </c>
      <c r="Y339" s="25" t="s">
        <v>486</v>
      </c>
      <c r="Z339" s="20"/>
    </row>
    <row r="340">
      <c r="A340" s="65"/>
      <c r="B340" s="65"/>
      <c r="C340" s="20"/>
      <c r="D340" s="20"/>
      <c r="E340" s="20"/>
      <c r="F340" s="20"/>
      <c r="G340" s="20"/>
      <c r="H340" s="6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5">
        <v>4.0</v>
      </c>
      <c r="Y340" s="25" t="s">
        <v>487</v>
      </c>
      <c r="Z340" s="20"/>
    </row>
    <row r="341">
      <c r="A341" s="65"/>
      <c r="B341" s="65"/>
      <c r="C341" s="20"/>
      <c r="D341" s="20"/>
      <c r="E341" s="20"/>
      <c r="F341" s="20"/>
      <c r="G341" s="20"/>
      <c r="H341" s="6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5">
        <v>5.0</v>
      </c>
      <c r="Y341" s="25" t="s">
        <v>488</v>
      </c>
      <c r="Z341" s="20"/>
    </row>
    <row r="342">
      <c r="A342" s="65"/>
      <c r="B342" s="65"/>
      <c r="C342" s="20"/>
      <c r="D342" s="20"/>
      <c r="E342" s="20"/>
      <c r="F342" s="20"/>
      <c r="G342" s="20"/>
      <c r="H342" s="6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>
        <f t="shared" ref="X342:X351" si="1">X341+1</f>
        <v>6</v>
      </c>
      <c r="Y342" s="25" t="s">
        <v>489</v>
      </c>
      <c r="Z342" s="20"/>
    </row>
    <row r="343">
      <c r="A343" s="65"/>
      <c r="B343" s="65"/>
      <c r="C343" s="20"/>
      <c r="D343" s="20"/>
      <c r="E343" s="20"/>
      <c r="F343" s="20"/>
      <c r="G343" s="20"/>
      <c r="H343" s="6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>
        <f t="shared" si="1"/>
        <v>7</v>
      </c>
      <c r="Y343" s="25" t="s">
        <v>490</v>
      </c>
      <c r="Z343" s="20"/>
    </row>
    <row r="344">
      <c r="A344" s="65"/>
      <c r="B344" s="65"/>
      <c r="C344" s="20"/>
      <c r="D344" s="20"/>
      <c r="E344" s="20"/>
      <c r="F344" s="20"/>
      <c r="G344" s="20"/>
      <c r="H344" s="6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>
        <f t="shared" si="1"/>
        <v>8</v>
      </c>
      <c r="Y344" s="25" t="s">
        <v>491</v>
      </c>
      <c r="Z344" s="20"/>
    </row>
    <row r="345">
      <c r="A345" s="65"/>
      <c r="B345" s="65"/>
      <c r="C345" s="20"/>
      <c r="D345" s="20"/>
      <c r="E345" s="20"/>
      <c r="F345" s="20"/>
      <c r="G345" s="20"/>
      <c r="H345" s="6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>
        <f t="shared" si="1"/>
        <v>9</v>
      </c>
      <c r="Y345" s="25" t="s">
        <v>492</v>
      </c>
      <c r="Z345" s="20"/>
    </row>
    <row r="346">
      <c r="A346" s="65"/>
      <c r="B346" s="65"/>
      <c r="C346" s="20"/>
      <c r="D346" s="20"/>
      <c r="E346" s="20"/>
      <c r="F346" s="20"/>
      <c r="G346" s="20"/>
      <c r="H346" s="6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>
        <f t="shared" si="1"/>
        <v>10</v>
      </c>
      <c r="Y346" s="25" t="s">
        <v>493</v>
      </c>
      <c r="Z346" s="20"/>
    </row>
    <row r="347">
      <c r="A347" s="65"/>
      <c r="B347" s="65"/>
      <c r="C347" s="20"/>
      <c r="D347" s="20"/>
      <c r="E347" s="20"/>
      <c r="F347" s="20"/>
      <c r="G347" s="20"/>
      <c r="H347" s="6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>
        <f t="shared" si="1"/>
        <v>11</v>
      </c>
      <c r="Y347" s="25" t="s">
        <v>494</v>
      </c>
      <c r="Z347" s="20"/>
    </row>
    <row r="348">
      <c r="A348" s="65"/>
      <c r="B348" s="65"/>
      <c r="C348" s="20"/>
      <c r="D348" s="20"/>
      <c r="E348" s="20"/>
      <c r="F348" s="20"/>
      <c r="G348" s="20"/>
      <c r="H348" s="6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>
        <f t="shared" si="1"/>
        <v>12</v>
      </c>
      <c r="Y348" s="25" t="s">
        <v>495</v>
      </c>
      <c r="Z348" s="20"/>
    </row>
    <row r="349">
      <c r="A349" s="65"/>
      <c r="B349" s="65"/>
      <c r="C349" s="20"/>
      <c r="D349" s="20"/>
      <c r="E349" s="20"/>
      <c r="F349" s="20"/>
      <c r="G349" s="20"/>
      <c r="H349" s="6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>
        <f t="shared" si="1"/>
        <v>13</v>
      </c>
      <c r="Y349" s="25" t="s">
        <v>496</v>
      </c>
      <c r="Z349" s="20"/>
    </row>
    <row r="350">
      <c r="A350" s="65"/>
      <c r="B350" s="65"/>
      <c r="C350" s="20"/>
      <c r="D350" s="20"/>
      <c r="E350" s="20"/>
      <c r="F350" s="20"/>
      <c r="G350" s="20"/>
      <c r="H350" s="6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>
        <f t="shared" si="1"/>
        <v>14</v>
      </c>
      <c r="Y350" s="25" t="s">
        <v>497</v>
      </c>
      <c r="Z350" s="20"/>
    </row>
    <row r="351">
      <c r="A351" s="65"/>
      <c r="B351" s="65"/>
      <c r="C351" s="20"/>
      <c r="D351" s="20"/>
      <c r="E351" s="20"/>
      <c r="F351" s="20"/>
      <c r="G351" s="20"/>
      <c r="H351" s="6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>
        <f t="shared" si="1"/>
        <v>15</v>
      </c>
      <c r="Y351" s="25" t="s">
        <v>498</v>
      </c>
      <c r="Z351" s="20"/>
    </row>
    <row r="352">
      <c r="A352" s="65"/>
      <c r="B352" s="65"/>
      <c r="C352" s="20"/>
      <c r="D352" s="20"/>
      <c r="E352" s="20"/>
      <c r="F352" s="20"/>
      <c r="G352" s="20"/>
      <c r="H352" s="6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5"/>
      <c r="Z352" s="20"/>
    </row>
    <row r="353">
      <c r="A353" s="65"/>
      <c r="B353" s="65"/>
      <c r="C353" s="20"/>
      <c r="D353" s="20"/>
      <c r="E353" s="20"/>
      <c r="F353" s="20"/>
      <c r="G353" s="20"/>
      <c r="H353" s="6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5"/>
      <c r="B354" s="65"/>
      <c r="C354" s="20"/>
      <c r="D354" s="20"/>
      <c r="E354" s="20"/>
      <c r="F354" s="20"/>
      <c r="G354" s="20"/>
      <c r="H354" s="6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5"/>
      <c r="B355" s="65"/>
      <c r="C355" s="20"/>
      <c r="D355" s="20"/>
      <c r="E355" s="20"/>
      <c r="F355" s="20"/>
      <c r="G355" s="20"/>
      <c r="H355" s="6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5"/>
      <c r="B356" s="65"/>
      <c r="C356" s="20"/>
      <c r="D356" s="20"/>
      <c r="E356" s="20"/>
      <c r="F356" s="20"/>
      <c r="G356" s="20"/>
      <c r="H356" s="6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5"/>
      <c r="B357" s="65"/>
      <c r="C357" s="20"/>
      <c r="D357" s="20"/>
      <c r="E357" s="20"/>
      <c r="F357" s="20"/>
      <c r="G357" s="20"/>
      <c r="H357" s="6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5"/>
      <c r="B358" s="65"/>
      <c r="C358" s="20"/>
      <c r="D358" s="20"/>
      <c r="E358" s="20"/>
      <c r="F358" s="20"/>
      <c r="G358" s="20"/>
      <c r="H358" s="6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5"/>
      <c r="B359" s="65"/>
      <c r="C359" s="20"/>
      <c r="D359" s="20"/>
      <c r="E359" s="20"/>
      <c r="F359" s="20"/>
      <c r="G359" s="20"/>
      <c r="H359" s="6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5"/>
      <c r="B360" s="65"/>
      <c r="C360" s="20"/>
      <c r="D360" s="20"/>
      <c r="E360" s="20"/>
      <c r="F360" s="20"/>
      <c r="G360" s="20"/>
      <c r="H360" s="6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5"/>
      <c r="B361" s="65"/>
      <c r="C361" s="20"/>
      <c r="D361" s="20"/>
      <c r="E361" s="20"/>
      <c r="F361" s="20"/>
      <c r="G361" s="20"/>
      <c r="H361" s="6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5"/>
      <c r="B362" s="65"/>
      <c r="C362" s="20"/>
      <c r="D362" s="20"/>
      <c r="E362" s="20"/>
      <c r="F362" s="20"/>
      <c r="G362" s="20"/>
      <c r="H362" s="6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5"/>
      <c r="B363" s="65"/>
      <c r="C363" s="20"/>
      <c r="D363" s="20"/>
      <c r="E363" s="20"/>
      <c r="F363" s="20"/>
      <c r="G363" s="20"/>
      <c r="H363" s="6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5"/>
      <c r="B364" s="65"/>
      <c r="C364" s="20"/>
      <c r="D364" s="20"/>
      <c r="E364" s="20"/>
      <c r="F364" s="20"/>
      <c r="G364" s="20"/>
      <c r="H364" s="6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5"/>
      <c r="B365" s="65"/>
      <c r="C365" s="20"/>
      <c r="D365" s="20"/>
      <c r="E365" s="20"/>
      <c r="F365" s="20"/>
      <c r="G365" s="20"/>
      <c r="H365" s="6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5"/>
      <c r="B366" s="65"/>
      <c r="C366" s="20"/>
      <c r="D366" s="20"/>
      <c r="E366" s="20"/>
      <c r="F366" s="20"/>
      <c r="G366" s="20"/>
      <c r="H366" s="6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5"/>
      <c r="B367" s="65"/>
      <c r="C367" s="20"/>
      <c r="D367" s="20"/>
      <c r="E367" s="20"/>
      <c r="F367" s="20"/>
      <c r="G367" s="20"/>
      <c r="H367" s="6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5"/>
      <c r="B368" s="65"/>
      <c r="C368" s="20"/>
      <c r="D368" s="20"/>
      <c r="E368" s="20"/>
      <c r="F368" s="20"/>
      <c r="G368" s="20"/>
      <c r="H368" s="6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5"/>
      <c r="B369" s="65"/>
      <c r="C369" s="20"/>
      <c r="D369" s="20"/>
      <c r="E369" s="20"/>
      <c r="F369" s="20"/>
      <c r="G369" s="20"/>
      <c r="H369" s="6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5"/>
      <c r="B370" s="65"/>
      <c r="C370" s="20"/>
      <c r="D370" s="20"/>
      <c r="E370" s="20"/>
      <c r="F370" s="20"/>
      <c r="G370" s="20"/>
      <c r="H370" s="6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5"/>
      <c r="B371" s="65"/>
      <c r="C371" s="20"/>
      <c r="D371" s="20"/>
      <c r="E371" s="20"/>
      <c r="F371" s="20"/>
      <c r="G371" s="20"/>
      <c r="H371" s="6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5"/>
      <c r="B372" s="65"/>
      <c r="C372" s="20"/>
      <c r="D372" s="20"/>
      <c r="E372" s="20"/>
      <c r="F372" s="20"/>
      <c r="G372" s="20"/>
      <c r="H372" s="6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5"/>
      <c r="B373" s="65"/>
      <c r="C373" s="20"/>
      <c r="D373" s="20"/>
      <c r="E373" s="20"/>
      <c r="F373" s="20"/>
      <c r="G373" s="20"/>
      <c r="H373" s="6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5"/>
      <c r="B374" s="65"/>
      <c r="C374" s="20"/>
      <c r="D374" s="20"/>
      <c r="E374" s="20"/>
      <c r="F374" s="20"/>
      <c r="G374" s="20"/>
      <c r="H374" s="6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5"/>
      <c r="B375" s="65"/>
      <c r="C375" s="20"/>
      <c r="D375" s="20"/>
      <c r="E375" s="20"/>
      <c r="F375" s="20"/>
      <c r="G375" s="20"/>
      <c r="H375" s="6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5"/>
      <c r="B376" s="65"/>
      <c r="C376" s="20"/>
      <c r="D376" s="20"/>
      <c r="E376" s="20"/>
      <c r="F376" s="20"/>
      <c r="G376" s="20"/>
      <c r="H376" s="6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5"/>
      <c r="B377" s="65"/>
      <c r="C377" s="20"/>
      <c r="D377" s="20"/>
      <c r="E377" s="20"/>
      <c r="F377" s="20"/>
      <c r="G377" s="20"/>
      <c r="H377" s="6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5"/>
      <c r="B378" s="65"/>
      <c r="C378" s="20"/>
      <c r="D378" s="20"/>
      <c r="E378" s="20"/>
      <c r="F378" s="20"/>
      <c r="G378" s="20"/>
      <c r="H378" s="6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5"/>
      <c r="B379" s="65"/>
      <c r="C379" s="20"/>
      <c r="D379" s="20"/>
      <c r="E379" s="20"/>
      <c r="F379" s="20"/>
      <c r="G379" s="20"/>
      <c r="H379" s="6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5"/>
      <c r="B380" s="65"/>
      <c r="C380" s="20"/>
      <c r="D380" s="20"/>
      <c r="E380" s="20"/>
      <c r="F380" s="20"/>
      <c r="G380" s="20"/>
      <c r="H380" s="6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5"/>
      <c r="B381" s="65"/>
      <c r="C381" s="20"/>
      <c r="D381" s="20"/>
      <c r="E381" s="20"/>
      <c r="F381" s="20"/>
      <c r="G381" s="20"/>
      <c r="H381" s="6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5"/>
      <c r="B382" s="65"/>
      <c r="C382" s="20"/>
      <c r="D382" s="20"/>
      <c r="E382" s="20"/>
      <c r="F382" s="20"/>
      <c r="G382" s="20"/>
      <c r="H382" s="6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5"/>
      <c r="B383" s="65"/>
      <c r="C383" s="20"/>
      <c r="D383" s="20"/>
      <c r="E383" s="20"/>
      <c r="F383" s="20"/>
      <c r="G383" s="20"/>
      <c r="H383" s="6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5"/>
      <c r="B384" s="65"/>
      <c r="C384" s="20"/>
      <c r="D384" s="20"/>
      <c r="E384" s="20"/>
      <c r="F384" s="20"/>
      <c r="G384" s="20"/>
      <c r="H384" s="6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5"/>
      <c r="B385" s="65"/>
      <c r="C385" s="20"/>
      <c r="D385" s="20"/>
      <c r="E385" s="20"/>
      <c r="F385" s="20"/>
      <c r="G385" s="20"/>
      <c r="H385" s="6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5"/>
      <c r="B386" s="65"/>
      <c r="C386" s="20"/>
      <c r="D386" s="20"/>
      <c r="E386" s="20"/>
      <c r="F386" s="20"/>
      <c r="G386" s="20"/>
      <c r="H386" s="6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5"/>
      <c r="B387" s="65"/>
      <c r="C387" s="20"/>
      <c r="D387" s="20"/>
      <c r="E387" s="20"/>
      <c r="F387" s="20"/>
      <c r="G387" s="20"/>
      <c r="H387" s="6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5"/>
      <c r="B388" s="65"/>
      <c r="C388" s="20"/>
      <c r="D388" s="20"/>
      <c r="E388" s="20"/>
      <c r="F388" s="20"/>
      <c r="G388" s="20"/>
      <c r="H388" s="6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5"/>
      <c r="B389" s="65"/>
      <c r="C389" s="20"/>
      <c r="D389" s="20"/>
      <c r="E389" s="20"/>
      <c r="F389" s="20"/>
      <c r="G389" s="20"/>
      <c r="H389" s="6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5"/>
      <c r="B390" s="65"/>
      <c r="C390" s="20"/>
      <c r="D390" s="20"/>
      <c r="E390" s="20"/>
      <c r="F390" s="20"/>
      <c r="G390" s="20"/>
      <c r="H390" s="6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5"/>
      <c r="B391" s="65"/>
      <c r="C391" s="20"/>
      <c r="D391" s="20"/>
      <c r="E391" s="20"/>
      <c r="F391" s="20"/>
      <c r="G391" s="20"/>
      <c r="H391" s="6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5"/>
      <c r="B392" s="65"/>
      <c r="C392" s="20"/>
      <c r="D392" s="20"/>
      <c r="E392" s="20"/>
      <c r="F392" s="20"/>
      <c r="G392" s="20"/>
      <c r="H392" s="6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5"/>
      <c r="B393" s="65"/>
      <c r="C393" s="20"/>
      <c r="D393" s="20"/>
      <c r="E393" s="20"/>
      <c r="F393" s="20"/>
      <c r="G393" s="20"/>
      <c r="H393" s="6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5"/>
      <c r="B394" s="65"/>
      <c r="C394" s="20"/>
      <c r="D394" s="20"/>
      <c r="E394" s="20"/>
      <c r="F394" s="20"/>
      <c r="G394" s="20"/>
      <c r="H394" s="6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5"/>
      <c r="B395" s="65"/>
      <c r="C395" s="20"/>
      <c r="D395" s="20"/>
      <c r="E395" s="20"/>
      <c r="F395" s="20"/>
      <c r="G395" s="20"/>
      <c r="H395" s="6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5"/>
      <c r="B396" s="65"/>
      <c r="C396" s="20"/>
      <c r="D396" s="20"/>
      <c r="E396" s="20"/>
      <c r="F396" s="20"/>
      <c r="G396" s="20"/>
      <c r="H396" s="6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5"/>
      <c r="B397" s="65"/>
      <c r="C397" s="20"/>
      <c r="D397" s="20"/>
      <c r="E397" s="20"/>
      <c r="F397" s="20"/>
      <c r="G397" s="20"/>
      <c r="H397" s="6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5"/>
      <c r="B398" s="65"/>
      <c r="C398" s="20"/>
      <c r="D398" s="20"/>
      <c r="E398" s="20"/>
      <c r="F398" s="20"/>
      <c r="G398" s="20"/>
      <c r="H398" s="6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5"/>
      <c r="B399" s="65"/>
      <c r="C399" s="20"/>
      <c r="D399" s="20"/>
      <c r="E399" s="20"/>
      <c r="F399" s="20"/>
      <c r="G399" s="20"/>
      <c r="H399" s="6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5"/>
      <c r="B400" s="65"/>
      <c r="C400" s="20"/>
      <c r="D400" s="20"/>
      <c r="E400" s="20"/>
      <c r="F400" s="20"/>
      <c r="G400" s="20"/>
      <c r="H400" s="6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5"/>
      <c r="B401" s="65"/>
      <c r="C401" s="20"/>
      <c r="D401" s="20"/>
      <c r="E401" s="20"/>
      <c r="F401" s="20"/>
      <c r="G401" s="20"/>
      <c r="H401" s="6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5"/>
      <c r="B402" s="65"/>
      <c r="C402" s="20"/>
      <c r="D402" s="20"/>
      <c r="E402" s="20"/>
      <c r="F402" s="20"/>
      <c r="G402" s="20"/>
      <c r="H402" s="6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5"/>
      <c r="B403" s="65"/>
      <c r="C403" s="20"/>
      <c r="D403" s="20"/>
      <c r="E403" s="20"/>
      <c r="F403" s="20"/>
      <c r="G403" s="20"/>
      <c r="H403" s="6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5"/>
      <c r="B404" s="65"/>
      <c r="C404" s="20"/>
      <c r="D404" s="20"/>
      <c r="E404" s="20"/>
      <c r="F404" s="20"/>
      <c r="G404" s="20"/>
      <c r="H404" s="6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5"/>
      <c r="B405" s="65"/>
      <c r="C405" s="20"/>
      <c r="D405" s="20"/>
      <c r="E405" s="20"/>
      <c r="F405" s="20"/>
      <c r="G405" s="20"/>
      <c r="H405" s="6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5"/>
      <c r="B406" s="65"/>
      <c r="C406" s="20"/>
      <c r="D406" s="20"/>
      <c r="E406" s="20"/>
      <c r="F406" s="20"/>
      <c r="G406" s="20"/>
      <c r="H406" s="6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5"/>
      <c r="B407" s="65"/>
      <c r="C407" s="20"/>
      <c r="D407" s="20"/>
      <c r="E407" s="20"/>
      <c r="F407" s="20"/>
      <c r="G407" s="20"/>
      <c r="H407" s="6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5"/>
      <c r="B408" s="65"/>
      <c r="C408" s="20"/>
      <c r="D408" s="20"/>
      <c r="E408" s="20"/>
      <c r="F408" s="20"/>
      <c r="G408" s="20"/>
      <c r="H408" s="6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5"/>
      <c r="B409" s="65"/>
      <c r="C409" s="20"/>
      <c r="D409" s="20"/>
      <c r="E409" s="20"/>
      <c r="F409" s="20"/>
      <c r="G409" s="20"/>
      <c r="H409" s="6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5"/>
      <c r="B410" s="65"/>
      <c r="C410" s="20"/>
      <c r="D410" s="20"/>
      <c r="E410" s="20"/>
      <c r="F410" s="20"/>
      <c r="G410" s="20"/>
      <c r="H410" s="6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5"/>
      <c r="B411" s="65"/>
      <c r="C411" s="20"/>
      <c r="D411" s="20"/>
      <c r="E411" s="20"/>
      <c r="F411" s="20"/>
      <c r="G411" s="20"/>
      <c r="H411" s="6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5"/>
      <c r="B412" s="65"/>
      <c r="C412" s="20"/>
      <c r="D412" s="20"/>
      <c r="E412" s="20"/>
      <c r="F412" s="20"/>
      <c r="G412" s="20"/>
      <c r="H412" s="6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5"/>
      <c r="B413" s="65"/>
      <c r="C413" s="20"/>
      <c r="D413" s="20"/>
      <c r="E413" s="20"/>
      <c r="F413" s="20"/>
      <c r="G413" s="20"/>
      <c r="H413" s="6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5"/>
      <c r="B414" s="65"/>
      <c r="C414" s="20"/>
      <c r="D414" s="20"/>
      <c r="E414" s="20"/>
      <c r="F414" s="20"/>
      <c r="G414" s="20"/>
      <c r="H414" s="6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5"/>
      <c r="B415" s="65"/>
      <c r="C415" s="20"/>
      <c r="D415" s="20"/>
      <c r="E415" s="20"/>
      <c r="F415" s="20"/>
      <c r="G415" s="20"/>
      <c r="H415" s="6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5"/>
      <c r="B416" s="65"/>
      <c r="C416" s="20"/>
      <c r="D416" s="20"/>
      <c r="E416" s="20"/>
      <c r="F416" s="20"/>
      <c r="G416" s="20"/>
      <c r="H416" s="6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5"/>
      <c r="B417" s="65"/>
      <c r="C417" s="20"/>
      <c r="D417" s="20"/>
      <c r="E417" s="20"/>
      <c r="F417" s="20"/>
      <c r="G417" s="20"/>
      <c r="H417" s="6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5"/>
      <c r="B418" s="65"/>
      <c r="C418" s="20"/>
      <c r="D418" s="20"/>
      <c r="E418" s="20"/>
      <c r="F418" s="20"/>
      <c r="G418" s="20"/>
      <c r="H418" s="6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5"/>
      <c r="B419" s="65"/>
      <c r="C419" s="20"/>
      <c r="D419" s="20"/>
      <c r="E419" s="20"/>
      <c r="F419" s="20"/>
      <c r="G419" s="20"/>
      <c r="H419" s="6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5"/>
      <c r="B420" s="65"/>
      <c r="C420" s="20"/>
      <c r="D420" s="20"/>
      <c r="E420" s="20"/>
      <c r="F420" s="20"/>
      <c r="G420" s="20"/>
      <c r="H420" s="6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5"/>
      <c r="B421" s="65"/>
      <c r="C421" s="20"/>
      <c r="D421" s="20"/>
      <c r="E421" s="20"/>
      <c r="F421" s="20"/>
      <c r="G421" s="20"/>
      <c r="H421" s="6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5"/>
      <c r="B422" s="65"/>
      <c r="C422" s="20"/>
      <c r="D422" s="20"/>
      <c r="E422" s="20"/>
      <c r="F422" s="20"/>
      <c r="G422" s="20"/>
      <c r="H422" s="6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5"/>
      <c r="B423" s="65"/>
      <c r="C423" s="20"/>
      <c r="D423" s="20"/>
      <c r="E423" s="20"/>
      <c r="F423" s="20"/>
      <c r="G423" s="20"/>
      <c r="H423" s="6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5"/>
      <c r="B424" s="65"/>
      <c r="C424" s="20"/>
      <c r="D424" s="20"/>
      <c r="E424" s="20"/>
      <c r="F424" s="20"/>
      <c r="G424" s="20"/>
      <c r="H424" s="6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5"/>
      <c r="B425" s="65"/>
      <c r="C425" s="20"/>
      <c r="D425" s="20"/>
      <c r="E425" s="20"/>
      <c r="F425" s="20"/>
      <c r="G425" s="20"/>
      <c r="H425" s="6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5"/>
      <c r="B426" s="65"/>
      <c r="C426" s="20"/>
      <c r="D426" s="20"/>
      <c r="E426" s="20"/>
      <c r="F426" s="20"/>
      <c r="G426" s="20"/>
      <c r="H426" s="6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5"/>
      <c r="B427" s="65"/>
      <c r="C427" s="20"/>
      <c r="D427" s="20"/>
      <c r="E427" s="20"/>
      <c r="F427" s="20"/>
      <c r="G427" s="20"/>
      <c r="H427" s="6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5"/>
      <c r="B428" s="65"/>
      <c r="C428" s="20"/>
      <c r="D428" s="20"/>
      <c r="E428" s="20"/>
      <c r="F428" s="20"/>
      <c r="G428" s="20"/>
      <c r="H428" s="6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5"/>
      <c r="B429" s="65"/>
      <c r="C429" s="20"/>
      <c r="D429" s="20"/>
      <c r="E429" s="20"/>
      <c r="F429" s="20"/>
      <c r="G429" s="20"/>
      <c r="H429" s="6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5"/>
      <c r="B430" s="65"/>
      <c r="C430" s="20"/>
      <c r="D430" s="20"/>
      <c r="E430" s="20"/>
      <c r="F430" s="20"/>
      <c r="G430" s="20"/>
      <c r="H430" s="6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5"/>
      <c r="B431" s="65"/>
      <c r="C431" s="20"/>
      <c r="D431" s="20"/>
      <c r="E431" s="20"/>
      <c r="F431" s="20"/>
      <c r="G431" s="20"/>
      <c r="H431" s="6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5"/>
      <c r="B432" s="65"/>
      <c r="C432" s="20"/>
      <c r="D432" s="20"/>
      <c r="E432" s="20"/>
      <c r="F432" s="20"/>
      <c r="G432" s="20"/>
      <c r="H432" s="6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5"/>
      <c r="B433" s="65"/>
      <c r="C433" s="20"/>
      <c r="D433" s="20"/>
      <c r="E433" s="20"/>
      <c r="F433" s="20"/>
      <c r="G433" s="20"/>
      <c r="H433" s="6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5"/>
      <c r="B434" s="65"/>
      <c r="C434" s="20"/>
      <c r="D434" s="20"/>
      <c r="E434" s="20"/>
      <c r="F434" s="20"/>
      <c r="G434" s="20"/>
      <c r="H434" s="6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5"/>
      <c r="B435" s="65"/>
      <c r="C435" s="20"/>
      <c r="D435" s="20"/>
      <c r="E435" s="20"/>
      <c r="F435" s="20"/>
      <c r="G435" s="20"/>
      <c r="H435" s="6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5"/>
      <c r="B436" s="65"/>
      <c r="C436" s="20"/>
      <c r="D436" s="20"/>
      <c r="E436" s="20"/>
      <c r="F436" s="20"/>
      <c r="G436" s="20"/>
      <c r="H436" s="6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5"/>
      <c r="B437" s="65"/>
      <c r="C437" s="20"/>
      <c r="D437" s="20"/>
      <c r="E437" s="20"/>
      <c r="F437" s="20"/>
      <c r="G437" s="20"/>
      <c r="H437" s="6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5"/>
      <c r="B438" s="65"/>
      <c r="C438" s="20"/>
      <c r="D438" s="20"/>
      <c r="E438" s="20"/>
      <c r="F438" s="20"/>
      <c r="G438" s="20"/>
      <c r="H438" s="6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5"/>
      <c r="B439" s="65"/>
      <c r="C439" s="20"/>
      <c r="D439" s="20"/>
      <c r="E439" s="20"/>
      <c r="F439" s="20"/>
      <c r="G439" s="20"/>
      <c r="H439" s="6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5"/>
      <c r="B440" s="65"/>
      <c r="C440" s="20"/>
      <c r="D440" s="20"/>
      <c r="E440" s="20"/>
      <c r="F440" s="20"/>
      <c r="G440" s="20"/>
      <c r="H440" s="6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5"/>
      <c r="B441" s="65"/>
      <c r="C441" s="20"/>
      <c r="D441" s="20"/>
      <c r="E441" s="20"/>
      <c r="F441" s="20"/>
      <c r="G441" s="20"/>
      <c r="H441" s="6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5"/>
      <c r="B442" s="65"/>
      <c r="C442" s="20"/>
      <c r="D442" s="20"/>
      <c r="E442" s="20"/>
      <c r="F442" s="20"/>
      <c r="G442" s="20"/>
      <c r="H442" s="6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5"/>
      <c r="B443" s="65"/>
      <c r="C443" s="20"/>
      <c r="D443" s="20"/>
      <c r="E443" s="20"/>
      <c r="F443" s="20"/>
      <c r="G443" s="20"/>
      <c r="H443" s="6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5"/>
      <c r="B444" s="65"/>
      <c r="C444" s="20"/>
      <c r="D444" s="20"/>
      <c r="E444" s="20"/>
      <c r="F444" s="20"/>
      <c r="G444" s="20"/>
      <c r="H444" s="6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5"/>
      <c r="B445" s="65"/>
      <c r="C445" s="20"/>
      <c r="D445" s="20"/>
      <c r="E445" s="20"/>
      <c r="F445" s="20"/>
      <c r="G445" s="20"/>
      <c r="H445" s="6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5"/>
      <c r="B446" s="65"/>
      <c r="C446" s="20"/>
      <c r="D446" s="20"/>
      <c r="E446" s="20"/>
      <c r="F446" s="20"/>
      <c r="G446" s="20"/>
      <c r="H446" s="6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5"/>
      <c r="B447" s="65"/>
      <c r="C447" s="20"/>
      <c r="D447" s="20"/>
      <c r="E447" s="20"/>
      <c r="F447" s="20"/>
      <c r="G447" s="20"/>
      <c r="H447" s="6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5"/>
      <c r="B448" s="65"/>
      <c r="C448" s="20"/>
      <c r="D448" s="20"/>
      <c r="E448" s="20"/>
      <c r="F448" s="20"/>
      <c r="G448" s="20"/>
      <c r="H448" s="6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5"/>
      <c r="B449" s="65"/>
      <c r="C449" s="20"/>
      <c r="D449" s="20"/>
      <c r="E449" s="20"/>
      <c r="F449" s="20"/>
      <c r="G449" s="20"/>
      <c r="H449" s="6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5"/>
      <c r="B450" s="65"/>
      <c r="C450" s="20"/>
      <c r="D450" s="20"/>
      <c r="E450" s="20"/>
      <c r="F450" s="20"/>
      <c r="G450" s="20"/>
      <c r="H450" s="6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5"/>
      <c r="B451" s="65"/>
      <c r="C451" s="20"/>
      <c r="D451" s="20"/>
      <c r="E451" s="20"/>
      <c r="F451" s="20"/>
      <c r="G451" s="20"/>
      <c r="H451" s="6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5"/>
      <c r="B452" s="65"/>
      <c r="C452" s="20"/>
      <c r="D452" s="20"/>
      <c r="E452" s="20"/>
      <c r="F452" s="20"/>
      <c r="G452" s="20"/>
      <c r="H452" s="6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5"/>
      <c r="B453" s="65"/>
      <c r="C453" s="20"/>
      <c r="D453" s="20"/>
      <c r="E453" s="20"/>
      <c r="F453" s="20"/>
      <c r="G453" s="20"/>
      <c r="H453" s="6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5"/>
      <c r="B454" s="65"/>
      <c r="C454" s="20"/>
      <c r="D454" s="20"/>
      <c r="E454" s="20"/>
      <c r="F454" s="20"/>
      <c r="G454" s="20"/>
      <c r="H454" s="6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5"/>
      <c r="B455" s="65"/>
      <c r="C455" s="20"/>
      <c r="D455" s="20"/>
      <c r="E455" s="20"/>
      <c r="F455" s="20"/>
      <c r="G455" s="20"/>
      <c r="H455" s="6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5"/>
      <c r="B456" s="65"/>
      <c r="C456" s="20"/>
      <c r="D456" s="20"/>
      <c r="E456" s="20"/>
      <c r="F456" s="20"/>
      <c r="G456" s="20"/>
      <c r="H456" s="6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5"/>
      <c r="B457" s="65"/>
      <c r="C457" s="20"/>
      <c r="D457" s="20"/>
      <c r="E457" s="20"/>
      <c r="F457" s="20"/>
      <c r="G457" s="20"/>
      <c r="H457" s="6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5"/>
      <c r="B458" s="65"/>
      <c r="C458" s="20"/>
      <c r="D458" s="20"/>
      <c r="E458" s="20"/>
      <c r="F458" s="20"/>
      <c r="G458" s="20"/>
      <c r="H458" s="6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5"/>
      <c r="B459" s="65"/>
      <c r="C459" s="20"/>
      <c r="D459" s="20"/>
      <c r="E459" s="20"/>
      <c r="F459" s="20"/>
      <c r="G459" s="20"/>
      <c r="H459" s="6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5"/>
      <c r="B460" s="65"/>
      <c r="C460" s="20"/>
      <c r="D460" s="20"/>
      <c r="E460" s="20"/>
      <c r="F460" s="20"/>
      <c r="G460" s="20"/>
      <c r="H460" s="6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5"/>
      <c r="B461" s="65"/>
      <c r="C461" s="20"/>
      <c r="D461" s="20"/>
      <c r="E461" s="20"/>
      <c r="F461" s="20"/>
      <c r="G461" s="20"/>
      <c r="H461" s="6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5"/>
      <c r="B462" s="65"/>
      <c r="C462" s="20"/>
      <c r="D462" s="20"/>
      <c r="E462" s="20"/>
      <c r="F462" s="20"/>
      <c r="G462" s="20"/>
      <c r="H462" s="6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5"/>
      <c r="B463" s="65"/>
      <c r="C463" s="20"/>
      <c r="D463" s="20"/>
      <c r="E463" s="20"/>
      <c r="F463" s="20"/>
      <c r="G463" s="20"/>
      <c r="H463" s="6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5"/>
      <c r="B464" s="65"/>
      <c r="C464" s="20"/>
      <c r="D464" s="20"/>
      <c r="E464" s="20"/>
      <c r="F464" s="20"/>
      <c r="G464" s="20"/>
      <c r="H464" s="6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5"/>
      <c r="B465" s="65"/>
      <c r="C465" s="20"/>
      <c r="D465" s="20"/>
      <c r="E465" s="20"/>
      <c r="F465" s="20"/>
      <c r="G465" s="20"/>
      <c r="H465" s="6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5"/>
      <c r="B466" s="65"/>
      <c r="C466" s="20"/>
      <c r="D466" s="20"/>
      <c r="E466" s="20"/>
      <c r="F466" s="20"/>
      <c r="G466" s="20"/>
      <c r="H466" s="6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5"/>
      <c r="B467" s="65"/>
      <c r="C467" s="20"/>
      <c r="D467" s="20"/>
      <c r="E467" s="20"/>
      <c r="F467" s="20"/>
      <c r="G467" s="20"/>
      <c r="H467" s="6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5"/>
      <c r="B468" s="65"/>
      <c r="C468" s="20"/>
      <c r="D468" s="20"/>
      <c r="E468" s="20"/>
      <c r="F468" s="20"/>
      <c r="G468" s="20"/>
      <c r="H468" s="6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5"/>
      <c r="B469" s="65"/>
      <c r="C469" s="20"/>
      <c r="D469" s="20"/>
      <c r="E469" s="20"/>
      <c r="F469" s="20"/>
      <c r="G469" s="20"/>
      <c r="H469" s="6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5"/>
      <c r="B470" s="65"/>
      <c r="C470" s="20"/>
      <c r="D470" s="20"/>
      <c r="E470" s="20"/>
      <c r="F470" s="20"/>
      <c r="G470" s="20"/>
      <c r="H470" s="6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5"/>
      <c r="B471" s="65"/>
      <c r="C471" s="20"/>
      <c r="D471" s="20"/>
      <c r="E471" s="20"/>
      <c r="F471" s="20"/>
      <c r="G471" s="20"/>
      <c r="H471" s="6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5"/>
      <c r="B472" s="65"/>
      <c r="C472" s="20"/>
      <c r="D472" s="20"/>
      <c r="E472" s="20"/>
      <c r="F472" s="20"/>
      <c r="G472" s="20"/>
      <c r="H472" s="6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5"/>
      <c r="B473" s="65"/>
      <c r="C473" s="20"/>
      <c r="D473" s="20"/>
      <c r="E473" s="20"/>
      <c r="F473" s="20"/>
      <c r="G473" s="20"/>
      <c r="H473" s="6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5"/>
      <c r="B474" s="65"/>
      <c r="C474" s="20"/>
      <c r="D474" s="20"/>
      <c r="E474" s="20"/>
      <c r="F474" s="20"/>
      <c r="G474" s="20"/>
      <c r="H474" s="6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5"/>
      <c r="B475" s="65"/>
      <c r="C475" s="20"/>
      <c r="D475" s="20"/>
      <c r="E475" s="20"/>
      <c r="F475" s="20"/>
      <c r="G475" s="20"/>
      <c r="H475" s="6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5"/>
      <c r="B476" s="65"/>
      <c r="C476" s="20"/>
      <c r="D476" s="20"/>
      <c r="E476" s="20"/>
      <c r="F476" s="20"/>
      <c r="G476" s="20"/>
      <c r="H476" s="6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5"/>
      <c r="B477" s="65"/>
      <c r="C477" s="20"/>
      <c r="D477" s="20"/>
      <c r="E477" s="20"/>
      <c r="F477" s="20"/>
      <c r="G477" s="20"/>
      <c r="H477" s="6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5"/>
      <c r="B478" s="65"/>
      <c r="C478" s="20"/>
      <c r="D478" s="20"/>
      <c r="E478" s="20"/>
      <c r="F478" s="20"/>
      <c r="G478" s="20"/>
      <c r="H478" s="6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5"/>
      <c r="B479" s="65"/>
      <c r="C479" s="20"/>
      <c r="D479" s="20"/>
      <c r="E479" s="20"/>
      <c r="F479" s="20"/>
      <c r="G479" s="20"/>
      <c r="H479" s="6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5"/>
      <c r="B480" s="65"/>
      <c r="C480" s="20"/>
      <c r="D480" s="20"/>
      <c r="E480" s="20"/>
      <c r="F480" s="20"/>
      <c r="G480" s="20"/>
      <c r="H480" s="6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5"/>
      <c r="B481" s="65"/>
      <c r="C481" s="20"/>
      <c r="D481" s="20"/>
      <c r="E481" s="20"/>
      <c r="F481" s="20"/>
      <c r="G481" s="20"/>
      <c r="H481" s="6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5"/>
      <c r="B482" s="65"/>
      <c r="C482" s="20"/>
      <c r="D482" s="20"/>
      <c r="E482" s="20"/>
      <c r="F482" s="20"/>
      <c r="G482" s="20"/>
      <c r="H482" s="6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5"/>
      <c r="B483" s="65"/>
      <c r="C483" s="20"/>
      <c r="D483" s="20"/>
      <c r="E483" s="20"/>
      <c r="F483" s="20"/>
      <c r="G483" s="20"/>
      <c r="H483" s="6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5"/>
      <c r="B484" s="65"/>
      <c r="C484" s="20"/>
      <c r="D484" s="20"/>
      <c r="E484" s="20"/>
      <c r="F484" s="20"/>
      <c r="G484" s="20"/>
      <c r="H484" s="6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5"/>
      <c r="B485" s="65"/>
      <c r="C485" s="20"/>
      <c r="D485" s="20"/>
      <c r="E485" s="20"/>
      <c r="F485" s="20"/>
      <c r="G485" s="20"/>
      <c r="H485" s="6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5"/>
      <c r="B486" s="65"/>
      <c r="C486" s="20"/>
      <c r="D486" s="20"/>
      <c r="E486" s="20"/>
      <c r="F486" s="20"/>
      <c r="G486" s="20"/>
      <c r="H486" s="6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5"/>
      <c r="B487" s="65"/>
      <c r="C487" s="20"/>
      <c r="D487" s="20"/>
      <c r="E487" s="20"/>
      <c r="F487" s="20"/>
      <c r="G487" s="20"/>
      <c r="H487" s="6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5"/>
      <c r="B488" s="65"/>
      <c r="C488" s="20"/>
      <c r="D488" s="20"/>
      <c r="E488" s="20"/>
      <c r="F488" s="20"/>
      <c r="G488" s="20"/>
      <c r="H488" s="6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5"/>
      <c r="B489" s="65"/>
      <c r="C489" s="20"/>
      <c r="D489" s="20"/>
      <c r="E489" s="20"/>
      <c r="F489" s="20"/>
      <c r="G489" s="20"/>
      <c r="H489" s="6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5"/>
      <c r="B490" s="65"/>
      <c r="C490" s="20"/>
      <c r="D490" s="20"/>
      <c r="E490" s="20"/>
      <c r="F490" s="20"/>
      <c r="G490" s="20"/>
      <c r="H490" s="6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5"/>
      <c r="B491" s="65"/>
      <c r="C491" s="20"/>
      <c r="D491" s="20"/>
      <c r="E491" s="20"/>
      <c r="F491" s="20"/>
      <c r="G491" s="20"/>
      <c r="H491" s="6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5"/>
      <c r="B492" s="65"/>
      <c r="C492" s="20"/>
      <c r="D492" s="20"/>
      <c r="E492" s="20"/>
      <c r="F492" s="20"/>
      <c r="G492" s="20"/>
      <c r="H492" s="6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5"/>
      <c r="B493" s="65"/>
      <c r="C493" s="20"/>
      <c r="D493" s="20"/>
      <c r="E493" s="20"/>
      <c r="F493" s="20"/>
      <c r="G493" s="20"/>
      <c r="H493" s="6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5"/>
      <c r="B494" s="65"/>
      <c r="C494" s="20"/>
      <c r="D494" s="20"/>
      <c r="E494" s="20"/>
      <c r="F494" s="20"/>
      <c r="G494" s="20"/>
      <c r="H494" s="6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5"/>
      <c r="B495" s="65"/>
      <c r="C495" s="20"/>
      <c r="D495" s="20"/>
      <c r="E495" s="20"/>
      <c r="F495" s="20"/>
      <c r="G495" s="20"/>
      <c r="H495" s="6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5"/>
      <c r="B496" s="65"/>
      <c r="C496" s="20"/>
      <c r="D496" s="20"/>
      <c r="E496" s="20"/>
      <c r="F496" s="20"/>
      <c r="G496" s="20"/>
      <c r="H496" s="6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5"/>
      <c r="B497" s="65"/>
      <c r="C497" s="20"/>
      <c r="D497" s="20"/>
      <c r="E497" s="20"/>
      <c r="F497" s="20"/>
      <c r="G497" s="20"/>
      <c r="H497" s="6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5"/>
      <c r="B498" s="65"/>
      <c r="C498" s="20"/>
      <c r="D498" s="20"/>
      <c r="E498" s="20"/>
      <c r="F498" s="20"/>
      <c r="G498" s="20"/>
      <c r="H498" s="6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5"/>
      <c r="B499" s="65"/>
      <c r="C499" s="20"/>
      <c r="D499" s="20"/>
      <c r="E499" s="20"/>
      <c r="F499" s="20"/>
      <c r="G499" s="20"/>
      <c r="H499" s="6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5"/>
      <c r="B500" s="65"/>
      <c r="C500" s="20"/>
      <c r="D500" s="20"/>
      <c r="E500" s="20"/>
      <c r="F500" s="20"/>
      <c r="G500" s="20"/>
      <c r="H500" s="6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5"/>
      <c r="B501" s="65"/>
      <c r="C501" s="20"/>
      <c r="D501" s="20"/>
      <c r="E501" s="20"/>
      <c r="F501" s="20"/>
      <c r="G501" s="20"/>
      <c r="H501" s="6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5"/>
      <c r="B502" s="65"/>
      <c r="C502" s="20"/>
      <c r="D502" s="20"/>
      <c r="E502" s="20"/>
      <c r="F502" s="20"/>
      <c r="G502" s="20"/>
      <c r="H502" s="6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5"/>
      <c r="B503" s="65"/>
      <c r="C503" s="20"/>
      <c r="D503" s="20"/>
      <c r="E503" s="20"/>
      <c r="F503" s="20"/>
      <c r="G503" s="20"/>
      <c r="H503" s="6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5"/>
      <c r="B504" s="65"/>
      <c r="C504" s="20"/>
      <c r="D504" s="20"/>
      <c r="E504" s="20"/>
      <c r="F504" s="20"/>
      <c r="G504" s="20"/>
      <c r="H504" s="6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5"/>
      <c r="B505" s="65"/>
      <c r="C505" s="20"/>
      <c r="D505" s="20"/>
      <c r="E505" s="20"/>
      <c r="F505" s="20"/>
      <c r="G505" s="20"/>
      <c r="H505" s="6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5"/>
      <c r="B506" s="65"/>
      <c r="C506" s="20"/>
      <c r="D506" s="20"/>
      <c r="E506" s="20"/>
      <c r="F506" s="20"/>
      <c r="G506" s="20"/>
      <c r="H506" s="6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5"/>
      <c r="B507" s="65"/>
      <c r="C507" s="20"/>
      <c r="D507" s="20"/>
      <c r="E507" s="20"/>
      <c r="F507" s="20"/>
      <c r="G507" s="20"/>
      <c r="H507" s="6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5"/>
      <c r="B508" s="65"/>
      <c r="C508" s="20"/>
      <c r="D508" s="20"/>
      <c r="E508" s="20"/>
      <c r="F508" s="20"/>
      <c r="G508" s="20"/>
      <c r="H508" s="6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5"/>
      <c r="B509" s="65"/>
      <c r="C509" s="20"/>
      <c r="D509" s="20"/>
      <c r="E509" s="20"/>
      <c r="F509" s="20"/>
      <c r="G509" s="20"/>
      <c r="H509" s="6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5"/>
      <c r="B510" s="65"/>
      <c r="C510" s="20"/>
      <c r="D510" s="20"/>
      <c r="E510" s="20"/>
      <c r="F510" s="20"/>
      <c r="G510" s="20"/>
      <c r="H510" s="6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5"/>
      <c r="B511" s="65"/>
      <c r="C511" s="20"/>
      <c r="D511" s="20"/>
      <c r="E511" s="20"/>
      <c r="F511" s="20"/>
      <c r="G511" s="20"/>
      <c r="H511" s="6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5"/>
      <c r="B512" s="65"/>
      <c r="C512" s="20"/>
      <c r="D512" s="20"/>
      <c r="E512" s="20"/>
      <c r="F512" s="20"/>
      <c r="G512" s="20"/>
      <c r="H512" s="6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5"/>
      <c r="B513" s="65"/>
      <c r="C513" s="20"/>
      <c r="D513" s="20"/>
      <c r="E513" s="20"/>
      <c r="F513" s="20"/>
      <c r="G513" s="20"/>
      <c r="H513" s="6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5"/>
      <c r="B514" s="65"/>
      <c r="C514" s="20"/>
      <c r="D514" s="20"/>
      <c r="E514" s="20"/>
      <c r="F514" s="20"/>
      <c r="G514" s="20"/>
      <c r="H514" s="6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5"/>
      <c r="B515" s="65"/>
      <c r="C515" s="20"/>
      <c r="D515" s="20"/>
      <c r="E515" s="20"/>
      <c r="F515" s="20"/>
      <c r="G515" s="20"/>
      <c r="H515" s="6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5"/>
      <c r="B516" s="65"/>
      <c r="C516" s="20"/>
      <c r="D516" s="20"/>
      <c r="E516" s="20"/>
      <c r="F516" s="20"/>
      <c r="G516" s="20"/>
      <c r="H516" s="6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5"/>
      <c r="B517" s="65"/>
      <c r="C517" s="20"/>
      <c r="D517" s="20"/>
      <c r="E517" s="20"/>
      <c r="F517" s="20"/>
      <c r="G517" s="20"/>
      <c r="H517" s="6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5"/>
      <c r="B518" s="65"/>
      <c r="C518" s="20"/>
      <c r="D518" s="20"/>
      <c r="E518" s="20"/>
      <c r="F518" s="20"/>
      <c r="G518" s="20"/>
      <c r="H518" s="6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5"/>
      <c r="B519" s="65"/>
      <c r="C519" s="20"/>
      <c r="D519" s="20"/>
      <c r="E519" s="20"/>
      <c r="F519" s="20"/>
      <c r="G519" s="20"/>
      <c r="H519" s="6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5"/>
      <c r="B520" s="65"/>
      <c r="C520" s="20"/>
      <c r="D520" s="20"/>
      <c r="E520" s="20"/>
      <c r="F520" s="20"/>
      <c r="G520" s="20"/>
      <c r="H520" s="6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5"/>
      <c r="B521" s="65"/>
      <c r="C521" s="20"/>
      <c r="D521" s="20"/>
      <c r="E521" s="20"/>
      <c r="F521" s="20"/>
      <c r="G521" s="20"/>
      <c r="H521" s="6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5"/>
      <c r="B522" s="65"/>
      <c r="C522" s="20"/>
      <c r="D522" s="20"/>
      <c r="E522" s="20"/>
      <c r="F522" s="20"/>
      <c r="G522" s="20"/>
      <c r="H522" s="6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5"/>
      <c r="B523" s="65"/>
      <c r="C523" s="20"/>
      <c r="D523" s="20"/>
      <c r="E523" s="20"/>
      <c r="F523" s="20"/>
      <c r="G523" s="20"/>
      <c r="H523" s="6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5"/>
      <c r="B524" s="65"/>
      <c r="C524" s="20"/>
      <c r="D524" s="20"/>
      <c r="E524" s="20"/>
      <c r="F524" s="20"/>
      <c r="G524" s="20"/>
      <c r="H524" s="6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5"/>
      <c r="B525" s="65"/>
      <c r="C525" s="20"/>
      <c r="D525" s="20"/>
      <c r="E525" s="20"/>
      <c r="F525" s="20"/>
      <c r="G525" s="20"/>
      <c r="H525" s="6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5"/>
      <c r="B526" s="65"/>
      <c r="C526" s="20"/>
      <c r="D526" s="20"/>
      <c r="E526" s="20"/>
      <c r="F526" s="20"/>
      <c r="G526" s="20"/>
      <c r="H526" s="6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5"/>
      <c r="B527" s="65"/>
      <c r="C527" s="20"/>
      <c r="D527" s="20"/>
      <c r="E527" s="20"/>
      <c r="F527" s="20"/>
      <c r="G527" s="20"/>
      <c r="H527" s="6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5"/>
      <c r="B528" s="65"/>
      <c r="C528" s="20"/>
      <c r="D528" s="20"/>
      <c r="E528" s="20"/>
      <c r="F528" s="20"/>
      <c r="G528" s="20"/>
      <c r="H528" s="6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5"/>
      <c r="B529" s="65"/>
      <c r="C529" s="20"/>
      <c r="D529" s="20"/>
      <c r="E529" s="20"/>
      <c r="F529" s="20"/>
      <c r="G529" s="20"/>
      <c r="H529" s="6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5"/>
      <c r="B530" s="65"/>
      <c r="C530" s="20"/>
      <c r="D530" s="20"/>
      <c r="E530" s="20"/>
      <c r="F530" s="20"/>
      <c r="G530" s="20"/>
      <c r="H530" s="6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5"/>
      <c r="B531" s="65"/>
      <c r="C531" s="20"/>
      <c r="D531" s="20"/>
      <c r="E531" s="20"/>
      <c r="F531" s="20"/>
      <c r="G531" s="20"/>
      <c r="H531" s="6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5"/>
      <c r="B532" s="65"/>
      <c r="C532" s="20"/>
      <c r="D532" s="20"/>
      <c r="E532" s="20"/>
      <c r="F532" s="20"/>
      <c r="G532" s="20"/>
      <c r="H532" s="6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5"/>
      <c r="B533" s="65"/>
      <c r="C533" s="20"/>
      <c r="D533" s="20"/>
      <c r="E533" s="20"/>
      <c r="F533" s="20"/>
      <c r="G533" s="20"/>
      <c r="H533" s="6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5"/>
      <c r="B534" s="65"/>
      <c r="C534" s="20"/>
      <c r="D534" s="20"/>
      <c r="E534" s="20"/>
      <c r="F534" s="20"/>
      <c r="G534" s="20"/>
      <c r="H534" s="6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5"/>
      <c r="B535" s="65"/>
      <c r="C535" s="20"/>
      <c r="D535" s="20"/>
      <c r="E535" s="20"/>
      <c r="F535" s="20"/>
      <c r="G535" s="20"/>
      <c r="H535" s="6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5"/>
      <c r="B536" s="65"/>
      <c r="C536" s="20"/>
      <c r="D536" s="20"/>
      <c r="E536" s="20"/>
      <c r="F536" s="20"/>
      <c r="G536" s="20"/>
      <c r="H536" s="6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5"/>
      <c r="B537" s="65"/>
      <c r="C537" s="20"/>
      <c r="D537" s="20"/>
      <c r="E537" s="20"/>
      <c r="F537" s="20"/>
      <c r="G537" s="20"/>
      <c r="H537" s="6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5"/>
      <c r="B538" s="65"/>
      <c r="C538" s="20"/>
      <c r="D538" s="20"/>
      <c r="E538" s="20"/>
      <c r="F538" s="20"/>
      <c r="G538" s="20"/>
      <c r="H538" s="6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5"/>
      <c r="B539" s="65"/>
      <c r="C539" s="20"/>
      <c r="D539" s="20"/>
      <c r="E539" s="20"/>
      <c r="F539" s="20"/>
      <c r="G539" s="20"/>
      <c r="H539" s="6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5"/>
      <c r="B540" s="65"/>
      <c r="C540" s="20"/>
      <c r="D540" s="20"/>
      <c r="E540" s="20"/>
      <c r="F540" s="20"/>
      <c r="G540" s="20"/>
      <c r="H540" s="6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5"/>
      <c r="B541" s="65"/>
      <c r="C541" s="20"/>
      <c r="D541" s="20"/>
      <c r="E541" s="20"/>
      <c r="F541" s="20"/>
      <c r="G541" s="20"/>
      <c r="H541" s="6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5"/>
      <c r="B542" s="65"/>
      <c r="C542" s="20"/>
      <c r="D542" s="20"/>
      <c r="E542" s="20"/>
      <c r="F542" s="20"/>
      <c r="G542" s="20"/>
      <c r="H542" s="6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5"/>
      <c r="B543" s="65"/>
      <c r="C543" s="20"/>
      <c r="D543" s="20"/>
      <c r="E543" s="20"/>
      <c r="F543" s="20"/>
      <c r="G543" s="20"/>
      <c r="H543" s="6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5"/>
      <c r="B544" s="65"/>
      <c r="C544" s="20"/>
      <c r="D544" s="20"/>
      <c r="E544" s="20"/>
      <c r="F544" s="20"/>
      <c r="G544" s="20"/>
      <c r="H544" s="6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5"/>
      <c r="B545" s="65"/>
      <c r="C545" s="20"/>
      <c r="D545" s="20"/>
      <c r="E545" s="20"/>
      <c r="F545" s="20"/>
      <c r="G545" s="20"/>
      <c r="H545" s="6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5"/>
      <c r="B546" s="65"/>
      <c r="C546" s="20"/>
      <c r="D546" s="20"/>
      <c r="E546" s="20"/>
      <c r="F546" s="20"/>
      <c r="G546" s="20"/>
      <c r="H546" s="6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5"/>
      <c r="B547" s="65"/>
      <c r="C547" s="20"/>
      <c r="D547" s="20"/>
      <c r="E547" s="20"/>
      <c r="F547" s="20"/>
      <c r="G547" s="20"/>
      <c r="H547" s="6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5"/>
      <c r="B548" s="65"/>
      <c r="C548" s="20"/>
      <c r="D548" s="20"/>
      <c r="E548" s="20"/>
      <c r="F548" s="20"/>
      <c r="G548" s="20"/>
      <c r="H548" s="6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5"/>
      <c r="B549" s="65"/>
      <c r="C549" s="20"/>
      <c r="D549" s="20"/>
      <c r="E549" s="20"/>
      <c r="F549" s="20"/>
      <c r="G549" s="20"/>
      <c r="H549" s="6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5"/>
      <c r="B550" s="65"/>
      <c r="C550" s="20"/>
      <c r="D550" s="20"/>
      <c r="E550" s="20"/>
      <c r="F550" s="20"/>
      <c r="G550" s="20"/>
      <c r="H550" s="6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5"/>
      <c r="B551" s="65"/>
      <c r="C551" s="20"/>
      <c r="D551" s="20"/>
      <c r="E551" s="20"/>
      <c r="F551" s="20"/>
      <c r="G551" s="20"/>
      <c r="H551" s="6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5"/>
      <c r="B552" s="65"/>
      <c r="C552" s="20"/>
      <c r="D552" s="20"/>
      <c r="E552" s="20"/>
      <c r="F552" s="20"/>
      <c r="G552" s="20"/>
      <c r="H552" s="6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5"/>
      <c r="B553" s="65"/>
      <c r="C553" s="20"/>
      <c r="D553" s="20"/>
      <c r="E553" s="20"/>
      <c r="F553" s="20"/>
      <c r="G553" s="20"/>
      <c r="H553" s="6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5"/>
      <c r="B554" s="65"/>
      <c r="C554" s="20"/>
      <c r="D554" s="20"/>
      <c r="E554" s="20"/>
      <c r="F554" s="20"/>
      <c r="G554" s="20"/>
      <c r="H554" s="6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5"/>
      <c r="B555" s="65"/>
      <c r="C555" s="20"/>
      <c r="D555" s="20"/>
      <c r="E555" s="20"/>
      <c r="F555" s="20"/>
      <c r="G555" s="20"/>
      <c r="H555" s="6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5"/>
      <c r="B556" s="65"/>
      <c r="C556" s="20"/>
      <c r="D556" s="20"/>
      <c r="E556" s="20"/>
      <c r="F556" s="20"/>
      <c r="G556" s="20"/>
      <c r="H556" s="6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5"/>
      <c r="B557" s="65"/>
      <c r="C557" s="20"/>
      <c r="D557" s="20"/>
      <c r="E557" s="20"/>
      <c r="F557" s="20"/>
      <c r="G557" s="20"/>
      <c r="H557" s="6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5"/>
      <c r="B558" s="65"/>
      <c r="C558" s="20"/>
      <c r="D558" s="20"/>
      <c r="E558" s="20"/>
      <c r="F558" s="20"/>
      <c r="G558" s="20"/>
      <c r="H558" s="6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5"/>
      <c r="B559" s="65"/>
      <c r="C559" s="20"/>
      <c r="D559" s="20"/>
      <c r="E559" s="20"/>
      <c r="F559" s="20"/>
      <c r="G559" s="20"/>
      <c r="H559" s="6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5"/>
      <c r="B560" s="65"/>
      <c r="C560" s="20"/>
      <c r="D560" s="20"/>
      <c r="E560" s="20"/>
      <c r="F560" s="20"/>
      <c r="G560" s="20"/>
      <c r="H560" s="6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5"/>
      <c r="B561" s="65"/>
      <c r="C561" s="20"/>
      <c r="D561" s="20"/>
      <c r="E561" s="20"/>
      <c r="F561" s="20"/>
      <c r="G561" s="20"/>
      <c r="H561" s="6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5"/>
      <c r="B562" s="65"/>
      <c r="C562" s="20"/>
      <c r="D562" s="20"/>
      <c r="E562" s="20"/>
      <c r="F562" s="20"/>
      <c r="G562" s="20"/>
      <c r="H562" s="6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5"/>
      <c r="B563" s="65"/>
      <c r="C563" s="20"/>
      <c r="D563" s="20"/>
      <c r="E563" s="20"/>
      <c r="F563" s="20"/>
      <c r="G563" s="20"/>
      <c r="H563" s="6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5"/>
      <c r="B564" s="65"/>
      <c r="C564" s="20"/>
      <c r="D564" s="20"/>
      <c r="E564" s="20"/>
      <c r="F564" s="20"/>
      <c r="G564" s="20"/>
      <c r="H564" s="6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5"/>
      <c r="B565" s="65"/>
      <c r="C565" s="20"/>
      <c r="D565" s="20"/>
      <c r="E565" s="20"/>
      <c r="F565" s="20"/>
      <c r="G565" s="20"/>
      <c r="H565" s="6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5"/>
      <c r="B566" s="65"/>
      <c r="C566" s="20"/>
      <c r="D566" s="20"/>
      <c r="E566" s="20"/>
      <c r="F566" s="20"/>
      <c r="G566" s="20"/>
      <c r="H566" s="6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5"/>
      <c r="B567" s="65"/>
      <c r="C567" s="20"/>
      <c r="D567" s="20"/>
      <c r="E567" s="20"/>
      <c r="F567" s="20"/>
      <c r="G567" s="20"/>
      <c r="H567" s="6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5"/>
      <c r="B568" s="65"/>
      <c r="C568" s="20"/>
      <c r="D568" s="20"/>
      <c r="E568" s="20"/>
      <c r="F568" s="20"/>
      <c r="G568" s="20"/>
      <c r="H568" s="6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5"/>
      <c r="B569" s="65"/>
      <c r="C569" s="20"/>
      <c r="D569" s="20"/>
      <c r="E569" s="20"/>
      <c r="F569" s="20"/>
      <c r="G569" s="20"/>
      <c r="H569" s="6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5"/>
      <c r="B570" s="65"/>
      <c r="C570" s="20"/>
      <c r="D570" s="20"/>
      <c r="E570" s="20"/>
      <c r="F570" s="20"/>
      <c r="G570" s="20"/>
      <c r="H570" s="6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5"/>
      <c r="B571" s="65"/>
      <c r="C571" s="20"/>
      <c r="D571" s="20"/>
      <c r="E571" s="20"/>
      <c r="F571" s="20"/>
      <c r="G571" s="20"/>
      <c r="H571" s="6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5"/>
      <c r="B572" s="65"/>
      <c r="C572" s="20"/>
      <c r="D572" s="20"/>
      <c r="E572" s="20"/>
      <c r="F572" s="20"/>
      <c r="G572" s="20"/>
      <c r="H572" s="6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5"/>
      <c r="B573" s="65"/>
      <c r="C573" s="20"/>
      <c r="D573" s="20"/>
      <c r="E573" s="20"/>
      <c r="F573" s="20"/>
      <c r="G573" s="20"/>
      <c r="H573" s="6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5"/>
      <c r="B574" s="65"/>
      <c r="C574" s="20"/>
      <c r="D574" s="20"/>
      <c r="E574" s="20"/>
      <c r="F574" s="20"/>
      <c r="G574" s="20"/>
      <c r="H574" s="6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5"/>
      <c r="B575" s="65"/>
      <c r="C575" s="20"/>
      <c r="D575" s="20"/>
      <c r="E575" s="20"/>
      <c r="F575" s="20"/>
      <c r="G575" s="20"/>
      <c r="H575" s="6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5"/>
      <c r="B576" s="65"/>
      <c r="C576" s="20"/>
      <c r="D576" s="20"/>
      <c r="E576" s="20"/>
      <c r="F576" s="20"/>
      <c r="G576" s="20"/>
      <c r="H576" s="6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5"/>
      <c r="B577" s="65"/>
      <c r="C577" s="20"/>
      <c r="D577" s="20"/>
      <c r="E577" s="20"/>
      <c r="F577" s="20"/>
      <c r="G577" s="20"/>
      <c r="H577" s="6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5"/>
      <c r="B578" s="65"/>
      <c r="C578" s="20"/>
      <c r="D578" s="20"/>
      <c r="E578" s="20"/>
      <c r="F578" s="20"/>
      <c r="G578" s="20"/>
      <c r="H578" s="6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5"/>
      <c r="B579" s="65"/>
      <c r="C579" s="20"/>
      <c r="D579" s="20"/>
      <c r="E579" s="20"/>
      <c r="F579" s="20"/>
      <c r="G579" s="20"/>
      <c r="H579" s="6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5"/>
      <c r="B580" s="65"/>
      <c r="C580" s="20"/>
      <c r="D580" s="20"/>
      <c r="E580" s="20"/>
      <c r="F580" s="20"/>
      <c r="G580" s="20"/>
      <c r="H580" s="6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5"/>
      <c r="B581" s="65"/>
      <c r="C581" s="20"/>
      <c r="D581" s="20"/>
      <c r="E581" s="20"/>
      <c r="F581" s="20"/>
      <c r="G581" s="20"/>
      <c r="H581" s="6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5"/>
      <c r="B582" s="65"/>
      <c r="C582" s="20"/>
      <c r="D582" s="20"/>
      <c r="E582" s="20"/>
      <c r="F582" s="20"/>
      <c r="G582" s="20"/>
      <c r="H582" s="6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5"/>
      <c r="B583" s="65"/>
      <c r="C583" s="20"/>
      <c r="D583" s="20"/>
      <c r="E583" s="20"/>
      <c r="F583" s="20"/>
      <c r="G583" s="20"/>
      <c r="H583" s="6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5"/>
      <c r="B584" s="65"/>
      <c r="C584" s="20"/>
      <c r="D584" s="20"/>
      <c r="E584" s="20"/>
      <c r="F584" s="20"/>
      <c r="G584" s="20"/>
      <c r="H584" s="6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5"/>
      <c r="B585" s="65"/>
      <c r="C585" s="20"/>
      <c r="D585" s="20"/>
      <c r="E585" s="20"/>
      <c r="F585" s="20"/>
      <c r="G585" s="20"/>
      <c r="H585" s="6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5"/>
      <c r="B586" s="65"/>
      <c r="C586" s="20"/>
      <c r="D586" s="20"/>
      <c r="E586" s="20"/>
      <c r="F586" s="20"/>
      <c r="G586" s="20"/>
      <c r="H586" s="6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5"/>
      <c r="B587" s="65"/>
      <c r="C587" s="20"/>
      <c r="D587" s="20"/>
      <c r="E587" s="20"/>
      <c r="F587" s="20"/>
      <c r="G587" s="20"/>
      <c r="H587" s="6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5"/>
      <c r="B588" s="65"/>
      <c r="C588" s="20"/>
      <c r="D588" s="20"/>
      <c r="E588" s="20"/>
      <c r="F588" s="20"/>
      <c r="G588" s="20"/>
      <c r="H588" s="6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5"/>
      <c r="B589" s="65"/>
      <c r="C589" s="20"/>
      <c r="D589" s="20"/>
      <c r="E589" s="20"/>
      <c r="F589" s="20"/>
      <c r="G589" s="20"/>
      <c r="H589" s="6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5"/>
      <c r="B590" s="65"/>
      <c r="C590" s="20"/>
      <c r="D590" s="20"/>
      <c r="E590" s="20"/>
      <c r="F590" s="20"/>
      <c r="G590" s="20"/>
      <c r="H590" s="6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5"/>
      <c r="B591" s="65"/>
      <c r="C591" s="20"/>
      <c r="D591" s="20"/>
      <c r="E591" s="20"/>
      <c r="F591" s="20"/>
      <c r="G591" s="20"/>
      <c r="H591" s="6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5"/>
      <c r="B592" s="65"/>
      <c r="C592" s="20"/>
      <c r="D592" s="20"/>
      <c r="E592" s="20"/>
      <c r="F592" s="20"/>
      <c r="G592" s="20"/>
      <c r="H592" s="6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5"/>
      <c r="B593" s="65"/>
      <c r="C593" s="20"/>
      <c r="D593" s="20"/>
      <c r="E593" s="20"/>
      <c r="F593" s="20"/>
      <c r="G593" s="20"/>
      <c r="H593" s="6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5"/>
      <c r="B594" s="65"/>
      <c r="C594" s="20"/>
      <c r="D594" s="20"/>
      <c r="E594" s="20"/>
      <c r="F594" s="20"/>
      <c r="G594" s="20"/>
      <c r="H594" s="6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5"/>
      <c r="B595" s="65"/>
      <c r="C595" s="20"/>
      <c r="D595" s="20"/>
      <c r="E595" s="20"/>
      <c r="F595" s="20"/>
      <c r="G595" s="20"/>
      <c r="H595" s="6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5"/>
      <c r="B596" s="65"/>
      <c r="C596" s="20"/>
      <c r="D596" s="20"/>
      <c r="E596" s="20"/>
      <c r="F596" s="20"/>
      <c r="G596" s="20"/>
      <c r="H596" s="6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5"/>
      <c r="B597" s="65"/>
      <c r="C597" s="20"/>
      <c r="D597" s="20"/>
      <c r="E597" s="20"/>
      <c r="F597" s="20"/>
      <c r="G597" s="20"/>
      <c r="H597" s="6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5"/>
      <c r="B598" s="65"/>
      <c r="C598" s="20"/>
      <c r="D598" s="20"/>
      <c r="E598" s="20"/>
      <c r="F598" s="20"/>
      <c r="G598" s="20"/>
      <c r="H598" s="6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5"/>
      <c r="B599" s="65"/>
      <c r="C599" s="20"/>
      <c r="D599" s="20"/>
      <c r="E599" s="20"/>
      <c r="F599" s="20"/>
      <c r="G599" s="20"/>
      <c r="H599" s="6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5"/>
      <c r="B600" s="65"/>
      <c r="C600" s="20"/>
      <c r="D600" s="20"/>
      <c r="E600" s="20"/>
      <c r="F600" s="20"/>
      <c r="G600" s="20"/>
      <c r="H600" s="6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5"/>
      <c r="B601" s="65"/>
      <c r="C601" s="20"/>
      <c r="D601" s="20"/>
      <c r="E601" s="20"/>
      <c r="F601" s="20"/>
      <c r="G601" s="20"/>
      <c r="H601" s="6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5"/>
      <c r="B602" s="65"/>
      <c r="C602" s="20"/>
      <c r="D602" s="20"/>
      <c r="E602" s="20"/>
      <c r="F602" s="20"/>
      <c r="G602" s="20"/>
      <c r="H602" s="6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5"/>
      <c r="B603" s="65"/>
      <c r="C603" s="20"/>
      <c r="D603" s="20"/>
      <c r="E603" s="20"/>
      <c r="F603" s="20"/>
      <c r="G603" s="20"/>
      <c r="H603" s="6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5"/>
      <c r="B604" s="65"/>
      <c r="C604" s="20"/>
      <c r="D604" s="20"/>
      <c r="E604" s="20"/>
      <c r="F604" s="20"/>
      <c r="G604" s="20"/>
      <c r="H604" s="6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5"/>
      <c r="B605" s="65"/>
      <c r="C605" s="20"/>
      <c r="D605" s="20"/>
      <c r="E605" s="20"/>
      <c r="F605" s="20"/>
      <c r="G605" s="20"/>
      <c r="H605" s="6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5"/>
      <c r="B606" s="65"/>
      <c r="C606" s="20"/>
      <c r="D606" s="20"/>
      <c r="E606" s="20"/>
      <c r="F606" s="20"/>
      <c r="G606" s="20"/>
      <c r="H606" s="6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5"/>
      <c r="B607" s="65"/>
      <c r="C607" s="20"/>
      <c r="D607" s="20"/>
      <c r="E607" s="20"/>
      <c r="F607" s="20"/>
      <c r="G607" s="20"/>
      <c r="H607" s="6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5"/>
      <c r="B608" s="65"/>
      <c r="C608" s="20"/>
      <c r="D608" s="20"/>
      <c r="E608" s="20"/>
      <c r="F608" s="20"/>
      <c r="G608" s="20"/>
      <c r="H608" s="6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5"/>
      <c r="B609" s="65"/>
      <c r="C609" s="20"/>
      <c r="D609" s="20"/>
      <c r="E609" s="20"/>
      <c r="F609" s="20"/>
      <c r="G609" s="20"/>
      <c r="H609" s="6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5"/>
      <c r="B610" s="65"/>
      <c r="C610" s="20"/>
      <c r="D610" s="20"/>
      <c r="E610" s="20"/>
      <c r="F610" s="20"/>
      <c r="G610" s="20"/>
      <c r="H610" s="6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5"/>
      <c r="B611" s="65"/>
      <c r="C611" s="20"/>
      <c r="D611" s="20"/>
      <c r="E611" s="20"/>
      <c r="F611" s="20"/>
      <c r="G611" s="20"/>
      <c r="H611" s="6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5"/>
      <c r="B612" s="65"/>
      <c r="C612" s="20"/>
      <c r="D612" s="20"/>
      <c r="E612" s="20"/>
      <c r="F612" s="20"/>
      <c r="G612" s="20"/>
      <c r="H612" s="6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5"/>
      <c r="B613" s="65"/>
      <c r="C613" s="20"/>
      <c r="D613" s="20"/>
      <c r="E613" s="20"/>
      <c r="F613" s="20"/>
      <c r="G613" s="20"/>
      <c r="H613" s="6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5"/>
      <c r="B614" s="65"/>
      <c r="C614" s="20"/>
      <c r="D614" s="20"/>
      <c r="E614" s="20"/>
      <c r="F614" s="20"/>
      <c r="G614" s="20"/>
      <c r="H614" s="6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5"/>
      <c r="B615" s="65"/>
      <c r="C615" s="20"/>
      <c r="D615" s="20"/>
      <c r="E615" s="20"/>
      <c r="F615" s="20"/>
      <c r="G615" s="20"/>
      <c r="H615" s="6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5"/>
      <c r="B616" s="65"/>
      <c r="C616" s="20"/>
      <c r="D616" s="20"/>
      <c r="E616" s="20"/>
      <c r="F616" s="20"/>
      <c r="G616" s="20"/>
      <c r="H616" s="6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5"/>
      <c r="B617" s="65"/>
      <c r="C617" s="20"/>
      <c r="D617" s="20"/>
      <c r="E617" s="20"/>
      <c r="F617" s="20"/>
      <c r="G617" s="20"/>
      <c r="H617" s="6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5"/>
      <c r="B618" s="65"/>
      <c r="C618" s="20"/>
      <c r="D618" s="20"/>
      <c r="E618" s="20"/>
      <c r="F618" s="20"/>
      <c r="G618" s="20"/>
      <c r="H618" s="6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5"/>
      <c r="B619" s="65"/>
      <c r="C619" s="20"/>
      <c r="D619" s="20"/>
      <c r="E619" s="20"/>
      <c r="F619" s="20"/>
      <c r="G619" s="20"/>
      <c r="H619" s="6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5"/>
      <c r="B620" s="65"/>
      <c r="C620" s="20"/>
      <c r="D620" s="20"/>
      <c r="E620" s="20"/>
      <c r="F620" s="20"/>
      <c r="G620" s="20"/>
      <c r="H620" s="6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5"/>
      <c r="B621" s="65"/>
      <c r="C621" s="20"/>
      <c r="D621" s="20"/>
      <c r="E621" s="20"/>
      <c r="F621" s="20"/>
      <c r="G621" s="20"/>
      <c r="H621" s="6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5"/>
      <c r="B622" s="65"/>
      <c r="C622" s="20"/>
      <c r="D622" s="20"/>
      <c r="E622" s="20"/>
      <c r="F622" s="20"/>
      <c r="G622" s="20"/>
      <c r="H622" s="6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5"/>
      <c r="B623" s="65"/>
      <c r="C623" s="20"/>
      <c r="D623" s="20"/>
      <c r="E623" s="20"/>
      <c r="F623" s="20"/>
      <c r="G623" s="20"/>
      <c r="H623" s="6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5"/>
      <c r="B624" s="65"/>
      <c r="C624" s="20"/>
      <c r="D624" s="20"/>
      <c r="E624" s="20"/>
      <c r="F624" s="20"/>
      <c r="G624" s="20"/>
      <c r="H624" s="6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5"/>
      <c r="B625" s="65"/>
      <c r="C625" s="20"/>
      <c r="D625" s="20"/>
      <c r="E625" s="20"/>
      <c r="F625" s="20"/>
      <c r="G625" s="20"/>
      <c r="H625" s="6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5"/>
      <c r="B626" s="65"/>
      <c r="C626" s="20"/>
      <c r="D626" s="20"/>
      <c r="E626" s="20"/>
      <c r="F626" s="20"/>
      <c r="G626" s="20"/>
      <c r="H626" s="6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5"/>
      <c r="B627" s="65"/>
      <c r="C627" s="20"/>
      <c r="D627" s="20"/>
      <c r="E627" s="20"/>
      <c r="F627" s="20"/>
      <c r="G627" s="20"/>
      <c r="H627" s="6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5"/>
      <c r="B628" s="65"/>
      <c r="C628" s="20"/>
      <c r="D628" s="20"/>
      <c r="E628" s="20"/>
      <c r="F628" s="20"/>
      <c r="G628" s="20"/>
      <c r="H628" s="6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5"/>
      <c r="B629" s="65"/>
      <c r="C629" s="20"/>
      <c r="D629" s="20"/>
      <c r="E629" s="20"/>
      <c r="F629" s="20"/>
      <c r="G629" s="20"/>
      <c r="H629" s="6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5"/>
      <c r="B630" s="65"/>
      <c r="C630" s="20"/>
      <c r="D630" s="20"/>
      <c r="E630" s="20"/>
      <c r="F630" s="20"/>
      <c r="G630" s="20"/>
      <c r="H630" s="6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5"/>
      <c r="B631" s="65"/>
      <c r="C631" s="20"/>
      <c r="D631" s="20"/>
      <c r="E631" s="20"/>
      <c r="F631" s="20"/>
      <c r="G631" s="20"/>
      <c r="H631" s="6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5"/>
      <c r="B632" s="65"/>
      <c r="C632" s="20"/>
      <c r="D632" s="20"/>
      <c r="E632" s="20"/>
      <c r="F632" s="20"/>
      <c r="G632" s="20"/>
      <c r="H632" s="6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5"/>
      <c r="B633" s="65"/>
      <c r="C633" s="20"/>
      <c r="D633" s="20"/>
      <c r="E633" s="20"/>
      <c r="F633" s="20"/>
      <c r="G633" s="20"/>
      <c r="H633" s="6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5"/>
      <c r="B634" s="65"/>
      <c r="C634" s="20"/>
      <c r="D634" s="20"/>
      <c r="E634" s="20"/>
      <c r="F634" s="20"/>
      <c r="G634" s="20"/>
      <c r="H634" s="6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5"/>
      <c r="B635" s="65"/>
      <c r="C635" s="20"/>
      <c r="D635" s="20"/>
      <c r="E635" s="20"/>
      <c r="F635" s="20"/>
      <c r="G635" s="20"/>
      <c r="H635" s="6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5"/>
      <c r="B636" s="65"/>
      <c r="C636" s="20"/>
      <c r="D636" s="20"/>
      <c r="E636" s="20"/>
      <c r="F636" s="20"/>
      <c r="G636" s="20"/>
      <c r="H636" s="6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5"/>
      <c r="B637" s="65"/>
      <c r="C637" s="20"/>
      <c r="D637" s="20"/>
      <c r="E637" s="20"/>
      <c r="F637" s="20"/>
      <c r="G637" s="20"/>
      <c r="H637" s="6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5"/>
      <c r="B638" s="65"/>
      <c r="C638" s="20"/>
      <c r="D638" s="20"/>
      <c r="E638" s="20"/>
      <c r="F638" s="20"/>
      <c r="G638" s="20"/>
      <c r="H638" s="6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5"/>
      <c r="B639" s="65"/>
      <c r="C639" s="20"/>
      <c r="D639" s="20"/>
      <c r="E639" s="20"/>
      <c r="F639" s="20"/>
      <c r="G639" s="20"/>
      <c r="H639" s="6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5"/>
      <c r="B640" s="65"/>
      <c r="C640" s="20"/>
      <c r="D640" s="20"/>
      <c r="E640" s="20"/>
      <c r="F640" s="20"/>
      <c r="G640" s="20"/>
      <c r="H640" s="6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5"/>
      <c r="B641" s="65"/>
      <c r="C641" s="20"/>
      <c r="D641" s="20"/>
      <c r="E641" s="20"/>
      <c r="F641" s="20"/>
      <c r="G641" s="20"/>
      <c r="H641" s="6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5"/>
      <c r="B642" s="65"/>
      <c r="C642" s="20"/>
      <c r="D642" s="20"/>
      <c r="E642" s="20"/>
      <c r="F642" s="20"/>
      <c r="G642" s="20"/>
      <c r="H642" s="6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5"/>
      <c r="B643" s="65"/>
      <c r="C643" s="20"/>
      <c r="D643" s="20"/>
      <c r="E643" s="20"/>
      <c r="F643" s="20"/>
      <c r="G643" s="20"/>
      <c r="H643" s="6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5"/>
      <c r="B644" s="65"/>
      <c r="C644" s="20"/>
      <c r="D644" s="20"/>
      <c r="E644" s="20"/>
      <c r="F644" s="20"/>
      <c r="G644" s="20"/>
      <c r="H644" s="6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5"/>
      <c r="B645" s="65"/>
      <c r="C645" s="20"/>
      <c r="D645" s="20"/>
      <c r="E645" s="20"/>
      <c r="F645" s="20"/>
      <c r="G645" s="20"/>
      <c r="H645" s="6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5"/>
      <c r="B646" s="65"/>
      <c r="C646" s="20"/>
      <c r="D646" s="20"/>
      <c r="E646" s="20"/>
      <c r="F646" s="20"/>
      <c r="G646" s="20"/>
      <c r="H646" s="6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5"/>
      <c r="B647" s="65"/>
      <c r="C647" s="20"/>
      <c r="D647" s="20"/>
      <c r="E647" s="20"/>
      <c r="F647" s="20"/>
      <c r="G647" s="20"/>
      <c r="H647" s="6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5"/>
      <c r="B648" s="65"/>
      <c r="C648" s="20"/>
      <c r="D648" s="20"/>
      <c r="E648" s="20"/>
      <c r="F648" s="20"/>
      <c r="G648" s="20"/>
      <c r="H648" s="6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5"/>
      <c r="B649" s="65"/>
      <c r="C649" s="20"/>
      <c r="D649" s="20"/>
      <c r="E649" s="20"/>
      <c r="F649" s="20"/>
      <c r="G649" s="20"/>
      <c r="H649" s="6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5"/>
      <c r="B650" s="65"/>
      <c r="C650" s="20"/>
      <c r="D650" s="20"/>
      <c r="E650" s="20"/>
      <c r="F650" s="20"/>
      <c r="G650" s="20"/>
      <c r="H650" s="6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5"/>
      <c r="B651" s="65"/>
      <c r="C651" s="20"/>
      <c r="D651" s="20"/>
      <c r="E651" s="20"/>
      <c r="F651" s="20"/>
      <c r="G651" s="20"/>
      <c r="H651" s="6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5"/>
      <c r="B652" s="65"/>
      <c r="C652" s="20"/>
      <c r="D652" s="20"/>
      <c r="E652" s="20"/>
      <c r="F652" s="20"/>
      <c r="G652" s="20"/>
      <c r="H652" s="6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5"/>
      <c r="B653" s="65"/>
      <c r="C653" s="20"/>
      <c r="D653" s="20"/>
      <c r="E653" s="20"/>
      <c r="F653" s="20"/>
      <c r="G653" s="20"/>
      <c r="H653" s="6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5"/>
      <c r="B654" s="65"/>
      <c r="C654" s="20"/>
      <c r="D654" s="20"/>
      <c r="E654" s="20"/>
      <c r="F654" s="20"/>
      <c r="G654" s="20"/>
      <c r="H654" s="6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5"/>
      <c r="B655" s="65"/>
      <c r="C655" s="20"/>
      <c r="D655" s="20"/>
      <c r="E655" s="20"/>
      <c r="F655" s="20"/>
      <c r="G655" s="20"/>
      <c r="H655" s="6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5"/>
      <c r="B656" s="65"/>
      <c r="C656" s="20"/>
      <c r="D656" s="20"/>
      <c r="E656" s="20"/>
      <c r="F656" s="20"/>
      <c r="G656" s="20"/>
      <c r="H656" s="6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5"/>
      <c r="B657" s="65"/>
      <c r="C657" s="20"/>
      <c r="D657" s="20"/>
      <c r="E657" s="20"/>
      <c r="F657" s="20"/>
      <c r="G657" s="20"/>
      <c r="H657" s="6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5"/>
      <c r="B658" s="65"/>
      <c r="C658" s="20"/>
      <c r="D658" s="20"/>
      <c r="E658" s="20"/>
      <c r="F658" s="20"/>
      <c r="G658" s="20"/>
      <c r="H658" s="6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5"/>
      <c r="B659" s="65"/>
      <c r="C659" s="20"/>
      <c r="D659" s="20"/>
      <c r="E659" s="20"/>
      <c r="F659" s="20"/>
      <c r="G659" s="20"/>
      <c r="H659" s="6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5"/>
      <c r="B660" s="65"/>
      <c r="C660" s="20"/>
      <c r="D660" s="20"/>
      <c r="E660" s="20"/>
      <c r="F660" s="20"/>
      <c r="G660" s="20"/>
      <c r="H660" s="6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5"/>
      <c r="B661" s="65"/>
      <c r="C661" s="20"/>
      <c r="D661" s="20"/>
      <c r="E661" s="20"/>
      <c r="F661" s="20"/>
      <c r="G661" s="20"/>
      <c r="H661" s="6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5"/>
      <c r="B662" s="65"/>
      <c r="C662" s="20"/>
      <c r="D662" s="20"/>
      <c r="E662" s="20"/>
      <c r="F662" s="20"/>
      <c r="G662" s="20"/>
      <c r="H662" s="6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5"/>
      <c r="B663" s="65"/>
      <c r="C663" s="20"/>
      <c r="D663" s="20"/>
      <c r="E663" s="20"/>
      <c r="F663" s="20"/>
      <c r="G663" s="20"/>
      <c r="H663" s="6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5"/>
      <c r="B664" s="65"/>
      <c r="C664" s="20"/>
      <c r="D664" s="20"/>
      <c r="E664" s="20"/>
      <c r="F664" s="20"/>
      <c r="G664" s="20"/>
      <c r="H664" s="6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5"/>
      <c r="B665" s="65"/>
      <c r="C665" s="20"/>
      <c r="D665" s="20"/>
      <c r="E665" s="20"/>
      <c r="F665" s="20"/>
      <c r="G665" s="20"/>
      <c r="H665" s="6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5"/>
      <c r="B666" s="65"/>
      <c r="C666" s="20"/>
      <c r="D666" s="20"/>
      <c r="E666" s="20"/>
      <c r="F666" s="20"/>
      <c r="G666" s="20"/>
      <c r="H666" s="6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5"/>
      <c r="B667" s="65"/>
      <c r="C667" s="20"/>
      <c r="D667" s="20"/>
      <c r="E667" s="20"/>
      <c r="F667" s="20"/>
      <c r="G667" s="20"/>
      <c r="H667" s="6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5"/>
      <c r="B668" s="65"/>
      <c r="C668" s="20"/>
      <c r="D668" s="20"/>
      <c r="E668" s="20"/>
      <c r="F668" s="20"/>
      <c r="G668" s="20"/>
      <c r="H668" s="6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5"/>
      <c r="B669" s="65"/>
      <c r="C669" s="20"/>
      <c r="D669" s="20"/>
      <c r="E669" s="20"/>
      <c r="F669" s="20"/>
      <c r="G669" s="20"/>
      <c r="H669" s="6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5"/>
      <c r="B670" s="65"/>
      <c r="C670" s="20"/>
      <c r="D670" s="20"/>
      <c r="E670" s="20"/>
      <c r="F670" s="20"/>
      <c r="G670" s="20"/>
      <c r="H670" s="6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5"/>
      <c r="B671" s="65"/>
      <c r="C671" s="20"/>
      <c r="D671" s="20"/>
      <c r="E671" s="20"/>
      <c r="F671" s="20"/>
      <c r="G671" s="20"/>
      <c r="H671" s="6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5"/>
      <c r="B672" s="65"/>
      <c r="C672" s="20"/>
      <c r="D672" s="20"/>
      <c r="E672" s="20"/>
      <c r="F672" s="20"/>
      <c r="G672" s="20"/>
      <c r="H672" s="6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5"/>
      <c r="B673" s="65"/>
      <c r="C673" s="20"/>
      <c r="D673" s="20"/>
      <c r="E673" s="20"/>
      <c r="F673" s="20"/>
      <c r="G673" s="20"/>
      <c r="H673" s="6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5"/>
      <c r="B674" s="65"/>
      <c r="C674" s="20"/>
      <c r="D674" s="20"/>
      <c r="E674" s="20"/>
      <c r="F674" s="20"/>
      <c r="G674" s="20"/>
      <c r="H674" s="6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5"/>
      <c r="B675" s="65"/>
      <c r="C675" s="20"/>
      <c r="D675" s="20"/>
      <c r="E675" s="20"/>
      <c r="F675" s="20"/>
      <c r="G675" s="20"/>
      <c r="H675" s="6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5"/>
      <c r="B676" s="65"/>
      <c r="C676" s="20"/>
      <c r="D676" s="20"/>
      <c r="E676" s="20"/>
      <c r="F676" s="20"/>
      <c r="G676" s="20"/>
      <c r="H676" s="6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5"/>
      <c r="B677" s="65"/>
      <c r="C677" s="20"/>
      <c r="D677" s="20"/>
      <c r="E677" s="20"/>
      <c r="F677" s="20"/>
      <c r="G677" s="20"/>
      <c r="H677" s="6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5"/>
      <c r="B678" s="65"/>
      <c r="C678" s="20"/>
      <c r="D678" s="20"/>
      <c r="E678" s="20"/>
      <c r="F678" s="20"/>
      <c r="G678" s="20"/>
      <c r="H678" s="6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5"/>
      <c r="B679" s="65"/>
      <c r="C679" s="20"/>
      <c r="D679" s="20"/>
      <c r="E679" s="20"/>
      <c r="F679" s="20"/>
      <c r="G679" s="20"/>
      <c r="H679" s="6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5"/>
      <c r="B680" s="65"/>
      <c r="C680" s="20"/>
      <c r="D680" s="20"/>
      <c r="E680" s="20"/>
      <c r="F680" s="20"/>
      <c r="G680" s="20"/>
      <c r="H680" s="6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5"/>
      <c r="B681" s="65"/>
      <c r="C681" s="20"/>
      <c r="D681" s="20"/>
      <c r="E681" s="20"/>
      <c r="F681" s="20"/>
      <c r="G681" s="20"/>
      <c r="H681" s="6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5"/>
      <c r="B682" s="65"/>
      <c r="C682" s="20"/>
      <c r="D682" s="20"/>
      <c r="E682" s="20"/>
      <c r="F682" s="20"/>
      <c r="G682" s="20"/>
      <c r="H682" s="6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5"/>
      <c r="B683" s="65"/>
      <c r="C683" s="20"/>
      <c r="D683" s="20"/>
      <c r="E683" s="20"/>
      <c r="F683" s="20"/>
      <c r="G683" s="20"/>
      <c r="H683" s="6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5"/>
      <c r="B684" s="65"/>
      <c r="C684" s="20"/>
      <c r="D684" s="20"/>
      <c r="E684" s="20"/>
      <c r="F684" s="20"/>
      <c r="G684" s="20"/>
      <c r="H684" s="6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5"/>
      <c r="B685" s="65"/>
      <c r="C685" s="20"/>
      <c r="D685" s="20"/>
      <c r="E685" s="20"/>
      <c r="F685" s="20"/>
      <c r="G685" s="20"/>
      <c r="H685" s="6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5"/>
      <c r="B686" s="65"/>
      <c r="C686" s="20"/>
      <c r="D686" s="20"/>
      <c r="E686" s="20"/>
      <c r="F686" s="20"/>
      <c r="G686" s="20"/>
      <c r="H686" s="6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5"/>
      <c r="B687" s="65"/>
      <c r="C687" s="20"/>
      <c r="D687" s="20"/>
      <c r="E687" s="20"/>
      <c r="F687" s="20"/>
      <c r="G687" s="20"/>
      <c r="H687" s="6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5"/>
      <c r="B688" s="65"/>
      <c r="C688" s="20"/>
      <c r="D688" s="20"/>
      <c r="E688" s="20"/>
      <c r="F688" s="20"/>
      <c r="G688" s="20"/>
      <c r="H688" s="6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5"/>
      <c r="B689" s="65"/>
      <c r="C689" s="20"/>
      <c r="D689" s="20"/>
      <c r="E689" s="20"/>
      <c r="F689" s="20"/>
      <c r="G689" s="20"/>
      <c r="H689" s="6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5"/>
      <c r="B690" s="65"/>
      <c r="C690" s="20"/>
      <c r="D690" s="20"/>
      <c r="E690" s="20"/>
      <c r="F690" s="20"/>
      <c r="G690" s="20"/>
      <c r="H690" s="6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5"/>
      <c r="B691" s="65"/>
      <c r="C691" s="20"/>
      <c r="D691" s="20"/>
      <c r="E691" s="20"/>
      <c r="F691" s="20"/>
      <c r="G691" s="20"/>
      <c r="H691" s="6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5"/>
      <c r="B692" s="65"/>
      <c r="C692" s="20"/>
      <c r="D692" s="20"/>
      <c r="E692" s="20"/>
      <c r="F692" s="20"/>
      <c r="G692" s="20"/>
      <c r="H692" s="6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5"/>
      <c r="B693" s="65"/>
      <c r="C693" s="20"/>
      <c r="D693" s="20"/>
      <c r="E693" s="20"/>
      <c r="F693" s="20"/>
      <c r="G693" s="20"/>
      <c r="H693" s="6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5"/>
      <c r="B694" s="65"/>
      <c r="C694" s="20"/>
      <c r="D694" s="20"/>
      <c r="E694" s="20"/>
      <c r="F694" s="20"/>
      <c r="G694" s="20"/>
      <c r="H694" s="6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5"/>
      <c r="B695" s="65"/>
      <c r="C695" s="20"/>
      <c r="D695" s="20"/>
      <c r="E695" s="20"/>
      <c r="F695" s="20"/>
      <c r="G695" s="20"/>
      <c r="H695" s="6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5"/>
      <c r="B696" s="65"/>
      <c r="C696" s="20"/>
      <c r="D696" s="20"/>
      <c r="E696" s="20"/>
      <c r="F696" s="20"/>
      <c r="G696" s="20"/>
      <c r="H696" s="6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5"/>
      <c r="B697" s="65"/>
      <c r="C697" s="20"/>
      <c r="D697" s="20"/>
      <c r="E697" s="20"/>
      <c r="F697" s="20"/>
      <c r="G697" s="20"/>
      <c r="H697" s="6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5"/>
      <c r="B698" s="65"/>
      <c r="C698" s="20"/>
      <c r="D698" s="20"/>
      <c r="E698" s="20"/>
      <c r="F698" s="20"/>
      <c r="G698" s="20"/>
      <c r="H698" s="6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5"/>
      <c r="B699" s="65"/>
      <c r="C699" s="20"/>
      <c r="D699" s="20"/>
      <c r="E699" s="20"/>
      <c r="F699" s="20"/>
      <c r="G699" s="20"/>
      <c r="H699" s="6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5"/>
      <c r="B700" s="65"/>
      <c r="C700" s="20"/>
      <c r="D700" s="20"/>
      <c r="E700" s="20"/>
      <c r="F700" s="20"/>
      <c r="G700" s="20"/>
      <c r="H700" s="6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5"/>
      <c r="B701" s="65"/>
      <c r="C701" s="20"/>
      <c r="D701" s="20"/>
      <c r="E701" s="20"/>
      <c r="F701" s="20"/>
      <c r="G701" s="20"/>
      <c r="H701" s="6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5"/>
      <c r="B702" s="65"/>
      <c r="C702" s="20"/>
      <c r="D702" s="20"/>
      <c r="E702" s="20"/>
      <c r="F702" s="20"/>
      <c r="G702" s="20"/>
      <c r="H702" s="6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5"/>
      <c r="B703" s="65"/>
      <c r="C703" s="20"/>
      <c r="D703" s="20"/>
      <c r="E703" s="20"/>
      <c r="F703" s="20"/>
      <c r="G703" s="20"/>
      <c r="H703" s="6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5"/>
      <c r="B704" s="65"/>
      <c r="C704" s="20"/>
      <c r="D704" s="20"/>
      <c r="E704" s="20"/>
      <c r="F704" s="20"/>
      <c r="G704" s="20"/>
      <c r="H704" s="6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5"/>
      <c r="B705" s="65"/>
      <c r="C705" s="20"/>
      <c r="D705" s="20"/>
      <c r="E705" s="20"/>
      <c r="F705" s="20"/>
      <c r="G705" s="20"/>
      <c r="H705" s="6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5"/>
      <c r="B706" s="65"/>
      <c r="C706" s="20"/>
      <c r="D706" s="20"/>
      <c r="E706" s="20"/>
      <c r="F706" s="20"/>
      <c r="G706" s="20"/>
      <c r="H706" s="6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5"/>
      <c r="B707" s="65"/>
      <c r="C707" s="20"/>
      <c r="D707" s="20"/>
      <c r="E707" s="20"/>
      <c r="F707" s="20"/>
      <c r="G707" s="20"/>
      <c r="H707" s="6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5"/>
      <c r="B708" s="65"/>
      <c r="C708" s="20"/>
      <c r="D708" s="20"/>
      <c r="E708" s="20"/>
      <c r="F708" s="20"/>
      <c r="G708" s="20"/>
      <c r="H708" s="6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5"/>
      <c r="B709" s="65"/>
      <c r="C709" s="20"/>
      <c r="D709" s="20"/>
      <c r="E709" s="20"/>
      <c r="F709" s="20"/>
      <c r="G709" s="20"/>
      <c r="H709" s="6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5"/>
      <c r="B710" s="65"/>
      <c r="C710" s="20"/>
      <c r="D710" s="20"/>
      <c r="E710" s="20"/>
      <c r="F710" s="20"/>
      <c r="G710" s="20"/>
      <c r="H710" s="6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5"/>
      <c r="B711" s="65"/>
      <c r="C711" s="20"/>
      <c r="D711" s="20"/>
      <c r="E711" s="20"/>
      <c r="F711" s="20"/>
      <c r="G711" s="20"/>
      <c r="H711" s="6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5"/>
      <c r="B712" s="65"/>
      <c r="C712" s="20"/>
      <c r="D712" s="20"/>
      <c r="E712" s="20"/>
      <c r="F712" s="20"/>
      <c r="G712" s="20"/>
      <c r="H712" s="6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5"/>
      <c r="B713" s="65"/>
      <c r="C713" s="20"/>
      <c r="D713" s="20"/>
      <c r="E713" s="20"/>
      <c r="F713" s="20"/>
      <c r="G713" s="20"/>
      <c r="H713" s="6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5"/>
      <c r="B714" s="65"/>
      <c r="C714" s="20"/>
      <c r="D714" s="20"/>
      <c r="E714" s="20"/>
      <c r="F714" s="20"/>
      <c r="G714" s="20"/>
      <c r="H714" s="6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5"/>
      <c r="B715" s="65"/>
      <c r="C715" s="20"/>
      <c r="D715" s="20"/>
      <c r="E715" s="20"/>
      <c r="F715" s="20"/>
      <c r="G715" s="20"/>
      <c r="H715" s="6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5"/>
      <c r="B716" s="65"/>
      <c r="C716" s="20"/>
      <c r="D716" s="20"/>
      <c r="E716" s="20"/>
      <c r="F716" s="20"/>
      <c r="G716" s="20"/>
      <c r="H716" s="6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5"/>
      <c r="B717" s="65"/>
      <c r="C717" s="20"/>
      <c r="D717" s="20"/>
      <c r="E717" s="20"/>
      <c r="F717" s="20"/>
      <c r="G717" s="20"/>
      <c r="H717" s="6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5"/>
      <c r="B718" s="65"/>
      <c r="C718" s="20"/>
      <c r="D718" s="20"/>
      <c r="E718" s="20"/>
      <c r="F718" s="20"/>
      <c r="G718" s="20"/>
      <c r="H718" s="6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5"/>
      <c r="B719" s="65"/>
      <c r="C719" s="20"/>
      <c r="D719" s="20"/>
      <c r="E719" s="20"/>
      <c r="F719" s="20"/>
      <c r="G719" s="20"/>
      <c r="H719" s="6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5"/>
      <c r="B720" s="65"/>
      <c r="C720" s="20"/>
      <c r="D720" s="20"/>
      <c r="E720" s="20"/>
      <c r="F720" s="20"/>
      <c r="G720" s="20"/>
      <c r="H720" s="6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5"/>
      <c r="B721" s="65"/>
      <c r="C721" s="20"/>
      <c r="D721" s="20"/>
      <c r="E721" s="20"/>
      <c r="F721" s="20"/>
      <c r="G721" s="20"/>
      <c r="H721" s="6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5"/>
      <c r="B722" s="65"/>
      <c r="C722" s="20"/>
      <c r="D722" s="20"/>
      <c r="E722" s="20"/>
      <c r="F722" s="20"/>
      <c r="G722" s="20"/>
      <c r="H722" s="6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5"/>
      <c r="B723" s="65"/>
      <c r="C723" s="20"/>
      <c r="D723" s="20"/>
      <c r="E723" s="20"/>
      <c r="F723" s="20"/>
      <c r="G723" s="20"/>
      <c r="H723" s="6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5"/>
      <c r="B724" s="65"/>
      <c r="C724" s="20"/>
      <c r="D724" s="20"/>
      <c r="E724" s="20"/>
      <c r="F724" s="20"/>
      <c r="G724" s="20"/>
      <c r="H724" s="6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5"/>
      <c r="B725" s="65"/>
      <c r="C725" s="20"/>
      <c r="D725" s="20"/>
      <c r="E725" s="20"/>
      <c r="F725" s="20"/>
      <c r="G725" s="20"/>
      <c r="H725" s="6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5"/>
      <c r="B726" s="65"/>
      <c r="C726" s="20"/>
      <c r="D726" s="20"/>
      <c r="E726" s="20"/>
      <c r="F726" s="20"/>
      <c r="G726" s="20"/>
      <c r="H726" s="6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5"/>
      <c r="B727" s="65"/>
      <c r="C727" s="20"/>
      <c r="D727" s="20"/>
      <c r="E727" s="20"/>
      <c r="F727" s="20"/>
      <c r="G727" s="20"/>
      <c r="H727" s="6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5"/>
      <c r="B728" s="65"/>
      <c r="C728" s="20"/>
      <c r="D728" s="20"/>
      <c r="E728" s="20"/>
      <c r="F728" s="20"/>
      <c r="G728" s="20"/>
      <c r="H728" s="6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5"/>
      <c r="B729" s="65"/>
      <c r="C729" s="20"/>
      <c r="D729" s="20"/>
      <c r="E729" s="20"/>
      <c r="F729" s="20"/>
      <c r="G729" s="20"/>
      <c r="H729" s="6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5"/>
      <c r="B730" s="65"/>
      <c r="C730" s="20"/>
      <c r="D730" s="20"/>
      <c r="E730" s="20"/>
      <c r="F730" s="20"/>
      <c r="G730" s="20"/>
      <c r="H730" s="6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5"/>
      <c r="B731" s="65"/>
      <c r="C731" s="20"/>
      <c r="D731" s="20"/>
      <c r="E731" s="20"/>
      <c r="F731" s="20"/>
      <c r="G731" s="20"/>
      <c r="H731" s="6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5"/>
      <c r="B732" s="65"/>
      <c r="C732" s="20"/>
      <c r="D732" s="20"/>
      <c r="E732" s="20"/>
      <c r="F732" s="20"/>
      <c r="G732" s="20"/>
      <c r="H732" s="6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5"/>
      <c r="B733" s="65"/>
      <c r="C733" s="20"/>
      <c r="D733" s="20"/>
      <c r="E733" s="20"/>
      <c r="F733" s="20"/>
      <c r="G733" s="20"/>
      <c r="H733" s="6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5"/>
      <c r="B734" s="65"/>
      <c r="C734" s="20"/>
      <c r="D734" s="20"/>
      <c r="E734" s="20"/>
      <c r="F734" s="20"/>
      <c r="G734" s="20"/>
      <c r="H734" s="6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5"/>
      <c r="B735" s="65"/>
      <c r="C735" s="20"/>
      <c r="D735" s="20"/>
      <c r="E735" s="20"/>
      <c r="F735" s="20"/>
      <c r="G735" s="20"/>
      <c r="H735" s="6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5"/>
      <c r="B736" s="65"/>
      <c r="C736" s="20"/>
      <c r="D736" s="20"/>
      <c r="E736" s="20"/>
      <c r="F736" s="20"/>
      <c r="G736" s="20"/>
      <c r="H736" s="6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5"/>
      <c r="B737" s="65"/>
      <c r="C737" s="20"/>
      <c r="D737" s="20"/>
      <c r="E737" s="20"/>
      <c r="F737" s="20"/>
      <c r="G737" s="20"/>
      <c r="H737" s="6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5"/>
      <c r="B738" s="65"/>
      <c r="C738" s="20"/>
      <c r="D738" s="20"/>
      <c r="E738" s="20"/>
      <c r="F738" s="20"/>
      <c r="G738" s="20"/>
      <c r="H738" s="6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5"/>
      <c r="B739" s="65"/>
      <c r="C739" s="20"/>
      <c r="D739" s="20"/>
      <c r="E739" s="20"/>
      <c r="F739" s="20"/>
      <c r="G739" s="20"/>
      <c r="H739" s="6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5"/>
      <c r="B740" s="65"/>
      <c r="C740" s="20"/>
      <c r="D740" s="20"/>
      <c r="E740" s="20"/>
      <c r="F740" s="20"/>
      <c r="G740" s="20"/>
      <c r="H740" s="6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5"/>
      <c r="B741" s="65"/>
      <c r="C741" s="20"/>
      <c r="D741" s="20"/>
      <c r="E741" s="20"/>
      <c r="F741" s="20"/>
      <c r="G741" s="20"/>
      <c r="H741" s="6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5"/>
      <c r="B742" s="65"/>
      <c r="C742" s="20"/>
      <c r="D742" s="20"/>
      <c r="E742" s="20"/>
      <c r="F742" s="20"/>
      <c r="G742" s="20"/>
      <c r="H742" s="6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5"/>
      <c r="B743" s="65"/>
      <c r="C743" s="20"/>
      <c r="D743" s="20"/>
      <c r="E743" s="20"/>
      <c r="F743" s="20"/>
      <c r="G743" s="20"/>
      <c r="H743" s="6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5"/>
      <c r="B744" s="65"/>
      <c r="C744" s="20"/>
      <c r="D744" s="20"/>
      <c r="E744" s="20"/>
      <c r="F744" s="20"/>
      <c r="G744" s="20"/>
      <c r="H744" s="6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5"/>
      <c r="B745" s="65"/>
      <c r="C745" s="20"/>
      <c r="D745" s="20"/>
      <c r="E745" s="20"/>
      <c r="F745" s="20"/>
      <c r="G745" s="20"/>
      <c r="H745" s="6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5"/>
      <c r="B746" s="65"/>
      <c r="C746" s="20"/>
      <c r="D746" s="20"/>
      <c r="E746" s="20"/>
      <c r="F746" s="20"/>
      <c r="G746" s="20"/>
      <c r="H746" s="6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5"/>
      <c r="B747" s="65"/>
      <c r="C747" s="20"/>
      <c r="D747" s="20"/>
      <c r="E747" s="20"/>
      <c r="F747" s="20"/>
      <c r="G747" s="20"/>
      <c r="H747" s="6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5"/>
      <c r="B748" s="65"/>
      <c r="C748" s="20"/>
      <c r="D748" s="20"/>
      <c r="E748" s="20"/>
      <c r="F748" s="20"/>
      <c r="G748" s="20"/>
      <c r="H748" s="6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5"/>
      <c r="B749" s="65"/>
      <c r="C749" s="20"/>
      <c r="D749" s="20"/>
      <c r="E749" s="20"/>
      <c r="F749" s="20"/>
      <c r="G749" s="20"/>
      <c r="H749" s="6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5"/>
      <c r="B750" s="65"/>
      <c r="C750" s="20"/>
      <c r="D750" s="20"/>
      <c r="E750" s="20"/>
      <c r="F750" s="20"/>
      <c r="G750" s="20"/>
      <c r="H750" s="6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5"/>
      <c r="B751" s="65"/>
      <c r="C751" s="20"/>
      <c r="D751" s="20"/>
      <c r="E751" s="20"/>
      <c r="F751" s="20"/>
      <c r="G751" s="20"/>
      <c r="H751" s="6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5"/>
      <c r="B752" s="65"/>
      <c r="C752" s="20"/>
      <c r="D752" s="20"/>
      <c r="E752" s="20"/>
      <c r="F752" s="20"/>
      <c r="G752" s="20"/>
      <c r="H752" s="6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5"/>
      <c r="B753" s="65"/>
      <c r="C753" s="20"/>
      <c r="D753" s="20"/>
      <c r="E753" s="20"/>
      <c r="F753" s="20"/>
      <c r="G753" s="20"/>
      <c r="H753" s="6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5"/>
      <c r="B754" s="65"/>
      <c r="C754" s="20"/>
      <c r="D754" s="20"/>
      <c r="E754" s="20"/>
      <c r="F754" s="20"/>
      <c r="G754" s="20"/>
      <c r="H754" s="6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5"/>
      <c r="B755" s="65"/>
      <c r="C755" s="20"/>
      <c r="D755" s="20"/>
      <c r="E755" s="20"/>
      <c r="F755" s="20"/>
      <c r="G755" s="20"/>
      <c r="H755" s="6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5"/>
      <c r="B756" s="65"/>
      <c r="C756" s="20"/>
      <c r="D756" s="20"/>
      <c r="E756" s="20"/>
      <c r="F756" s="20"/>
      <c r="G756" s="20"/>
      <c r="H756" s="6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5"/>
      <c r="B757" s="65"/>
      <c r="C757" s="20"/>
      <c r="D757" s="20"/>
      <c r="E757" s="20"/>
      <c r="F757" s="20"/>
      <c r="G757" s="20"/>
      <c r="H757" s="6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5"/>
      <c r="B758" s="65"/>
      <c r="C758" s="20"/>
      <c r="D758" s="20"/>
      <c r="E758" s="20"/>
      <c r="F758" s="20"/>
      <c r="G758" s="20"/>
      <c r="H758" s="6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5"/>
      <c r="B759" s="65"/>
      <c r="C759" s="20"/>
      <c r="D759" s="20"/>
      <c r="E759" s="20"/>
      <c r="F759" s="20"/>
      <c r="G759" s="20"/>
      <c r="H759" s="6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5"/>
      <c r="B760" s="65"/>
      <c r="C760" s="20"/>
      <c r="D760" s="20"/>
      <c r="E760" s="20"/>
      <c r="F760" s="20"/>
      <c r="G760" s="20"/>
      <c r="H760" s="6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5"/>
      <c r="B761" s="65"/>
      <c r="C761" s="20"/>
      <c r="D761" s="20"/>
      <c r="E761" s="20"/>
      <c r="F761" s="20"/>
      <c r="G761" s="20"/>
      <c r="H761" s="6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5"/>
      <c r="B762" s="65"/>
      <c r="C762" s="20"/>
      <c r="D762" s="20"/>
      <c r="E762" s="20"/>
      <c r="F762" s="20"/>
      <c r="G762" s="20"/>
      <c r="H762" s="6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5"/>
      <c r="B763" s="65"/>
      <c r="C763" s="20"/>
      <c r="D763" s="20"/>
      <c r="E763" s="20"/>
      <c r="F763" s="20"/>
      <c r="G763" s="20"/>
      <c r="H763" s="6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5"/>
      <c r="B764" s="65"/>
      <c r="C764" s="20"/>
      <c r="D764" s="20"/>
      <c r="E764" s="20"/>
      <c r="F764" s="20"/>
      <c r="G764" s="20"/>
      <c r="H764" s="6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5"/>
      <c r="B765" s="65"/>
      <c r="C765" s="20"/>
      <c r="D765" s="20"/>
      <c r="E765" s="20"/>
      <c r="F765" s="20"/>
      <c r="G765" s="20"/>
      <c r="H765" s="6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5"/>
      <c r="B766" s="65"/>
      <c r="C766" s="20"/>
      <c r="D766" s="20"/>
      <c r="E766" s="20"/>
      <c r="F766" s="20"/>
      <c r="G766" s="20"/>
      <c r="H766" s="6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5"/>
      <c r="B767" s="65"/>
      <c r="C767" s="20"/>
      <c r="D767" s="20"/>
      <c r="E767" s="20"/>
      <c r="F767" s="20"/>
      <c r="G767" s="20"/>
      <c r="H767" s="6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5"/>
      <c r="B768" s="65"/>
      <c r="C768" s="20"/>
      <c r="D768" s="20"/>
      <c r="E768" s="20"/>
      <c r="F768" s="20"/>
      <c r="G768" s="20"/>
      <c r="H768" s="6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5"/>
      <c r="B769" s="65"/>
      <c r="C769" s="20"/>
      <c r="D769" s="20"/>
      <c r="E769" s="20"/>
      <c r="F769" s="20"/>
      <c r="G769" s="20"/>
      <c r="H769" s="6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5"/>
      <c r="B770" s="65"/>
      <c r="C770" s="20"/>
      <c r="D770" s="20"/>
      <c r="E770" s="20"/>
      <c r="F770" s="20"/>
      <c r="G770" s="20"/>
      <c r="H770" s="6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5"/>
      <c r="B771" s="65"/>
      <c r="C771" s="20"/>
      <c r="D771" s="20"/>
      <c r="E771" s="20"/>
      <c r="F771" s="20"/>
      <c r="G771" s="20"/>
      <c r="H771" s="6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5"/>
      <c r="B772" s="65"/>
      <c r="C772" s="20"/>
      <c r="D772" s="20"/>
      <c r="E772" s="20"/>
      <c r="F772" s="20"/>
      <c r="G772" s="20"/>
      <c r="H772" s="6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5"/>
      <c r="B773" s="65"/>
      <c r="C773" s="20"/>
      <c r="D773" s="20"/>
      <c r="E773" s="20"/>
      <c r="F773" s="20"/>
      <c r="G773" s="20"/>
      <c r="H773" s="6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5"/>
      <c r="B774" s="65"/>
      <c r="C774" s="20"/>
      <c r="D774" s="20"/>
      <c r="E774" s="20"/>
      <c r="F774" s="20"/>
      <c r="G774" s="20"/>
      <c r="H774" s="6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5"/>
      <c r="B775" s="65"/>
      <c r="C775" s="20"/>
      <c r="D775" s="20"/>
      <c r="E775" s="20"/>
      <c r="F775" s="20"/>
      <c r="G775" s="20"/>
      <c r="H775" s="6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5"/>
      <c r="B776" s="65"/>
      <c r="C776" s="20"/>
      <c r="D776" s="20"/>
      <c r="E776" s="20"/>
      <c r="F776" s="20"/>
      <c r="G776" s="20"/>
      <c r="H776" s="6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5"/>
      <c r="B777" s="65"/>
      <c r="C777" s="20"/>
      <c r="D777" s="20"/>
      <c r="E777" s="20"/>
      <c r="F777" s="20"/>
      <c r="G777" s="20"/>
      <c r="H777" s="6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5"/>
      <c r="B778" s="65"/>
      <c r="C778" s="20"/>
      <c r="D778" s="20"/>
      <c r="E778" s="20"/>
      <c r="F778" s="20"/>
      <c r="G778" s="20"/>
      <c r="H778" s="6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5"/>
      <c r="B779" s="65"/>
      <c r="C779" s="20"/>
      <c r="D779" s="20"/>
      <c r="E779" s="20"/>
      <c r="F779" s="20"/>
      <c r="G779" s="20"/>
      <c r="H779" s="6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5"/>
      <c r="B780" s="65"/>
      <c r="C780" s="20"/>
      <c r="D780" s="20"/>
      <c r="E780" s="20"/>
      <c r="F780" s="20"/>
      <c r="G780" s="20"/>
      <c r="H780" s="6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5"/>
      <c r="B781" s="65"/>
      <c r="C781" s="20"/>
      <c r="D781" s="20"/>
      <c r="E781" s="20"/>
      <c r="F781" s="20"/>
      <c r="G781" s="20"/>
      <c r="H781" s="6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5"/>
      <c r="B782" s="65"/>
      <c r="C782" s="20"/>
      <c r="D782" s="20"/>
      <c r="E782" s="20"/>
      <c r="F782" s="20"/>
      <c r="G782" s="20"/>
      <c r="H782" s="6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5"/>
      <c r="B783" s="65"/>
      <c r="C783" s="20"/>
      <c r="D783" s="20"/>
      <c r="E783" s="20"/>
      <c r="F783" s="20"/>
      <c r="G783" s="20"/>
      <c r="H783" s="6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5"/>
      <c r="B784" s="65"/>
      <c r="C784" s="20"/>
      <c r="D784" s="20"/>
      <c r="E784" s="20"/>
      <c r="F784" s="20"/>
      <c r="G784" s="20"/>
      <c r="H784" s="6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5"/>
      <c r="B785" s="65"/>
      <c r="C785" s="20"/>
      <c r="D785" s="20"/>
      <c r="E785" s="20"/>
      <c r="F785" s="20"/>
      <c r="G785" s="20"/>
      <c r="H785" s="6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5"/>
      <c r="B786" s="65"/>
      <c r="C786" s="20"/>
      <c r="D786" s="20"/>
      <c r="E786" s="20"/>
      <c r="F786" s="20"/>
      <c r="G786" s="20"/>
      <c r="H786" s="6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5"/>
      <c r="B787" s="65"/>
      <c r="C787" s="20"/>
      <c r="D787" s="20"/>
      <c r="E787" s="20"/>
      <c r="F787" s="20"/>
      <c r="G787" s="20"/>
      <c r="H787" s="6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5"/>
      <c r="B788" s="65"/>
      <c r="C788" s="20"/>
      <c r="D788" s="20"/>
      <c r="E788" s="20"/>
      <c r="F788" s="20"/>
      <c r="G788" s="20"/>
      <c r="H788" s="6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5"/>
      <c r="B789" s="65"/>
      <c r="C789" s="20"/>
      <c r="D789" s="20"/>
      <c r="E789" s="20"/>
      <c r="F789" s="20"/>
      <c r="G789" s="20"/>
      <c r="H789" s="6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5"/>
      <c r="B790" s="65"/>
      <c r="C790" s="20"/>
      <c r="D790" s="20"/>
      <c r="E790" s="20"/>
      <c r="F790" s="20"/>
      <c r="G790" s="20"/>
      <c r="H790" s="6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5"/>
      <c r="B791" s="65"/>
      <c r="C791" s="20"/>
      <c r="D791" s="20"/>
      <c r="E791" s="20"/>
      <c r="F791" s="20"/>
      <c r="G791" s="20"/>
      <c r="H791" s="6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5"/>
      <c r="B792" s="65"/>
      <c r="C792" s="20"/>
      <c r="D792" s="20"/>
      <c r="E792" s="20"/>
      <c r="F792" s="20"/>
      <c r="G792" s="20"/>
      <c r="H792" s="6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5"/>
      <c r="B793" s="65"/>
      <c r="C793" s="20"/>
      <c r="D793" s="20"/>
      <c r="E793" s="20"/>
      <c r="F793" s="20"/>
      <c r="G793" s="20"/>
      <c r="H793" s="6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5"/>
      <c r="B794" s="65"/>
      <c r="C794" s="20"/>
      <c r="D794" s="20"/>
      <c r="E794" s="20"/>
      <c r="F794" s="20"/>
      <c r="G794" s="20"/>
      <c r="H794" s="6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5"/>
      <c r="B795" s="65"/>
      <c r="C795" s="20"/>
      <c r="D795" s="20"/>
      <c r="E795" s="20"/>
      <c r="F795" s="20"/>
      <c r="G795" s="20"/>
      <c r="H795" s="6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5"/>
      <c r="B796" s="65"/>
      <c r="C796" s="20"/>
      <c r="D796" s="20"/>
      <c r="E796" s="20"/>
      <c r="F796" s="20"/>
      <c r="G796" s="20"/>
      <c r="H796" s="6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5"/>
      <c r="B797" s="65"/>
      <c r="C797" s="20"/>
      <c r="D797" s="20"/>
      <c r="E797" s="20"/>
      <c r="F797" s="20"/>
      <c r="G797" s="20"/>
      <c r="H797" s="6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5"/>
      <c r="B798" s="65"/>
      <c r="C798" s="20"/>
      <c r="D798" s="20"/>
      <c r="E798" s="20"/>
      <c r="F798" s="20"/>
      <c r="G798" s="20"/>
      <c r="H798" s="6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5"/>
      <c r="B799" s="65"/>
      <c r="C799" s="20"/>
      <c r="D799" s="20"/>
      <c r="E799" s="20"/>
      <c r="F799" s="20"/>
      <c r="G799" s="20"/>
      <c r="H799" s="6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5"/>
      <c r="B800" s="65"/>
      <c r="C800" s="20"/>
      <c r="D800" s="20"/>
      <c r="E800" s="20"/>
      <c r="F800" s="20"/>
      <c r="G800" s="20"/>
      <c r="H800" s="6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5"/>
      <c r="B801" s="65"/>
      <c r="C801" s="20"/>
      <c r="D801" s="20"/>
      <c r="E801" s="20"/>
      <c r="F801" s="20"/>
      <c r="G801" s="20"/>
      <c r="H801" s="6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5"/>
      <c r="B802" s="65"/>
      <c r="C802" s="20"/>
      <c r="D802" s="20"/>
      <c r="E802" s="20"/>
      <c r="F802" s="20"/>
      <c r="G802" s="20"/>
      <c r="H802" s="6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5"/>
      <c r="B803" s="65"/>
      <c r="C803" s="20"/>
      <c r="D803" s="20"/>
      <c r="E803" s="20"/>
      <c r="F803" s="20"/>
      <c r="G803" s="20"/>
      <c r="H803" s="6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5"/>
      <c r="B804" s="65"/>
      <c r="C804" s="20"/>
      <c r="D804" s="20"/>
      <c r="E804" s="20"/>
      <c r="F804" s="20"/>
      <c r="G804" s="20"/>
      <c r="H804" s="6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5"/>
      <c r="B805" s="65"/>
      <c r="C805" s="20"/>
      <c r="D805" s="20"/>
      <c r="E805" s="20"/>
      <c r="F805" s="20"/>
      <c r="G805" s="20"/>
      <c r="H805" s="6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5"/>
      <c r="B806" s="65"/>
      <c r="C806" s="20"/>
      <c r="D806" s="20"/>
      <c r="E806" s="20"/>
      <c r="F806" s="20"/>
      <c r="G806" s="20"/>
      <c r="H806" s="6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5"/>
      <c r="B807" s="65"/>
      <c r="C807" s="20"/>
      <c r="D807" s="20"/>
      <c r="E807" s="20"/>
      <c r="F807" s="20"/>
      <c r="G807" s="20"/>
      <c r="H807" s="6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5"/>
      <c r="B808" s="65"/>
      <c r="C808" s="20"/>
      <c r="D808" s="20"/>
      <c r="E808" s="20"/>
      <c r="F808" s="20"/>
      <c r="G808" s="20"/>
      <c r="H808" s="6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5"/>
      <c r="B809" s="65"/>
      <c r="C809" s="20"/>
      <c r="D809" s="20"/>
      <c r="E809" s="20"/>
      <c r="F809" s="20"/>
      <c r="G809" s="20"/>
      <c r="H809" s="6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5"/>
      <c r="B810" s="65"/>
      <c r="C810" s="20"/>
      <c r="D810" s="20"/>
      <c r="E810" s="20"/>
      <c r="F810" s="20"/>
      <c r="G810" s="20"/>
      <c r="H810" s="6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5"/>
      <c r="B811" s="65"/>
      <c r="C811" s="20"/>
      <c r="D811" s="20"/>
      <c r="E811" s="20"/>
      <c r="F811" s="20"/>
      <c r="G811" s="20"/>
      <c r="H811" s="6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5"/>
      <c r="B812" s="65"/>
      <c r="C812" s="20"/>
      <c r="D812" s="20"/>
      <c r="E812" s="20"/>
      <c r="F812" s="20"/>
      <c r="G812" s="20"/>
      <c r="H812" s="6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5"/>
      <c r="B813" s="65"/>
      <c r="C813" s="20"/>
      <c r="D813" s="20"/>
      <c r="E813" s="20"/>
      <c r="F813" s="20"/>
      <c r="G813" s="20"/>
      <c r="H813" s="6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5"/>
      <c r="B814" s="65"/>
      <c r="C814" s="20"/>
      <c r="D814" s="20"/>
      <c r="E814" s="20"/>
      <c r="F814" s="20"/>
      <c r="G814" s="20"/>
      <c r="H814" s="6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5"/>
      <c r="B815" s="65"/>
      <c r="C815" s="20"/>
      <c r="D815" s="20"/>
      <c r="E815" s="20"/>
      <c r="F815" s="20"/>
      <c r="G815" s="20"/>
      <c r="H815" s="6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5"/>
      <c r="B816" s="65"/>
      <c r="C816" s="20"/>
      <c r="D816" s="20"/>
      <c r="E816" s="20"/>
      <c r="F816" s="20"/>
      <c r="G816" s="20"/>
      <c r="H816" s="6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5"/>
      <c r="B817" s="65"/>
      <c r="C817" s="20"/>
      <c r="D817" s="20"/>
      <c r="E817" s="20"/>
      <c r="F817" s="20"/>
      <c r="G817" s="20"/>
      <c r="H817" s="6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5"/>
      <c r="B818" s="65"/>
      <c r="C818" s="20"/>
      <c r="D818" s="20"/>
      <c r="E818" s="20"/>
      <c r="F818" s="20"/>
      <c r="G818" s="20"/>
      <c r="H818" s="6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5"/>
      <c r="B819" s="65"/>
      <c r="C819" s="20"/>
      <c r="D819" s="20"/>
      <c r="E819" s="20"/>
      <c r="F819" s="20"/>
      <c r="G819" s="20"/>
      <c r="H819" s="6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5"/>
      <c r="B820" s="65"/>
      <c r="C820" s="20"/>
      <c r="D820" s="20"/>
      <c r="E820" s="20"/>
      <c r="F820" s="20"/>
      <c r="G820" s="20"/>
      <c r="H820" s="6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5"/>
      <c r="B821" s="65"/>
      <c r="C821" s="20"/>
      <c r="D821" s="20"/>
      <c r="E821" s="20"/>
      <c r="F821" s="20"/>
      <c r="G821" s="20"/>
      <c r="H821" s="6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5"/>
      <c r="B822" s="65"/>
      <c r="C822" s="20"/>
      <c r="D822" s="20"/>
      <c r="E822" s="20"/>
      <c r="F822" s="20"/>
      <c r="G822" s="20"/>
      <c r="H822" s="6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5"/>
      <c r="B823" s="65"/>
      <c r="C823" s="20"/>
      <c r="D823" s="20"/>
      <c r="E823" s="20"/>
      <c r="F823" s="20"/>
      <c r="G823" s="20"/>
      <c r="H823" s="6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5"/>
      <c r="B824" s="65"/>
      <c r="C824" s="20"/>
      <c r="D824" s="20"/>
      <c r="E824" s="20"/>
      <c r="F824" s="20"/>
      <c r="G824" s="20"/>
      <c r="H824" s="6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5"/>
      <c r="B825" s="65"/>
      <c r="C825" s="20"/>
      <c r="D825" s="20"/>
      <c r="E825" s="20"/>
      <c r="F825" s="20"/>
      <c r="G825" s="20"/>
      <c r="H825" s="6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5"/>
      <c r="B826" s="65"/>
      <c r="C826" s="20"/>
      <c r="D826" s="20"/>
      <c r="E826" s="20"/>
      <c r="F826" s="20"/>
      <c r="G826" s="20"/>
      <c r="H826" s="6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5"/>
      <c r="B827" s="65"/>
      <c r="C827" s="20"/>
      <c r="D827" s="20"/>
      <c r="E827" s="20"/>
      <c r="F827" s="20"/>
      <c r="G827" s="20"/>
      <c r="H827" s="6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5"/>
      <c r="B828" s="65"/>
      <c r="C828" s="20"/>
      <c r="D828" s="20"/>
      <c r="E828" s="20"/>
      <c r="F828" s="20"/>
      <c r="G828" s="20"/>
      <c r="H828" s="6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5"/>
      <c r="B829" s="65"/>
      <c r="C829" s="20"/>
      <c r="D829" s="20"/>
      <c r="E829" s="20"/>
      <c r="F829" s="20"/>
      <c r="G829" s="20"/>
      <c r="H829" s="6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5"/>
      <c r="B830" s="65"/>
      <c r="C830" s="20"/>
      <c r="D830" s="20"/>
      <c r="E830" s="20"/>
      <c r="F830" s="20"/>
      <c r="G830" s="20"/>
      <c r="H830" s="6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5"/>
      <c r="B831" s="65"/>
      <c r="C831" s="20"/>
      <c r="D831" s="20"/>
      <c r="E831" s="20"/>
      <c r="F831" s="20"/>
      <c r="G831" s="20"/>
      <c r="H831" s="6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5"/>
      <c r="B832" s="65"/>
      <c r="C832" s="20"/>
      <c r="D832" s="20"/>
      <c r="E832" s="20"/>
      <c r="F832" s="20"/>
      <c r="G832" s="20"/>
      <c r="H832" s="6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5"/>
      <c r="B833" s="65"/>
      <c r="C833" s="20"/>
      <c r="D833" s="20"/>
      <c r="E833" s="20"/>
      <c r="F833" s="20"/>
      <c r="G833" s="20"/>
      <c r="H833" s="6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5"/>
      <c r="B834" s="65"/>
      <c r="C834" s="20"/>
      <c r="D834" s="20"/>
      <c r="E834" s="20"/>
      <c r="F834" s="20"/>
      <c r="G834" s="20"/>
      <c r="H834" s="6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5"/>
      <c r="B835" s="65"/>
      <c r="C835" s="20"/>
      <c r="D835" s="20"/>
      <c r="E835" s="20"/>
      <c r="F835" s="20"/>
      <c r="G835" s="20"/>
      <c r="H835" s="6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5"/>
      <c r="B836" s="65"/>
      <c r="C836" s="20"/>
      <c r="D836" s="20"/>
      <c r="E836" s="20"/>
      <c r="F836" s="20"/>
      <c r="G836" s="20"/>
      <c r="H836" s="6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5"/>
      <c r="B837" s="65"/>
      <c r="C837" s="20"/>
      <c r="D837" s="20"/>
      <c r="E837" s="20"/>
      <c r="F837" s="20"/>
      <c r="G837" s="20"/>
      <c r="H837" s="6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5"/>
      <c r="B838" s="65"/>
      <c r="C838" s="20"/>
      <c r="D838" s="20"/>
      <c r="E838" s="20"/>
      <c r="F838" s="20"/>
      <c r="G838" s="20"/>
      <c r="H838" s="6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5"/>
      <c r="B839" s="65"/>
      <c r="C839" s="20"/>
      <c r="D839" s="20"/>
      <c r="E839" s="20"/>
      <c r="F839" s="20"/>
      <c r="G839" s="20"/>
      <c r="H839" s="6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5"/>
      <c r="B840" s="65"/>
      <c r="C840" s="20"/>
      <c r="D840" s="20"/>
      <c r="E840" s="20"/>
      <c r="F840" s="20"/>
      <c r="G840" s="20"/>
      <c r="H840" s="6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5"/>
      <c r="B841" s="65"/>
      <c r="C841" s="20"/>
      <c r="D841" s="20"/>
      <c r="E841" s="20"/>
      <c r="F841" s="20"/>
      <c r="G841" s="20"/>
      <c r="H841" s="6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5"/>
      <c r="B842" s="65"/>
      <c r="C842" s="20"/>
      <c r="D842" s="20"/>
      <c r="E842" s="20"/>
      <c r="F842" s="20"/>
      <c r="G842" s="20"/>
      <c r="H842" s="6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5"/>
      <c r="B843" s="65"/>
      <c r="C843" s="20"/>
      <c r="D843" s="20"/>
      <c r="E843" s="20"/>
      <c r="F843" s="20"/>
      <c r="G843" s="20"/>
      <c r="H843" s="6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5"/>
      <c r="B844" s="65"/>
      <c r="C844" s="20"/>
      <c r="D844" s="20"/>
      <c r="E844" s="20"/>
      <c r="F844" s="20"/>
      <c r="G844" s="20"/>
      <c r="H844" s="6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5"/>
      <c r="B845" s="65"/>
      <c r="C845" s="20"/>
      <c r="D845" s="20"/>
      <c r="E845" s="20"/>
      <c r="F845" s="20"/>
      <c r="G845" s="20"/>
      <c r="H845" s="6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5"/>
      <c r="B846" s="65"/>
      <c r="C846" s="20"/>
      <c r="D846" s="20"/>
      <c r="E846" s="20"/>
      <c r="F846" s="20"/>
      <c r="G846" s="20"/>
      <c r="H846" s="6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5"/>
      <c r="B847" s="65"/>
      <c r="C847" s="20"/>
      <c r="D847" s="20"/>
      <c r="E847" s="20"/>
      <c r="F847" s="20"/>
      <c r="G847" s="20"/>
      <c r="H847" s="6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5"/>
      <c r="B848" s="65"/>
      <c r="C848" s="20"/>
      <c r="D848" s="20"/>
      <c r="E848" s="20"/>
      <c r="F848" s="20"/>
      <c r="G848" s="20"/>
      <c r="H848" s="6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5"/>
      <c r="B849" s="65"/>
      <c r="C849" s="20"/>
      <c r="D849" s="20"/>
      <c r="E849" s="20"/>
      <c r="F849" s="20"/>
      <c r="G849" s="20"/>
      <c r="H849" s="6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5"/>
      <c r="B850" s="65"/>
      <c r="C850" s="20"/>
      <c r="D850" s="20"/>
      <c r="E850" s="20"/>
      <c r="F850" s="20"/>
      <c r="G850" s="20"/>
      <c r="H850" s="6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5"/>
      <c r="B851" s="65"/>
      <c r="C851" s="20"/>
      <c r="D851" s="20"/>
      <c r="E851" s="20"/>
      <c r="F851" s="20"/>
      <c r="G851" s="20"/>
      <c r="H851" s="6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5"/>
      <c r="B852" s="65"/>
      <c r="C852" s="20"/>
      <c r="D852" s="20"/>
      <c r="E852" s="20"/>
      <c r="F852" s="20"/>
      <c r="G852" s="20"/>
      <c r="H852" s="6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5"/>
      <c r="B853" s="65"/>
      <c r="C853" s="20"/>
      <c r="D853" s="20"/>
      <c r="E853" s="20"/>
      <c r="F853" s="20"/>
      <c r="G853" s="20"/>
      <c r="H853" s="6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5"/>
      <c r="B854" s="65"/>
      <c r="C854" s="20"/>
      <c r="D854" s="20"/>
      <c r="E854" s="20"/>
      <c r="F854" s="20"/>
      <c r="G854" s="20"/>
      <c r="H854" s="6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5"/>
      <c r="B855" s="65"/>
      <c r="C855" s="20"/>
      <c r="D855" s="20"/>
      <c r="E855" s="20"/>
      <c r="F855" s="20"/>
      <c r="G855" s="20"/>
      <c r="H855" s="6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5"/>
      <c r="B856" s="65"/>
      <c r="C856" s="20"/>
      <c r="D856" s="20"/>
      <c r="E856" s="20"/>
      <c r="F856" s="20"/>
      <c r="G856" s="20"/>
      <c r="H856" s="6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5"/>
      <c r="B857" s="65"/>
      <c r="C857" s="20"/>
      <c r="D857" s="20"/>
      <c r="E857" s="20"/>
      <c r="F857" s="20"/>
      <c r="G857" s="20"/>
      <c r="H857" s="6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5"/>
      <c r="B858" s="65"/>
      <c r="C858" s="20"/>
      <c r="D858" s="20"/>
      <c r="E858" s="20"/>
      <c r="F858" s="20"/>
      <c r="G858" s="20"/>
      <c r="H858" s="6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5"/>
      <c r="B859" s="65"/>
      <c r="C859" s="20"/>
      <c r="D859" s="20"/>
      <c r="E859" s="20"/>
      <c r="F859" s="20"/>
      <c r="G859" s="20"/>
      <c r="H859" s="6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5"/>
      <c r="B860" s="65"/>
      <c r="C860" s="20"/>
      <c r="D860" s="20"/>
      <c r="E860" s="20"/>
      <c r="F860" s="20"/>
      <c r="G860" s="20"/>
      <c r="H860" s="6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5"/>
      <c r="B861" s="65"/>
      <c r="C861" s="20"/>
      <c r="D861" s="20"/>
      <c r="E861" s="20"/>
      <c r="F861" s="20"/>
      <c r="G861" s="20"/>
      <c r="H861" s="6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5"/>
      <c r="B862" s="65"/>
      <c r="C862" s="20"/>
      <c r="D862" s="20"/>
      <c r="E862" s="20"/>
      <c r="F862" s="20"/>
      <c r="G862" s="20"/>
      <c r="H862" s="6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5"/>
      <c r="B863" s="65"/>
      <c r="C863" s="20"/>
      <c r="D863" s="20"/>
      <c r="E863" s="20"/>
      <c r="F863" s="20"/>
      <c r="G863" s="20"/>
      <c r="H863" s="6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5"/>
      <c r="B864" s="65"/>
      <c r="C864" s="20"/>
      <c r="D864" s="20"/>
      <c r="E864" s="20"/>
      <c r="F864" s="20"/>
      <c r="G864" s="20"/>
      <c r="H864" s="6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5"/>
      <c r="B865" s="65"/>
      <c r="C865" s="20"/>
      <c r="D865" s="20"/>
      <c r="E865" s="20"/>
      <c r="F865" s="20"/>
      <c r="G865" s="20"/>
      <c r="H865" s="6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5"/>
      <c r="B866" s="65"/>
      <c r="C866" s="20"/>
      <c r="D866" s="20"/>
      <c r="E866" s="20"/>
      <c r="F866" s="20"/>
      <c r="G866" s="20"/>
      <c r="H866" s="6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5"/>
      <c r="B867" s="65"/>
      <c r="C867" s="20"/>
      <c r="D867" s="20"/>
      <c r="E867" s="20"/>
      <c r="F867" s="20"/>
      <c r="G867" s="20"/>
      <c r="H867" s="6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5"/>
      <c r="B868" s="65"/>
      <c r="C868" s="20"/>
      <c r="D868" s="20"/>
      <c r="E868" s="20"/>
      <c r="F868" s="20"/>
      <c r="G868" s="20"/>
      <c r="H868" s="6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5"/>
      <c r="B869" s="65"/>
      <c r="C869" s="20"/>
      <c r="D869" s="20"/>
      <c r="E869" s="20"/>
      <c r="F869" s="20"/>
      <c r="G869" s="20"/>
      <c r="H869" s="6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5"/>
      <c r="B870" s="65"/>
      <c r="C870" s="20"/>
      <c r="D870" s="20"/>
      <c r="E870" s="20"/>
      <c r="F870" s="20"/>
      <c r="G870" s="20"/>
      <c r="H870" s="6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5"/>
      <c r="B871" s="65"/>
      <c r="C871" s="20"/>
      <c r="D871" s="20"/>
      <c r="E871" s="20"/>
      <c r="F871" s="20"/>
      <c r="G871" s="20"/>
      <c r="H871" s="6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5"/>
      <c r="B872" s="65"/>
      <c r="C872" s="20"/>
      <c r="D872" s="20"/>
      <c r="E872" s="20"/>
      <c r="F872" s="20"/>
      <c r="G872" s="20"/>
      <c r="H872" s="6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5"/>
      <c r="B873" s="65"/>
      <c r="C873" s="20"/>
      <c r="D873" s="20"/>
      <c r="E873" s="20"/>
      <c r="F873" s="20"/>
      <c r="G873" s="20"/>
      <c r="H873" s="6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5"/>
      <c r="B874" s="65"/>
      <c r="C874" s="20"/>
      <c r="D874" s="20"/>
      <c r="E874" s="20"/>
      <c r="F874" s="20"/>
      <c r="G874" s="20"/>
      <c r="H874" s="6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5"/>
      <c r="B875" s="65"/>
      <c r="C875" s="20"/>
      <c r="D875" s="20"/>
      <c r="E875" s="20"/>
      <c r="F875" s="20"/>
      <c r="G875" s="20"/>
      <c r="H875" s="6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5"/>
      <c r="B876" s="65"/>
      <c r="C876" s="20"/>
      <c r="D876" s="20"/>
      <c r="E876" s="20"/>
      <c r="F876" s="20"/>
      <c r="G876" s="20"/>
      <c r="H876" s="6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5"/>
      <c r="B877" s="65"/>
      <c r="C877" s="20"/>
      <c r="D877" s="20"/>
      <c r="E877" s="20"/>
      <c r="F877" s="20"/>
      <c r="G877" s="20"/>
      <c r="H877" s="6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5"/>
      <c r="B878" s="65"/>
      <c r="C878" s="20"/>
      <c r="D878" s="20"/>
      <c r="E878" s="20"/>
      <c r="F878" s="20"/>
      <c r="G878" s="20"/>
      <c r="H878" s="6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5"/>
      <c r="B879" s="65"/>
      <c r="C879" s="20"/>
      <c r="D879" s="20"/>
      <c r="E879" s="20"/>
      <c r="F879" s="20"/>
      <c r="G879" s="20"/>
      <c r="H879" s="6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5"/>
      <c r="B880" s="65"/>
      <c r="C880" s="20"/>
      <c r="D880" s="20"/>
      <c r="E880" s="20"/>
      <c r="F880" s="20"/>
      <c r="G880" s="20"/>
      <c r="H880" s="6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5"/>
      <c r="B881" s="65"/>
      <c r="C881" s="20"/>
      <c r="D881" s="20"/>
      <c r="E881" s="20"/>
      <c r="F881" s="20"/>
      <c r="G881" s="20"/>
      <c r="H881" s="6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5"/>
      <c r="B882" s="65"/>
      <c r="C882" s="20"/>
      <c r="D882" s="20"/>
      <c r="E882" s="20"/>
      <c r="F882" s="20"/>
      <c r="G882" s="20"/>
      <c r="H882" s="6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5"/>
      <c r="B883" s="65"/>
      <c r="C883" s="20"/>
      <c r="D883" s="20"/>
      <c r="E883" s="20"/>
      <c r="F883" s="20"/>
      <c r="G883" s="20"/>
      <c r="H883" s="6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5"/>
      <c r="B884" s="65"/>
      <c r="C884" s="20"/>
      <c r="D884" s="20"/>
      <c r="E884" s="20"/>
      <c r="F884" s="20"/>
      <c r="G884" s="20"/>
      <c r="H884" s="6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5"/>
      <c r="B885" s="65"/>
      <c r="C885" s="20"/>
      <c r="D885" s="20"/>
      <c r="E885" s="20"/>
      <c r="F885" s="20"/>
      <c r="G885" s="20"/>
      <c r="H885" s="6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5"/>
      <c r="B886" s="65"/>
      <c r="C886" s="20"/>
      <c r="D886" s="20"/>
      <c r="E886" s="20"/>
      <c r="F886" s="20"/>
      <c r="G886" s="20"/>
      <c r="H886" s="6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5"/>
      <c r="B887" s="65"/>
      <c r="C887" s="20"/>
      <c r="D887" s="20"/>
      <c r="E887" s="20"/>
      <c r="F887" s="20"/>
      <c r="G887" s="20"/>
      <c r="H887" s="6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5"/>
      <c r="B888" s="65"/>
      <c r="C888" s="20"/>
      <c r="D888" s="20"/>
      <c r="E888" s="20"/>
      <c r="F888" s="20"/>
      <c r="G888" s="20"/>
      <c r="H888" s="6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5"/>
      <c r="B889" s="65"/>
      <c r="C889" s="20"/>
      <c r="D889" s="20"/>
      <c r="E889" s="20"/>
      <c r="F889" s="20"/>
      <c r="G889" s="20"/>
      <c r="H889" s="6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5"/>
      <c r="B890" s="65"/>
      <c r="C890" s="20"/>
      <c r="D890" s="20"/>
      <c r="E890" s="20"/>
      <c r="F890" s="20"/>
      <c r="G890" s="20"/>
      <c r="H890" s="6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5"/>
      <c r="B891" s="65"/>
      <c r="C891" s="20"/>
      <c r="D891" s="20"/>
      <c r="E891" s="20"/>
      <c r="F891" s="20"/>
      <c r="G891" s="20"/>
      <c r="H891" s="6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5"/>
      <c r="B892" s="65"/>
      <c r="C892" s="20"/>
      <c r="D892" s="20"/>
      <c r="E892" s="20"/>
      <c r="F892" s="20"/>
      <c r="G892" s="20"/>
      <c r="H892" s="6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5"/>
      <c r="B893" s="65"/>
      <c r="C893" s="20"/>
      <c r="D893" s="20"/>
      <c r="E893" s="20"/>
      <c r="F893" s="20"/>
      <c r="G893" s="20"/>
      <c r="H893" s="6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5"/>
      <c r="B894" s="65"/>
      <c r="C894" s="20"/>
      <c r="D894" s="20"/>
      <c r="E894" s="20"/>
      <c r="F894" s="20"/>
      <c r="G894" s="20"/>
      <c r="H894" s="6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5"/>
      <c r="B895" s="65"/>
      <c r="C895" s="20"/>
      <c r="D895" s="20"/>
      <c r="E895" s="20"/>
      <c r="F895" s="20"/>
      <c r="G895" s="20"/>
      <c r="H895" s="6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5"/>
      <c r="B896" s="65"/>
      <c r="C896" s="20"/>
      <c r="D896" s="20"/>
      <c r="E896" s="20"/>
      <c r="F896" s="20"/>
      <c r="G896" s="20"/>
      <c r="H896" s="6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5"/>
      <c r="B897" s="65"/>
      <c r="C897" s="20"/>
      <c r="D897" s="20"/>
      <c r="E897" s="20"/>
      <c r="F897" s="20"/>
      <c r="G897" s="20"/>
      <c r="H897" s="6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5"/>
      <c r="B898" s="65"/>
      <c r="C898" s="20"/>
      <c r="D898" s="20"/>
      <c r="E898" s="20"/>
      <c r="F898" s="20"/>
      <c r="G898" s="20"/>
      <c r="H898" s="6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5"/>
      <c r="B899" s="65"/>
      <c r="C899" s="20"/>
      <c r="D899" s="20"/>
      <c r="E899" s="20"/>
      <c r="F899" s="20"/>
      <c r="G899" s="20"/>
      <c r="H899" s="6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5"/>
      <c r="B900" s="65"/>
      <c r="C900" s="20"/>
      <c r="D900" s="20"/>
      <c r="E900" s="20"/>
      <c r="F900" s="20"/>
      <c r="G900" s="20"/>
      <c r="H900" s="6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5"/>
      <c r="B901" s="65"/>
      <c r="C901" s="20"/>
      <c r="D901" s="20"/>
      <c r="E901" s="20"/>
      <c r="F901" s="20"/>
      <c r="G901" s="20"/>
      <c r="H901" s="6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5"/>
      <c r="B902" s="65"/>
      <c r="C902" s="20"/>
      <c r="D902" s="20"/>
      <c r="E902" s="20"/>
      <c r="F902" s="20"/>
      <c r="G902" s="20"/>
      <c r="H902" s="6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5"/>
      <c r="B903" s="65"/>
      <c r="C903" s="20"/>
      <c r="D903" s="20"/>
      <c r="E903" s="20"/>
      <c r="F903" s="20"/>
      <c r="G903" s="20"/>
      <c r="H903" s="6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5"/>
      <c r="B904" s="65"/>
      <c r="C904" s="20"/>
      <c r="D904" s="20"/>
      <c r="E904" s="20"/>
      <c r="F904" s="20"/>
      <c r="G904" s="20"/>
      <c r="H904" s="6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5"/>
      <c r="B905" s="65"/>
      <c r="C905" s="20"/>
      <c r="D905" s="20"/>
      <c r="E905" s="20"/>
      <c r="F905" s="20"/>
      <c r="G905" s="20"/>
      <c r="H905" s="6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5"/>
      <c r="B906" s="65"/>
      <c r="C906" s="20"/>
      <c r="D906" s="20"/>
      <c r="E906" s="20"/>
      <c r="F906" s="20"/>
      <c r="G906" s="20"/>
      <c r="H906" s="6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5"/>
      <c r="B907" s="65"/>
      <c r="C907" s="20"/>
      <c r="D907" s="20"/>
      <c r="E907" s="20"/>
      <c r="F907" s="20"/>
      <c r="G907" s="20"/>
      <c r="H907" s="6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5"/>
      <c r="B908" s="65"/>
      <c r="C908" s="20"/>
      <c r="D908" s="20"/>
      <c r="E908" s="20"/>
      <c r="F908" s="20"/>
      <c r="G908" s="20"/>
      <c r="H908" s="6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5"/>
      <c r="B909" s="65"/>
      <c r="C909" s="20"/>
      <c r="D909" s="20"/>
      <c r="E909" s="20"/>
      <c r="F909" s="20"/>
      <c r="G909" s="20"/>
      <c r="H909" s="6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5"/>
      <c r="B910" s="65"/>
      <c r="C910" s="20"/>
      <c r="D910" s="20"/>
      <c r="E910" s="20"/>
      <c r="F910" s="20"/>
      <c r="G910" s="20"/>
      <c r="H910" s="6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5"/>
      <c r="B911" s="65"/>
      <c r="C911" s="20"/>
      <c r="D911" s="20"/>
      <c r="E911" s="20"/>
      <c r="F911" s="20"/>
      <c r="G911" s="20"/>
      <c r="H911" s="6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5"/>
      <c r="B912" s="65"/>
      <c r="C912" s="20"/>
      <c r="D912" s="20"/>
      <c r="E912" s="20"/>
      <c r="F912" s="20"/>
      <c r="G912" s="20"/>
      <c r="H912" s="6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5"/>
      <c r="B913" s="65"/>
      <c r="C913" s="20"/>
      <c r="D913" s="20"/>
      <c r="E913" s="20"/>
      <c r="F913" s="20"/>
      <c r="G913" s="20"/>
      <c r="H913" s="6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5"/>
      <c r="B914" s="65"/>
      <c r="C914" s="20"/>
      <c r="D914" s="20"/>
      <c r="E914" s="20"/>
      <c r="F914" s="20"/>
      <c r="G914" s="20"/>
      <c r="H914" s="6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5"/>
      <c r="B915" s="65"/>
      <c r="C915" s="20"/>
      <c r="D915" s="20"/>
      <c r="E915" s="20"/>
      <c r="F915" s="20"/>
      <c r="G915" s="20"/>
      <c r="H915" s="6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5"/>
      <c r="B916" s="65"/>
      <c r="C916" s="20"/>
      <c r="D916" s="20"/>
      <c r="E916" s="20"/>
      <c r="F916" s="20"/>
      <c r="G916" s="20"/>
      <c r="H916" s="6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5"/>
      <c r="B917" s="65"/>
      <c r="C917" s="20"/>
      <c r="D917" s="20"/>
      <c r="E917" s="20"/>
      <c r="F917" s="20"/>
      <c r="G917" s="20"/>
      <c r="H917" s="6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5"/>
      <c r="B918" s="65"/>
      <c r="C918" s="20"/>
      <c r="D918" s="20"/>
      <c r="E918" s="20"/>
      <c r="F918" s="20"/>
      <c r="G918" s="20"/>
      <c r="H918" s="6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5"/>
      <c r="B919" s="65"/>
      <c r="C919" s="20"/>
      <c r="D919" s="20"/>
      <c r="E919" s="20"/>
      <c r="F919" s="20"/>
      <c r="G919" s="20"/>
      <c r="H919" s="6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5"/>
      <c r="B920" s="65"/>
      <c r="C920" s="20"/>
      <c r="D920" s="20"/>
      <c r="E920" s="20"/>
      <c r="F920" s="20"/>
      <c r="G920" s="20"/>
      <c r="H920" s="6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5"/>
      <c r="B921" s="65"/>
      <c r="C921" s="20"/>
      <c r="D921" s="20"/>
      <c r="E921" s="20"/>
      <c r="F921" s="20"/>
      <c r="G921" s="20"/>
      <c r="H921" s="6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5"/>
      <c r="B922" s="65"/>
      <c r="C922" s="20"/>
      <c r="D922" s="20"/>
      <c r="E922" s="20"/>
      <c r="F922" s="20"/>
      <c r="G922" s="20"/>
      <c r="H922" s="6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5"/>
      <c r="B923" s="65"/>
      <c r="C923" s="20"/>
      <c r="D923" s="20"/>
      <c r="E923" s="20"/>
      <c r="F923" s="20"/>
      <c r="G923" s="20"/>
      <c r="H923" s="6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5"/>
      <c r="B924" s="65"/>
      <c r="C924" s="20"/>
      <c r="D924" s="20"/>
      <c r="E924" s="20"/>
      <c r="F924" s="20"/>
      <c r="G924" s="20"/>
      <c r="H924" s="6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5"/>
      <c r="B925" s="65"/>
      <c r="C925" s="20"/>
      <c r="D925" s="20"/>
      <c r="E925" s="20"/>
      <c r="F925" s="20"/>
      <c r="G925" s="20"/>
      <c r="H925" s="6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5"/>
      <c r="B926" s="65"/>
      <c r="C926" s="20"/>
      <c r="D926" s="20"/>
      <c r="E926" s="20"/>
      <c r="F926" s="20"/>
      <c r="G926" s="20"/>
      <c r="H926" s="6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5"/>
      <c r="B927" s="65"/>
      <c r="C927" s="20"/>
      <c r="D927" s="20"/>
      <c r="E927" s="20"/>
      <c r="F927" s="20"/>
      <c r="G927" s="20"/>
      <c r="H927" s="6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5"/>
      <c r="B928" s="65"/>
      <c r="C928" s="20"/>
      <c r="D928" s="20"/>
      <c r="E928" s="20"/>
      <c r="F928" s="20"/>
      <c r="G928" s="20"/>
      <c r="H928" s="6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5"/>
      <c r="B929" s="65"/>
      <c r="C929" s="20"/>
      <c r="D929" s="20"/>
      <c r="E929" s="20"/>
      <c r="F929" s="20"/>
      <c r="G929" s="20"/>
      <c r="H929" s="6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5"/>
      <c r="B930" s="65"/>
      <c r="C930" s="20"/>
      <c r="D930" s="20"/>
      <c r="E930" s="20"/>
      <c r="F930" s="20"/>
      <c r="G930" s="20"/>
      <c r="H930" s="6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5"/>
      <c r="B931" s="65"/>
      <c r="C931" s="20"/>
      <c r="D931" s="20"/>
      <c r="E931" s="20"/>
      <c r="F931" s="20"/>
      <c r="G931" s="20"/>
      <c r="H931" s="6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5"/>
      <c r="B932" s="65"/>
      <c r="C932" s="20"/>
      <c r="D932" s="20"/>
      <c r="E932" s="20"/>
      <c r="F932" s="20"/>
      <c r="G932" s="20"/>
      <c r="H932" s="6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5"/>
      <c r="B933" s="65"/>
      <c r="C933" s="20"/>
      <c r="D933" s="20"/>
      <c r="E933" s="20"/>
      <c r="F933" s="20"/>
      <c r="G933" s="20"/>
      <c r="H933" s="6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5"/>
      <c r="B934" s="65"/>
      <c r="C934" s="20"/>
      <c r="D934" s="20"/>
      <c r="E934" s="20"/>
      <c r="F934" s="20"/>
      <c r="G934" s="20"/>
      <c r="H934" s="6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5"/>
      <c r="B935" s="65"/>
      <c r="C935" s="20"/>
      <c r="D935" s="20"/>
      <c r="E935" s="20"/>
      <c r="F935" s="20"/>
      <c r="G935" s="20"/>
      <c r="H935" s="6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5"/>
      <c r="B936" s="65"/>
      <c r="C936" s="20"/>
      <c r="D936" s="20"/>
      <c r="E936" s="20"/>
      <c r="F936" s="20"/>
      <c r="G936" s="20"/>
      <c r="H936" s="6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5"/>
      <c r="B937" s="65"/>
      <c r="C937" s="20"/>
      <c r="D937" s="20"/>
      <c r="E937" s="20"/>
      <c r="F937" s="20"/>
      <c r="G937" s="20"/>
      <c r="H937" s="6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5"/>
      <c r="B938" s="65"/>
      <c r="C938" s="20"/>
      <c r="D938" s="20"/>
      <c r="E938" s="20"/>
      <c r="F938" s="20"/>
      <c r="G938" s="20"/>
      <c r="H938" s="6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5"/>
      <c r="B939" s="65"/>
      <c r="C939" s="20"/>
      <c r="D939" s="20"/>
      <c r="E939" s="20"/>
      <c r="F939" s="20"/>
      <c r="G939" s="20"/>
      <c r="H939" s="6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5"/>
      <c r="B940" s="65"/>
      <c r="C940" s="20"/>
      <c r="D940" s="20"/>
      <c r="E940" s="20"/>
      <c r="F940" s="20"/>
      <c r="G940" s="20"/>
      <c r="H940" s="6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5"/>
      <c r="B941" s="65"/>
      <c r="C941" s="20"/>
      <c r="D941" s="20"/>
      <c r="E941" s="20"/>
      <c r="F941" s="20"/>
      <c r="G941" s="20"/>
      <c r="H941" s="6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5"/>
      <c r="B942" s="65"/>
      <c r="C942" s="20"/>
      <c r="D942" s="20"/>
      <c r="E942" s="20"/>
      <c r="F942" s="20"/>
      <c r="G942" s="20"/>
      <c r="H942" s="6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5"/>
      <c r="B943" s="65"/>
      <c r="C943" s="20"/>
      <c r="D943" s="20"/>
      <c r="E943" s="20"/>
      <c r="F943" s="20"/>
      <c r="G943" s="20"/>
      <c r="H943" s="6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5"/>
      <c r="B944" s="65"/>
      <c r="C944" s="20"/>
      <c r="D944" s="20"/>
      <c r="E944" s="20"/>
      <c r="F944" s="20"/>
      <c r="G944" s="20"/>
      <c r="H944" s="6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5"/>
      <c r="B945" s="65"/>
      <c r="C945" s="20"/>
      <c r="D945" s="20"/>
      <c r="E945" s="20"/>
      <c r="F945" s="20"/>
      <c r="G945" s="20"/>
      <c r="H945" s="6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5"/>
      <c r="B946" s="65"/>
      <c r="C946" s="20"/>
      <c r="D946" s="20"/>
      <c r="E946" s="20"/>
      <c r="F946" s="20"/>
      <c r="G946" s="20"/>
      <c r="H946" s="6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5"/>
      <c r="B947" s="65"/>
      <c r="C947" s="20"/>
      <c r="D947" s="20"/>
      <c r="E947" s="20"/>
      <c r="F947" s="20"/>
      <c r="G947" s="20"/>
      <c r="H947" s="6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5"/>
      <c r="B948" s="65"/>
      <c r="C948" s="20"/>
      <c r="D948" s="20"/>
      <c r="E948" s="20"/>
      <c r="F948" s="20"/>
      <c r="G948" s="20"/>
      <c r="H948" s="6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5"/>
      <c r="B949" s="65"/>
      <c r="C949" s="20"/>
      <c r="D949" s="20"/>
      <c r="E949" s="20"/>
      <c r="F949" s="20"/>
      <c r="G949" s="20"/>
      <c r="H949" s="6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5"/>
      <c r="B950" s="65"/>
      <c r="C950" s="20"/>
      <c r="D950" s="20"/>
      <c r="E950" s="20"/>
      <c r="F950" s="20"/>
      <c r="G950" s="20"/>
      <c r="H950" s="6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5"/>
      <c r="B951" s="65"/>
      <c r="C951" s="20"/>
      <c r="D951" s="20"/>
      <c r="E951" s="20"/>
      <c r="F951" s="20"/>
      <c r="G951" s="20"/>
      <c r="H951" s="6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5"/>
      <c r="B952" s="65"/>
      <c r="C952" s="20"/>
      <c r="D952" s="20"/>
      <c r="E952" s="20"/>
      <c r="F952" s="20"/>
      <c r="G952" s="20"/>
      <c r="H952" s="6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5"/>
      <c r="B953" s="65"/>
      <c r="C953" s="20"/>
      <c r="D953" s="20"/>
      <c r="E953" s="20"/>
      <c r="F953" s="20"/>
      <c r="G953" s="20"/>
      <c r="H953" s="6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5"/>
      <c r="B954" s="65"/>
      <c r="C954" s="20"/>
      <c r="D954" s="20"/>
      <c r="E954" s="20"/>
      <c r="F954" s="20"/>
      <c r="G954" s="20"/>
      <c r="H954" s="6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5"/>
      <c r="B955" s="65"/>
      <c r="C955" s="20"/>
      <c r="D955" s="20"/>
      <c r="E955" s="20"/>
      <c r="F955" s="20"/>
      <c r="G955" s="20"/>
      <c r="H955" s="6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5"/>
      <c r="B956" s="65"/>
      <c r="C956" s="20"/>
      <c r="D956" s="20"/>
      <c r="E956" s="20"/>
      <c r="F956" s="20"/>
      <c r="G956" s="20"/>
      <c r="H956" s="6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5"/>
      <c r="B957" s="65"/>
      <c r="C957" s="20"/>
      <c r="D957" s="20"/>
      <c r="E957" s="20"/>
      <c r="F957" s="20"/>
      <c r="G957" s="20"/>
      <c r="H957" s="6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5"/>
      <c r="B958" s="65"/>
      <c r="C958" s="20"/>
      <c r="D958" s="20"/>
      <c r="E958" s="20"/>
      <c r="F958" s="20"/>
      <c r="G958" s="20"/>
      <c r="H958" s="6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5"/>
      <c r="B959" s="65"/>
      <c r="C959" s="20"/>
      <c r="D959" s="20"/>
      <c r="E959" s="20"/>
      <c r="F959" s="20"/>
      <c r="G959" s="20"/>
      <c r="H959" s="6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5"/>
      <c r="B960" s="65"/>
      <c r="C960" s="20"/>
      <c r="D960" s="20"/>
      <c r="E960" s="20"/>
      <c r="F960" s="20"/>
      <c r="G960" s="20"/>
      <c r="H960" s="6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5"/>
      <c r="B961" s="65"/>
      <c r="C961" s="20"/>
      <c r="D961" s="20"/>
      <c r="E961" s="20"/>
      <c r="F961" s="20"/>
      <c r="G961" s="20"/>
      <c r="H961" s="6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5"/>
      <c r="B962" s="65"/>
      <c r="C962" s="20"/>
      <c r="D962" s="20"/>
      <c r="E962" s="20"/>
      <c r="F962" s="20"/>
      <c r="G962" s="20"/>
      <c r="H962" s="6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5"/>
      <c r="B963" s="65"/>
      <c r="C963" s="20"/>
      <c r="D963" s="20"/>
      <c r="E963" s="20"/>
      <c r="F963" s="20"/>
      <c r="G963" s="20"/>
      <c r="H963" s="6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5"/>
      <c r="B964" s="65"/>
      <c r="C964" s="20"/>
      <c r="D964" s="20"/>
      <c r="E964" s="20"/>
      <c r="F964" s="20"/>
      <c r="G964" s="20"/>
      <c r="H964" s="6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5"/>
      <c r="B965" s="65"/>
      <c r="C965" s="20"/>
      <c r="D965" s="20"/>
      <c r="E965" s="20"/>
      <c r="F965" s="20"/>
      <c r="G965" s="20"/>
      <c r="H965" s="6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5"/>
      <c r="B966" s="65"/>
      <c r="C966" s="20"/>
      <c r="D966" s="20"/>
      <c r="E966" s="20"/>
      <c r="F966" s="20"/>
      <c r="G966" s="20"/>
      <c r="H966" s="6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5"/>
      <c r="B967" s="65"/>
      <c r="C967" s="20"/>
      <c r="D967" s="20"/>
      <c r="E967" s="20"/>
      <c r="F967" s="20"/>
      <c r="G967" s="20"/>
      <c r="H967" s="6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5"/>
      <c r="B968" s="65"/>
      <c r="C968" s="20"/>
      <c r="D968" s="20"/>
      <c r="E968" s="20"/>
      <c r="F968" s="20"/>
      <c r="G968" s="20"/>
      <c r="H968" s="6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5"/>
      <c r="B969" s="65"/>
      <c r="C969" s="20"/>
      <c r="D969" s="20"/>
      <c r="E969" s="20"/>
      <c r="F969" s="20"/>
      <c r="G969" s="20"/>
      <c r="H969" s="6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5"/>
      <c r="B970" s="65"/>
      <c r="C970" s="20"/>
      <c r="D970" s="20"/>
      <c r="E970" s="20"/>
      <c r="F970" s="20"/>
      <c r="G970" s="20"/>
      <c r="H970" s="6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5"/>
      <c r="B971" s="65"/>
      <c r="C971" s="20"/>
      <c r="D971" s="20"/>
      <c r="E971" s="20"/>
      <c r="F971" s="20"/>
      <c r="G971" s="20"/>
      <c r="H971" s="6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5"/>
      <c r="B972" s="65"/>
      <c r="C972" s="20"/>
      <c r="D972" s="20"/>
      <c r="E972" s="20"/>
      <c r="F972" s="20"/>
      <c r="G972" s="20"/>
      <c r="H972" s="6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5"/>
      <c r="B973" s="65"/>
      <c r="C973" s="20"/>
      <c r="D973" s="20"/>
      <c r="E973" s="20"/>
      <c r="F973" s="20"/>
      <c r="G973" s="20"/>
      <c r="H973" s="6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5"/>
      <c r="B974" s="65"/>
      <c r="C974" s="20"/>
      <c r="D974" s="20"/>
      <c r="E974" s="20"/>
      <c r="F974" s="20"/>
      <c r="G974" s="20"/>
      <c r="H974" s="6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5"/>
      <c r="B975" s="65"/>
      <c r="C975" s="20"/>
      <c r="D975" s="20"/>
      <c r="E975" s="20"/>
      <c r="F975" s="20"/>
      <c r="G975" s="20"/>
      <c r="H975" s="6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5"/>
      <c r="B976" s="65"/>
      <c r="C976" s="20"/>
      <c r="D976" s="20"/>
      <c r="E976" s="20"/>
      <c r="F976" s="20"/>
      <c r="G976" s="20"/>
      <c r="H976" s="6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5"/>
      <c r="B977" s="65"/>
      <c r="C977" s="20"/>
      <c r="D977" s="20"/>
      <c r="E977" s="20"/>
      <c r="F977" s="20"/>
      <c r="G977" s="20"/>
      <c r="H977" s="6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5"/>
      <c r="B978" s="65"/>
      <c r="C978" s="20"/>
      <c r="D978" s="20"/>
      <c r="E978" s="20"/>
      <c r="F978" s="20"/>
      <c r="G978" s="20"/>
      <c r="H978" s="6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5"/>
      <c r="B979" s="65"/>
      <c r="C979" s="20"/>
      <c r="D979" s="20"/>
      <c r="E979" s="20"/>
      <c r="F979" s="20"/>
      <c r="G979" s="20"/>
      <c r="H979" s="6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5"/>
      <c r="B980" s="65"/>
      <c r="C980" s="20"/>
      <c r="D980" s="20"/>
      <c r="E980" s="20"/>
      <c r="F980" s="20"/>
      <c r="G980" s="20"/>
      <c r="H980" s="6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5"/>
      <c r="B981" s="65"/>
      <c r="C981" s="20"/>
      <c r="D981" s="20"/>
      <c r="E981" s="20"/>
      <c r="F981" s="20"/>
      <c r="G981" s="20"/>
      <c r="H981" s="6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5"/>
      <c r="B982" s="65"/>
      <c r="C982" s="20"/>
      <c r="D982" s="20"/>
      <c r="E982" s="20"/>
      <c r="F982" s="20"/>
      <c r="G982" s="20"/>
      <c r="H982" s="6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5"/>
      <c r="B983" s="65"/>
      <c r="C983" s="20"/>
      <c r="D983" s="20"/>
      <c r="E983" s="20"/>
      <c r="F983" s="20"/>
      <c r="G983" s="20"/>
      <c r="H983" s="6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5"/>
      <c r="B984" s="65"/>
      <c r="C984" s="20"/>
      <c r="D984" s="20"/>
      <c r="E984" s="20"/>
      <c r="F984" s="20"/>
      <c r="G984" s="20"/>
      <c r="H984" s="6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5"/>
      <c r="B985" s="65"/>
      <c r="C985" s="20"/>
      <c r="D985" s="20"/>
      <c r="E985" s="20"/>
      <c r="F985" s="20"/>
      <c r="G985" s="20"/>
      <c r="H985" s="6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5"/>
      <c r="B986" s="65"/>
      <c r="C986" s="20"/>
      <c r="D986" s="20"/>
      <c r="E986" s="20"/>
      <c r="F986" s="20"/>
      <c r="G986" s="20"/>
      <c r="H986" s="6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5"/>
      <c r="B987" s="65"/>
      <c r="C987" s="20"/>
      <c r="D987" s="20"/>
      <c r="E987" s="20"/>
      <c r="F987" s="20"/>
      <c r="G987" s="20"/>
      <c r="H987" s="6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5"/>
      <c r="B988" s="65"/>
      <c r="C988" s="20"/>
      <c r="D988" s="20"/>
      <c r="E988" s="20"/>
      <c r="F988" s="20"/>
      <c r="G988" s="20"/>
      <c r="H988" s="6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5"/>
      <c r="B989" s="65"/>
      <c r="C989" s="20"/>
      <c r="D989" s="20"/>
      <c r="E989" s="20"/>
      <c r="F989" s="20"/>
      <c r="G989" s="20"/>
      <c r="H989" s="6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5"/>
      <c r="B990" s="65"/>
      <c r="C990" s="20"/>
      <c r="D990" s="20"/>
      <c r="E990" s="20"/>
      <c r="F990" s="20"/>
      <c r="G990" s="20"/>
      <c r="H990" s="6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5"/>
      <c r="B991" s="65"/>
      <c r="C991" s="20"/>
      <c r="D991" s="20"/>
      <c r="E991" s="20"/>
      <c r="F991" s="20"/>
      <c r="G991" s="20"/>
      <c r="H991" s="6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5"/>
      <c r="B992" s="65"/>
      <c r="C992" s="20"/>
      <c r="D992" s="20"/>
      <c r="E992" s="20"/>
      <c r="F992" s="20"/>
      <c r="G992" s="20"/>
      <c r="H992" s="6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5"/>
      <c r="B993" s="65"/>
      <c r="C993" s="20"/>
      <c r="D993" s="20"/>
      <c r="E993" s="20"/>
      <c r="F993" s="20"/>
      <c r="G993" s="20"/>
      <c r="H993" s="6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5"/>
      <c r="B994" s="65"/>
      <c r="C994" s="20"/>
      <c r="D994" s="20"/>
      <c r="E994" s="20"/>
      <c r="F994" s="20"/>
      <c r="G994" s="20"/>
      <c r="H994" s="6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5"/>
      <c r="B995" s="65"/>
      <c r="C995" s="20"/>
      <c r="D995" s="20"/>
      <c r="E995" s="20"/>
      <c r="F995" s="20"/>
      <c r="G995" s="20"/>
      <c r="H995" s="6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5"/>
      <c r="B996" s="65"/>
      <c r="C996" s="20"/>
      <c r="D996" s="20"/>
      <c r="E996" s="20"/>
      <c r="F996" s="20"/>
      <c r="G996" s="20"/>
      <c r="H996" s="6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5"/>
      <c r="B997" s="65"/>
      <c r="C997" s="20"/>
      <c r="D997" s="20"/>
      <c r="E997" s="20"/>
      <c r="F997" s="20"/>
      <c r="G997" s="20"/>
      <c r="H997" s="6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5"/>
      <c r="B998" s="65"/>
      <c r="C998" s="20"/>
      <c r="D998" s="20"/>
      <c r="E998" s="20"/>
      <c r="F998" s="20"/>
      <c r="G998" s="20"/>
      <c r="H998" s="6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5"/>
      <c r="B999" s="65"/>
      <c r="C999" s="20"/>
      <c r="D999" s="20"/>
      <c r="E999" s="20"/>
      <c r="F999" s="20"/>
      <c r="G999" s="20"/>
      <c r="H999" s="6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5"/>
      <c r="B1000" s="65"/>
      <c r="C1000" s="20"/>
      <c r="D1000" s="20"/>
      <c r="E1000" s="20"/>
      <c r="F1000" s="20"/>
      <c r="G1000" s="20"/>
      <c r="H1000" s="6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5"/>
      <c r="B1001" s="65"/>
      <c r="C1001" s="20"/>
      <c r="D1001" s="20"/>
      <c r="E1001" s="20"/>
      <c r="F1001" s="20"/>
      <c r="G1001" s="20"/>
      <c r="H1001" s="6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5"/>
      <c r="B1002" s="65"/>
      <c r="C1002" s="20"/>
      <c r="D1002" s="20"/>
      <c r="E1002" s="20"/>
      <c r="F1002" s="20"/>
      <c r="G1002" s="20"/>
      <c r="H1002" s="6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5"/>
      <c r="B1003" s="65"/>
      <c r="C1003" s="20"/>
      <c r="D1003" s="20"/>
      <c r="E1003" s="20"/>
      <c r="F1003" s="20"/>
      <c r="G1003" s="20"/>
      <c r="H1003" s="6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3" max="3" width="60.57"/>
    <col customWidth="1" min="6" max="6" width="20.57"/>
  </cols>
  <sheetData>
    <row r="1">
      <c r="A1" s="79" t="s">
        <v>499</v>
      </c>
      <c r="B1" s="80"/>
      <c r="C1" s="20"/>
      <c r="D1" s="80"/>
      <c r="E1" s="80"/>
      <c r="F1" s="81" t="s">
        <v>472</v>
      </c>
      <c r="G1" s="82" t="s">
        <v>473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9" t="s">
        <v>500</v>
      </c>
      <c r="B2" s="80"/>
      <c r="C2" s="20"/>
      <c r="D2" s="80"/>
      <c r="E2" s="80"/>
      <c r="F2" s="81" t="s">
        <v>474</v>
      </c>
      <c r="G2" s="83" t="s">
        <v>501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80"/>
      <c r="B3" s="80"/>
      <c r="C3" s="20"/>
      <c r="D3" s="80"/>
      <c r="E3" s="80"/>
      <c r="F3" s="81" t="s">
        <v>502</v>
      </c>
      <c r="G3" s="27" t="s">
        <v>503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80"/>
      <c r="B4" s="80"/>
      <c r="C4" s="20"/>
      <c r="D4" s="80"/>
      <c r="E4" s="80"/>
      <c r="F4" s="84" t="s">
        <v>504</v>
      </c>
      <c r="G4" s="27" t="s">
        <v>505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85" t="str">
        <f>IFERROR(__xludf.DUMMYFUNCTION("QUERY(IMPORTRANGE(G1,""Movie Data!A1:F441""),""select * where Col4&lt;1950 and Col5&gt;75"",-1)"),"Rank")</f>
        <v>Rank</v>
      </c>
      <c r="B5" s="86" t="str">
        <f>IFERROR(__xludf.DUMMYFUNCTION("""COMPUTED_VALUE"""),"Rating")</f>
        <v>Rating</v>
      </c>
      <c r="C5" s="75" t="str">
        <f>IFERROR(__xludf.DUMMYFUNCTION("""COMPUTED_VALUE"""),"Title")</f>
        <v>Title</v>
      </c>
      <c r="D5" s="86" t="str">
        <f>IFERROR(__xludf.DUMMYFUNCTION("""COMPUTED_VALUE"""),"Year")</f>
        <v>Year</v>
      </c>
      <c r="E5" s="86" t="str">
        <f>IFERROR(__xludf.DUMMYFUNCTION("""COMPUTED_VALUE"""),"No. of Reviews")</f>
        <v>No. of Reviews</v>
      </c>
      <c r="F5" s="20" t="str">
        <f>IFERROR(__xludf.DUMMYFUNCTION("""COMPUTED_VALUE"""),"Category")</f>
        <v>Category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80">
        <f>IFERROR(__xludf.DUMMYFUNCTION("""COMPUTED_VALUE"""),1.0)</f>
        <v>1</v>
      </c>
      <c r="B6" s="87">
        <f>IFERROR(__xludf.DUMMYFUNCTION("""COMPUTED_VALUE"""),0.99)</f>
        <v>0.99</v>
      </c>
      <c r="C6" s="20" t="str">
        <f>IFERROR(__xludf.DUMMYFUNCTION("""COMPUTED_VALUE"""),"The Wizard of Oz ")</f>
        <v>The Wizard of Oz </v>
      </c>
      <c r="D6" s="88">
        <f>IFERROR(__xludf.DUMMYFUNCTION("""COMPUTED_VALUE"""),1939.0)</f>
        <v>1939</v>
      </c>
      <c r="E6" s="80">
        <f>IFERROR(__xludf.DUMMYFUNCTION("""COMPUTED_VALUE"""),109.0)</f>
        <v>109</v>
      </c>
      <c r="F6" s="20" t="str">
        <f>IFERROR(__xludf.DUMMYFUNCTION("""COMPUTED_VALUE"""),"All Time")</f>
        <v>All Time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80">
        <f>IFERROR(__xludf.DUMMYFUNCTION("""COMPUTED_VALUE"""),2.0)</f>
        <v>2</v>
      </c>
      <c r="B7" s="87">
        <f>IFERROR(__xludf.DUMMYFUNCTION("""COMPUTED_VALUE"""),1.0)</f>
        <v>1</v>
      </c>
      <c r="C7" s="20" t="str">
        <f>IFERROR(__xludf.DUMMYFUNCTION("""COMPUTED_VALUE"""),"The Third Man ")</f>
        <v>The Third Man </v>
      </c>
      <c r="D7" s="88">
        <f>IFERROR(__xludf.DUMMYFUNCTION("""COMPUTED_VALUE"""),1949.0)</f>
        <v>1949</v>
      </c>
      <c r="E7" s="80">
        <f>IFERROR(__xludf.DUMMYFUNCTION("""COMPUTED_VALUE"""),76.0)</f>
        <v>76</v>
      </c>
      <c r="F7" s="20" t="str">
        <f>IFERROR(__xludf.DUMMYFUNCTION("""COMPUTED_VALUE"""),"All Time")</f>
        <v>All Time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0">
        <f>IFERROR(__xludf.DUMMYFUNCTION("""COMPUTED_VALUE"""),10.0)</f>
        <v>10</v>
      </c>
      <c r="B8" s="87">
        <f>IFERROR(__xludf.DUMMYFUNCTION("""COMPUTED_VALUE"""),0.99)</f>
        <v>0.99</v>
      </c>
      <c r="C8" s="20" t="str">
        <f>IFERROR(__xludf.DUMMYFUNCTION("""COMPUTED_VALUE"""),"Metropolis ")</f>
        <v>Metropolis </v>
      </c>
      <c r="D8" s="88">
        <f>IFERROR(__xludf.DUMMYFUNCTION("""COMPUTED_VALUE"""),1927.0)</f>
        <v>1927</v>
      </c>
      <c r="E8" s="80">
        <f>IFERROR(__xludf.DUMMYFUNCTION("""COMPUTED_VALUE"""),115.0)</f>
        <v>115</v>
      </c>
      <c r="F8" s="20" t="str">
        <f>IFERROR(__xludf.DUMMYFUNCTION("""COMPUTED_VALUE"""),"All Time")</f>
        <v>All Time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80">
        <f>IFERROR(__xludf.DUMMYFUNCTION("""COMPUTED_VALUE"""),54.0)</f>
        <v>54</v>
      </c>
      <c r="B9" s="87">
        <f>IFERROR(__xludf.DUMMYFUNCTION("""COMPUTED_VALUE"""),0.94)</f>
        <v>0.94</v>
      </c>
      <c r="C9" s="20" t="str">
        <f>IFERROR(__xludf.DUMMYFUNCTION("""COMPUTED_VALUE"""),"Gone With the Wind ")</f>
        <v>Gone With the Wind </v>
      </c>
      <c r="D9" s="88">
        <f>IFERROR(__xludf.DUMMYFUNCTION("""COMPUTED_VALUE"""),1939.0)</f>
        <v>1939</v>
      </c>
      <c r="E9" s="80">
        <f>IFERROR(__xludf.DUMMYFUNCTION("""COMPUTED_VALUE"""),81.0)</f>
        <v>81</v>
      </c>
      <c r="F9" s="20" t="str">
        <f>IFERROR(__xludf.DUMMYFUNCTION("""COMPUTED_VALUE"""),"All Time")</f>
        <v>All Time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80">
        <f>IFERROR(__xludf.DUMMYFUNCTION("""COMPUTED_VALUE"""),3.0)</f>
        <v>3</v>
      </c>
      <c r="B10" s="87">
        <f>IFERROR(__xludf.DUMMYFUNCTION("""COMPUTED_VALUE"""),0.98)</f>
        <v>0.98</v>
      </c>
      <c r="C10" s="20" t="str">
        <f>IFERROR(__xludf.DUMMYFUNCTION("""COMPUTED_VALUE"""),"Metropolis ")</f>
        <v>Metropolis </v>
      </c>
      <c r="D10" s="88">
        <f>IFERROR(__xludf.DUMMYFUNCTION("""COMPUTED_VALUE"""),1927.0)</f>
        <v>1927</v>
      </c>
      <c r="E10" s="80">
        <f>IFERROR(__xludf.DUMMYFUNCTION("""COMPUTED_VALUE"""),142.0)</f>
        <v>142</v>
      </c>
      <c r="F10" s="20" t="str">
        <f>IFERROR(__xludf.DUMMYFUNCTION("""COMPUTED_VALUE"""),"Comedy")</f>
        <v>Comedy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80">
        <f>IFERROR(__xludf.DUMMYFUNCTION("""COMPUTED_VALUE"""),137.0)</f>
        <v>137</v>
      </c>
      <c r="B11" s="87">
        <f>IFERROR(__xludf.DUMMYFUNCTION("""COMPUTED_VALUE"""),1.0)</f>
        <v>1</v>
      </c>
      <c r="C11" s="20" t="str">
        <f>IFERROR(__xludf.DUMMYFUNCTION("""COMPUTED_VALUE"""),"The Bank Dick ")</f>
        <v>The Bank Dick </v>
      </c>
      <c r="D11" s="88">
        <f>IFERROR(__xludf.DUMMYFUNCTION("""COMPUTED_VALUE"""),1940.0)</f>
        <v>1940</v>
      </c>
      <c r="E11" s="80">
        <f>IFERROR(__xludf.DUMMYFUNCTION("""COMPUTED_VALUE"""),187.0)</f>
        <v>187</v>
      </c>
      <c r="F11" s="20" t="str">
        <f>IFERROR(__xludf.DUMMYFUNCTION("""COMPUTED_VALUE"""),"Comedy")</f>
        <v>Comedy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80">
        <f>IFERROR(__xludf.DUMMYFUNCTION("""COMPUTED_VALUE"""),132.0)</f>
        <v>132</v>
      </c>
      <c r="B12" s="87">
        <f>IFERROR(__xludf.DUMMYFUNCTION("""COMPUTED_VALUE"""),0.97)</f>
        <v>0.97</v>
      </c>
      <c r="C12" s="20" t="str">
        <f>IFERROR(__xludf.DUMMYFUNCTION("""COMPUTED_VALUE"""),"Safety Last! ")</f>
        <v>Safety Last! </v>
      </c>
      <c r="D12" s="88">
        <f>IFERROR(__xludf.DUMMYFUNCTION("""COMPUTED_VALUE"""),1923.0)</f>
        <v>1923</v>
      </c>
      <c r="E12" s="80">
        <f>IFERROR(__xludf.DUMMYFUNCTION("""COMPUTED_VALUE"""),102.0)</f>
        <v>102</v>
      </c>
      <c r="F12" s="20" t="str">
        <f>IFERROR(__xludf.DUMMYFUNCTION("""COMPUTED_VALUE"""),"Comedy")</f>
        <v>Comedy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80">
        <f>IFERROR(__xludf.DUMMYFUNCTION("""COMPUTED_VALUE"""),104.0)</f>
        <v>104</v>
      </c>
      <c r="B13" s="87">
        <f>IFERROR(__xludf.DUMMYFUNCTION("""COMPUTED_VALUE"""),0.92)</f>
        <v>0.92</v>
      </c>
      <c r="C13" s="20" t="str">
        <f>IFERROR(__xludf.DUMMYFUNCTION("""COMPUTED_VALUE"""),"Road to Morocco ")</f>
        <v>Road to Morocco </v>
      </c>
      <c r="D13" s="88">
        <f>IFERROR(__xludf.DUMMYFUNCTION("""COMPUTED_VALUE"""),1942.0)</f>
        <v>1942</v>
      </c>
      <c r="E13" s="80">
        <f>IFERROR(__xludf.DUMMYFUNCTION("""COMPUTED_VALUE"""),195.0)</f>
        <v>195</v>
      </c>
      <c r="F13" s="20" t="str">
        <f>IFERROR(__xludf.DUMMYFUNCTION("""COMPUTED_VALUE"""),"Comedy")</f>
        <v>Comedy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80">
        <f>IFERROR(__xludf.DUMMYFUNCTION("""COMPUTED_VALUE"""),92.0)</f>
        <v>92</v>
      </c>
      <c r="B14" s="87">
        <f>IFERROR(__xludf.DUMMYFUNCTION("""COMPUTED_VALUE"""),0.88)</f>
        <v>0.88</v>
      </c>
      <c r="C14" s="20" t="str">
        <f>IFERROR(__xludf.DUMMYFUNCTION("""COMPUTED_VALUE"""),"Abbott and Costello Meet Frankenstein ")</f>
        <v>Abbott and Costello Meet Frankenstein </v>
      </c>
      <c r="D14" s="88">
        <f>IFERROR(__xludf.DUMMYFUNCTION("""COMPUTED_VALUE"""),1948.0)</f>
        <v>1948</v>
      </c>
      <c r="E14" s="80">
        <f>IFERROR(__xludf.DUMMYFUNCTION("""COMPUTED_VALUE"""),243.0)</f>
        <v>243</v>
      </c>
      <c r="F14" s="20" t="str">
        <f>IFERROR(__xludf.DUMMYFUNCTION("""COMPUTED_VALUE"""),"Comedy")</f>
        <v>Comedy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80">
        <f>IFERROR(__xludf.DUMMYFUNCTION("""COMPUTED_VALUE"""),53.0)</f>
        <v>53</v>
      </c>
      <c r="B15" s="87">
        <f>IFERROR(__xludf.DUMMYFUNCTION("""COMPUTED_VALUE"""),0.95)</f>
        <v>0.95</v>
      </c>
      <c r="C15" s="20" t="str">
        <f>IFERROR(__xludf.DUMMYFUNCTION("""COMPUTED_VALUE"""),"Sherlock Jr. ")</f>
        <v>Sherlock Jr. </v>
      </c>
      <c r="D15" s="88">
        <f>IFERROR(__xludf.DUMMYFUNCTION("""COMPUTED_VALUE"""),1924.0)</f>
        <v>1924</v>
      </c>
      <c r="E15" s="80">
        <f>IFERROR(__xludf.DUMMYFUNCTION("""COMPUTED_VALUE"""),283.0)</f>
        <v>283</v>
      </c>
      <c r="F15" s="20" t="str">
        <f>IFERROR(__xludf.DUMMYFUNCTION("""COMPUTED_VALUE"""),"Comedy")</f>
        <v>Comedy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80">
        <f>IFERROR(__xludf.DUMMYFUNCTION("""COMPUTED_VALUE"""),38.0)</f>
        <v>38</v>
      </c>
      <c r="B16" s="87">
        <f>IFERROR(__xludf.DUMMYFUNCTION("""COMPUTED_VALUE"""),1.0)</f>
        <v>1</v>
      </c>
      <c r="C16" s="20" t="str">
        <f>IFERROR(__xludf.DUMMYFUNCTION("""COMPUTED_VALUE"""),"The Lady Eve ")</f>
        <v>The Lady Eve </v>
      </c>
      <c r="D16" s="88">
        <f>IFERROR(__xludf.DUMMYFUNCTION("""COMPUTED_VALUE"""),1941.0)</f>
        <v>1941</v>
      </c>
      <c r="E16" s="80">
        <f>IFERROR(__xludf.DUMMYFUNCTION("""COMPUTED_VALUE"""),244.0)</f>
        <v>244</v>
      </c>
      <c r="F16" s="20" t="str">
        <f>IFERROR(__xludf.DUMMYFUNCTION("""COMPUTED_VALUE"""),"Comedy")</f>
        <v>Comedy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80">
        <f>IFERROR(__xludf.DUMMYFUNCTION("""COMPUTED_VALUE"""),37.0)</f>
        <v>37</v>
      </c>
      <c r="B17" s="87">
        <f>IFERROR(__xludf.DUMMYFUNCTION("""COMPUTED_VALUE"""),0.97)</f>
        <v>0.97</v>
      </c>
      <c r="C17" s="20" t="str">
        <f>IFERROR(__xludf.DUMMYFUNCTION("""COMPUTED_VALUE"""),"A Night at the Opera ")</f>
        <v>A Night at the Opera </v>
      </c>
      <c r="D17" s="88">
        <f>IFERROR(__xludf.DUMMYFUNCTION("""COMPUTED_VALUE"""),1935.0)</f>
        <v>1935</v>
      </c>
      <c r="E17" s="80">
        <f>IFERROR(__xludf.DUMMYFUNCTION("""COMPUTED_VALUE"""),105.0)</f>
        <v>105</v>
      </c>
      <c r="F17" s="20" t="str">
        <f>IFERROR(__xludf.DUMMYFUNCTION("""COMPUTED_VALUE"""),"Comedy")</f>
        <v>Comedy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80">
        <f>IFERROR(__xludf.DUMMYFUNCTION("""COMPUTED_VALUE"""),36.0)</f>
        <v>36</v>
      </c>
      <c r="B18" s="87">
        <f>IFERROR(__xludf.DUMMYFUNCTION("""COMPUTED_VALUE"""),1.0)</f>
        <v>1</v>
      </c>
      <c r="C18" s="20" t="str">
        <f>IFERROR(__xludf.DUMMYFUNCTION("""COMPUTED_VALUE"""),"Adam's Rib ")</f>
        <v>Adam's Rib </v>
      </c>
      <c r="D18" s="88">
        <f>IFERROR(__xludf.DUMMYFUNCTION("""COMPUTED_VALUE"""),1949.0)</f>
        <v>1949</v>
      </c>
      <c r="E18" s="80">
        <f>IFERROR(__xludf.DUMMYFUNCTION("""COMPUTED_VALUE"""),99.0)</f>
        <v>99</v>
      </c>
      <c r="F18" s="20" t="str">
        <f>IFERROR(__xludf.DUMMYFUNCTION("""COMPUTED_VALUE"""),"Comedy")</f>
        <v>Comedy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80">
        <f>IFERROR(__xludf.DUMMYFUNCTION("""COMPUTED_VALUE"""),34.0)</f>
        <v>34</v>
      </c>
      <c r="B19" s="87">
        <f>IFERROR(__xludf.DUMMYFUNCTION("""COMPUTED_VALUE"""),0.92)</f>
        <v>0.92</v>
      </c>
      <c r="C19" s="20" t="str">
        <f>IFERROR(__xludf.DUMMYFUNCTION("""COMPUTED_VALUE"""),"The Great Dictator ")</f>
        <v>The Great Dictator </v>
      </c>
      <c r="D19" s="88">
        <f>IFERROR(__xludf.DUMMYFUNCTION("""COMPUTED_VALUE"""),1940.0)</f>
        <v>1940</v>
      </c>
      <c r="E19" s="80">
        <f>IFERROR(__xludf.DUMMYFUNCTION("""COMPUTED_VALUE"""),307.0)</f>
        <v>307</v>
      </c>
      <c r="F19" s="20" t="str">
        <f>IFERROR(__xludf.DUMMYFUNCTION("""COMPUTED_VALUE"""),"Comedy")</f>
        <v>Comedy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80">
        <f>IFERROR(__xludf.DUMMYFUNCTION("""COMPUTED_VALUE"""),33.0)</f>
        <v>33</v>
      </c>
      <c r="B20" s="87">
        <f>IFERROR(__xludf.DUMMYFUNCTION("""COMPUTED_VALUE"""),1.0)</f>
        <v>1</v>
      </c>
      <c r="C20" s="20" t="str">
        <f>IFERROR(__xludf.DUMMYFUNCTION("""COMPUTED_VALUE"""),"The Philadelphia Story ")</f>
        <v>The Philadelphia Story </v>
      </c>
      <c r="D20" s="88">
        <f>IFERROR(__xludf.DUMMYFUNCTION("""COMPUTED_VALUE"""),1940.0)</f>
        <v>1940</v>
      </c>
      <c r="E20" s="80">
        <f>IFERROR(__xludf.DUMMYFUNCTION("""COMPUTED_VALUE"""),115.0)</f>
        <v>115</v>
      </c>
      <c r="F20" s="20" t="str">
        <f>IFERROR(__xludf.DUMMYFUNCTION("""COMPUTED_VALUE"""),"Comedy")</f>
        <v>Comedy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80">
        <f>IFERROR(__xludf.DUMMYFUNCTION("""COMPUTED_VALUE"""),28.0)</f>
        <v>28</v>
      </c>
      <c r="B21" s="87">
        <f>IFERROR(__xludf.DUMMYFUNCTION("""COMPUTED_VALUE"""),0.98)</f>
        <v>0.98</v>
      </c>
      <c r="C21" s="20" t="str">
        <f>IFERROR(__xludf.DUMMYFUNCTION("""COMPUTED_VALUE"""),"His Girl Friday ")</f>
        <v>His Girl Friday </v>
      </c>
      <c r="D21" s="88">
        <f>IFERROR(__xludf.DUMMYFUNCTION("""COMPUTED_VALUE"""),1940.0)</f>
        <v>1940</v>
      </c>
      <c r="E21" s="80">
        <f>IFERROR(__xludf.DUMMYFUNCTION("""COMPUTED_VALUE"""),387.0)</f>
        <v>387</v>
      </c>
      <c r="F21" s="20" t="str">
        <f>IFERROR(__xludf.DUMMYFUNCTION("""COMPUTED_VALUE"""),"Comedy")</f>
        <v>Comedy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80">
        <f>IFERROR(__xludf.DUMMYFUNCTION("""COMPUTED_VALUE"""),18.0)</f>
        <v>18</v>
      </c>
      <c r="B22" s="87">
        <f>IFERROR(__xludf.DUMMYFUNCTION("""COMPUTED_VALUE"""),0.92)</f>
        <v>0.92</v>
      </c>
      <c r="C22" s="20" t="str">
        <f>IFERROR(__xludf.DUMMYFUNCTION("""COMPUTED_VALUE"""),"The General ")</f>
        <v>The General </v>
      </c>
      <c r="D22" s="88">
        <f>IFERROR(__xludf.DUMMYFUNCTION("""COMPUTED_VALUE"""),1927.0)</f>
        <v>1927</v>
      </c>
      <c r="E22" s="80">
        <f>IFERROR(__xludf.DUMMYFUNCTION("""COMPUTED_VALUE"""),242.0)</f>
        <v>242</v>
      </c>
      <c r="F22" s="20" t="str">
        <f>IFERROR(__xludf.DUMMYFUNCTION("""COMPUTED_VALUE"""),"Comedy")</f>
        <v>Comedy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80">
        <f>IFERROR(__xludf.DUMMYFUNCTION("""COMPUTED_VALUE"""),17.0)</f>
        <v>17</v>
      </c>
      <c r="B23" s="87">
        <f>IFERROR(__xludf.DUMMYFUNCTION("""COMPUTED_VALUE"""),0.97)</f>
        <v>0.97</v>
      </c>
      <c r="C23" s="20" t="str">
        <f>IFERROR(__xludf.DUMMYFUNCTION("""COMPUTED_VALUE"""),"The Thin Man ")</f>
        <v>The Thin Man </v>
      </c>
      <c r="D23" s="88">
        <f>IFERROR(__xludf.DUMMYFUNCTION("""COMPUTED_VALUE"""),1934.0)</f>
        <v>1934</v>
      </c>
      <c r="E23" s="80">
        <f>IFERROR(__xludf.DUMMYFUNCTION("""COMPUTED_VALUE"""),311.0)</f>
        <v>311</v>
      </c>
      <c r="F23" s="20" t="str">
        <f>IFERROR(__xludf.DUMMYFUNCTION("""COMPUTED_VALUE"""),"Comedy")</f>
        <v>Comedy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80">
        <f>IFERROR(__xludf.DUMMYFUNCTION("""COMPUTED_VALUE"""),13.0)</f>
        <v>13</v>
      </c>
      <c r="B24" s="87">
        <f>IFERROR(__xludf.DUMMYFUNCTION("""COMPUTED_VALUE"""),0.93)</f>
        <v>0.93</v>
      </c>
      <c r="C24" s="20" t="str">
        <f>IFERROR(__xludf.DUMMYFUNCTION("""COMPUTED_VALUE"""),"Bringing Up Baby ")</f>
        <v>Bringing Up Baby </v>
      </c>
      <c r="D24" s="88">
        <f>IFERROR(__xludf.DUMMYFUNCTION("""COMPUTED_VALUE"""),1938.0)</f>
        <v>1938</v>
      </c>
      <c r="E24" s="80">
        <f>IFERROR(__xludf.DUMMYFUNCTION("""COMPUTED_VALUE"""),330.0)</f>
        <v>330</v>
      </c>
      <c r="F24" s="20" t="str">
        <f>IFERROR(__xludf.DUMMYFUNCTION("""COMPUTED_VALUE"""),"Comedy")</f>
        <v>Comedy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80">
        <f>IFERROR(__xludf.DUMMYFUNCTION("""COMPUTED_VALUE"""),12.0)</f>
        <v>12</v>
      </c>
      <c r="B25" s="87">
        <f>IFERROR(__xludf.DUMMYFUNCTION("""COMPUTED_VALUE"""),1.0)</f>
        <v>1</v>
      </c>
      <c r="C25" s="20" t="str">
        <f>IFERROR(__xludf.DUMMYFUNCTION("""COMPUTED_VALUE"""),"Modern Times ")</f>
        <v>Modern Times </v>
      </c>
      <c r="D25" s="88">
        <f>IFERROR(__xludf.DUMMYFUNCTION("""COMPUTED_VALUE"""),1936.0)</f>
        <v>1936</v>
      </c>
      <c r="E25" s="80">
        <f>IFERROR(__xludf.DUMMYFUNCTION("""COMPUTED_VALUE"""),173.0)</f>
        <v>173</v>
      </c>
      <c r="F25" s="20" t="str">
        <f>IFERROR(__xludf.DUMMYFUNCTION("""COMPUTED_VALUE"""),"Comedy")</f>
        <v>Comedy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80">
        <f>IFERROR(__xludf.DUMMYFUNCTION("""COMPUTED_VALUE"""),7.0)</f>
        <v>7</v>
      </c>
      <c r="B26" s="87">
        <f>IFERROR(__xludf.DUMMYFUNCTION("""COMPUTED_VALUE"""),0.92)</f>
        <v>0.92</v>
      </c>
      <c r="C26" s="20" t="str">
        <f>IFERROR(__xludf.DUMMYFUNCTION("""COMPUTED_VALUE"""),"Duck Soup ")</f>
        <v>Duck Soup </v>
      </c>
      <c r="D26" s="88">
        <f>IFERROR(__xludf.DUMMYFUNCTION("""COMPUTED_VALUE"""),1933.0)</f>
        <v>1933</v>
      </c>
      <c r="E26" s="80">
        <f>IFERROR(__xludf.DUMMYFUNCTION("""COMPUTED_VALUE"""),210.0)</f>
        <v>210</v>
      </c>
      <c r="F26" s="20" t="str">
        <f>IFERROR(__xludf.DUMMYFUNCTION("""COMPUTED_VALUE"""),"Comedy")</f>
        <v>Comedy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80">
        <f>IFERROR(__xludf.DUMMYFUNCTION("""COMPUTED_VALUE"""),5.0)</f>
        <v>5</v>
      </c>
      <c r="B27" s="87">
        <f>IFERROR(__xludf.DUMMYFUNCTION("""COMPUTED_VALUE"""),0.98)</f>
        <v>0.98</v>
      </c>
      <c r="C27" s="20" t="str">
        <f>IFERROR(__xludf.DUMMYFUNCTION("""COMPUTED_VALUE"""),"It Happened One Night ")</f>
        <v>It Happened One Night </v>
      </c>
      <c r="D27" s="88">
        <f>IFERROR(__xludf.DUMMYFUNCTION("""COMPUTED_VALUE"""),1934.0)</f>
        <v>1934</v>
      </c>
      <c r="E27" s="80">
        <f>IFERROR(__xludf.DUMMYFUNCTION("""COMPUTED_VALUE"""),340.0)</f>
        <v>340</v>
      </c>
      <c r="F27" s="20" t="str">
        <f>IFERROR(__xludf.DUMMYFUNCTION("""COMPUTED_VALUE"""),"Comedy")</f>
        <v>Comedy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80">
        <f>IFERROR(__xludf.DUMMYFUNCTION("""COMPUTED_VALUE"""),1.0)</f>
        <v>1</v>
      </c>
      <c r="B28" s="87">
        <f>IFERROR(__xludf.DUMMYFUNCTION("""COMPUTED_VALUE"""),0.98)</f>
        <v>0.98</v>
      </c>
      <c r="C28" s="20" t="str">
        <f>IFERROR(__xludf.DUMMYFUNCTION("""COMPUTED_VALUE"""),"City Lights ")</f>
        <v>City Lights </v>
      </c>
      <c r="D28" s="88">
        <f>IFERROR(__xludf.DUMMYFUNCTION("""COMPUTED_VALUE"""),1931.0)</f>
        <v>1931</v>
      </c>
      <c r="E28" s="80">
        <f>IFERROR(__xludf.DUMMYFUNCTION("""COMPUTED_VALUE"""),168.0)</f>
        <v>168</v>
      </c>
      <c r="F28" s="20" t="str">
        <f>IFERROR(__xludf.DUMMYFUNCTION("""COMPUTED_VALUE"""),"Comedy")</f>
        <v>Comedy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80"/>
      <c r="B29" s="80"/>
      <c r="C29" s="20"/>
      <c r="D29" s="80"/>
      <c r="E29" s="8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0"/>
      <c r="B30" s="80"/>
      <c r="C30" s="20"/>
      <c r="D30" s="80"/>
      <c r="E30" s="8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80"/>
      <c r="B31" s="80"/>
      <c r="C31" s="20"/>
      <c r="D31" s="80"/>
      <c r="E31" s="8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80"/>
      <c r="B32" s="80"/>
      <c r="C32" s="20"/>
      <c r="D32" s="80"/>
      <c r="E32" s="8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80"/>
      <c r="B33" s="80"/>
      <c r="C33" s="20"/>
      <c r="D33" s="80"/>
      <c r="E33" s="8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80"/>
      <c r="B34" s="80"/>
      <c r="C34" s="20"/>
      <c r="D34" s="80"/>
      <c r="E34" s="8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80"/>
      <c r="B35" s="80"/>
      <c r="C35" s="20"/>
      <c r="D35" s="80"/>
      <c r="E35" s="8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80"/>
      <c r="B36" s="80"/>
      <c r="C36" s="20"/>
      <c r="D36" s="80"/>
      <c r="E36" s="8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80"/>
      <c r="B37" s="80"/>
      <c r="C37" s="20"/>
      <c r="D37" s="80"/>
      <c r="E37" s="8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80"/>
      <c r="B38" s="80"/>
      <c r="C38" s="20"/>
      <c r="D38" s="80"/>
      <c r="E38" s="8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80"/>
      <c r="B39" s="80"/>
      <c r="C39" s="20"/>
      <c r="D39" s="80"/>
      <c r="E39" s="8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80"/>
      <c r="B40" s="80"/>
      <c r="C40" s="20"/>
      <c r="D40" s="80"/>
      <c r="E40" s="8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80"/>
      <c r="B41" s="80"/>
      <c r="C41" s="20"/>
      <c r="D41" s="80"/>
      <c r="E41" s="8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80"/>
      <c r="B42" s="80"/>
      <c r="C42" s="20"/>
      <c r="D42" s="80"/>
      <c r="E42" s="8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80"/>
      <c r="B43" s="80"/>
      <c r="C43" s="20"/>
      <c r="D43" s="80"/>
      <c r="E43" s="8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80"/>
      <c r="B44" s="80"/>
      <c r="C44" s="20"/>
      <c r="D44" s="80"/>
      <c r="E44" s="8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80"/>
      <c r="B45" s="80"/>
      <c r="C45" s="20"/>
      <c r="D45" s="80"/>
      <c r="E45" s="8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80"/>
      <c r="B46" s="80"/>
      <c r="C46" s="20"/>
      <c r="D46" s="80"/>
      <c r="E46" s="8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80"/>
      <c r="B47" s="80"/>
      <c r="C47" s="20"/>
      <c r="D47" s="80"/>
      <c r="E47" s="8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80"/>
      <c r="B48" s="80"/>
      <c r="C48" s="20"/>
      <c r="D48" s="80"/>
      <c r="E48" s="8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80"/>
      <c r="B49" s="80"/>
      <c r="C49" s="20"/>
      <c r="D49" s="80"/>
      <c r="E49" s="8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80"/>
      <c r="B50" s="80"/>
      <c r="C50" s="20"/>
      <c r="D50" s="80"/>
      <c r="E50" s="8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80"/>
      <c r="B51" s="80"/>
      <c r="C51" s="20"/>
      <c r="D51" s="80"/>
      <c r="E51" s="8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80"/>
      <c r="B52" s="80"/>
      <c r="C52" s="20"/>
      <c r="D52" s="80"/>
      <c r="E52" s="8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80"/>
      <c r="B53" s="80"/>
      <c r="C53" s="20"/>
      <c r="D53" s="80"/>
      <c r="E53" s="8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80"/>
      <c r="B54" s="80"/>
      <c r="C54" s="20"/>
      <c r="D54" s="80"/>
      <c r="E54" s="8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80"/>
      <c r="B55" s="80"/>
      <c r="C55" s="20"/>
      <c r="D55" s="80"/>
      <c r="E55" s="8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80"/>
      <c r="B56" s="80"/>
      <c r="C56" s="20"/>
      <c r="D56" s="80"/>
      <c r="E56" s="8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80"/>
      <c r="B57" s="80"/>
      <c r="C57" s="20"/>
      <c r="D57" s="80"/>
      <c r="E57" s="8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80"/>
      <c r="B58" s="80"/>
      <c r="C58" s="20"/>
      <c r="D58" s="80"/>
      <c r="E58" s="8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80"/>
      <c r="B59" s="80"/>
      <c r="C59" s="20"/>
      <c r="D59" s="80"/>
      <c r="E59" s="8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80"/>
      <c r="B60" s="80"/>
      <c r="C60" s="20"/>
      <c r="D60" s="80"/>
      <c r="E60" s="8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80"/>
      <c r="B61" s="80"/>
      <c r="C61" s="20"/>
      <c r="D61" s="80"/>
      <c r="E61" s="8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80"/>
      <c r="B62" s="80"/>
      <c r="C62" s="20"/>
      <c r="D62" s="80"/>
      <c r="E62" s="8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80"/>
      <c r="B63" s="80"/>
      <c r="C63" s="20"/>
      <c r="D63" s="80"/>
      <c r="E63" s="8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80"/>
      <c r="B64" s="80"/>
      <c r="C64" s="20"/>
      <c r="D64" s="80"/>
      <c r="E64" s="8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80"/>
      <c r="B65" s="80"/>
      <c r="C65" s="20"/>
      <c r="D65" s="80"/>
      <c r="E65" s="8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80"/>
      <c r="B66" s="80"/>
      <c r="C66" s="20"/>
      <c r="D66" s="80"/>
      <c r="E66" s="8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80"/>
      <c r="B67" s="80"/>
      <c r="C67" s="20"/>
      <c r="D67" s="80"/>
      <c r="E67" s="8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80"/>
      <c r="B68" s="80"/>
      <c r="C68" s="20"/>
      <c r="D68" s="80"/>
      <c r="E68" s="8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80"/>
      <c r="B69" s="80"/>
      <c r="C69" s="20"/>
      <c r="D69" s="80"/>
      <c r="E69" s="8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80"/>
      <c r="B70" s="80"/>
      <c r="C70" s="20"/>
      <c r="D70" s="80"/>
      <c r="E70" s="8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80"/>
      <c r="B71" s="80"/>
      <c r="C71" s="20"/>
      <c r="D71" s="80"/>
      <c r="E71" s="8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80"/>
      <c r="B72" s="80"/>
      <c r="C72" s="20"/>
      <c r="D72" s="80"/>
      <c r="E72" s="8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80"/>
      <c r="B73" s="80"/>
      <c r="C73" s="20"/>
      <c r="D73" s="80"/>
      <c r="E73" s="8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80"/>
      <c r="B74" s="80"/>
      <c r="C74" s="20"/>
      <c r="D74" s="80"/>
      <c r="E74" s="8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80"/>
      <c r="B75" s="80"/>
      <c r="C75" s="20"/>
      <c r="D75" s="80"/>
      <c r="E75" s="8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80"/>
      <c r="B76" s="80"/>
      <c r="C76" s="20"/>
      <c r="D76" s="80"/>
      <c r="E76" s="8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80"/>
      <c r="B77" s="80"/>
      <c r="C77" s="20"/>
      <c r="D77" s="80"/>
      <c r="E77" s="8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80"/>
      <c r="B78" s="80"/>
      <c r="C78" s="20"/>
      <c r="D78" s="80"/>
      <c r="E78" s="8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80"/>
      <c r="B79" s="80"/>
      <c r="C79" s="20"/>
      <c r="D79" s="80"/>
      <c r="E79" s="8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80"/>
      <c r="B80" s="80"/>
      <c r="C80" s="20"/>
      <c r="D80" s="80"/>
      <c r="E80" s="8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80"/>
      <c r="B81" s="80"/>
      <c r="C81" s="20"/>
      <c r="D81" s="80"/>
      <c r="E81" s="8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80"/>
      <c r="B82" s="80"/>
      <c r="C82" s="20"/>
      <c r="D82" s="80"/>
      <c r="E82" s="8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80"/>
      <c r="B83" s="80"/>
      <c r="C83" s="20"/>
      <c r="D83" s="80"/>
      <c r="E83" s="8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80"/>
      <c r="B84" s="80"/>
      <c r="C84" s="20"/>
      <c r="D84" s="80"/>
      <c r="E84" s="8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80"/>
      <c r="B85" s="80"/>
      <c r="C85" s="20"/>
      <c r="D85" s="80"/>
      <c r="E85" s="8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80"/>
      <c r="B86" s="80"/>
      <c r="C86" s="20"/>
      <c r="D86" s="80"/>
      <c r="E86" s="8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80"/>
      <c r="B87" s="80"/>
      <c r="C87" s="20"/>
      <c r="D87" s="80"/>
      <c r="E87" s="8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80"/>
      <c r="B88" s="80"/>
      <c r="C88" s="20"/>
      <c r="D88" s="80"/>
      <c r="E88" s="8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80"/>
      <c r="B89" s="80"/>
      <c r="C89" s="20"/>
      <c r="D89" s="80"/>
      <c r="E89" s="8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80"/>
      <c r="B90" s="80"/>
      <c r="C90" s="20"/>
      <c r="D90" s="80"/>
      <c r="E90" s="8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80"/>
      <c r="B91" s="80"/>
      <c r="C91" s="20"/>
      <c r="D91" s="80"/>
      <c r="E91" s="8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80"/>
      <c r="B92" s="80"/>
      <c r="C92" s="20"/>
      <c r="D92" s="80"/>
      <c r="E92" s="8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80"/>
      <c r="B93" s="80"/>
      <c r="C93" s="20"/>
      <c r="D93" s="80"/>
      <c r="E93" s="8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80"/>
      <c r="B94" s="80"/>
      <c r="C94" s="20"/>
      <c r="D94" s="80"/>
      <c r="E94" s="8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80"/>
      <c r="B95" s="80"/>
      <c r="C95" s="20"/>
      <c r="D95" s="80"/>
      <c r="E95" s="8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80"/>
      <c r="B96" s="80"/>
      <c r="C96" s="20"/>
      <c r="D96" s="80"/>
      <c r="E96" s="8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80"/>
      <c r="B97" s="80"/>
      <c r="C97" s="20"/>
      <c r="D97" s="80"/>
      <c r="E97" s="8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80"/>
      <c r="B98" s="80"/>
      <c r="C98" s="20"/>
      <c r="D98" s="80"/>
      <c r="E98" s="8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80"/>
      <c r="B99" s="80"/>
      <c r="C99" s="20"/>
      <c r="D99" s="80"/>
      <c r="E99" s="8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80"/>
      <c r="B100" s="80"/>
      <c r="C100" s="20"/>
      <c r="D100" s="80"/>
      <c r="E100" s="8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80"/>
      <c r="B101" s="80"/>
      <c r="C101" s="20"/>
      <c r="D101" s="80"/>
      <c r="E101" s="8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80"/>
      <c r="B102" s="80"/>
      <c r="C102" s="20"/>
      <c r="D102" s="80"/>
      <c r="E102" s="8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80"/>
      <c r="B103" s="80"/>
      <c r="C103" s="20"/>
      <c r="D103" s="80"/>
      <c r="E103" s="8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80"/>
      <c r="B104" s="80"/>
      <c r="C104" s="20"/>
      <c r="D104" s="80"/>
      <c r="E104" s="8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80"/>
      <c r="B105" s="80"/>
      <c r="C105" s="20"/>
      <c r="D105" s="80"/>
      <c r="E105" s="8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80"/>
      <c r="B106" s="80"/>
      <c r="C106" s="20"/>
      <c r="D106" s="80"/>
      <c r="E106" s="8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80"/>
      <c r="B107" s="80"/>
      <c r="C107" s="20"/>
      <c r="D107" s="80"/>
      <c r="E107" s="8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80"/>
      <c r="B108" s="80"/>
      <c r="C108" s="20"/>
      <c r="D108" s="80"/>
      <c r="E108" s="8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80"/>
      <c r="B109" s="80"/>
      <c r="C109" s="20"/>
      <c r="D109" s="80"/>
      <c r="E109" s="8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80"/>
      <c r="B110" s="80"/>
      <c r="C110" s="20"/>
      <c r="D110" s="80"/>
      <c r="E110" s="8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80"/>
      <c r="B111" s="80"/>
      <c r="C111" s="20"/>
      <c r="D111" s="80"/>
      <c r="E111" s="8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80"/>
      <c r="B112" s="80"/>
      <c r="C112" s="20"/>
      <c r="D112" s="80"/>
      <c r="E112" s="8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80"/>
      <c r="B113" s="80"/>
      <c r="C113" s="20"/>
      <c r="D113" s="80"/>
      <c r="E113" s="8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80"/>
      <c r="B114" s="80"/>
      <c r="C114" s="20"/>
      <c r="D114" s="80"/>
      <c r="E114" s="8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80"/>
      <c r="B115" s="80"/>
      <c r="C115" s="20"/>
      <c r="D115" s="80"/>
      <c r="E115" s="8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80"/>
      <c r="B116" s="80"/>
      <c r="C116" s="20"/>
      <c r="D116" s="80"/>
      <c r="E116" s="8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80"/>
      <c r="B117" s="80"/>
      <c r="C117" s="20"/>
      <c r="D117" s="80"/>
      <c r="E117" s="8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80"/>
      <c r="B118" s="80"/>
      <c r="C118" s="20"/>
      <c r="D118" s="80"/>
      <c r="E118" s="8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80"/>
      <c r="B119" s="80"/>
      <c r="C119" s="20"/>
      <c r="D119" s="80"/>
      <c r="E119" s="8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80"/>
      <c r="B120" s="80"/>
      <c r="C120" s="20"/>
      <c r="D120" s="80"/>
      <c r="E120" s="8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80"/>
      <c r="B121" s="80"/>
      <c r="C121" s="20"/>
      <c r="D121" s="80"/>
      <c r="E121" s="8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80"/>
      <c r="B122" s="80"/>
      <c r="C122" s="20"/>
      <c r="D122" s="80"/>
      <c r="E122" s="8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80"/>
      <c r="B123" s="80"/>
      <c r="C123" s="20"/>
      <c r="D123" s="80"/>
      <c r="E123" s="8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80"/>
      <c r="B124" s="80"/>
      <c r="C124" s="20"/>
      <c r="D124" s="80"/>
      <c r="E124" s="8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80"/>
      <c r="B125" s="80"/>
      <c r="C125" s="20"/>
      <c r="D125" s="80"/>
      <c r="E125" s="8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80"/>
      <c r="B126" s="80"/>
      <c r="C126" s="20"/>
      <c r="D126" s="80"/>
      <c r="E126" s="8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80"/>
      <c r="B127" s="80"/>
      <c r="C127" s="20"/>
      <c r="D127" s="80"/>
      <c r="E127" s="8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80"/>
      <c r="B128" s="80"/>
      <c r="C128" s="20"/>
      <c r="D128" s="80"/>
      <c r="E128" s="8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80"/>
      <c r="B129" s="80"/>
      <c r="C129" s="20"/>
      <c r="D129" s="80"/>
      <c r="E129" s="8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80"/>
      <c r="B130" s="80"/>
      <c r="C130" s="20"/>
      <c r="D130" s="80"/>
      <c r="E130" s="8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80"/>
      <c r="B131" s="80"/>
      <c r="C131" s="20"/>
      <c r="D131" s="80"/>
      <c r="E131" s="8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80"/>
      <c r="B132" s="80"/>
      <c r="C132" s="20"/>
      <c r="D132" s="80"/>
      <c r="E132" s="8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80"/>
      <c r="B133" s="80"/>
      <c r="C133" s="20"/>
      <c r="D133" s="80"/>
      <c r="E133" s="8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80"/>
      <c r="B134" s="80"/>
      <c r="C134" s="20"/>
      <c r="D134" s="80"/>
      <c r="E134" s="8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80"/>
      <c r="B135" s="80"/>
      <c r="C135" s="20"/>
      <c r="D135" s="80"/>
      <c r="E135" s="8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80"/>
      <c r="B136" s="80"/>
      <c r="C136" s="20"/>
      <c r="D136" s="80"/>
      <c r="E136" s="8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80"/>
      <c r="B137" s="80"/>
      <c r="C137" s="20"/>
      <c r="D137" s="80"/>
      <c r="E137" s="8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80"/>
      <c r="B138" s="80"/>
      <c r="C138" s="20"/>
      <c r="D138" s="80"/>
      <c r="E138" s="8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80"/>
      <c r="B139" s="80"/>
      <c r="C139" s="20"/>
      <c r="D139" s="80"/>
      <c r="E139" s="8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80"/>
      <c r="B140" s="80"/>
      <c r="C140" s="20"/>
      <c r="D140" s="80"/>
      <c r="E140" s="8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80"/>
      <c r="B141" s="80"/>
      <c r="C141" s="20"/>
      <c r="D141" s="80"/>
      <c r="E141" s="8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80"/>
      <c r="B142" s="80"/>
      <c r="C142" s="20"/>
      <c r="D142" s="80"/>
      <c r="E142" s="8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80"/>
      <c r="B143" s="80"/>
      <c r="C143" s="20"/>
      <c r="D143" s="80"/>
      <c r="E143" s="8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80"/>
      <c r="B144" s="80"/>
      <c r="C144" s="20"/>
      <c r="D144" s="80"/>
      <c r="E144" s="8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80"/>
      <c r="B145" s="80"/>
      <c r="C145" s="20"/>
      <c r="D145" s="80"/>
      <c r="E145" s="8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80"/>
      <c r="B146" s="80"/>
      <c r="C146" s="20"/>
      <c r="D146" s="80"/>
      <c r="E146" s="8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80"/>
      <c r="B147" s="80"/>
      <c r="C147" s="20"/>
      <c r="D147" s="80"/>
      <c r="E147" s="8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80"/>
      <c r="B148" s="80"/>
      <c r="C148" s="20"/>
      <c r="D148" s="80"/>
      <c r="E148" s="8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80"/>
      <c r="B149" s="80"/>
      <c r="C149" s="20"/>
      <c r="D149" s="80"/>
      <c r="E149" s="8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80"/>
      <c r="B150" s="80"/>
      <c r="C150" s="20"/>
      <c r="D150" s="80"/>
      <c r="E150" s="8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80"/>
      <c r="B151" s="80"/>
      <c r="C151" s="20"/>
      <c r="D151" s="80"/>
      <c r="E151" s="8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80"/>
      <c r="B152" s="80"/>
      <c r="C152" s="20"/>
      <c r="D152" s="80"/>
      <c r="E152" s="8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80"/>
      <c r="B153" s="80"/>
      <c r="C153" s="20"/>
      <c r="D153" s="80"/>
      <c r="E153" s="8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80"/>
      <c r="B154" s="80"/>
      <c r="C154" s="20"/>
      <c r="D154" s="80"/>
      <c r="E154" s="8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80"/>
      <c r="B155" s="80"/>
      <c r="C155" s="20"/>
      <c r="D155" s="80"/>
      <c r="E155" s="8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80"/>
      <c r="B156" s="80"/>
      <c r="C156" s="20"/>
      <c r="D156" s="80"/>
      <c r="E156" s="8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80"/>
      <c r="B157" s="80"/>
      <c r="C157" s="20"/>
      <c r="D157" s="80"/>
      <c r="E157" s="8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80"/>
      <c r="B158" s="80"/>
      <c r="C158" s="20"/>
      <c r="D158" s="80"/>
      <c r="E158" s="8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80"/>
      <c r="B159" s="80"/>
      <c r="C159" s="20"/>
      <c r="D159" s="80"/>
      <c r="E159" s="8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80"/>
      <c r="B160" s="80"/>
      <c r="C160" s="20"/>
      <c r="D160" s="80"/>
      <c r="E160" s="8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80"/>
      <c r="B161" s="80"/>
      <c r="C161" s="20"/>
      <c r="D161" s="80"/>
      <c r="E161" s="8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80"/>
      <c r="B162" s="80"/>
      <c r="C162" s="20"/>
      <c r="D162" s="80"/>
      <c r="E162" s="8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80"/>
      <c r="B163" s="80"/>
      <c r="C163" s="20"/>
      <c r="D163" s="80"/>
      <c r="E163" s="8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80"/>
      <c r="B164" s="80"/>
      <c r="C164" s="20"/>
      <c r="D164" s="80"/>
      <c r="E164" s="8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80"/>
      <c r="B165" s="80"/>
      <c r="C165" s="20"/>
      <c r="D165" s="80"/>
      <c r="E165" s="8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80"/>
      <c r="B166" s="80"/>
      <c r="C166" s="20"/>
      <c r="D166" s="80"/>
      <c r="E166" s="8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80"/>
      <c r="B167" s="80"/>
      <c r="C167" s="20"/>
      <c r="D167" s="80"/>
      <c r="E167" s="8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80"/>
      <c r="B168" s="80"/>
      <c r="C168" s="20"/>
      <c r="D168" s="80"/>
      <c r="E168" s="8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80"/>
      <c r="B169" s="80"/>
      <c r="C169" s="20"/>
      <c r="D169" s="80"/>
      <c r="E169" s="8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80"/>
      <c r="B170" s="80"/>
      <c r="C170" s="20"/>
      <c r="D170" s="80"/>
      <c r="E170" s="8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80"/>
      <c r="B171" s="80"/>
      <c r="C171" s="20"/>
      <c r="D171" s="80"/>
      <c r="E171" s="8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80"/>
      <c r="B172" s="80"/>
      <c r="C172" s="20"/>
      <c r="D172" s="80"/>
      <c r="E172" s="8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80"/>
      <c r="B173" s="80"/>
      <c r="C173" s="20"/>
      <c r="D173" s="80"/>
      <c r="E173" s="8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80"/>
      <c r="B174" s="80"/>
      <c r="C174" s="20"/>
      <c r="D174" s="80"/>
      <c r="E174" s="8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80"/>
      <c r="B175" s="80"/>
      <c r="C175" s="20"/>
      <c r="D175" s="80"/>
      <c r="E175" s="8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80"/>
      <c r="B176" s="80"/>
      <c r="C176" s="20"/>
      <c r="D176" s="80"/>
      <c r="E176" s="8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80"/>
      <c r="B177" s="80"/>
      <c r="C177" s="20"/>
      <c r="D177" s="80"/>
      <c r="E177" s="8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80"/>
      <c r="B178" s="80"/>
      <c r="C178" s="20"/>
      <c r="D178" s="80"/>
      <c r="E178" s="8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80"/>
      <c r="B179" s="80"/>
      <c r="C179" s="20"/>
      <c r="D179" s="80"/>
      <c r="E179" s="8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80"/>
      <c r="B180" s="80"/>
      <c r="C180" s="20"/>
      <c r="D180" s="80"/>
      <c r="E180" s="8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80"/>
      <c r="B181" s="80"/>
      <c r="C181" s="20"/>
      <c r="D181" s="80"/>
      <c r="E181" s="8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80"/>
      <c r="B182" s="80"/>
      <c r="C182" s="20"/>
      <c r="D182" s="80"/>
      <c r="E182" s="8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80"/>
      <c r="B183" s="80"/>
      <c r="C183" s="20"/>
      <c r="D183" s="80"/>
      <c r="E183" s="8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80"/>
      <c r="B184" s="80"/>
      <c r="C184" s="20"/>
      <c r="D184" s="80"/>
      <c r="E184" s="8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80"/>
      <c r="B185" s="80"/>
      <c r="C185" s="20"/>
      <c r="D185" s="80"/>
      <c r="E185" s="8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80"/>
      <c r="B186" s="80"/>
      <c r="C186" s="20"/>
      <c r="D186" s="80"/>
      <c r="E186" s="8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80"/>
      <c r="B187" s="80"/>
      <c r="C187" s="20"/>
      <c r="D187" s="80"/>
      <c r="E187" s="8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80"/>
      <c r="B188" s="80"/>
      <c r="C188" s="20"/>
      <c r="D188" s="80"/>
      <c r="E188" s="8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80"/>
      <c r="B189" s="80"/>
      <c r="C189" s="20"/>
      <c r="D189" s="80"/>
      <c r="E189" s="8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80"/>
      <c r="B190" s="80"/>
      <c r="C190" s="20"/>
      <c r="D190" s="80"/>
      <c r="E190" s="8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80"/>
      <c r="B191" s="80"/>
      <c r="C191" s="20"/>
      <c r="D191" s="80"/>
      <c r="E191" s="8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80"/>
      <c r="B192" s="80"/>
      <c r="C192" s="20"/>
      <c r="D192" s="80"/>
      <c r="E192" s="8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80"/>
      <c r="B193" s="80"/>
      <c r="C193" s="20"/>
      <c r="D193" s="80"/>
      <c r="E193" s="8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80"/>
      <c r="B194" s="80"/>
      <c r="C194" s="20"/>
      <c r="D194" s="80"/>
      <c r="E194" s="8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80"/>
      <c r="B195" s="80"/>
      <c r="C195" s="20"/>
      <c r="D195" s="80"/>
      <c r="E195" s="8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80"/>
      <c r="B196" s="80"/>
      <c r="C196" s="20"/>
      <c r="D196" s="80"/>
      <c r="E196" s="8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80"/>
      <c r="B197" s="80"/>
      <c r="C197" s="20"/>
      <c r="D197" s="80"/>
      <c r="E197" s="8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80"/>
      <c r="B198" s="80"/>
      <c r="C198" s="20"/>
      <c r="D198" s="80"/>
      <c r="E198" s="8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80"/>
      <c r="B199" s="80"/>
      <c r="C199" s="20"/>
      <c r="D199" s="80"/>
      <c r="E199" s="8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80"/>
      <c r="B200" s="80"/>
      <c r="C200" s="20"/>
      <c r="D200" s="80"/>
      <c r="E200" s="8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80"/>
      <c r="B201" s="80"/>
      <c r="C201" s="20"/>
      <c r="D201" s="80"/>
      <c r="E201" s="8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80"/>
      <c r="B202" s="80"/>
      <c r="C202" s="20"/>
      <c r="D202" s="80"/>
      <c r="E202" s="8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80"/>
      <c r="B203" s="80"/>
      <c r="C203" s="20"/>
      <c r="D203" s="80"/>
      <c r="E203" s="8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80"/>
      <c r="B204" s="80"/>
      <c r="C204" s="20"/>
      <c r="D204" s="80"/>
      <c r="E204" s="8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80"/>
      <c r="B205" s="80"/>
      <c r="C205" s="20"/>
      <c r="D205" s="80"/>
      <c r="E205" s="8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80"/>
      <c r="B206" s="80"/>
      <c r="C206" s="20"/>
      <c r="D206" s="80"/>
      <c r="E206" s="8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80"/>
      <c r="B207" s="80"/>
      <c r="C207" s="20"/>
      <c r="D207" s="80"/>
      <c r="E207" s="8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80"/>
      <c r="B208" s="80"/>
      <c r="C208" s="20"/>
      <c r="D208" s="80"/>
      <c r="E208" s="8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80"/>
      <c r="B209" s="80"/>
      <c r="C209" s="20"/>
      <c r="D209" s="80"/>
      <c r="E209" s="8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80"/>
      <c r="B210" s="80"/>
      <c r="C210" s="20"/>
      <c r="D210" s="80"/>
      <c r="E210" s="8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80"/>
      <c r="B211" s="80"/>
      <c r="C211" s="20"/>
      <c r="D211" s="80"/>
      <c r="E211" s="8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80"/>
      <c r="B212" s="80"/>
      <c r="C212" s="20"/>
      <c r="D212" s="80"/>
      <c r="E212" s="8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80"/>
      <c r="B213" s="80"/>
      <c r="C213" s="20"/>
      <c r="D213" s="80"/>
      <c r="E213" s="8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80"/>
      <c r="B214" s="80"/>
      <c r="C214" s="20"/>
      <c r="D214" s="80"/>
      <c r="E214" s="8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80"/>
      <c r="B215" s="80"/>
      <c r="C215" s="20"/>
      <c r="D215" s="80"/>
      <c r="E215" s="8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80"/>
      <c r="B216" s="80"/>
      <c r="C216" s="20"/>
      <c r="D216" s="80"/>
      <c r="E216" s="8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80"/>
      <c r="B217" s="80"/>
      <c r="C217" s="20"/>
      <c r="D217" s="80"/>
      <c r="E217" s="8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80"/>
      <c r="B218" s="80"/>
      <c r="C218" s="20"/>
      <c r="D218" s="80"/>
      <c r="E218" s="8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80"/>
      <c r="B219" s="80"/>
      <c r="C219" s="20"/>
      <c r="D219" s="80"/>
      <c r="E219" s="8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80"/>
      <c r="B220" s="80"/>
      <c r="C220" s="20"/>
      <c r="D220" s="80"/>
      <c r="E220" s="8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80"/>
      <c r="B221" s="80"/>
      <c r="C221" s="20"/>
      <c r="D221" s="80"/>
      <c r="E221" s="8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80"/>
      <c r="B222" s="80"/>
      <c r="C222" s="20"/>
      <c r="D222" s="80"/>
      <c r="E222" s="8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80"/>
      <c r="B223" s="80"/>
      <c r="C223" s="20"/>
      <c r="D223" s="80"/>
      <c r="E223" s="8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80"/>
      <c r="B224" s="80"/>
      <c r="C224" s="20"/>
      <c r="D224" s="80"/>
      <c r="E224" s="8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80"/>
      <c r="B225" s="80"/>
      <c r="C225" s="20"/>
      <c r="D225" s="80"/>
      <c r="E225" s="8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80"/>
      <c r="B226" s="80"/>
      <c r="C226" s="20"/>
      <c r="D226" s="80"/>
      <c r="E226" s="8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80"/>
      <c r="B227" s="80"/>
      <c r="C227" s="20"/>
      <c r="D227" s="80"/>
      <c r="E227" s="8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80"/>
      <c r="B228" s="80"/>
      <c r="C228" s="20"/>
      <c r="D228" s="80"/>
      <c r="E228" s="8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80"/>
      <c r="B229" s="80"/>
      <c r="C229" s="20"/>
      <c r="D229" s="80"/>
      <c r="E229" s="8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80"/>
      <c r="B230" s="80"/>
      <c r="C230" s="20"/>
      <c r="D230" s="80"/>
      <c r="E230" s="8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80"/>
      <c r="B231" s="80"/>
      <c r="C231" s="20"/>
      <c r="D231" s="80"/>
      <c r="E231" s="8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80"/>
      <c r="B232" s="80"/>
      <c r="C232" s="20"/>
      <c r="D232" s="80"/>
      <c r="E232" s="8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80"/>
      <c r="B233" s="80"/>
      <c r="C233" s="20"/>
      <c r="D233" s="80"/>
      <c r="E233" s="8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80"/>
      <c r="B234" s="80"/>
      <c r="C234" s="20"/>
      <c r="D234" s="80"/>
      <c r="E234" s="8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80"/>
      <c r="B235" s="80"/>
      <c r="C235" s="20"/>
      <c r="D235" s="80"/>
      <c r="E235" s="8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80"/>
      <c r="B236" s="80"/>
      <c r="C236" s="20"/>
      <c r="D236" s="80"/>
      <c r="E236" s="8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80"/>
      <c r="B237" s="80"/>
      <c r="C237" s="20"/>
      <c r="D237" s="80"/>
      <c r="E237" s="8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80"/>
      <c r="B238" s="80"/>
      <c r="C238" s="20"/>
      <c r="D238" s="80"/>
      <c r="E238" s="8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80"/>
      <c r="B239" s="80"/>
      <c r="C239" s="20"/>
      <c r="D239" s="80"/>
      <c r="E239" s="8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80"/>
      <c r="B240" s="80"/>
      <c r="C240" s="20"/>
      <c r="D240" s="80"/>
      <c r="E240" s="8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80"/>
      <c r="B241" s="80"/>
      <c r="C241" s="20"/>
      <c r="D241" s="80"/>
      <c r="E241" s="8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80"/>
      <c r="B242" s="80"/>
      <c r="C242" s="20"/>
      <c r="D242" s="80"/>
      <c r="E242" s="8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80"/>
      <c r="B243" s="80"/>
      <c r="C243" s="20"/>
      <c r="D243" s="80"/>
      <c r="E243" s="8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80"/>
      <c r="B244" s="80"/>
      <c r="C244" s="20"/>
      <c r="D244" s="80"/>
      <c r="E244" s="8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80"/>
      <c r="B245" s="80"/>
      <c r="C245" s="20"/>
      <c r="D245" s="80"/>
      <c r="E245" s="8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80"/>
      <c r="B246" s="80"/>
      <c r="C246" s="20"/>
      <c r="D246" s="80"/>
      <c r="E246" s="8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80"/>
      <c r="B247" s="80"/>
      <c r="C247" s="20"/>
      <c r="D247" s="80"/>
      <c r="E247" s="8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80"/>
      <c r="B248" s="80"/>
      <c r="C248" s="20"/>
      <c r="D248" s="80"/>
      <c r="E248" s="8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80"/>
      <c r="B249" s="80"/>
      <c r="C249" s="20"/>
      <c r="D249" s="80"/>
      <c r="E249" s="8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80"/>
      <c r="B250" s="80"/>
      <c r="C250" s="20"/>
      <c r="D250" s="80"/>
      <c r="E250" s="8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80"/>
      <c r="B251" s="80"/>
      <c r="C251" s="20"/>
      <c r="D251" s="80"/>
      <c r="E251" s="8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80"/>
      <c r="B252" s="80"/>
      <c r="C252" s="20"/>
      <c r="D252" s="80"/>
      <c r="E252" s="8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80"/>
      <c r="B253" s="80"/>
      <c r="C253" s="20"/>
      <c r="D253" s="80"/>
      <c r="E253" s="8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80"/>
      <c r="B254" s="80"/>
      <c r="C254" s="20"/>
      <c r="D254" s="80"/>
      <c r="E254" s="8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80"/>
      <c r="B255" s="80"/>
      <c r="C255" s="20"/>
      <c r="D255" s="80"/>
      <c r="E255" s="8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80"/>
      <c r="B256" s="80"/>
      <c r="C256" s="20"/>
      <c r="D256" s="80"/>
      <c r="E256" s="8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80"/>
      <c r="B257" s="80"/>
      <c r="C257" s="20"/>
      <c r="D257" s="80"/>
      <c r="E257" s="8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80"/>
      <c r="B258" s="80"/>
      <c r="C258" s="20"/>
      <c r="D258" s="80"/>
      <c r="E258" s="8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80"/>
      <c r="B259" s="80"/>
      <c r="C259" s="20"/>
      <c r="D259" s="80"/>
      <c r="E259" s="8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80"/>
      <c r="B260" s="80"/>
      <c r="C260" s="20"/>
      <c r="D260" s="80"/>
      <c r="E260" s="8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80"/>
      <c r="B261" s="80"/>
      <c r="C261" s="20"/>
      <c r="D261" s="80"/>
      <c r="E261" s="8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80"/>
      <c r="B262" s="80"/>
      <c r="C262" s="20"/>
      <c r="D262" s="80"/>
      <c r="E262" s="8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80"/>
      <c r="B263" s="80"/>
      <c r="C263" s="20"/>
      <c r="D263" s="80"/>
      <c r="E263" s="8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80"/>
      <c r="B264" s="80"/>
      <c r="C264" s="20"/>
      <c r="D264" s="80"/>
      <c r="E264" s="8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80"/>
      <c r="B265" s="80"/>
      <c r="C265" s="20"/>
      <c r="D265" s="80"/>
      <c r="E265" s="8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80"/>
      <c r="B266" s="80"/>
      <c r="C266" s="20"/>
      <c r="D266" s="80"/>
      <c r="E266" s="8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80"/>
      <c r="B267" s="80"/>
      <c r="C267" s="20"/>
      <c r="D267" s="80"/>
      <c r="E267" s="8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80"/>
      <c r="B268" s="80"/>
      <c r="C268" s="20"/>
      <c r="D268" s="80"/>
      <c r="E268" s="8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80"/>
      <c r="B269" s="80"/>
      <c r="C269" s="20"/>
      <c r="D269" s="80"/>
      <c r="E269" s="8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80"/>
      <c r="B270" s="80"/>
      <c r="C270" s="20"/>
      <c r="D270" s="80"/>
      <c r="E270" s="8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80"/>
      <c r="B271" s="80"/>
      <c r="C271" s="20"/>
      <c r="D271" s="80"/>
      <c r="E271" s="8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80"/>
      <c r="B272" s="80"/>
      <c r="C272" s="20"/>
      <c r="D272" s="80"/>
      <c r="E272" s="8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80"/>
      <c r="B273" s="80"/>
      <c r="C273" s="20"/>
      <c r="D273" s="80"/>
      <c r="E273" s="8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80"/>
      <c r="B274" s="80"/>
      <c r="C274" s="20"/>
      <c r="D274" s="80"/>
      <c r="E274" s="8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80"/>
      <c r="B275" s="80"/>
      <c r="C275" s="20"/>
      <c r="D275" s="80"/>
      <c r="E275" s="8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80"/>
      <c r="B276" s="80"/>
      <c r="C276" s="20"/>
      <c r="D276" s="80"/>
      <c r="E276" s="8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80"/>
      <c r="B277" s="80"/>
      <c r="C277" s="20"/>
      <c r="D277" s="80"/>
      <c r="E277" s="8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80"/>
      <c r="B278" s="80"/>
      <c r="C278" s="20"/>
      <c r="D278" s="80"/>
      <c r="E278" s="8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80"/>
      <c r="B279" s="80"/>
      <c r="C279" s="20"/>
      <c r="D279" s="80"/>
      <c r="E279" s="8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80"/>
      <c r="B280" s="80"/>
      <c r="C280" s="20"/>
      <c r="D280" s="80"/>
      <c r="E280" s="8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80"/>
      <c r="B281" s="80"/>
      <c r="C281" s="20"/>
      <c r="D281" s="80"/>
      <c r="E281" s="8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80"/>
      <c r="B282" s="80"/>
      <c r="C282" s="20"/>
      <c r="D282" s="80"/>
      <c r="E282" s="8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80"/>
      <c r="B283" s="80"/>
      <c r="C283" s="20"/>
      <c r="D283" s="80"/>
      <c r="E283" s="8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80"/>
      <c r="B284" s="80"/>
      <c r="C284" s="20"/>
      <c r="D284" s="80"/>
      <c r="E284" s="8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80"/>
      <c r="B285" s="80"/>
      <c r="C285" s="20"/>
      <c r="D285" s="80"/>
      <c r="E285" s="8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80"/>
      <c r="B286" s="80"/>
      <c r="C286" s="20"/>
      <c r="D286" s="80"/>
      <c r="E286" s="8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80"/>
      <c r="B287" s="80"/>
      <c r="C287" s="20"/>
      <c r="D287" s="80"/>
      <c r="E287" s="8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80"/>
      <c r="B288" s="80"/>
      <c r="C288" s="20"/>
      <c r="D288" s="80"/>
      <c r="E288" s="8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80"/>
      <c r="B289" s="80"/>
      <c r="C289" s="20"/>
      <c r="D289" s="80"/>
      <c r="E289" s="8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80"/>
      <c r="B290" s="80"/>
      <c r="C290" s="20"/>
      <c r="D290" s="80"/>
      <c r="E290" s="8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80"/>
      <c r="B291" s="80"/>
      <c r="C291" s="20"/>
      <c r="D291" s="80"/>
      <c r="E291" s="8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80"/>
      <c r="B292" s="80"/>
      <c r="C292" s="20"/>
      <c r="D292" s="80"/>
      <c r="E292" s="8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80"/>
      <c r="B293" s="80"/>
      <c r="C293" s="20"/>
      <c r="D293" s="80"/>
      <c r="E293" s="8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80"/>
      <c r="B294" s="80"/>
      <c r="C294" s="20"/>
      <c r="D294" s="80"/>
      <c r="E294" s="8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80"/>
      <c r="B295" s="80"/>
      <c r="C295" s="20"/>
      <c r="D295" s="80"/>
      <c r="E295" s="8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80"/>
      <c r="B296" s="80"/>
      <c r="C296" s="20"/>
      <c r="D296" s="80"/>
      <c r="E296" s="8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80"/>
      <c r="B297" s="80"/>
      <c r="C297" s="20"/>
      <c r="D297" s="80"/>
      <c r="E297" s="8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80"/>
      <c r="B298" s="80"/>
      <c r="C298" s="20"/>
      <c r="D298" s="80"/>
      <c r="E298" s="8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80"/>
      <c r="B299" s="80"/>
      <c r="C299" s="20"/>
      <c r="D299" s="80"/>
      <c r="E299" s="8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80"/>
      <c r="B300" s="80"/>
      <c r="C300" s="20"/>
      <c r="D300" s="80"/>
      <c r="E300" s="8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80"/>
      <c r="B301" s="80"/>
      <c r="C301" s="20"/>
      <c r="D301" s="80"/>
      <c r="E301" s="8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80"/>
      <c r="B302" s="80"/>
      <c r="C302" s="20"/>
      <c r="D302" s="80"/>
      <c r="E302" s="8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80"/>
      <c r="B303" s="80"/>
      <c r="C303" s="20"/>
      <c r="D303" s="80"/>
      <c r="E303" s="8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80"/>
      <c r="B304" s="80"/>
      <c r="C304" s="20"/>
      <c r="D304" s="80"/>
      <c r="E304" s="8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80"/>
      <c r="B305" s="80"/>
      <c r="C305" s="20"/>
      <c r="D305" s="80"/>
      <c r="E305" s="8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80"/>
      <c r="B306" s="80"/>
      <c r="C306" s="20"/>
      <c r="D306" s="80"/>
      <c r="E306" s="8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80"/>
      <c r="B307" s="80"/>
      <c r="C307" s="20"/>
      <c r="D307" s="80"/>
      <c r="E307" s="8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80"/>
      <c r="B308" s="80"/>
      <c r="C308" s="20"/>
      <c r="D308" s="80"/>
      <c r="E308" s="8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80"/>
      <c r="B309" s="80"/>
      <c r="C309" s="20"/>
      <c r="D309" s="80"/>
      <c r="E309" s="8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80"/>
      <c r="B310" s="80"/>
      <c r="C310" s="20"/>
      <c r="D310" s="80"/>
      <c r="E310" s="8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80"/>
      <c r="B311" s="80"/>
      <c r="C311" s="20"/>
      <c r="D311" s="80"/>
      <c r="E311" s="8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80"/>
      <c r="B312" s="80"/>
      <c r="C312" s="20"/>
      <c r="D312" s="80"/>
      <c r="E312" s="8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80"/>
      <c r="B313" s="80"/>
      <c r="C313" s="20"/>
      <c r="D313" s="80"/>
      <c r="E313" s="8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80"/>
      <c r="B314" s="80"/>
      <c r="C314" s="20"/>
      <c r="D314" s="80"/>
      <c r="E314" s="8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80"/>
      <c r="B315" s="80"/>
      <c r="C315" s="20"/>
      <c r="D315" s="80"/>
      <c r="E315" s="8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80"/>
      <c r="B316" s="80"/>
      <c r="C316" s="20"/>
      <c r="D316" s="80"/>
      <c r="E316" s="8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80"/>
      <c r="B317" s="80"/>
      <c r="C317" s="20"/>
      <c r="D317" s="80"/>
      <c r="E317" s="8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80"/>
      <c r="B318" s="80"/>
      <c r="C318" s="20"/>
      <c r="D318" s="80"/>
      <c r="E318" s="8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80"/>
      <c r="B319" s="80"/>
      <c r="C319" s="20"/>
      <c r="D319" s="80"/>
      <c r="E319" s="8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80"/>
      <c r="B320" s="80"/>
      <c r="C320" s="20"/>
      <c r="D320" s="80"/>
      <c r="E320" s="8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80"/>
      <c r="B321" s="80"/>
      <c r="C321" s="20"/>
      <c r="D321" s="80"/>
      <c r="E321" s="8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80"/>
      <c r="B322" s="80"/>
      <c r="C322" s="20"/>
      <c r="D322" s="80"/>
      <c r="E322" s="8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80"/>
      <c r="B323" s="80"/>
      <c r="C323" s="20"/>
      <c r="D323" s="80"/>
      <c r="E323" s="8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80"/>
      <c r="B324" s="80"/>
      <c r="C324" s="20"/>
      <c r="D324" s="80"/>
      <c r="E324" s="8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80"/>
      <c r="B325" s="80"/>
      <c r="C325" s="20"/>
      <c r="D325" s="80"/>
      <c r="E325" s="8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80"/>
      <c r="B326" s="80"/>
      <c r="C326" s="20"/>
      <c r="D326" s="80"/>
      <c r="E326" s="8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80"/>
      <c r="B327" s="80"/>
      <c r="C327" s="20"/>
      <c r="D327" s="80"/>
      <c r="E327" s="8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80"/>
      <c r="B328" s="80"/>
      <c r="C328" s="20"/>
      <c r="D328" s="80"/>
      <c r="E328" s="8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80"/>
      <c r="B329" s="80"/>
      <c r="C329" s="20"/>
      <c r="D329" s="80"/>
      <c r="E329" s="8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80"/>
      <c r="B330" s="80"/>
      <c r="C330" s="20"/>
      <c r="D330" s="80"/>
      <c r="E330" s="8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80"/>
      <c r="B331" s="80"/>
      <c r="C331" s="20"/>
      <c r="D331" s="80"/>
      <c r="E331" s="8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80"/>
      <c r="B332" s="80"/>
      <c r="C332" s="20"/>
      <c r="D332" s="80"/>
      <c r="E332" s="8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80"/>
      <c r="B333" s="80"/>
      <c r="C333" s="20"/>
      <c r="D333" s="80"/>
      <c r="E333" s="8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80"/>
      <c r="B334" s="80"/>
      <c r="C334" s="20"/>
      <c r="D334" s="80"/>
      <c r="E334" s="8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80"/>
      <c r="B335" s="80"/>
      <c r="C335" s="20"/>
      <c r="D335" s="80"/>
      <c r="E335" s="8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80"/>
      <c r="B336" s="80"/>
      <c r="C336" s="20"/>
      <c r="D336" s="80"/>
      <c r="E336" s="8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80"/>
      <c r="B337" s="80"/>
      <c r="C337" s="20"/>
      <c r="D337" s="80"/>
      <c r="E337" s="8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80"/>
      <c r="B338" s="80"/>
      <c r="C338" s="20"/>
      <c r="D338" s="80"/>
      <c r="E338" s="8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80"/>
      <c r="B339" s="80"/>
      <c r="C339" s="20"/>
      <c r="D339" s="80"/>
      <c r="E339" s="8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80"/>
      <c r="B340" s="80"/>
      <c r="C340" s="20"/>
      <c r="D340" s="80"/>
      <c r="E340" s="8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80"/>
      <c r="B341" s="80"/>
      <c r="C341" s="20"/>
      <c r="D341" s="80"/>
      <c r="E341" s="8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80"/>
      <c r="B342" s="80"/>
      <c r="C342" s="20"/>
      <c r="D342" s="80"/>
      <c r="E342" s="8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80"/>
      <c r="B343" s="80"/>
      <c r="C343" s="20"/>
      <c r="D343" s="80"/>
      <c r="E343" s="8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80"/>
      <c r="B344" s="80"/>
      <c r="C344" s="20"/>
      <c r="D344" s="80"/>
      <c r="E344" s="8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80"/>
      <c r="B345" s="80"/>
      <c r="C345" s="20"/>
      <c r="D345" s="80"/>
      <c r="E345" s="8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80"/>
      <c r="B346" s="80"/>
      <c r="C346" s="20"/>
      <c r="D346" s="80"/>
      <c r="E346" s="8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80"/>
      <c r="B347" s="80"/>
      <c r="C347" s="20"/>
      <c r="D347" s="80"/>
      <c r="E347" s="8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80"/>
      <c r="B348" s="80"/>
      <c r="C348" s="20"/>
      <c r="D348" s="80"/>
      <c r="E348" s="8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80"/>
      <c r="B349" s="80"/>
      <c r="C349" s="20"/>
      <c r="D349" s="80"/>
      <c r="E349" s="8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80"/>
      <c r="B350" s="80"/>
      <c r="C350" s="20"/>
      <c r="D350" s="80"/>
      <c r="E350" s="8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80"/>
      <c r="B351" s="80"/>
      <c r="C351" s="20"/>
      <c r="D351" s="80"/>
      <c r="E351" s="8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80"/>
      <c r="B352" s="80"/>
      <c r="C352" s="20"/>
      <c r="D352" s="80"/>
      <c r="E352" s="8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80"/>
      <c r="B353" s="80"/>
      <c r="C353" s="20"/>
      <c r="D353" s="80"/>
      <c r="E353" s="8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80"/>
      <c r="B354" s="80"/>
      <c r="C354" s="20"/>
      <c r="D354" s="80"/>
      <c r="E354" s="8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80"/>
      <c r="B355" s="80"/>
      <c r="C355" s="20"/>
      <c r="D355" s="80"/>
      <c r="E355" s="8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80"/>
      <c r="B356" s="80"/>
      <c r="C356" s="20"/>
      <c r="D356" s="80"/>
      <c r="E356" s="8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80"/>
      <c r="B357" s="80"/>
      <c r="C357" s="20"/>
      <c r="D357" s="80"/>
      <c r="E357" s="8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80"/>
      <c r="B358" s="80"/>
      <c r="C358" s="20"/>
      <c r="D358" s="80"/>
      <c r="E358" s="8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80"/>
      <c r="B359" s="80"/>
      <c r="C359" s="20"/>
      <c r="D359" s="80"/>
      <c r="E359" s="8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80"/>
      <c r="B360" s="80"/>
      <c r="C360" s="20"/>
      <c r="D360" s="80"/>
      <c r="E360" s="8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80"/>
      <c r="B361" s="80"/>
      <c r="C361" s="20"/>
      <c r="D361" s="80"/>
      <c r="E361" s="8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80"/>
      <c r="B362" s="80"/>
      <c r="C362" s="20"/>
      <c r="D362" s="80"/>
      <c r="E362" s="8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80"/>
      <c r="B363" s="80"/>
      <c r="C363" s="20"/>
      <c r="D363" s="80"/>
      <c r="E363" s="8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80"/>
      <c r="B364" s="80"/>
      <c r="C364" s="20"/>
      <c r="D364" s="80"/>
      <c r="E364" s="8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80"/>
      <c r="B365" s="80"/>
      <c r="C365" s="20"/>
      <c r="D365" s="80"/>
      <c r="E365" s="8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80"/>
      <c r="B366" s="80"/>
      <c r="C366" s="20"/>
      <c r="D366" s="80"/>
      <c r="E366" s="8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80"/>
      <c r="B367" s="80"/>
      <c r="C367" s="20"/>
      <c r="D367" s="80"/>
      <c r="E367" s="8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80"/>
      <c r="B368" s="80"/>
      <c r="C368" s="20"/>
      <c r="D368" s="80"/>
      <c r="E368" s="8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80"/>
      <c r="B369" s="80"/>
      <c r="C369" s="20"/>
      <c r="D369" s="80"/>
      <c r="E369" s="8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80"/>
      <c r="B370" s="80"/>
      <c r="C370" s="20"/>
      <c r="D370" s="80"/>
      <c r="E370" s="8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80"/>
      <c r="B371" s="80"/>
      <c r="C371" s="20"/>
      <c r="D371" s="80"/>
      <c r="E371" s="8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80"/>
      <c r="B372" s="80"/>
      <c r="C372" s="20"/>
      <c r="D372" s="80"/>
      <c r="E372" s="8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80"/>
      <c r="B373" s="80"/>
      <c r="C373" s="20"/>
      <c r="D373" s="80"/>
      <c r="E373" s="8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80"/>
      <c r="B374" s="80"/>
      <c r="C374" s="20"/>
      <c r="D374" s="80"/>
      <c r="E374" s="8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80"/>
      <c r="B375" s="80"/>
      <c r="C375" s="20"/>
      <c r="D375" s="80"/>
      <c r="E375" s="8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80"/>
      <c r="B376" s="80"/>
      <c r="C376" s="20"/>
      <c r="D376" s="80"/>
      <c r="E376" s="8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80"/>
      <c r="B377" s="80"/>
      <c r="C377" s="20"/>
      <c r="D377" s="80"/>
      <c r="E377" s="8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80"/>
      <c r="B378" s="80"/>
      <c r="C378" s="20"/>
      <c r="D378" s="80"/>
      <c r="E378" s="8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80"/>
      <c r="B379" s="80"/>
      <c r="C379" s="20"/>
      <c r="D379" s="80"/>
      <c r="E379" s="8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80"/>
      <c r="B380" s="80"/>
      <c r="C380" s="20"/>
      <c r="D380" s="80"/>
      <c r="E380" s="8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80"/>
      <c r="B381" s="80"/>
      <c r="C381" s="20"/>
      <c r="D381" s="80"/>
      <c r="E381" s="8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80"/>
      <c r="B382" s="80"/>
      <c r="C382" s="20"/>
      <c r="D382" s="80"/>
      <c r="E382" s="8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80"/>
      <c r="B383" s="80"/>
      <c r="C383" s="20"/>
      <c r="D383" s="80"/>
      <c r="E383" s="8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80"/>
      <c r="B384" s="80"/>
      <c r="C384" s="20"/>
      <c r="D384" s="80"/>
      <c r="E384" s="8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80"/>
      <c r="B385" s="80"/>
      <c r="C385" s="20"/>
      <c r="D385" s="80"/>
      <c r="E385" s="8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80"/>
      <c r="B386" s="80"/>
      <c r="C386" s="20"/>
      <c r="D386" s="80"/>
      <c r="E386" s="8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80"/>
      <c r="B387" s="80"/>
      <c r="C387" s="20"/>
      <c r="D387" s="80"/>
      <c r="E387" s="8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80"/>
      <c r="B388" s="80"/>
      <c r="C388" s="20"/>
      <c r="D388" s="80"/>
      <c r="E388" s="8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80"/>
      <c r="B389" s="80"/>
      <c r="C389" s="20"/>
      <c r="D389" s="80"/>
      <c r="E389" s="8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80"/>
      <c r="B390" s="80"/>
      <c r="C390" s="20"/>
      <c r="D390" s="80"/>
      <c r="E390" s="8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80"/>
      <c r="B391" s="80"/>
      <c r="C391" s="20"/>
      <c r="D391" s="80"/>
      <c r="E391" s="8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80"/>
      <c r="B392" s="80"/>
      <c r="C392" s="20"/>
      <c r="D392" s="80"/>
      <c r="E392" s="8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80"/>
      <c r="B393" s="80"/>
      <c r="C393" s="20"/>
      <c r="D393" s="80"/>
      <c r="E393" s="8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80"/>
      <c r="B394" s="80"/>
      <c r="C394" s="20"/>
      <c r="D394" s="80"/>
      <c r="E394" s="8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80"/>
      <c r="B395" s="80"/>
      <c r="C395" s="20"/>
      <c r="D395" s="80"/>
      <c r="E395" s="8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80"/>
      <c r="B396" s="80"/>
      <c r="C396" s="20"/>
      <c r="D396" s="80"/>
      <c r="E396" s="8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80"/>
      <c r="B397" s="80"/>
      <c r="C397" s="20"/>
      <c r="D397" s="80"/>
      <c r="E397" s="8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80"/>
      <c r="B398" s="80"/>
      <c r="C398" s="20"/>
      <c r="D398" s="80"/>
      <c r="E398" s="8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80"/>
      <c r="B399" s="80"/>
      <c r="C399" s="20"/>
      <c r="D399" s="80"/>
      <c r="E399" s="8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80"/>
      <c r="B400" s="80"/>
      <c r="C400" s="20"/>
      <c r="D400" s="80"/>
      <c r="E400" s="8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80"/>
      <c r="B401" s="80"/>
      <c r="C401" s="20"/>
      <c r="D401" s="80"/>
      <c r="E401" s="8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80"/>
      <c r="B402" s="80"/>
      <c r="C402" s="20"/>
      <c r="D402" s="80"/>
      <c r="E402" s="8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80"/>
      <c r="B403" s="80"/>
      <c r="C403" s="20"/>
      <c r="D403" s="80"/>
      <c r="E403" s="8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80"/>
      <c r="B404" s="80"/>
      <c r="C404" s="20"/>
      <c r="D404" s="80"/>
      <c r="E404" s="8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80"/>
      <c r="B405" s="80"/>
      <c r="C405" s="20"/>
      <c r="D405" s="80"/>
      <c r="E405" s="8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80"/>
      <c r="B406" s="80"/>
      <c r="C406" s="20"/>
      <c r="D406" s="80"/>
      <c r="E406" s="8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80"/>
      <c r="B407" s="80"/>
      <c r="C407" s="20"/>
      <c r="D407" s="80"/>
      <c r="E407" s="8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80"/>
      <c r="B408" s="80"/>
      <c r="C408" s="20"/>
      <c r="D408" s="80"/>
      <c r="E408" s="8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80"/>
      <c r="B409" s="80"/>
      <c r="C409" s="20"/>
      <c r="D409" s="80"/>
      <c r="E409" s="8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80"/>
      <c r="B410" s="80"/>
      <c r="C410" s="20"/>
      <c r="D410" s="80"/>
      <c r="E410" s="8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80"/>
      <c r="B411" s="80"/>
      <c r="C411" s="20"/>
      <c r="D411" s="80"/>
      <c r="E411" s="8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80"/>
      <c r="B412" s="80"/>
      <c r="C412" s="20"/>
      <c r="D412" s="80"/>
      <c r="E412" s="8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80"/>
      <c r="B413" s="80"/>
      <c r="C413" s="20"/>
      <c r="D413" s="80"/>
      <c r="E413" s="8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80"/>
      <c r="B414" s="80"/>
      <c r="C414" s="20"/>
      <c r="D414" s="80"/>
      <c r="E414" s="8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80"/>
      <c r="B415" s="80"/>
      <c r="C415" s="20"/>
      <c r="D415" s="80"/>
      <c r="E415" s="8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80"/>
      <c r="B416" s="80"/>
      <c r="C416" s="20"/>
      <c r="D416" s="80"/>
      <c r="E416" s="8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80"/>
      <c r="B417" s="80"/>
      <c r="C417" s="20"/>
      <c r="D417" s="80"/>
      <c r="E417" s="8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80"/>
      <c r="B418" s="80"/>
      <c r="C418" s="20"/>
      <c r="D418" s="80"/>
      <c r="E418" s="8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80"/>
      <c r="B419" s="80"/>
      <c r="C419" s="20"/>
      <c r="D419" s="80"/>
      <c r="E419" s="8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80"/>
      <c r="B420" s="80"/>
      <c r="C420" s="20"/>
      <c r="D420" s="80"/>
      <c r="E420" s="8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80"/>
      <c r="B421" s="80"/>
      <c r="C421" s="20"/>
      <c r="D421" s="80"/>
      <c r="E421" s="8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80"/>
      <c r="B422" s="80"/>
      <c r="C422" s="20"/>
      <c r="D422" s="80"/>
      <c r="E422" s="8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80"/>
      <c r="B423" s="80"/>
      <c r="C423" s="20"/>
      <c r="D423" s="80"/>
      <c r="E423" s="8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80"/>
      <c r="B424" s="80"/>
      <c r="C424" s="20"/>
      <c r="D424" s="80"/>
      <c r="E424" s="8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80"/>
      <c r="B425" s="80"/>
      <c r="C425" s="20"/>
      <c r="D425" s="80"/>
      <c r="E425" s="8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80"/>
      <c r="B426" s="80"/>
      <c r="C426" s="20"/>
      <c r="D426" s="80"/>
      <c r="E426" s="8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80"/>
      <c r="B427" s="80"/>
      <c r="C427" s="20"/>
      <c r="D427" s="80"/>
      <c r="E427" s="8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80"/>
      <c r="B428" s="80"/>
      <c r="C428" s="20"/>
      <c r="D428" s="80"/>
      <c r="E428" s="8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80"/>
      <c r="B429" s="80"/>
      <c r="C429" s="20"/>
      <c r="D429" s="80"/>
      <c r="E429" s="8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80"/>
      <c r="B430" s="80"/>
      <c r="C430" s="20"/>
      <c r="D430" s="80"/>
      <c r="E430" s="8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80"/>
      <c r="B431" s="80"/>
      <c r="C431" s="20"/>
      <c r="D431" s="80"/>
      <c r="E431" s="8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80"/>
      <c r="B432" s="80"/>
      <c r="C432" s="20"/>
      <c r="D432" s="80"/>
      <c r="E432" s="8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80"/>
      <c r="B433" s="80"/>
      <c r="C433" s="20"/>
      <c r="D433" s="80"/>
      <c r="E433" s="8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80"/>
      <c r="B434" s="80"/>
      <c r="C434" s="20"/>
      <c r="D434" s="80"/>
      <c r="E434" s="8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80"/>
      <c r="B435" s="80"/>
      <c r="C435" s="20"/>
      <c r="D435" s="80"/>
      <c r="E435" s="8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80"/>
      <c r="B436" s="80"/>
      <c r="C436" s="20"/>
      <c r="D436" s="80"/>
      <c r="E436" s="8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80"/>
      <c r="B437" s="80"/>
      <c r="C437" s="20"/>
      <c r="D437" s="80"/>
      <c r="E437" s="8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80"/>
      <c r="B438" s="80"/>
      <c r="C438" s="20"/>
      <c r="D438" s="80"/>
      <c r="E438" s="8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80"/>
      <c r="B439" s="80"/>
      <c r="C439" s="20"/>
      <c r="D439" s="80"/>
      <c r="E439" s="8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80"/>
      <c r="B440" s="80"/>
      <c r="C440" s="20"/>
      <c r="D440" s="80"/>
      <c r="E440" s="8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80"/>
      <c r="B441" s="80"/>
      <c r="C441" s="20"/>
      <c r="D441" s="80"/>
      <c r="E441" s="8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80"/>
      <c r="B442" s="80"/>
      <c r="C442" s="20"/>
      <c r="D442" s="80"/>
      <c r="E442" s="8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80"/>
      <c r="B443" s="80"/>
      <c r="C443" s="20"/>
      <c r="D443" s="80"/>
      <c r="E443" s="8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80"/>
      <c r="B444" s="80"/>
      <c r="C444" s="20"/>
      <c r="D444" s="80"/>
      <c r="E444" s="8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80"/>
      <c r="B445" s="80"/>
      <c r="C445" s="20"/>
      <c r="D445" s="80"/>
      <c r="E445" s="8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80"/>
      <c r="B446" s="80"/>
      <c r="C446" s="20"/>
      <c r="D446" s="80"/>
      <c r="E446" s="8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80"/>
      <c r="B447" s="80"/>
      <c r="C447" s="20"/>
      <c r="D447" s="80"/>
      <c r="E447" s="8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80"/>
      <c r="B448" s="80"/>
      <c r="C448" s="20"/>
      <c r="D448" s="80"/>
      <c r="E448" s="8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80"/>
      <c r="B449" s="80"/>
      <c r="C449" s="20"/>
      <c r="D449" s="80"/>
      <c r="E449" s="8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80"/>
      <c r="B450" s="80"/>
      <c r="C450" s="20"/>
      <c r="D450" s="80"/>
      <c r="E450" s="8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80"/>
      <c r="B451" s="80"/>
      <c r="C451" s="20"/>
      <c r="D451" s="80"/>
      <c r="E451" s="8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80"/>
      <c r="B452" s="80"/>
      <c r="C452" s="20"/>
      <c r="D452" s="80"/>
      <c r="E452" s="8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80"/>
      <c r="B453" s="80"/>
      <c r="C453" s="20"/>
      <c r="D453" s="80"/>
      <c r="E453" s="8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80"/>
      <c r="B454" s="80"/>
      <c r="C454" s="20"/>
      <c r="D454" s="80"/>
      <c r="E454" s="8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80"/>
      <c r="B455" s="80"/>
      <c r="C455" s="20"/>
      <c r="D455" s="80"/>
      <c r="E455" s="8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80"/>
      <c r="B456" s="80"/>
      <c r="C456" s="20"/>
      <c r="D456" s="80"/>
      <c r="E456" s="8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80"/>
      <c r="B457" s="80"/>
      <c r="C457" s="20"/>
      <c r="D457" s="80"/>
      <c r="E457" s="8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80"/>
      <c r="B458" s="80"/>
      <c r="C458" s="20"/>
      <c r="D458" s="80"/>
      <c r="E458" s="8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80"/>
      <c r="B459" s="80"/>
      <c r="C459" s="20"/>
      <c r="D459" s="80"/>
      <c r="E459" s="8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80"/>
      <c r="B460" s="80"/>
      <c r="C460" s="20"/>
      <c r="D460" s="80"/>
      <c r="E460" s="8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80"/>
      <c r="B461" s="80"/>
      <c r="C461" s="20"/>
      <c r="D461" s="80"/>
      <c r="E461" s="8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80"/>
      <c r="B462" s="80"/>
      <c r="C462" s="20"/>
      <c r="D462" s="80"/>
      <c r="E462" s="8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80"/>
      <c r="B463" s="80"/>
      <c r="C463" s="20"/>
      <c r="D463" s="80"/>
      <c r="E463" s="8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80"/>
      <c r="B464" s="80"/>
      <c r="C464" s="20"/>
      <c r="D464" s="80"/>
      <c r="E464" s="8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80"/>
      <c r="B465" s="80"/>
      <c r="C465" s="20"/>
      <c r="D465" s="80"/>
      <c r="E465" s="8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80"/>
      <c r="B466" s="80"/>
      <c r="C466" s="20"/>
      <c r="D466" s="80"/>
      <c r="E466" s="8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80"/>
      <c r="B467" s="80"/>
      <c r="C467" s="20"/>
      <c r="D467" s="80"/>
      <c r="E467" s="8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80"/>
      <c r="B468" s="80"/>
      <c r="C468" s="20"/>
      <c r="D468" s="80"/>
      <c r="E468" s="8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80"/>
      <c r="B469" s="80"/>
      <c r="C469" s="20"/>
      <c r="D469" s="80"/>
      <c r="E469" s="8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80"/>
      <c r="B470" s="80"/>
      <c r="C470" s="20"/>
      <c r="D470" s="80"/>
      <c r="E470" s="8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80"/>
      <c r="B471" s="80"/>
      <c r="C471" s="20"/>
      <c r="D471" s="80"/>
      <c r="E471" s="8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80"/>
      <c r="B472" s="80"/>
      <c r="C472" s="20"/>
      <c r="D472" s="80"/>
      <c r="E472" s="8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80"/>
      <c r="B473" s="80"/>
      <c r="C473" s="20"/>
      <c r="D473" s="80"/>
      <c r="E473" s="8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80"/>
      <c r="B474" s="80"/>
      <c r="C474" s="20"/>
      <c r="D474" s="80"/>
      <c r="E474" s="8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80"/>
      <c r="B475" s="80"/>
      <c r="C475" s="20"/>
      <c r="D475" s="80"/>
      <c r="E475" s="8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80"/>
      <c r="B476" s="80"/>
      <c r="C476" s="20"/>
      <c r="D476" s="80"/>
      <c r="E476" s="8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80"/>
      <c r="B477" s="80"/>
      <c r="C477" s="20"/>
      <c r="D477" s="80"/>
      <c r="E477" s="8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80"/>
      <c r="B478" s="80"/>
      <c r="C478" s="20"/>
      <c r="D478" s="80"/>
      <c r="E478" s="8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80"/>
      <c r="B479" s="80"/>
      <c r="C479" s="20"/>
      <c r="D479" s="80"/>
      <c r="E479" s="8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80"/>
      <c r="B480" s="80"/>
      <c r="C480" s="20"/>
      <c r="D480" s="80"/>
      <c r="E480" s="8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80"/>
      <c r="B481" s="80"/>
      <c r="C481" s="20"/>
      <c r="D481" s="80"/>
      <c r="E481" s="8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80"/>
      <c r="B482" s="80"/>
      <c r="C482" s="20"/>
      <c r="D482" s="80"/>
      <c r="E482" s="8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80"/>
      <c r="B483" s="80"/>
      <c r="C483" s="20"/>
      <c r="D483" s="80"/>
      <c r="E483" s="8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80"/>
      <c r="B484" s="80"/>
      <c r="C484" s="20"/>
      <c r="D484" s="80"/>
      <c r="E484" s="8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80"/>
      <c r="B485" s="80"/>
      <c r="C485" s="20"/>
      <c r="D485" s="80"/>
      <c r="E485" s="8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80"/>
      <c r="B486" s="80"/>
      <c r="C486" s="20"/>
      <c r="D486" s="80"/>
      <c r="E486" s="8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80"/>
      <c r="B487" s="80"/>
      <c r="C487" s="20"/>
      <c r="D487" s="80"/>
      <c r="E487" s="8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80"/>
      <c r="B488" s="80"/>
      <c r="C488" s="20"/>
      <c r="D488" s="80"/>
      <c r="E488" s="8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80"/>
      <c r="B489" s="80"/>
      <c r="C489" s="20"/>
      <c r="D489" s="80"/>
      <c r="E489" s="8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80"/>
      <c r="B490" s="80"/>
      <c r="C490" s="20"/>
      <c r="D490" s="80"/>
      <c r="E490" s="8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80"/>
      <c r="B491" s="80"/>
      <c r="C491" s="20"/>
      <c r="D491" s="80"/>
      <c r="E491" s="8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80"/>
      <c r="B492" s="80"/>
      <c r="C492" s="20"/>
      <c r="D492" s="80"/>
      <c r="E492" s="8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80"/>
      <c r="B493" s="80"/>
      <c r="C493" s="20"/>
      <c r="D493" s="80"/>
      <c r="E493" s="8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80"/>
      <c r="B494" s="80"/>
      <c r="C494" s="20"/>
      <c r="D494" s="80"/>
      <c r="E494" s="8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80"/>
      <c r="B495" s="80"/>
      <c r="C495" s="20"/>
      <c r="D495" s="80"/>
      <c r="E495" s="8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80"/>
      <c r="B496" s="80"/>
      <c r="C496" s="20"/>
      <c r="D496" s="80"/>
      <c r="E496" s="8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80"/>
      <c r="B497" s="80"/>
      <c r="C497" s="20"/>
      <c r="D497" s="80"/>
      <c r="E497" s="8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80"/>
      <c r="B498" s="80"/>
      <c r="C498" s="20"/>
      <c r="D498" s="80"/>
      <c r="E498" s="8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80"/>
      <c r="B499" s="80"/>
      <c r="C499" s="20"/>
      <c r="D499" s="80"/>
      <c r="E499" s="8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80"/>
      <c r="B500" s="80"/>
      <c r="C500" s="20"/>
      <c r="D500" s="80"/>
      <c r="E500" s="8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80"/>
      <c r="B501" s="80"/>
      <c r="C501" s="20"/>
      <c r="D501" s="80"/>
      <c r="E501" s="8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80"/>
      <c r="B502" s="80"/>
      <c r="C502" s="20"/>
      <c r="D502" s="80"/>
      <c r="E502" s="8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80"/>
      <c r="B503" s="80"/>
      <c r="C503" s="20"/>
      <c r="D503" s="80"/>
      <c r="E503" s="8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80"/>
      <c r="B504" s="80"/>
      <c r="C504" s="20"/>
      <c r="D504" s="80"/>
      <c r="E504" s="8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80"/>
      <c r="B505" s="80"/>
      <c r="C505" s="20"/>
      <c r="D505" s="80"/>
      <c r="E505" s="8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80"/>
      <c r="B506" s="80"/>
      <c r="C506" s="20"/>
      <c r="D506" s="80"/>
      <c r="E506" s="8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80"/>
      <c r="B507" s="80"/>
      <c r="C507" s="20"/>
      <c r="D507" s="80"/>
      <c r="E507" s="8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80"/>
      <c r="B508" s="80"/>
      <c r="C508" s="20"/>
      <c r="D508" s="80"/>
      <c r="E508" s="8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80"/>
      <c r="B509" s="80"/>
      <c r="C509" s="20"/>
      <c r="D509" s="80"/>
      <c r="E509" s="8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80"/>
      <c r="B510" s="80"/>
      <c r="C510" s="20"/>
      <c r="D510" s="80"/>
      <c r="E510" s="8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80"/>
      <c r="B511" s="80"/>
      <c r="C511" s="20"/>
      <c r="D511" s="80"/>
      <c r="E511" s="8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80"/>
      <c r="B512" s="80"/>
      <c r="C512" s="20"/>
      <c r="D512" s="80"/>
      <c r="E512" s="8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80"/>
      <c r="B513" s="80"/>
      <c r="C513" s="20"/>
      <c r="D513" s="80"/>
      <c r="E513" s="8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80"/>
      <c r="B514" s="80"/>
      <c r="C514" s="20"/>
      <c r="D514" s="80"/>
      <c r="E514" s="8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80"/>
      <c r="B515" s="80"/>
      <c r="C515" s="20"/>
      <c r="D515" s="80"/>
      <c r="E515" s="8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80"/>
      <c r="B516" s="80"/>
      <c r="C516" s="20"/>
      <c r="D516" s="80"/>
      <c r="E516" s="8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80"/>
      <c r="B517" s="80"/>
      <c r="C517" s="20"/>
      <c r="D517" s="80"/>
      <c r="E517" s="8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80"/>
      <c r="B518" s="80"/>
      <c r="C518" s="20"/>
      <c r="D518" s="80"/>
      <c r="E518" s="8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80"/>
      <c r="B519" s="80"/>
      <c r="C519" s="20"/>
      <c r="D519" s="80"/>
      <c r="E519" s="8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80"/>
      <c r="B520" s="80"/>
      <c r="C520" s="20"/>
      <c r="D520" s="80"/>
      <c r="E520" s="8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80"/>
      <c r="B521" s="80"/>
      <c r="C521" s="20"/>
      <c r="D521" s="80"/>
      <c r="E521" s="8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80"/>
      <c r="B522" s="80"/>
      <c r="C522" s="20"/>
      <c r="D522" s="80"/>
      <c r="E522" s="8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80"/>
      <c r="B523" s="80"/>
      <c r="C523" s="20"/>
      <c r="D523" s="80"/>
      <c r="E523" s="8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80"/>
      <c r="B524" s="80"/>
      <c r="C524" s="20"/>
      <c r="D524" s="80"/>
      <c r="E524" s="8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80"/>
      <c r="B525" s="80"/>
      <c r="C525" s="20"/>
      <c r="D525" s="80"/>
      <c r="E525" s="8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80"/>
      <c r="B526" s="80"/>
      <c r="C526" s="20"/>
      <c r="D526" s="80"/>
      <c r="E526" s="8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80"/>
      <c r="B527" s="80"/>
      <c r="C527" s="20"/>
      <c r="D527" s="80"/>
      <c r="E527" s="8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80"/>
      <c r="B528" s="80"/>
      <c r="C528" s="20"/>
      <c r="D528" s="80"/>
      <c r="E528" s="8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80"/>
      <c r="B529" s="80"/>
      <c r="C529" s="20"/>
      <c r="D529" s="80"/>
      <c r="E529" s="8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80"/>
      <c r="B530" s="80"/>
      <c r="C530" s="20"/>
      <c r="D530" s="80"/>
      <c r="E530" s="8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80"/>
      <c r="B531" s="80"/>
      <c r="C531" s="20"/>
      <c r="D531" s="80"/>
      <c r="E531" s="8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80"/>
      <c r="B532" s="80"/>
      <c r="C532" s="20"/>
      <c r="D532" s="80"/>
      <c r="E532" s="8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80"/>
      <c r="B533" s="80"/>
      <c r="C533" s="20"/>
      <c r="D533" s="80"/>
      <c r="E533" s="8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80"/>
      <c r="B534" s="80"/>
      <c r="C534" s="20"/>
      <c r="D534" s="80"/>
      <c r="E534" s="8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80"/>
      <c r="B535" s="80"/>
      <c r="C535" s="20"/>
      <c r="D535" s="80"/>
      <c r="E535" s="8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80"/>
      <c r="B536" s="80"/>
      <c r="C536" s="20"/>
      <c r="D536" s="80"/>
      <c r="E536" s="8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80"/>
      <c r="B537" s="80"/>
      <c r="C537" s="20"/>
      <c r="D537" s="80"/>
      <c r="E537" s="8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80"/>
      <c r="B538" s="80"/>
      <c r="C538" s="20"/>
      <c r="D538" s="80"/>
      <c r="E538" s="8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80"/>
      <c r="B539" s="80"/>
      <c r="C539" s="20"/>
      <c r="D539" s="80"/>
      <c r="E539" s="8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80"/>
      <c r="B540" s="80"/>
      <c r="C540" s="20"/>
      <c r="D540" s="80"/>
      <c r="E540" s="8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80"/>
      <c r="B541" s="80"/>
      <c r="C541" s="20"/>
      <c r="D541" s="80"/>
      <c r="E541" s="8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80"/>
      <c r="B542" s="80"/>
      <c r="C542" s="20"/>
      <c r="D542" s="80"/>
      <c r="E542" s="8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80"/>
      <c r="B543" s="80"/>
      <c r="C543" s="20"/>
      <c r="D543" s="80"/>
      <c r="E543" s="8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80"/>
      <c r="B544" s="80"/>
      <c r="C544" s="20"/>
      <c r="D544" s="80"/>
      <c r="E544" s="8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80"/>
      <c r="B545" s="80"/>
      <c r="C545" s="20"/>
      <c r="D545" s="80"/>
      <c r="E545" s="8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80"/>
      <c r="B546" s="80"/>
      <c r="C546" s="20"/>
      <c r="D546" s="80"/>
      <c r="E546" s="8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80"/>
      <c r="B547" s="80"/>
      <c r="C547" s="20"/>
      <c r="D547" s="80"/>
      <c r="E547" s="8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80"/>
      <c r="B548" s="80"/>
      <c r="C548" s="20"/>
      <c r="D548" s="80"/>
      <c r="E548" s="8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80"/>
      <c r="B549" s="80"/>
      <c r="C549" s="20"/>
      <c r="D549" s="80"/>
      <c r="E549" s="8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80"/>
      <c r="B550" s="80"/>
      <c r="C550" s="20"/>
      <c r="D550" s="80"/>
      <c r="E550" s="8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80"/>
      <c r="B551" s="80"/>
      <c r="C551" s="20"/>
      <c r="D551" s="80"/>
      <c r="E551" s="8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80"/>
      <c r="B552" s="80"/>
      <c r="C552" s="20"/>
      <c r="D552" s="80"/>
      <c r="E552" s="8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80"/>
      <c r="B553" s="80"/>
      <c r="C553" s="20"/>
      <c r="D553" s="80"/>
      <c r="E553" s="8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80"/>
      <c r="B554" s="80"/>
      <c r="C554" s="20"/>
      <c r="D554" s="80"/>
      <c r="E554" s="8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80"/>
      <c r="B555" s="80"/>
      <c r="C555" s="20"/>
      <c r="D555" s="80"/>
      <c r="E555" s="8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80"/>
      <c r="B556" s="80"/>
      <c r="C556" s="20"/>
      <c r="D556" s="80"/>
      <c r="E556" s="8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80"/>
      <c r="B557" s="80"/>
      <c r="C557" s="20"/>
      <c r="D557" s="80"/>
      <c r="E557" s="8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80"/>
      <c r="B558" s="80"/>
      <c r="C558" s="20"/>
      <c r="D558" s="80"/>
      <c r="E558" s="8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80"/>
      <c r="B559" s="80"/>
      <c r="C559" s="20"/>
      <c r="D559" s="80"/>
      <c r="E559" s="8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80"/>
      <c r="B560" s="80"/>
      <c r="C560" s="20"/>
      <c r="D560" s="80"/>
      <c r="E560" s="8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80"/>
      <c r="B561" s="80"/>
      <c r="C561" s="20"/>
      <c r="D561" s="80"/>
      <c r="E561" s="8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80"/>
      <c r="B562" s="80"/>
      <c r="C562" s="20"/>
      <c r="D562" s="80"/>
      <c r="E562" s="8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80"/>
      <c r="B563" s="80"/>
      <c r="C563" s="20"/>
      <c r="D563" s="80"/>
      <c r="E563" s="8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80"/>
      <c r="B564" s="80"/>
      <c r="C564" s="20"/>
      <c r="D564" s="80"/>
      <c r="E564" s="8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80"/>
      <c r="B565" s="80"/>
      <c r="C565" s="20"/>
      <c r="D565" s="80"/>
      <c r="E565" s="8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80"/>
      <c r="B566" s="80"/>
      <c r="C566" s="20"/>
      <c r="D566" s="80"/>
      <c r="E566" s="8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80"/>
      <c r="B567" s="80"/>
      <c r="C567" s="20"/>
      <c r="D567" s="80"/>
      <c r="E567" s="8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80"/>
      <c r="B568" s="80"/>
      <c r="C568" s="20"/>
      <c r="D568" s="80"/>
      <c r="E568" s="8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80"/>
      <c r="B569" s="80"/>
      <c r="C569" s="20"/>
      <c r="D569" s="80"/>
      <c r="E569" s="8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80"/>
      <c r="B570" s="80"/>
      <c r="C570" s="20"/>
      <c r="D570" s="80"/>
      <c r="E570" s="8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80"/>
      <c r="B571" s="80"/>
      <c r="C571" s="20"/>
      <c r="D571" s="80"/>
      <c r="E571" s="8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80"/>
      <c r="B572" s="80"/>
      <c r="C572" s="20"/>
      <c r="D572" s="80"/>
      <c r="E572" s="8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80"/>
      <c r="B573" s="80"/>
      <c r="C573" s="20"/>
      <c r="D573" s="80"/>
      <c r="E573" s="8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80"/>
      <c r="B574" s="80"/>
      <c r="C574" s="20"/>
      <c r="D574" s="80"/>
      <c r="E574" s="8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80"/>
      <c r="B575" s="80"/>
      <c r="C575" s="20"/>
      <c r="D575" s="80"/>
      <c r="E575" s="8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80"/>
      <c r="B576" s="80"/>
      <c r="C576" s="20"/>
      <c r="D576" s="80"/>
      <c r="E576" s="8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80"/>
      <c r="B577" s="80"/>
      <c r="C577" s="20"/>
      <c r="D577" s="80"/>
      <c r="E577" s="8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80"/>
      <c r="B578" s="80"/>
      <c r="C578" s="20"/>
      <c r="D578" s="80"/>
      <c r="E578" s="8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80"/>
      <c r="B579" s="80"/>
      <c r="C579" s="20"/>
      <c r="D579" s="80"/>
      <c r="E579" s="8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80"/>
      <c r="B580" s="80"/>
      <c r="C580" s="20"/>
      <c r="D580" s="80"/>
      <c r="E580" s="8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80"/>
      <c r="B581" s="80"/>
      <c r="C581" s="20"/>
      <c r="D581" s="80"/>
      <c r="E581" s="8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80"/>
      <c r="B582" s="80"/>
      <c r="C582" s="20"/>
      <c r="D582" s="80"/>
      <c r="E582" s="8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80"/>
      <c r="B583" s="80"/>
      <c r="C583" s="20"/>
      <c r="D583" s="80"/>
      <c r="E583" s="8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80"/>
      <c r="B584" s="80"/>
      <c r="C584" s="20"/>
      <c r="D584" s="80"/>
      <c r="E584" s="8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80"/>
      <c r="B585" s="80"/>
      <c r="C585" s="20"/>
      <c r="D585" s="80"/>
      <c r="E585" s="8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80"/>
      <c r="B586" s="80"/>
      <c r="C586" s="20"/>
      <c r="D586" s="80"/>
      <c r="E586" s="8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80"/>
      <c r="B587" s="80"/>
      <c r="C587" s="20"/>
      <c r="D587" s="80"/>
      <c r="E587" s="8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80"/>
      <c r="B588" s="80"/>
      <c r="C588" s="20"/>
      <c r="D588" s="80"/>
      <c r="E588" s="8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80"/>
      <c r="B589" s="80"/>
      <c r="C589" s="20"/>
      <c r="D589" s="80"/>
      <c r="E589" s="8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80"/>
      <c r="B590" s="80"/>
      <c r="C590" s="20"/>
      <c r="D590" s="80"/>
      <c r="E590" s="8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80"/>
      <c r="B591" s="80"/>
      <c r="C591" s="20"/>
      <c r="D591" s="80"/>
      <c r="E591" s="8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80"/>
      <c r="B592" s="80"/>
      <c r="C592" s="20"/>
      <c r="D592" s="80"/>
      <c r="E592" s="8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80"/>
      <c r="B593" s="80"/>
      <c r="C593" s="20"/>
      <c r="D593" s="80"/>
      <c r="E593" s="8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80"/>
      <c r="B594" s="80"/>
      <c r="C594" s="20"/>
      <c r="D594" s="80"/>
      <c r="E594" s="8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80"/>
      <c r="B595" s="80"/>
      <c r="C595" s="20"/>
      <c r="D595" s="80"/>
      <c r="E595" s="8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80"/>
      <c r="B596" s="80"/>
      <c r="C596" s="20"/>
      <c r="D596" s="80"/>
      <c r="E596" s="8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80"/>
      <c r="B597" s="80"/>
      <c r="C597" s="20"/>
      <c r="D597" s="80"/>
      <c r="E597" s="8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80"/>
      <c r="B598" s="80"/>
      <c r="C598" s="20"/>
      <c r="D598" s="80"/>
      <c r="E598" s="8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80"/>
      <c r="B599" s="80"/>
      <c r="C599" s="20"/>
      <c r="D599" s="80"/>
      <c r="E599" s="8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80"/>
      <c r="B600" s="80"/>
      <c r="C600" s="20"/>
      <c r="D600" s="80"/>
      <c r="E600" s="8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80"/>
      <c r="B601" s="80"/>
      <c r="C601" s="20"/>
      <c r="D601" s="80"/>
      <c r="E601" s="8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80"/>
      <c r="B602" s="80"/>
      <c r="C602" s="20"/>
      <c r="D602" s="80"/>
      <c r="E602" s="8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80"/>
      <c r="B603" s="80"/>
      <c r="C603" s="20"/>
      <c r="D603" s="80"/>
      <c r="E603" s="8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80"/>
      <c r="B604" s="80"/>
      <c r="C604" s="20"/>
      <c r="D604" s="80"/>
      <c r="E604" s="8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80"/>
      <c r="B605" s="80"/>
      <c r="C605" s="20"/>
      <c r="D605" s="80"/>
      <c r="E605" s="8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80"/>
      <c r="B606" s="80"/>
      <c r="C606" s="20"/>
      <c r="D606" s="80"/>
      <c r="E606" s="8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80"/>
      <c r="B607" s="80"/>
      <c r="C607" s="20"/>
      <c r="D607" s="80"/>
      <c r="E607" s="8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80"/>
      <c r="B608" s="80"/>
      <c r="C608" s="20"/>
      <c r="D608" s="80"/>
      <c r="E608" s="8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80"/>
      <c r="B609" s="80"/>
      <c r="C609" s="20"/>
      <c r="D609" s="80"/>
      <c r="E609" s="8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80"/>
      <c r="B610" s="80"/>
      <c r="C610" s="20"/>
      <c r="D610" s="80"/>
      <c r="E610" s="8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80"/>
      <c r="B611" s="80"/>
      <c r="C611" s="20"/>
      <c r="D611" s="80"/>
      <c r="E611" s="8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80"/>
      <c r="B612" s="80"/>
      <c r="C612" s="20"/>
      <c r="D612" s="80"/>
      <c r="E612" s="8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80"/>
      <c r="B613" s="80"/>
      <c r="C613" s="20"/>
      <c r="D613" s="80"/>
      <c r="E613" s="8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80"/>
      <c r="B614" s="80"/>
      <c r="C614" s="20"/>
      <c r="D614" s="80"/>
      <c r="E614" s="8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80"/>
      <c r="B615" s="80"/>
      <c r="C615" s="20"/>
      <c r="D615" s="80"/>
      <c r="E615" s="8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80"/>
      <c r="B616" s="80"/>
      <c r="C616" s="20"/>
      <c r="D616" s="80"/>
      <c r="E616" s="8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80"/>
      <c r="B617" s="80"/>
      <c r="C617" s="20"/>
      <c r="D617" s="80"/>
      <c r="E617" s="8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80"/>
      <c r="B618" s="80"/>
      <c r="C618" s="20"/>
      <c r="D618" s="80"/>
      <c r="E618" s="8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80"/>
      <c r="B619" s="80"/>
      <c r="C619" s="20"/>
      <c r="D619" s="80"/>
      <c r="E619" s="8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80"/>
      <c r="B620" s="80"/>
      <c r="C620" s="20"/>
      <c r="D620" s="80"/>
      <c r="E620" s="8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80"/>
      <c r="B621" s="80"/>
      <c r="C621" s="20"/>
      <c r="D621" s="80"/>
      <c r="E621" s="8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80"/>
      <c r="B622" s="80"/>
      <c r="C622" s="20"/>
      <c r="D622" s="80"/>
      <c r="E622" s="8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80"/>
      <c r="B623" s="80"/>
      <c r="C623" s="20"/>
      <c r="D623" s="80"/>
      <c r="E623" s="8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80"/>
      <c r="B624" s="80"/>
      <c r="C624" s="20"/>
      <c r="D624" s="80"/>
      <c r="E624" s="8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80"/>
      <c r="B625" s="80"/>
      <c r="C625" s="20"/>
      <c r="D625" s="80"/>
      <c r="E625" s="8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80"/>
      <c r="B626" s="80"/>
      <c r="C626" s="20"/>
      <c r="D626" s="80"/>
      <c r="E626" s="8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80"/>
      <c r="B627" s="80"/>
      <c r="C627" s="20"/>
      <c r="D627" s="80"/>
      <c r="E627" s="8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80"/>
      <c r="B628" s="80"/>
      <c r="C628" s="20"/>
      <c r="D628" s="80"/>
      <c r="E628" s="8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80"/>
      <c r="B629" s="80"/>
      <c r="C629" s="20"/>
      <c r="D629" s="80"/>
      <c r="E629" s="8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80"/>
      <c r="B630" s="80"/>
      <c r="C630" s="20"/>
      <c r="D630" s="80"/>
      <c r="E630" s="8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80"/>
      <c r="B631" s="80"/>
      <c r="C631" s="20"/>
      <c r="D631" s="80"/>
      <c r="E631" s="8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80"/>
      <c r="B632" s="80"/>
      <c r="C632" s="20"/>
      <c r="D632" s="80"/>
      <c r="E632" s="8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80"/>
      <c r="B633" s="80"/>
      <c r="C633" s="20"/>
      <c r="D633" s="80"/>
      <c r="E633" s="8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80"/>
      <c r="B634" s="80"/>
      <c r="C634" s="20"/>
      <c r="D634" s="80"/>
      <c r="E634" s="8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80"/>
      <c r="B635" s="80"/>
      <c r="C635" s="20"/>
      <c r="D635" s="80"/>
      <c r="E635" s="8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80"/>
      <c r="B636" s="80"/>
      <c r="C636" s="20"/>
      <c r="D636" s="80"/>
      <c r="E636" s="8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80"/>
      <c r="B637" s="80"/>
      <c r="C637" s="20"/>
      <c r="D637" s="80"/>
      <c r="E637" s="8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80"/>
      <c r="B638" s="80"/>
      <c r="C638" s="20"/>
      <c r="D638" s="80"/>
      <c r="E638" s="8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80"/>
      <c r="B639" s="80"/>
      <c r="C639" s="20"/>
      <c r="D639" s="80"/>
      <c r="E639" s="8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80"/>
      <c r="B640" s="80"/>
      <c r="C640" s="20"/>
      <c r="D640" s="80"/>
      <c r="E640" s="8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80"/>
      <c r="B641" s="80"/>
      <c r="C641" s="20"/>
      <c r="D641" s="80"/>
      <c r="E641" s="8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80"/>
      <c r="B642" s="80"/>
      <c r="C642" s="20"/>
      <c r="D642" s="80"/>
      <c r="E642" s="8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80"/>
      <c r="B643" s="80"/>
      <c r="C643" s="20"/>
      <c r="D643" s="80"/>
      <c r="E643" s="8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80"/>
      <c r="B644" s="80"/>
      <c r="C644" s="20"/>
      <c r="D644" s="80"/>
      <c r="E644" s="8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80"/>
      <c r="B645" s="80"/>
      <c r="C645" s="20"/>
      <c r="D645" s="80"/>
      <c r="E645" s="8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80"/>
      <c r="B646" s="80"/>
      <c r="C646" s="20"/>
      <c r="D646" s="80"/>
      <c r="E646" s="8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80"/>
      <c r="B647" s="80"/>
      <c r="C647" s="20"/>
      <c r="D647" s="80"/>
      <c r="E647" s="8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80"/>
      <c r="B648" s="80"/>
      <c r="C648" s="20"/>
      <c r="D648" s="80"/>
      <c r="E648" s="8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80"/>
      <c r="B649" s="80"/>
      <c r="C649" s="20"/>
      <c r="D649" s="80"/>
      <c r="E649" s="8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80"/>
      <c r="B650" s="80"/>
      <c r="C650" s="20"/>
      <c r="D650" s="80"/>
      <c r="E650" s="8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80"/>
      <c r="B651" s="80"/>
      <c r="C651" s="20"/>
      <c r="D651" s="80"/>
      <c r="E651" s="8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80"/>
      <c r="B652" s="80"/>
      <c r="C652" s="20"/>
      <c r="D652" s="80"/>
      <c r="E652" s="8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80"/>
      <c r="B653" s="80"/>
      <c r="C653" s="20"/>
      <c r="D653" s="80"/>
      <c r="E653" s="8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80"/>
      <c r="B654" s="80"/>
      <c r="C654" s="20"/>
      <c r="D654" s="80"/>
      <c r="E654" s="8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80"/>
      <c r="B655" s="80"/>
      <c r="C655" s="20"/>
      <c r="D655" s="80"/>
      <c r="E655" s="8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80"/>
      <c r="B656" s="80"/>
      <c r="C656" s="20"/>
      <c r="D656" s="80"/>
      <c r="E656" s="8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80"/>
      <c r="B657" s="80"/>
      <c r="C657" s="20"/>
      <c r="D657" s="80"/>
      <c r="E657" s="8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80"/>
      <c r="B658" s="80"/>
      <c r="C658" s="20"/>
      <c r="D658" s="80"/>
      <c r="E658" s="8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80"/>
      <c r="B659" s="80"/>
      <c r="C659" s="20"/>
      <c r="D659" s="80"/>
      <c r="E659" s="8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80"/>
      <c r="B660" s="80"/>
      <c r="C660" s="20"/>
      <c r="D660" s="80"/>
      <c r="E660" s="8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80"/>
      <c r="B661" s="80"/>
      <c r="C661" s="20"/>
      <c r="D661" s="80"/>
      <c r="E661" s="8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80"/>
      <c r="B662" s="80"/>
      <c r="C662" s="20"/>
      <c r="D662" s="80"/>
      <c r="E662" s="8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80"/>
      <c r="B663" s="80"/>
      <c r="C663" s="20"/>
      <c r="D663" s="80"/>
      <c r="E663" s="8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80"/>
      <c r="B664" s="80"/>
      <c r="C664" s="20"/>
      <c r="D664" s="80"/>
      <c r="E664" s="8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80"/>
      <c r="B665" s="80"/>
      <c r="C665" s="20"/>
      <c r="D665" s="80"/>
      <c r="E665" s="8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80"/>
      <c r="B666" s="80"/>
      <c r="C666" s="20"/>
      <c r="D666" s="80"/>
      <c r="E666" s="8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80"/>
      <c r="B667" s="80"/>
      <c r="C667" s="20"/>
      <c r="D667" s="80"/>
      <c r="E667" s="8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80"/>
      <c r="B668" s="80"/>
      <c r="C668" s="20"/>
      <c r="D668" s="80"/>
      <c r="E668" s="8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80"/>
      <c r="B669" s="80"/>
      <c r="C669" s="20"/>
      <c r="D669" s="80"/>
      <c r="E669" s="8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80"/>
      <c r="B670" s="80"/>
      <c r="C670" s="20"/>
      <c r="D670" s="80"/>
      <c r="E670" s="8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80"/>
      <c r="B671" s="80"/>
      <c r="C671" s="20"/>
      <c r="D671" s="80"/>
      <c r="E671" s="8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80"/>
      <c r="B672" s="80"/>
      <c r="C672" s="20"/>
      <c r="D672" s="80"/>
      <c r="E672" s="8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80"/>
      <c r="B673" s="80"/>
      <c r="C673" s="20"/>
      <c r="D673" s="80"/>
      <c r="E673" s="8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80"/>
      <c r="B674" s="80"/>
      <c r="C674" s="20"/>
      <c r="D674" s="80"/>
      <c r="E674" s="8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80"/>
      <c r="B675" s="80"/>
      <c r="C675" s="20"/>
      <c r="D675" s="80"/>
      <c r="E675" s="8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80"/>
      <c r="B676" s="80"/>
      <c r="C676" s="20"/>
      <c r="D676" s="80"/>
      <c r="E676" s="8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80"/>
      <c r="B677" s="80"/>
      <c r="C677" s="20"/>
      <c r="D677" s="80"/>
      <c r="E677" s="8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80"/>
      <c r="B678" s="80"/>
      <c r="C678" s="20"/>
      <c r="D678" s="80"/>
      <c r="E678" s="8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80"/>
      <c r="B679" s="80"/>
      <c r="C679" s="20"/>
      <c r="D679" s="80"/>
      <c r="E679" s="8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80"/>
      <c r="B680" s="80"/>
      <c r="C680" s="20"/>
      <c r="D680" s="80"/>
      <c r="E680" s="8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80"/>
      <c r="B681" s="80"/>
      <c r="C681" s="20"/>
      <c r="D681" s="80"/>
      <c r="E681" s="8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80"/>
      <c r="B682" s="80"/>
      <c r="C682" s="20"/>
      <c r="D682" s="80"/>
      <c r="E682" s="8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80"/>
      <c r="B683" s="80"/>
      <c r="C683" s="20"/>
      <c r="D683" s="80"/>
      <c r="E683" s="8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80"/>
      <c r="B684" s="80"/>
      <c r="C684" s="20"/>
      <c r="D684" s="80"/>
      <c r="E684" s="8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80"/>
      <c r="B685" s="80"/>
      <c r="C685" s="20"/>
      <c r="D685" s="80"/>
      <c r="E685" s="8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80"/>
      <c r="B686" s="80"/>
      <c r="C686" s="20"/>
      <c r="D686" s="80"/>
      <c r="E686" s="8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80"/>
      <c r="B687" s="80"/>
      <c r="C687" s="20"/>
      <c r="D687" s="80"/>
      <c r="E687" s="8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80"/>
      <c r="B688" s="80"/>
      <c r="C688" s="20"/>
      <c r="D688" s="80"/>
      <c r="E688" s="8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80"/>
      <c r="B689" s="80"/>
      <c r="C689" s="20"/>
      <c r="D689" s="80"/>
      <c r="E689" s="8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80"/>
      <c r="B690" s="80"/>
      <c r="C690" s="20"/>
      <c r="D690" s="80"/>
      <c r="E690" s="8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80"/>
      <c r="B691" s="80"/>
      <c r="C691" s="20"/>
      <c r="D691" s="80"/>
      <c r="E691" s="8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80"/>
      <c r="B692" s="80"/>
      <c r="C692" s="20"/>
      <c r="D692" s="80"/>
      <c r="E692" s="8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80"/>
      <c r="B693" s="80"/>
      <c r="C693" s="20"/>
      <c r="D693" s="80"/>
      <c r="E693" s="8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80"/>
      <c r="B694" s="80"/>
      <c r="C694" s="20"/>
      <c r="D694" s="80"/>
      <c r="E694" s="8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80"/>
      <c r="B695" s="80"/>
      <c r="C695" s="20"/>
      <c r="D695" s="80"/>
      <c r="E695" s="8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80"/>
      <c r="B696" s="80"/>
      <c r="C696" s="20"/>
      <c r="D696" s="80"/>
      <c r="E696" s="8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80"/>
      <c r="B697" s="80"/>
      <c r="C697" s="20"/>
      <c r="D697" s="80"/>
      <c r="E697" s="8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80"/>
      <c r="B698" s="80"/>
      <c r="C698" s="20"/>
      <c r="D698" s="80"/>
      <c r="E698" s="8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80"/>
      <c r="B699" s="80"/>
      <c r="C699" s="20"/>
      <c r="D699" s="80"/>
      <c r="E699" s="8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80"/>
      <c r="B700" s="80"/>
      <c r="C700" s="20"/>
      <c r="D700" s="80"/>
      <c r="E700" s="8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80"/>
      <c r="B701" s="80"/>
      <c r="C701" s="20"/>
      <c r="D701" s="80"/>
      <c r="E701" s="8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80"/>
      <c r="B702" s="80"/>
      <c r="C702" s="20"/>
      <c r="D702" s="80"/>
      <c r="E702" s="8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80"/>
      <c r="B703" s="80"/>
      <c r="C703" s="20"/>
      <c r="D703" s="80"/>
      <c r="E703" s="8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80"/>
      <c r="B704" s="80"/>
      <c r="C704" s="20"/>
      <c r="D704" s="80"/>
      <c r="E704" s="8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80"/>
      <c r="B705" s="80"/>
      <c r="C705" s="20"/>
      <c r="D705" s="80"/>
      <c r="E705" s="8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80"/>
      <c r="B706" s="80"/>
      <c r="C706" s="20"/>
      <c r="D706" s="80"/>
      <c r="E706" s="8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80"/>
      <c r="B707" s="80"/>
      <c r="C707" s="20"/>
      <c r="D707" s="80"/>
      <c r="E707" s="8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80"/>
      <c r="B708" s="80"/>
      <c r="C708" s="20"/>
      <c r="D708" s="80"/>
      <c r="E708" s="8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80"/>
      <c r="B709" s="80"/>
      <c r="C709" s="20"/>
      <c r="D709" s="80"/>
      <c r="E709" s="8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80"/>
      <c r="B710" s="80"/>
      <c r="C710" s="20"/>
      <c r="D710" s="80"/>
      <c r="E710" s="8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80"/>
      <c r="B711" s="80"/>
      <c r="C711" s="20"/>
      <c r="D711" s="80"/>
      <c r="E711" s="8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80"/>
      <c r="B712" s="80"/>
      <c r="C712" s="20"/>
      <c r="D712" s="80"/>
      <c r="E712" s="8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80"/>
      <c r="B713" s="80"/>
      <c r="C713" s="20"/>
      <c r="D713" s="80"/>
      <c r="E713" s="8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80"/>
      <c r="B714" s="80"/>
      <c r="C714" s="20"/>
      <c r="D714" s="80"/>
      <c r="E714" s="8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80"/>
      <c r="B715" s="80"/>
      <c r="C715" s="20"/>
      <c r="D715" s="80"/>
      <c r="E715" s="8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80"/>
      <c r="B716" s="80"/>
      <c r="C716" s="20"/>
      <c r="D716" s="80"/>
      <c r="E716" s="8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80"/>
      <c r="B717" s="80"/>
      <c r="C717" s="20"/>
      <c r="D717" s="80"/>
      <c r="E717" s="8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80"/>
      <c r="B718" s="80"/>
      <c r="C718" s="20"/>
      <c r="D718" s="80"/>
      <c r="E718" s="8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80"/>
      <c r="B719" s="80"/>
      <c r="C719" s="20"/>
      <c r="D719" s="80"/>
      <c r="E719" s="8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80"/>
      <c r="B720" s="80"/>
      <c r="C720" s="20"/>
      <c r="D720" s="80"/>
      <c r="E720" s="8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80"/>
      <c r="B721" s="80"/>
      <c r="C721" s="20"/>
      <c r="D721" s="80"/>
      <c r="E721" s="8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80"/>
      <c r="B722" s="80"/>
      <c r="C722" s="20"/>
      <c r="D722" s="80"/>
      <c r="E722" s="8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80"/>
      <c r="B723" s="80"/>
      <c r="C723" s="20"/>
      <c r="D723" s="80"/>
      <c r="E723" s="8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80"/>
      <c r="B724" s="80"/>
      <c r="C724" s="20"/>
      <c r="D724" s="80"/>
      <c r="E724" s="8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80"/>
      <c r="B725" s="80"/>
      <c r="C725" s="20"/>
      <c r="D725" s="80"/>
      <c r="E725" s="8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80"/>
      <c r="B726" s="80"/>
      <c r="C726" s="20"/>
      <c r="D726" s="80"/>
      <c r="E726" s="8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80"/>
      <c r="B727" s="80"/>
      <c r="C727" s="20"/>
      <c r="D727" s="80"/>
      <c r="E727" s="8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80"/>
      <c r="B728" s="80"/>
      <c r="C728" s="20"/>
      <c r="D728" s="80"/>
      <c r="E728" s="8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80"/>
      <c r="B729" s="80"/>
      <c r="C729" s="20"/>
      <c r="D729" s="80"/>
      <c r="E729" s="8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80"/>
      <c r="B730" s="80"/>
      <c r="C730" s="20"/>
      <c r="D730" s="80"/>
      <c r="E730" s="8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80"/>
      <c r="B731" s="80"/>
      <c r="C731" s="20"/>
      <c r="D731" s="80"/>
      <c r="E731" s="8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80"/>
      <c r="B732" s="80"/>
      <c r="C732" s="20"/>
      <c r="D732" s="80"/>
      <c r="E732" s="8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80"/>
      <c r="B733" s="80"/>
      <c r="C733" s="20"/>
      <c r="D733" s="80"/>
      <c r="E733" s="8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80"/>
      <c r="B734" s="80"/>
      <c r="C734" s="20"/>
      <c r="D734" s="80"/>
      <c r="E734" s="8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80"/>
      <c r="B735" s="80"/>
      <c r="C735" s="20"/>
      <c r="D735" s="80"/>
      <c r="E735" s="8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80"/>
      <c r="B736" s="80"/>
      <c r="C736" s="20"/>
      <c r="D736" s="80"/>
      <c r="E736" s="8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80"/>
      <c r="B737" s="80"/>
      <c r="C737" s="20"/>
      <c r="D737" s="80"/>
      <c r="E737" s="8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80"/>
      <c r="B738" s="80"/>
      <c r="C738" s="20"/>
      <c r="D738" s="80"/>
      <c r="E738" s="8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80"/>
      <c r="B739" s="80"/>
      <c r="C739" s="20"/>
      <c r="D739" s="80"/>
      <c r="E739" s="8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80"/>
      <c r="B740" s="80"/>
      <c r="C740" s="20"/>
      <c r="D740" s="80"/>
      <c r="E740" s="8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80"/>
      <c r="B741" s="80"/>
      <c r="C741" s="20"/>
      <c r="D741" s="80"/>
      <c r="E741" s="8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80"/>
      <c r="B742" s="80"/>
      <c r="C742" s="20"/>
      <c r="D742" s="80"/>
      <c r="E742" s="8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80"/>
      <c r="B743" s="80"/>
      <c r="C743" s="20"/>
      <c r="D743" s="80"/>
      <c r="E743" s="8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80"/>
      <c r="B744" s="80"/>
      <c r="C744" s="20"/>
      <c r="D744" s="80"/>
      <c r="E744" s="8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80"/>
      <c r="B745" s="80"/>
      <c r="C745" s="20"/>
      <c r="D745" s="80"/>
      <c r="E745" s="8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80"/>
      <c r="B746" s="80"/>
      <c r="C746" s="20"/>
      <c r="D746" s="80"/>
      <c r="E746" s="8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80"/>
      <c r="B747" s="80"/>
      <c r="C747" s="20"/>
      <c r="D747" s="80"/>
      <c r="E747" s="8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80"/>
      <c r="B748" s="80"/>
      <c r="C748" s="20"/>
      <c r="D748" s="80"/>
      <c r="E748" s="8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80"/>
      <c r="B749" s="80"/>
      <c r="C749" s="20"/>
      <c r="D749" s="80"/>
      <c r="E749" s="8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80"/>
      <c r="B750" s="80"/>
      <c r="C750" s="20"/>
      <c r="D750" s="80"/>
      <c r="E750" s="8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80"/>
      <c r="B751" s="80"/>
      <c r="C751" s="20"/>
      <c r="D751" s="80"/>
      <c r="E751" s="8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80"/>
      <c r="B752" s="80"/>
      <c r="C752" s="20"/>
      <c r="D752" s="80"/>
      <c r="E752" s="8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80"/>
      <c r="B753" s="80"/>
      <c r="C753" s="20"/>
      <c r="D753" s="80"/>
      <c r="E753" s="8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80"/>
      <c r="B754" s="80"/>
      <c r="C754" s="20"/>
      <c r="D754" s="80"/>
      <c r="E754" s="8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80"/>
      <c r="B755" s="80"/>
      <c r="C755" s="20"/>
      <c r="D755" s="80"/>
      <c r="E755" s="8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80"/>
      <c r="B756" s="80"/>
      <c r="C756" s="20"/>
      <c r="D756" s="80"/>
      <c r="E756" s="8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80"/>
      <c r="B757" s="80"/>
      <c r="C757" s="20"/>
      <c r="D757" s="80"/>
      <c r="E757" s="8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80"/>
      <c r="B758" s="80"/>
      <c r="C758" s="20"/>
      <c r="D758" s="80"/>
      <c r="E758" s="8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80"/>
      <c r="B759" s="80"/>
      <c r="C759" s="20"/>
      <c r="D759" s="80"/>
      <c r="E759" s="8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80"/>
      <c r="B760" s="80"/>
      <c r="C760" s="20"/>
      <c r="D760" s="80"/>
      <c r="E760" s="8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80"/>
      <c r="B761" s="80"/>
      <c r="C761" s="20"/>
      <c r="D761" s="80"/>
      <c r="E761" s="8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80"/>
      <c r="B762" s="80"/>
      <c r="C762" s="20"/>
      <c r="D762" s="80"/>
      <c r="E762" s="8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80"/>
      <c r="B763" s="80"/>
      <c r="C763" s="20"/>
      <c r="D763" s="80"/>
      <c r="E763" s="8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80"/>
      <c r="B764" s="80"/>
      <c r="C764" s="20"/>
      <c r="D764" s="80"/>
      <c r="E764" s="8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80"/>
      <c r="B765" s="80"/>
      <c r="C765" s="20"/>
      <c r="D765" s="80"/>
      <c r="E765" s="8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80"/>
      <c r="B766" s="80"/>
      <c r="C766" s="20"/>
      <c r="D766" s="80"/>
      <c r="E766" s="8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80"/>
      <c r="B767" s="80"/>
      <c r="C767" s="20"/>
      <c r="D767" s="80"/>
      <c r="E767" s="8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80"/>
      <c r="B768" s="80"/>
      <c r="C768" s="20"/>
      <c r="D768" s="80"/>
      <c r="E768" s="8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80"/>
      <c r="B769" s="80"/>
      <c r="C769" s="20"/>
      <c r="D769" s="80"/>
      <c r="E769" s="8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80"/>
      <c r="B770" s="80"/>
      <c r="C770" s="20"/>
      <c r="D770" s="80"/>
      <c r="E770" s="8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80"/>
      <c r="B771" s="80"/>
      <c r="C771" s="20"/>
      <c r="D771" s="80"/>
      <c r="E771" s="8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80"/>
      <c r="B772" s="80"/>
      <c r="C772" s="20"/>
      <c r="D772" s="80"/>
      <c r="E772" s="8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80"/>
      <c r="B773" s="80"/>
      <c r="C773" s="20"/>
      <c r="D773" s="80"/>
      <c r="E773" s="8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80"/>
      <c r="B774" s="80"/>
      <c r="C774" s="20"/>
      <c r="D774" s="80"/>
      <c r="E774" s="8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80"/>
      <c r="B775" s="80"/>
      <c r="C775" s="20"/>
      <c r="D775" s="80"/>
      <c r="E775" s="8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80"/>
      <c r="B776" s="80"/>
      <c r="C776" s="20"/>
      <c r="D776" s="80"/>
      <c r="E776" s="8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80"/>
      <c r="B777" s="80"/>
      <c r="C777" s="20"/>
      <c r="D777" s="80"/>
      <c r="E777" s="8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80"/>
      <c r="B778" s="80"/>
      <c r="C778" s="20"/>
      <c r="D778" s="80"/>
      <c r="E778" s="8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80"/>
      <c r="B779" s="80"/>
      <c r="C779" s="20"/>
      <c r="D779" s="80"/>
      <c r="E779" s="8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80"/>
      <c r="B780" s="80"/>
      <c r="C780" s="20"/>
      <c r="D780" s="80"/>
      <c r="E780" s="8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80"/>
      <c r="B781" s="80"/>
      <c r="C781" s="20"/>
      <c r="D781" s="80"/>
      <c r="E781" s="8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80"/>
      <c r="B782" s="80"/>
      <c r="C782" s="20"/>
      <c r="D782" s="80"/>
      <c r="E782" s="8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80"/>
      <c r="B783" s="80"/>
      <c r="C783" s="20"/>
      <c r="D783" s="80"/>
      <c r="E783" s="8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80"/>
      <c r="B784" s="80"/>
      <c r="C784" s="20"/>
      <c r="D784" s="80"/>
      <c r="E784" s="8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80"/>
      <c r="B785" s="80"/>
      <c r="C785" s="20"/>
      <c r="D785" s="80"/>
      <c r="E785" s="8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80"/>
      <c r="B786" s="80"/>
      <c r="C786" s="20"/>
      <c r="D786" s="80"/>
      <c r="E786" s="8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80"/>
      <c r="B787" s="80"/>
      <c r="C787" s="20"/>
      <c r="D787" s="80"/>
      <c r="E787" s="8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80"/>
      <c r="B788" s="80"/>
      <c r="C788" s="20"/>
      <c r="D788" s="80"/>
      <c r="E788" s="8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80"/>
      <c r="B789" s="80"/>
      <c r="C789" s="20"/>
      <c r="D789" s="80"/>
      <c r="E789" s="8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80"/>
      <c r="B790" s="80"/>
      <c r="C790" s="20"/>
      <c r="D790" s="80"/>
      <c r="E790" s="8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80"/>
      <c r="B791" s="80"/>
      <c r="C791" s="20"/>
      <c r="D791" s="80"/>
      <c r="E791" s="8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80"/>
      <c r="B792" s="80"/>
      <c r="C792" s="20"/>
      <c r="D792" s="80"/>
      <c r="E792" s="8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80"/>
      <c r="B793" s="80"/>
      <c r="C793" s="20"/>
      <c r="D793" s="80"/>
      <c r="E793" s="8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80"/>
      <c r="B794" s="80"/>
      <c r="C794" s="20"/>
      <c r="D794" s="80"/>
      <c r="E794" s="8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80"/>
      <c r="B795" s="80"/>
      <c r="C795" s="20"/>
      <c r="D795" s="80"/>
      <c r="E795" s="8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80"/>
      <c r="B796" s="80"/>
      <c r="C796" s="20"/>
      <c r="D796" s="80"/>
      <c r="E796" s="8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80"/>
      <c r="B797" s="80"/>
      <c r="C797" s="20"/>
      <c r="D797" s="80"/>
      <c r="E797" s="8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80"/>
      <c r="B798" s="80"/>
      <c r="C798" s="20"/>
      <c r="D798" s="80"/>
      <c r="E798" s="8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80"/>
      <c r="B799" s="80"/>
      <c r="C799" s="20"/>
      <c r="D799" s="80"/>
      <c r="E799" s="8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80"/>
      <c r="B800" s="80"/>
      <c r="C800" s="20"/>
      <c r="D800" s="80"/>
      <c r="E800" s="8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80"/>
      <c r="B801" s="80"/>
      <c r="C801" s="20"/>
      <c r="D801" s="80"/>
      <c r="E801" s="8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80"/>
      <c r="B802" s="80"/>
      <c r="C802" s="20"/>
      <c r="D802" s="80"/>
      <c r="E802" s="8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80"/>
      <c r="B803" s="80"/>
      <c r="C803" s="20"/>
      <c r="D803" s="80"/>
      <c r="E803" s="8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80"/>
      <c r="B804" s="80"/>
      <c r="C804" s="20"/>
      <c r="D804" s="80"/>
      <c r="E804" s="8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80"/>
      <c r="B805" s="80"/>
      <c r="C805" s="20"/>
      <c r="D805" s="80"/>
      <c r="E805" s="8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80"/>
      <c r="B806" s="80"/>
      <c r="C806" s="20"/>
      <c r="D806" s="80"/>
      <c r="E806" s="8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80"/>
      <c r="B807" s="80"/>
      <c r="C807" s="20"/>
      <c r="D807" s="80"/>
      <c r="E807" s="8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80"/>
      <c r="B808" s="80"/>
      <c r="C808" s="20"/>
      <c r="D808" s="80"/>
      <c r="E808" s="8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80"/>
      <c r="B809" s="80"/>
      <c r="C809" s="20"/>
      <c r="D809" s="80"/>
      <c r="E809" s="8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80"/>
      <c r="B810" s="80"/>
      <c r="C810" s="20"/>
      <c r="D810" s="80"/>
      <c r="E810" s="8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80"/>
      <c r="B811" s="80"/>
      <c r="C811" s="20"/>
      <c r="D811" s="80"/>
      <c r="E811" s="8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80"/>
      <c r="B812" s="80"/>
      <c r="C812" s="20"/>
      <c r="D812" s="80"/>
      <c r="E812" s="8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80"/>
      <c r="B813" s="80"/>
      <c r="C813" s="20"/>
      <c r="D813" s="80"/>
      <c r="E813" s="8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80"/>
      <c r="B814" s="80"/>
      <c r="C814" s="20"/>
      <c r="D814" s="80"/>
      <c r="E814" s="8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80"/>
      <c r="B815" s="80"/>
      <c r="C815" s="20"/>
      <c r="D815" s="80"/>
      <c r="E815" s="8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80"/>
      <c r="B816" s="80"/>
      <c r="C816" s="20"/>
      <c r="D816" s="80"/>
      <c r="E816" s="8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80"/>
      <c r="B817" s="80"/>
      <c r="C817" s="20"/>
      <c r="D817" s="80"/>
      <c r="E817" s="8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80"/>
      <c r="B818" s="80"/>
      <c r="C818" s="20"/>
      <c r="D818" s="80"/>
      <c r="E818" s="8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80"/>
      <c r="B819" s="80"/>
      <c r="C819" s="20"/>
      <c r="D819" s="80"/>
      <c r="E819" s="8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80"/>
      <c r="B820" s="80"/>
      <c r="C820" s="20"/>
      <c r="D820" s="80"/>
      <c r="E820" s="8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80"/>
      <c r="B821" s="80"/>
      <c r="C821" s="20"/>
      <c r="D821" s="80"/>
      <c r="E821" s="8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80"/>
      <c r="B822" s="80"/>
      <c r="C822" s="20"/>
      <c r="D822" s="80"/>
      <c r="E822" s="8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80"/>
      <c r="B823" s="80"/>
      <c r="C823" s="20"/>
      <c r="D823" s="80"/>
      <c r="E823" s="8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80"/>
      <c r="B824" s="80"/>
      <c r="C824" s="20"/>
      <c r="D824" s="80"/>
      <c r="E824" s="8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80"/>
      <c r="B825" s="80"/>
      <c r="C825" s="20"/>
      <c r="D825" s="80"/>
      <c r="E825" s="8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80"/>
      <c r="B826" s="80"/>
      <c r="C826" s="20"/>
      <c r="D826" s="80"/>
      <c r="E826" s="8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80"/>
      <c r="B827" s="80"/>
      <c r="C827" s="20"/>
      <c r="D827" s="80"/>
      <c r="E827" s="8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80"/>
      <c r="B828" s="80"/>
      <c r="C828" s="20"/>
      <c r="D828" s="80"/>
      <c r="E828" s="8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80"/>
      <c r="B829" s="80"/>
      <c r="C829" s="20"/>
      <c r="D829" s="80"/>
      <c r="E829" s="8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80"/>
      <c r="B830" s="80"/>
      <c r="C830" s="20"/>
      <c r="D830" s="80"/>
      <c r="E830" s="8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80"/>
      <c r="B831" s="80"/>
      <c r="C831" s="20"/>
      <c r="D831" s="80"/>
      <c r="E831" s="8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80"/>
      <c r="B832" s="80"/>
      <c r="C832" s="20"/>
      <c r="D832" s="80"/>
      <c r="E832" s="8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80"/>
      <c r="B833" s="80"/>
      <c r="C833" s="20"/>
      <c r="D833" s="80"/>
      <c r="E833" s="8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80"/>
      <c r="B834" s="80"/>
      <c r="C834" s="20"/>
      <c r="D834" s="80"/>
      <c r="E834" s="8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80"/>
      <c r="B835" s="80"/>
      <c r="C835" s="20"/>
      <c r="D835" s="80"/>
      <c r="E835" s="8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80"/>
      <c r="B836" s="80"/>
      <c r="C836" s="20"/>
      <c r="D836" s="80"/>
      <c r="E836" s="8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80"/>
      <c r="B837" s="80"/>
      <c r="C837" s="20"/>
      <c r="D837" s="80"/>
      <c r="E837" s="8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80"/>
      <c r="B838" s="80"/>
      <c r="C838" s="20"/>
      <c r="D838" s="80"/>
      <c r="E838" s="8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80"/>
      <c r="B839" s="80"/>
      <c r="C839" s="20"/>
      <c r="D839" s="80"/>
      <c r="E839" s="8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80"/>
      <c r="B840" s="80"/>
      <c r="C840" s="20"/>
      <c r="D840" s="80"/>
      <c r="E840" s="8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80"/>
      <c r="B841" s="80"/>
      <c r="C841" s="20"/>
      <c r="D841" s="80"/>
      <c r="E841" s="8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80"/>
      <c r="B842" s="80"/>
      <c r="C842" s="20"/>
      <c r="D842" s="80"/>
      <c r="E842" s="8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80"/>
      <c r="B843" s="80"/>
      <c r="C843" s="20"/>
      <c r="D843" s="80"/>
      <c r="E843" s="8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80"/>
      <c r="B844" s="80"/>
      <c r="C844" s="20"/>
      <c r="D844" s="80"/>
      <c r="E844" s="8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80"/>
      <c r="B845" s="80"/>
      <c r="C845" s="20"/>
      <c r="D845" s="80"/>
      <c r="E845" s="8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80"/>
      <c r="B846" s="80"/>
      <c r="C846" s="20"/>
      <c r="D846" s="80"/>
      <c r="E846" s="8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80"/>
      <c r="B847" s="80"/>
      <c r="C847" s="20"/>
      <c r="D847" s="80"/>
      <c r="E847" s="8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80"/>
      <c r="B848" s="80"/>
      <c r="C848" s="20"/>
      <c r="D848" s="80"/>
      <c r="E848" s="8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80"/>
      <c r="B849" s="80"/>
      <c r="C849" s="20"/>
      <c r="D849" s="80"/>
      <c r="E849" s="8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80"/>
      <c r="B850" s="80"/>
      <c r="C850" s="20"/>
      <c r="D850" s="80"/>
      <c r="E850" s="8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80"/>
      <c r="B851" s="80"/>
      <c r="C851" s="20"/>
      <c r="D851" s="80"/>
      <c r="E851" s="8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80"/>
      <c r="B852" s="80"/>
      <c r="C852" s="20"/>
      <c r="D852" s="80"/>
      <c r="E852" s="8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80"/>
      <c r="B853" s="80"/>
      <c r="C853" s="20"/>
      <c r="D853" s="80"/>
      <c r="E853" s="8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80"/>
      <c r="B854" s="80"/>
      <c r="C854" s="20"/>
      <c r="D854" s="80"/>
      <c r="E854" s="8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80"/>
      <c r="B855" s="80"/>
      <c r="C855" s="20"/>
      <c r="D855" s="80"/>
      <c r="E855" s="8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80"/>
      <c r="B856" s="80"/>
      <c r="C856" s="20"/>
      <c r="D856" s="80"/>
      <c r="E856" s="8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80"/>
      <c r="B857" s="80"/>
      <c r="C857" s="20"/>
      <c r="D857" s="80"/>
      <c r="E857" s="8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80"/>
      <c r="B858" s="80"/>
      <c r="C858" s="20"/>
      <c r="D858" s="80"/>
      <c r="E858" s="8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80"/>
      <c r="B859" s="80"/>
      <c r="C859" s="20"/>
      <c r="D859" s="80"/>
      <c r="E859" s="8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80"/>
      <c r="B860" s="80"/>
      <c r="C860" s="20"/>
      <c r="D860" s="80"/>
      <c r="E860" s="8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80"/>
      <c r="B861" s="80"/>
      <c r="C861" s="20"/>
      <c r="D861" s="80"/>
      <c r="E861" s="8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80"/>
      <c r="B862" s="80"/>
      <c r="C862" s="20"/>
      <c r="D862" s="80"/>
      <c r="E862" s="8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80"/>
      <c r="B863" s="80"/>
      <c r="C863" s="20"/>
      <c r="D863" s="80"/>
      <c r="E863" s="8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80"/>
      <c r="B864" s="80"/>
      <c r="C864" s="20"/>
      <c r="D864" s="80"/>
      <c r="E864" s="8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80"/>
      <c r="B865" s="80"/>
      <c r="C865" s="20"/>
      <c r="D865" s="80"/>
      <c r="E865" s="8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80"/>
      <c r="B866" s="80"/>
      <c r="C866" s="20"/>
      <c r="D866" s="80"/>
      <c r="E866" s="8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80"/>
      <c r="B867" s="80"/>
      <c r="C867" s="20"/>
      <c r="D867" s="80"/>
      <c r="E867" s="8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80"/>
      <c r="B868" s="80"/>
      <c r="C868" s="20"/>
      <c r="D868" s="80"/>
      <c r="E868" s="8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80"/>
      <c r="B869" s="80"/>
      <c r="C869" s="20"/>
      <c r="D869" s="80"/>
      <c r="E869" s="8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80"/>
      <c r="B870" s="80"/>
      <c r="C870" s="20"/>
      <c r="D870" s="80"/>
      <c r="E870" s="8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80"/>
      <c r="B871" s="80"/>
      <c r="C871" s="20"/>
      <c r="D871" s="80"/>
      <c r="E871" s="8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80"/>
      <c r="B872" s="80"/>
      <c r="C872" s="20"/>
      <c r="D872" s="80"/>
      <c r="E872" s="8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80"/>
      <c r="B873" s="80"/>
      <c r="C873" s="20"/>
      <c r="D873" s="80"/>
      <c r="E873" s="8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80"/>
      <c r="B874" s="80"/>
      <c r="C874" s="20"/>
      <c r="D874" s="80"/>
      <c r="E874" s="8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80"/>
      <c r="B875" s="80"/>
      <c r="C875" s="20"/>
      <c r="D875" s="80"/>
      <c r="E875" s="8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80"/>
      <c r="B876" s="80"/>
      <c r="C876" s="20"/>
      <c r="D876" s="80"/>
      <c r="E876" s="8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80"/>
      <c r="B877" s="80"/>
      <c r="C877" s="20"/>
      <c r="D877" s="80"/>
      <c r="E877" s="8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80"/>
      <c r="B878" s="80"/>
      <c r="C878" s="20"/>
      <c r="D878" s="80"/>
      <c r="E878" s="8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80"/>
      <c r="B879" s="80"/>
      <c r="C879" s="20"/>
      <c r="D879" s="80"/>
      <c r="E879" s="8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80"/>
      <c r="B880" s="80"/>
      <c r="C880" s="20"/>
      <c r="D880" s="80"/>
      <c r="E880" s="8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80"/>
      <c r="B881" s="80"/>
      <c r="C881" s="20"/>
      <c r="D881" s="80"/>
      <c r="E881" s="8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80"/>
      <c r="B882" s="80"/>
      <c r="C882" s="20"/>
      <c r="D882" s="80"/>
      <c r="E882" s="8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80"/>
      <c r="B883" s="80"/>
      <c r="C883" s="20"/>
      <c r="D883" s="80"/>
      <c r="E883" s="8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80"/>
      <c r="B884" s="80"/>
      <c r="C884" s="20"/>
      <c r="D884" s="80"/>
      <c r="E884" s="8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80"/>
      <c r="B885" s="80"/>
      <c r="C885" s="20"/>
      <c r="D885" s="80"/>
      <c r="E885" s="8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80"/>
      <c r="B886" s="80"/>
      <c r="C886" s="20"/>
      <c r="D886" s="80"/>
      <c r="E886" s="8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80"/>
      <c r="B887" s="80"/>
      <c r="C887" s="20"/>
      <c r="D887" s="80"/>
      <c r="E887" s="8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80"/>
      <c r="B888" s="80"/>
      <c r="C888" s="20"/>
      <c r="D888" s="80"/>
      <c r="E888" s="8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80"/>
      <c r="B889" s="80"/>
      <c r="C889" s="20"/>
      <c r="D889" s="80"/>
      <c r="E889" s="8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80"/>
      <c r="B890" s="80"/>
      <c r="C890" s="20"/>
      <c r="D890" s="80"/>
      <c r="E890" s="8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80"/>
      <c r="B891" s="80"/>
      <c r="C891" s="20"/>
      <c r="D891" s="80"/>
      <c r="E891" s="8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80"/>
      <c r="B892" s="80"/>
      <c r="C892" s="20"/>
      <c r="D892" s="80"/>
      <c r="E892" s="8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80"/>
      <c r="B893" s="80"/>
      <c r="C893" s="20"/>
      <c r="D893" s="80"/>
      <c r="E893" s="8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80"/>
      <c r="B894" s="80"/>
      <c r="C894" s="20"/>
      <c r="D894" s="80"/>
      <c r="E894" s="8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80"/>
      <c r="B895" s="80"/>
      <c r="C895" s="20"/>
      <c r="D895" s="80"/>
      <c r="E895" s="8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80"/>
      <c r="B896" s="80"/>
      <c r="C896" s="20"/>
      <c r="D896" s="80"/>
      <c r="E896" s="8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80"/>
      <c r="B897" s="80"/>
      <c r="C897" s="20"/>
      <c r="D897" s="80"/>
      <c r="E897" s="8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80"/>
      <c r="B898" s="80"/>
      <c r="C898" s="20"/>
      <c r="D898" s="80"/>
      <c r="E898" s="8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80"/>
      <c r="B899" s="80"/>
      <c r="C899" s="20"/>
      <c r="D899" s="80"/>
      <c r="E899" s="8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80"/>
      <c r="B900" s="80"/>
      <c r="C900" s="20"/>
      <c r="D900" s="80"/>
      <c r="E900" s="8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80"/>
      <c r="B901" s="80"/>
      <c r="C901" s="20"/>
      <c r="D901" s="80"/>
      <c r="E901" s="8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80"/>
      <c r="B902" s="80"/>
      <c r="C902" s="20"/>
      <c r="D902" s="80"/>
      <c r="E902" s="8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80"/>
      <c r="B903" s="80"/>
      <c r="C903" s="20"/>
      <c r="D903" s="80"/>
      <c r="E903" s="8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80"/>
      <c r="B904" s="80"/>
      <c r="C904" s="20"/>
      <c r="D904" s="80"/>
      <c r="E904" s="8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80"/>
      <c r="B905" s="80"/>
      <c r="C905" s="20"/>
      <c r="D905" s="80"/>
      <c r="E905" s="8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80"/>
      <c r="B906" s="80"/>
      <c r="C906" s="20"/>
      <c r="D906" s="80"/>
      <c r="E906" s="8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80"/>
      <c r="B907" s="80"/>
      <c r="C907" s="20"/>
      <c r="D907" s="80"/>
      <c r="E907" s="8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80"/>
      <c r="B908" s="80"/>
      <c r="C908" s="20"/>
      <c r="D908" s="80"/>
      <c r="E908" s="8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80"/>
      <c r="B909" s="80"/>
      <c r="C909" s="20"/>
      <c r="D909" s="80"/>
      <c r="E909" s="8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80"/>
      <c r="B910" s="80"/>
      <c r="C910" s="20"/>
      <c r="D910" s="80"/>
      <c r="E910" s="8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80"/>
      <c r="B911" s="80"/>
      <c r="C911" s="20"/>
      <c r="D911" s="80"/>
      <c r="E911" s="8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80"/>
      <c r="B912" s="80"/>
      <c r="C912" s="20"/>
      <c r="D912" s="80"/>
      <c r="E912" s="8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80"/>
      <c r="B913" s="80"/>
      <c r="C913" s="20"/>
      <c r="D913" s="80"/>
      <c r="E913" s="8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80"/>
      <c r="B914" s="80"/>
      <c r="C914" s="20"/>
      <c r="D914" s="80"/>
      <c r="E914" s="8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80"/>
      <c r="B915" s="80"/>
      <c r="C915" s="20"/>
      <c r="D915" s="80"/>
      <c r="E915" s="8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80"/>
      <c r="B916" s="80"/>
      <c r="C916" s="20"/>
      <c r="D916" s="80"/>
      <c r="E916" s="8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80"/>
      <c r="B917" s="80"/>
      <c r="C917" s="20"/>
      <c r="D917" s="80"/>
      <c r="E917" s="8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80"/>
      <c r="B918" s="80"/>
      <c r="C918" s="20"/>
      <c r="D918" s="80"/>
      <c r="E918" s="8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80"/>
      <c r="B919" s="80"/>
      <c r="C919" s="20"/>
      <c r="D919" s="80"/>
      <c r="E919" s="8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80"/>
      <c r="B920" s="80"/>
      <c r="C920" s="20"/>
      <c r="D920" s="80"/>
      <c r="E920" s="8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80"/>
      <c r="B921" s="80"/>
      <c r="C921" s="20"/>
      <c r="D921" s="80"/>
      <c r="E921" s="8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80"/>
      <c r="B922" s="80"/>
      <c r="C922" s="20"/>
      <c r="D922" s="80"/>
      <c r="E922" s="8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80"/>
      <c r="B923" s="80"/>
      <c r="C923" s="20"/>
      <c r="D923" s="80"/>
      <c r="E923" s="8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80"/>
      <c r="B924" s="80"/>
      <c r="C924" s="20"/>
      <c r="D924" s="80"/>
      <c r="E924" s="8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80"/>
      <c r="B925" s="80"/>
      <c r="C925" s="20"/>
      <c r="D925" s="80"/>
      <c r="E925" s="8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80"/>
      <c r="B926" s="80"/>
      <c r="C926" s="20"/>
      <c r="D926" s="80"/>
      <c r="E926" s="8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80"/>
      <c r="B927" s="80"/>
      <c r="C927" s="20"/>
      <c r="D927" s="80"/>
      <c r="E927" s="8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80"/>
      <c r="B928" s="80"/>
      <c r="C928" s="20"/>
      <c r="D928" s="80"/>
      <c r="E928" s="8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80"/>
      <c r="B929" s="80"/>
      <c r="C929" s="20"/>
      <c r="D929" s="80"/>
      <c r="E929" s="8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80"/>
      <c r="B930" s="80"/>
      <c r="C930" s="20"/>
      <c r="D930" s="80"/>
      <c r="E930" s="8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80"/>
      <c r="B931" s="80"/>
      <c r="C931" s="20"/>
      <c r="D931" s="80"/>
      <c r="E931" s="8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80"/>
      <c r="B932" s="80"/>
      <c r="C932" s="20"/>
      <c r="D932" s="80"/>
      <c r="E932" s="8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80"/>
      <c r="B933" s="80"/>
      <c r="C933" s="20"/>
      <c r="D933" s="80"/>
      <c r="E933" s="8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80"/>
      <c r="B934" s="80"/>
      <c r="C934" s="20"/>
      <c r="D934" s="80"/>
      <c r="E934" s="8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80"/>
      <c r="B935" s="80"/>
      <c r="C935" s="20"/>
      <c r="D935" s="80"/>
      <c r="E935" s="8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80"/>
      <c r="B936" s="80"/>
      <c r="C936" s="20"/>
      <c r="D936" s="80"/>
      <c r="E936" s="8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80"/>
      <c r="B937" s="80"/>
      <c r="C937" s="20"/>
      <c r="D937" s="80"/>
      <c r="E937" s="8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80"/>
      <c r="B938" s="80"/>
      <c r="C938" s="20"/>
      <c r="D938" s="80"/>
      <c r="E938" s="8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80"/>
      <c r="B939" s="80"/>
      <c r="C939" s="20"/>
      <c r="D939" s="80"/>
      <c r="E939" s="8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80"/>
      <c r="B940" s="80"/>
      <c r="C940" s="20"/>
      <c r="D940" s="80"/>
      <c r="E940" s="8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80"/>
      <c r="B941" s="80"/>
      <c r="C941" s="20"/>
      <c r="D941" s="80"/>
      <c r="E941" s="8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80"/>
      <c r="B942" s="80"/>
      <c r="C942" s="20"/>
      <c r="D942" s="80"/>
      <c r="E942" s="8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80"/>
      <c r="B943" s="80"/>
      <c r="C943" s="20"/>
      <c r="D943" s="80"/>
      <c r="E943" s="8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80"/>
      <c r="B944" s="80"/>
      <c r="C944" s="20"/>
      <c r="D944" s="80"/>
      <c r="E944" s="8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80"/>
      <c r="B945" s="80"/>
      <c r="C945" s="20"/>
      <c r="D945" s="80"/>
      <c r="E945" s="8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80"/>
      <c r="B946" s="80"/>
      <c r="C946" s="20"/>
      <c r="D946" s="80"/>
      <c r="E946" s="8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80"/>
      <c r="B947" s="80"/>
      <c r="C947" s="20"/>
      <c r="D947" s="80"/>
      <c r="E947" s="8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80"/>
      <c r="B948" s="80"/>
      <c r="C948" s="20"/>
      <c r="D948" s="80"/>
      <c r="E948" s="8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80"/>
      <c r="B949" s="80"/>
      <c r="C949" s="20"/>
      <c r="D949" s="80"/>
      <c r="E949" s="8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80"/>
      <c r="B950" s="80"/>
      <c r="C950" s="20"/>
      <c r="D950" s="80"/>
      <c r="E950" s="8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80"/>
      <c r="B951" s="80"/>
      <c r="C951" s="20"/>
      <c r="D951" s="80"/>
      <c r="E951" s="8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80"/>
      <c r="B952" s="80"/>
      <c r="C952" s="20"/>
      <c r="D952" s="80"/>
      <c r="E952" s="8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80"/>
      <c r="B953" s="80"/>
      <c r="C953" s="20"/>
      <c r="D953" s="80"/>
      <c r="E953" s="8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80"/>
      <c r="B954" s="80"/>
      <c r="C954" s="20"/>
      <c r="D954" s="80"/>
      <c r="E954" s="8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80"/>
      <c r="B955" s="80"/>
      <c r="C955" s="20"/>
      <c r="D955" s="80"/>
      <c r="E955" s="8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80"/>
      <c r="B956" s="80"/>
      <c r="C956" s="20"/>
      <c r="D956" s="80"/>
      <c r="E956" s="8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80"/>
      <c r="B957" s="80"/>
      <c r="C957" s="20"/>
      <c r="D957" s="80"/>
      <c r="E957" s="8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80"/>
      <c r="B958" s="80"/>
      <c r="C958" s="20"/>
      <c r="D958" s="80"/>
      <c r="E958" s="8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80"/>
      <c r="B959" s="80"/>
      <c r="C959" s="20"/>
      <c r="D959" s="80"/>
      <c r="E959" s="8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80"/>
      <c r="B960" s="80"/>
      <c r="C960" s="20"/>
      <c r="D960" s="80"/>
      <c r="E960" s="8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80"/>
      <c r="B961" s="80"/>
      <c r="C961" s="20"/>
      <c r="D961" s="80"/>
      <c r="E961" s="8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80"/>
      <c r="B962" s="80"/>
      <c r="C962" s="20"/>
      <c r="D962" s="80"/>
      <c r="E962" s="8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80"/>
      <c r="B963" s="80"/>
      <c r="C963" s="20"/>
      <c r="D963" s="80"/>
      <c r="E963" s="8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80"/>
      <c r="B964" s="80"/>
      <c r="C964" s="20"/>
      <c r="D964" s="80"/>
      <c r="E964" s="8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80"/>
      <c r="B965" s="80"/>
      <c r="C965" s="20"/>
      <c r="D965" s="80"/>
      <c r="E965" s="8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80"/>
      <c r="B966" s="80"/>
      <c r="C966" s="20"/>
      <c r="D966" s="80"/>
      <c r="E966" s="8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80"/>
      <c r="B967" s="80"/>
      <c r="C967" s="20"/>
      <c r="D967" s="80"/>
      <c r="E967" s="8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80"/>
      <c r="B968" s="80"/>
      <c r="C968" s="20"/>
      <c r="D968" s="80"/>
      <c r="E968" s="8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80"/>
      <c r="B969" s="80"/>
      <c r="C969" s="20"/>
      <c r="D969" s="80"/>
      <c r="E969" s="8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80"/>
      <c r="B970" s="80"/>
      <c r="C970" s="20"/>
      <c r="D970" s="80"/>
      <c r="E970" s="8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80"/>
      <c r="B971" s="80"/>
      <c r="C971" s="20"/>
      <c r="D971" s="80"/>
      <c r="E971" s="8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80"/>
      <c r="B972" s="80"/>
      <c r="C972" s="20"/>
      <c r="D972" s="80"/>
      <c r="E972" s="8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80"/>
      <c r="B973" s="80"/>
      <c r="C973" s="20"/>
      <c r="D973" s="80"/>
      <c r="E973" s="8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80"/>
      <c r="B974" s="80"/>
      <c r="C974" s="20"/>
      <c r="D974" s="80"/>
      <c r="E974" s="8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80"/>
      <c r="B975" s="80"/>
      <c r="C975" s="20"/>
      <c r="D975" s="80"/>
      <c r="E975" s="8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80"/>
      <c r="B976" s="80"/>
      <c r="C976" s="20"/>
      <c r="D976" s="80"/>
      <c r="E976" s="8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80"/>
      <c r="B977" s="80"/>
      <c r="C977" s="20"/>
      <c r="D977" s="80"/>
      <c r="E977" s="8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80"/>
      <c r="B978" s="80"/>
      <c r="C978" s="20"/>
      <c r="D978" s="80"/>
      <c r="E978" s="8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80"/>
      <c r="B979" s="80"/>
      <c r="C979" s="20"/>
      <c r="D979" s="80"/>
      <c r="E979" s="8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80"/>
      <c r="B980" s="80"/>
      <c r="C980" s="20"/>
      <c r="D980" s="80"/>
      <c r="E980" s="8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80"/>
      <c r="B981" s="80"/>
      <c r="C981" s="20"/>
      <c r="D981" s="80"/>
      <c r="E981" s="8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80"/>
      <c r="B982" s="80"/>
      <c r="C982" s="20"/>
      <c r="D982" s="80"/>
      <c r="E982" s="8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80"/>
      <c r="B983" s="80"/>
      <c r="C983" s="20"/>
      <c r="D983" s="80"/>
      <c r="E983" s="8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80"/>
      <c r="B984" s="80"/>
      <c r="C984" s="20"/>
      <c r="D984" s="80"/>
      <c r="E984" s="8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80"/>
      <c r="B985" s="80"/>
      <c r="C985" s="20"/>
      <c r="D985" s="80"/>
      <c r="E985" s="8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80"/>
      <c r="B986" s="80"/>
      <c r="C986" s="20"/>
      <c r="D986" s="80"/>
      <c r="E986" s="8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80"/>
      <c r="B987" s="80"/>
      <c r="C987" s="20"/>
      <c r="D987" s="80"/>
      <c r="E987" s="8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80"/>
      <c r="B988" s="80"/>
      <c r="C988" s="20"/>
      <c r="D988" s="80"/>
      <c r="E988" s="8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80"/>
      <c r="B989" s="80"/>
      <c r="C989" s="20"/>
      <c r="D989" s="80"/>
      <c r="E989" s="8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80"/>
      <c r="B990" s="80"/>
      <c r="C990" s="20"/>
      <c r="D990" s="80"/>
      <c r="E990" s="8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80"/>
      <c r="B991" s="80"/>
      <c r="C991" s="20"/>
      <c r="D991" s="80"/>
      <c r="E991" s="8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80"/>
      <c r="B992" s="80"/>
      <c r="C992" s="20"/>
      <c r="D992" s="80"/>
      <c r="E992" s="8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80"/>
      <c r="B993" s="80"/>
      <c r="C993" s="20"/>
      <c r="D993" s="80"/>
      <c r="E993" s="8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80"/>
      <c r="B994" s="80"/>
      <c r="C994" s="20"/>
      <c r="D994" s="80"/>
      <c r="E994" s="8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80"/>
      <c r="B995" s="80"/>
      <c r="C995" s="20"/>
      <c r="D995" s="80"/>
      <c r="E995" s="8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80"/>
      <c r="B996" s="80"/>
      <c r="C996" s="20"/>
      <c r="D996" s="80"/>
      <c r="E996" s="8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80"/>
      <c r="B997" s="80"/>
      <c r="C997" s="20"/>
      <c r="D997" s="80"/>
      <c r="E997" s="8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80"/>
      <c r="B998" s="80"/>
      <c r="C998" s="20"/>
      <c r="D998" s="80"/>
      <c r="E998" s="8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80"/>
      <c r="B999" s="80"/>
      <c r="C999" s="20"/>
      <c r="D999" s="80"/>
      <c r="E999" s="8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80"/>
      <c r="B1000" s="80"/>
      <c r="C1000" s="20"/>
      <c r="D1000" s="80"/>
      <c r="E1000" s="8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:id="rId1" location="gid=24644409" ref="G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6" width="24.43"/>
    <col customWidth="1" min="7" max="7" width="8.43"/>
    <col customWidth="1" min="8" max="8" width="20.86"/>
  </cols>
  <sheetData>
    <row r="1">
      <c r="A1" s="89" t="s">
        <v>506</v>
      </c>
      <c r="B1" s="90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91"/>
      <c r="Z1" s="23"/>
      <c r="AA1" s="23"/>
      <c r="AB1" s="23"/>
    </row>
    <row r="2">
      <c r="A2" s="92" t="s">
        <v>507</v>
      </c>
      <c r="B2" s="93"/>
      <c r="C2" s="93"/>
      <c r="D2" s="93"/>
      <c r="E2" s="93"/>
      <c r="F2" s="93"/>
      <c r="G2" s="23"/>
      <c r="H2" s="83"/>
      <c r="I2" s="94" t="s">
        <v>508</v>
      </c>
      <c r="J2" s="9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91"/>
      <c r="Z2" s="23"/>
      <c r="AA2" s="23"/>
      <c r="AB2" s="23"/>
    </row>
    <row r="3">
      <c r="A3" s="95" t="s">
        <v>509</v>
      </c>
      <c r="B3" s="96" t="s">
        <v>510</v>
      </c>
      <c r="C3" s="90"/>
      <c r="D3" s="23"/>
      <c r="E3" s="23"/>
      <c r="F3" s="23"/>
      <c r="G3" s="23"/>
      <c r="H3" s="83"/>
      <c r="I3" s="83" t="s">
        <v>511</v>
      </c>
      <c r="J3" s="97" t="s">
        <v>512</v>
      </c>
      <c r="K3" s="90"/>
      <c r="L3" s="90"/>
      <c r="M3" s="90"/>
      <c r="N3" s="90"/>
      <c r="O3" s="90"/>
      <c r="P3" s="23"/>
      <c r="Q3" s="23"/>
      <c r="R3" s="23"/>
      <c r="S3" s="23"/>
      <c r="T3" s="23"/>
      <c r="U3" s="23"/>
      <c r="V3" s="23"/>
      <c r="W3" s="23"/>
      <c r="X3" s="23"/>
      <c r="Y3" s="91"/>
      <c r="Z3" s="23"/>
      <c r="AA3" s="23"/>
      <c r="AB3" s="23"/>
    </row>
    <row r="4">
      <c r="A4" s="95" t="s">
        <v>513</v>
      </c>
      <c r="B4" s="89" t="s">
        <v>514</v>
      </c>
      <c r="C4" s="23"/>
      <c r="D4" s="23"/>
      <c r="E4" s="23"/>
      <c r="F4" s="23"/>
      <c r="G4" s="23"/>
      <c r="H4" s="83"/>
      <c r="I4" s="83" t="s">
        <v>515</v>
      </c>
      <c r="J4" s="23" t="s">
        <v>516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91"/>
      <c r="Z4" s="23"/>
      <c r="AA4" s="23"/>
      <c r="AB4" s="23"/>
    </row>
    <row r="5">
      <c r="A5" s="98" t="s">
        <v>517</v>
      </c>
      <c r="B5" s="99" t="s">
        <v>518</v>
      </c>
      <c r="C5" s="90"/>
      <c r="D5" s="23"/>
      <c r="E5" s="23"/>
      <c r="F5" s="23"/>
      <c r="G5" s="23"/>
      <c r="H5" s="100"/>
      <c r="I5" s="100" t="s">
        <v>519</v>
      </c>
      <c r="J5" s="101" t="s">
        <v>520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91"/>
      <c r="Z5" s="23"/>
      <c r="AA5" s="23"/>
      <c r="AB5" s="23"/>
    </row>
    <row r="6">
      <c r="A6" s="102" t="s">
        <v>521</v>
      </c>
      <c r="B6" s="103" t="s">
        <v>522</v>
      </c>
      <c r="C6" s="90"/>
      <c r="D6" s="90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91"/>
      <c r="Z6" s="23"/>
      <c r="AA6" s="23"/>
      <c r="AB6" s="23"/>
    </row>
    <row r="7">
      <c r="A7" s="77"/>
      <c r="B7" s="83"/>
      <c r="C7" s="8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91"/>
      <c r="Z7" s="23"/>
      <c r="AA7" s="23"/>
      <c r="AB7" s="23"/>
    </row>
    <row r="8">
      <c r="A8" s="84" t="s">
        <v>523</v>
      </c>
      <c r="B8" s="84" t="s">
        <v>524</v>
      </c>
      <c r="C8" s="84" t="s">
        <v>525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 t="s">
        <v>526</v>
      </c>
      <c r="X8" s="23"/>
      <c r="Y8" s="91"/>
      <c r="Z8" s="23"/>
      <c r="AA8" s="23"/>
      <c r="AB8" s="23"/>
    </row>
    <row r="9">
      <c r="A9" s="23"/>
      <c r="B9" s="104"/>
      <c r="C9" s="104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84" t="s">
        <v>527</v>
      </c>
      <c r="X9" s="23" t="s">
        <v>528</v>
      </c>
      <c r="Y9" s="105">
        <v>11023.1965685147</v>
      </c>
      <c r="Z9" s="23"/>
      <c r="AA9" s="23"/>
      <c r="AB9" s="23"/>
    </row>
    <row r="10">
      <c r="A10" s="23"/>
      <c r="B10" s="2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84" t="s">
        <v>529</v>
      </c>
      <c r="X10" s="23" t="s">
        <v>530</v>
      </c>
      <c r="Y10" s="105">
        <v>64.95565933341491</v>
      </c>
      <c r="Z10" s="23"/>
      <c r="AA10" s="23"/>
      <c r="AB10" s="23"/>
    </row>
    <row r="11">
      <c r="A11" s="83"/>
      <c r="B11" s="23"/>
      <c r="C11" s="23"/>
      <c r="D11" s="23"/>
      <c r="E11" s="23"/>
      <c r="F11" s="23"/>
      <c r="G11" s="23"/>
      <c r="H11" s="23"/>
      <c r="I11" s="23"/>
      <c r="J11" s="106" t="s">
        <v>531</v>
      </c>
      <c r="K11" s="23"/>
      <c r="L11" s="23"/>
      <c r="M11" s="23" t="s">
        <v>532</v>
      </c>
      <c r="N11" s="23"/>
      <c r="O11" s="23" t="s">
        <v>533</v>
      </c>
      <c r="P11" s="23"/>
      <c r="Q11" s="23"/>
      <c r="R11" s="23" t="s">
        <v>534</v>
      </c>
      <c r="S11" s="23"/>
      <c r="T11" s="23"/>
      <c r="U11" s="23"/>
      <c r="V11" s="23"/>
      <c r="W11" s="23"/>
      <c r="X11" s="23"/>
      <c r="Y11" s="91"/>
      <c r="Z11" s="23"/>
      <c r="AA11" s="84" t="s">
        <v>535</v>
      </c>
      <c r="AB11" s="84" t="s">
        <v>536</v>
      </c>
    </row>
    <row r="12">
      <c r="A12" s="83"/>
      <c r="B12" s="107" t="str">
        <f>IFERROR(__xludf.DUMMYFUNCTION("IF(AND($B$9="""",$C$9=""""),QUERY(IMPORTRANGE(J3,""Expenses!A:F""),""select Col1,Col2,Col3,Col4,Col5,Col6,MONTH(Col1)+1  LABEL MONTH(Col1)+1 'Month'"",-1),IF(AND($B$9&lt;&gt;"""",$C$9=""""),QUERY(IMPORTRANGE(J3,""Expenses!A:F""),""select Col1,Col2,Col3,Col4,Col"&amp;"5,Col6,MONTH(Col1)+1 WHERE Col3='""&amp;$B$9&amp;""'LABEL MONTH(Col1)+1 'Month'"",-1),IF(AND($B$9="""",$C$9&lt;&gt;""""),QUERY(IMPORTRANGE(J3,""Expenses!A:F""),""select Col1,Col2,Col3,Col4,Col5,Col6,MONTH(Col1)+1 WHERE Col4='""&amp;$C$9&amp;""'LABEL MONTH(Col1)+1 'Month'"",-1)"&amp;",QUERY(IMPORTRANGE(J3,""Expenses!A:F""),""select Col1,Col2,Col3,Col4,Col5,Col6,MONTH(Col1)+1 WHERE Col3='""&amp;$B$9&amp;""' AND Col4='""&amp;$C$9&amp;""'LABEL MONTH(Col1)+1 'Month'"",-1))))"),"Date")</f>
        <v>Date</v>
      </c>
      <c r="C12" s="108" t="str">
        <f>IFERROR(__xludf.DUMMYFUNCTION("""COMPUTED_VALUE"""),"Year")</f>
        <v>Year</v>
      </c>
      <c r="D12" s="108" t="str">
        <f>IFERROR(__xludf.DUMMYFUNCTION("""COMPUTED_VALUE"""),"Category")</f>
        <v>Category</v>
      </c>
      <c r="E12" s="108" t="str">
        <f>IFERROR(__xludf.DUMMYFUNCTION("""COMPUTED_VALUE"""),"Parent Category")</f>
        <v>Parent Category</v>
      </c>
      <c r="F12" s="108" t="str">
        <f>IFERROR(__xludf.DUMMYFUNCTION("""COMPUTED_VALUE"""),"Cost")</f>
        <v>Cost</v>
      </c>
      <c r="G12" s="108" t="str">
        <f>IFERROR(__xludf.DUMMYFUNCTION("""COMPUTED_VALUE"""),"Transaction ID")</f>
        <v>Transaction ID</v>
      </c>
      <c r="H12" s="108" t="str">
        <f>IFERROR(__xludf.DUMMYFUNCTION("""COMPUTED_VALUE"""),"Month")</f>
        <v>Month</v>
      </c>
      <c r="I12" s="23"/>
      <c r="J12" s="109" t="str">
        <f>IFERROR(__xludf.DUMMYFUNCTION("QUERY(IMPORTRANGE($J$3,""Expenses!A:F""),""select Col2,SUM(Col5) Where Col2 is not NULL Group By Col2 order by Col2 LABEL SUM(Col5) 'Total Exp'"",-1)"),"Year")</f>
        <v>Year</v>
      </c>
      <c r="K12" s="110" t="str">
        <f>IFERROR(__xludf.DUMMYFUNCTION("""COMPUTED_VALUE"""),"Total Exp")</f>
        <v>Total Exp</v>
      </c>
      <c r="L12" s="23"/>
      <c r="M12" s="109" t="str">
        <f>IFERROR(__xludf.DUMMYFUNCTION("QUERY(IMPORTRANGE($J$3,""Expenses!A:F""),""select Count(Col5) Where Col2 is not NULL LABEL Count(Col5) 'Total CountofExp'"",-1)"),"Total CountofExp")</f>
        <v>Total CountofExp</v>
      </c>
      <c r="N12" s="23"/>
      <c r="O12" s="109" t="str">
        <f>IFERROR(__xludf.DUMMYFUNCTION("QUERY(IMPORTRANGE($J$3,""Expenses!A:F""),""select Col2,count(Col6) Where Col2 is not NULL Group By Col2 order by Col2 LABEL Count(Col6) 'Total Expanses'"",-1)"),"Year")</f>
        <v>Year</v>
      </c>
      <c r="P12" s="111" t="str">
        <f>IFERROR(__xludf.DUMMYFUNCTION("""COMPUTED_VALUE"""),"Total Expanses")</f>
        <v>Total Expanses</v>
      </c>
      <c r="Q12" s="23"/>
      <c r="R12" s="109" t="str">
        <f>IFERROR(__xludf.DUMMYFUNCTION("QUERY(IMPORTRANGE($J$3,""Expenses!A:F""),""select Col2,MONTH(Col1)+1,Sum(Col5) Where Col2 is not NULL Group By Col2,MONTH(Col1)+1 order by Sum(Col5) DESC LIMIT 3 LABEL MONTH(Col1)+1 'Month' "",-1)"),"Year")</f>
        <v>Year</v>
      </c>
      <c r="S12" s="111" t="str">
        <f>IFERROR(__xludf.DUMMYFUNCTION("""COMPUTED_VALUE"""),"Month")</f>
        <v>Month</v>
      </c>
      <c r="T12" s="111" t="str">
        <f>IFERROR(__xludf.DUMMYFUNCTION("""COMPUTED_VALUE"""),"sum Cost")</f>
        <v>sum Cost</v>
      </c>
      <c r="U12" s="112" t="s">
        <v>108</v>
      </c>
      <c r="V12" s="111" t="s">
        <v>537</v>
      </c>
      <c r="W12" s="23"/>
      <c r="Y12" s="91"/>
      <c r="Z12" s="23"/>
      <c r="AA12" s="109" t="str">
        <f>IFERROR(__xludf.DUMMYFUNCTION("unique(QUERY(IMPORTRANGE($J$3,""Expenses!A:F""),""select Col3,Col4 Where Col2 is not NULL "",0))"),"School supplies")</f>
        <v>School supplies</v>
      </c>
      <c r="AB12" s="23" t="str">
        <f>IFERROR(__xludf.DUMMYFUNCTION("""COMPUTED_VALUE"""),"Education")</f>
        <v>Education</v>
      </c>
    </row>
    <row r="13">
      <c r="A13" s="23"/>
      <c r="B13" s="113">
        <f>IFERROR(__xludf.DUMMYFUNCTION("""COMPUTED_VALUE"""),42736.0)</f>
        <v>42736</v>
      </c>
      <c r="C13" s="21">
        <f>IFERROR(__xludf.DUMMYFUNCTION("""COMPUTED_VALUE"""),2017.0)</f>
        <v>2017</v>
      </c>
      <c r="D13" s="23" t="str">
        <f>IFERROR(__xludf.DUMMYFUNCTION("""COMPUTED_VALUE"""),"School supplies")</f>
        <v>School supplies</v>
      </c>
      <c r="E13" s="23" t="str">
        <f>IFERROR(__xludf.DUMMYFUNCTION("""COMPUTED_VALUE"""),"Education")</f>
        <v>Education</v>
      </c>
      <c r="F13" s="114">
        <f>IFERROR(__xludf.DUMMYFUNCTION("""COMPUTED_VALUE"""),12.154938697997487)</f>
        <v>12.1549387</v>
      </c>
      <c r="G13" s="21">
        <f>IFERROR(__xludf.DUMMYFUNCTION("""COMPUTED_VALUE"""),242973.0)</f>
        <v>242973</v>
      </c>
      <c r="H13" s="21">
        <f>IFERROR(__xludf.DUMMYFUNCTION("""COMPUTED_VALUE"""),1.0)</f>
        <v>1</v>
      </c>
      <c r="I13" s="23">
        <f>MONTH(B13)</f>
        <v>1</v>
      </c>
      <c r="J13" s="115">
        <f>IFERROR(__xludf.DUMMYFUNCTION("""COMPUTED_VALUE"""),2017.0)</f>
        <v>2017</v>
      </c>
      <c r="K13" s="116">
        <f>IFERROR(__xludf.DUMMYFUNCTION("""COMPUTED_VALUE"""),46466.31207119608)</f>
        <v>46466.31207</v>
      </c>
      <c r="L13" s="23"/>
      <c r="M13" s="115">
        <f>IFERROR(__xludf.DUMMYFUNCTION("""COMPUTED_VALUE"""),386.0)</f>
        <v>386</v>
      </c>
      <c r="N13" s="23"/>
      <c r="O13" s="21">
        <f>IFERROR(__xludf.DUMMYFUNCTION("""COMPUTED_VALUE"""),2017.0)</f>
        <v>2017</v>
      </c>
      <c r="P13" s="21">
        <f>IFERROR(__xludf.DUMMYFUNCTION("""COMPUTED_VALUE"""),145.0)</f>
        <v>145</v>
      </c>
      <c r="Q13" s="23"/>
      <c r="R13" s="21">
        <f>IFERROR(__xludf.DUMMYFUNCTION("""COMPUTED_VALUE"""),2017.0)</f>
        <v>2017</v>
      </c>
      <c r="S13" s="21">
        <f>IFERROR(__xludf.DUMMYFUNCTION("""COMPUTED_VALUE"""),4.0)</f>
        <v>4</v>
      </c>
      <c r="T13" s="105">
        <f>IFERROR(__xludf.DUMMYFUNCTION("""COMPUTED_VALUE"""),13881.198285020138)</f>
        <v>13881.19829</v>
      </c>
      <c r="U13" s="23" t="str">
        <f t="shared" ref="U13:U15" si="1">CONCATENATE(R13,"-",S13)</f>
        <v>2017-4</v>
      </c>
      <c r="V13" s="105">
        <v>13881.198285020138</v>
      </c>
      <c r="W13" s="23"/>
      <c r="X13" s="23"/>
      <c r="Y13" s="105"/>
      <c r="Z13" s="23"/>
      <c r="AA13" s="23" t="str">
        <f>IFERROR(__xludf.DUMMYFUNCTION("""COMPUTED_VALUE"""),"Minimum balance fee")</f>
        <v>Minimum balance fee</v>
      </c>
      <c r="AB13" s="23" t="str">
        <f>IFERROR(__xludf.DUMMYFUNCTION("""COMPUTED_VALUE"""),"Bank Charges")</f>
        <v>Bank Charges</v>
      </c>
    </row>
    <row r="14">
      <c r="A14" s="20"/>
      <c r="B14" s="117">
        <f>IFERROR(__xludf.DUMMYFUNCTION("""COMPUTED_VALUE"""),42739.0)</f>
        <v>42739</v>
      </c>
      <c r="C14" s="20">
        <f>IFERROR(__xludf.DUMMYFUNCTION("""COMPUTED_VALUE"""),2017.0)</f>
        <v>2017</v>
      </c>
      <c r="D14" s="20" t="str">
        <f>IFERROR(__xludf.DUMMYFUNCTION("""COMPUTED_VALUE"""),"Minimum balance fee")</f>
        <v>Minimum balance fee</v>
      </c>
      <c r="E14" s="20" t="str">
        <f>IFERROR(__xludf.DUMMYFUNCTION("""COMPUTED_VALUE"""),"Bank Charges")</f>
        <v>Bank Charges</v>
      </c>
      <c r="F14" s="118">
        <f>IFERROR(__xludf.DUMMYFUNCTION("""COMPUTED_VALUE"""),155.45858704951968)</f>
        <v>155.458587</v>
      </c>
      <c r="G14" s="20">
        <f>IFERROR(__xludf.DUMMYFUNCTION("""COMPUTED_VALUE"""),819794.0)</f>
        <v>819794</v>
      </c>
      <c r="H14" s="20">
        <f>IFERROR(__xludf.DUMMYFUNCTION("""COMPUTED_VALUE"""),1.0)</f>
        <v>1</v>
      </c>
      <c r="I14" s="20"/>
      <c r="J14" s="119">
        <f>IFERROR(__xludf.DUMMYFUNCTION("""COMPUTED_VALUE"""),2018.0)</f>
        <v>2018</v>
      </c>
      <c r="K14" s="120">
        <f>IFERROR(__xludf.DUMMYFUNCTION("""COMPUTED_VALUE"""),33558.36246364057)</f>
        <v>33558.36246</v>
      </c>
      <c r="L14" s="20"/>
      <c r="M14" s="20"/>
      <c r="N14" s="20"/>
      <c r="O14" s="20">
        <f>IFERROR(__xludf.DUMMYFUNCTION("""COMPUTED_VALUE"""),2018.0)</f>
        <v>2018</v>
      </c>
      <c r="P14" s="20">
        <f>IFERROR(__xludf.DUMMYFUNCTION("""COMPUTED_VALUE"""),144.0)</f>
        <v>144</v>
      </c>
      <c r="Q14" s="20"/>
      <c r="R14" s="20">
        <f>IFERROR(__xludf.DUMMYFUNCTION("""COMPUTED_VALUE"""),2017.0)</f>
        <v>2017</v>
      </c>
      <c r="S14" s="20">
        <f>IFERROR(__xludf.DUMMYFUNCTION("""COMPUTED_VALUE"""),6.0)</f>
        <v>6</v>
      </c>
      <c r="T14" s="121">
        <f>IFERROR(__xludf.DUMMYFUNCTION("""COMPUTED_VALUE"""),4718.4892288758765)</f>
        <v>4718.489229</v>
      </c>
      <c r="U14" s="23" t="str">
        <f t="shared" si="1"/>
        <v>2017-6</v>
      </c>
      <c r="V14" s="121">
        <v>4718.4892288758765</v>
      </c>
      <c r="W14" s="20"/>
      <c r="X14" s="20"/>
      <c r="Y14" s="121"/>
      <c r="Z14" s="20"/>
      <c r="AA14" s="20" t="str">
        <f>IFERROR(__xludf.DUMMYFUNCTION("""COMPUTED_VALUE"""),"Sporting goods")</f>
        <v>Sporting goods</v>
      </c>
      <c r="AB14" s="20" t="str">
        <f>IFERROR(__xludf.DUMMYFUNCTION("""COMPUTED_VALUE"""),"Leisure (daily / non-vacation)")</f>
        <v>Leisure (daily / non-vacation)</v>
      </c>
    </row>
    <row r="15">
      <c r="A15" s="20"/>
      <c r="B15" s="117">
        <f>IFERROR(__xludf.DUMMYFUNCTION("""COMPUTED_VALUE"""),42742.0)</f>
        <v>42742</v>
      </c>
      <c r="C15" s="20">
        <f>IFERROR(__xludf.DUMMYFUNCTION("""COMPUTED_VALUE"""),2017.0)</f>
        <v>2017</v>
      </c>
      <c r="D15" s="20" t="str">
        <f>IFERROR(__xludf.DUMMYFUNCTION("""COMPUTED_VALUE"""),"Sporting goods")</f>
        <v>Sporting goods</v>
      </c>
      <c r="E15" s="20" t="str">
        <f>IFERROR(__xludf.DUMMYFUNCTION("""COMPUTED_VALUE"""),"Leisure (daily / non-vacation)")</f>
        <v>Leisure (daily / non-vacation)</v>
      </c>
      <c r="F15" s="118">
        <f>IFERROR(__xludf.DUMMYFUNCTION("""COMPUTED_VALUE"""),37.3459804587019)</f>
        <v>37.34598046</v>
      </c>
      <c r="G15" s="20">
        <f>IFERROR(__xludf.DUMMYFUNCTION("""COMPUTED_VALUE"""),986324.0)</f>
        <v>986324</v>
      </c>
      <c r="H15" s="20">
        <f>IFERROR(__xludf.DUMMYFUNCTION("""COMPUTED_VALUE"""),1.0)</f>
        <v>1</v>
      </c>
      <c r="I15" s="20"/>
      <c r="J15" s="119">
        <f>IFERROR(__xludf.DUMMYFUNCTION("""COMPUTED_VALUE"""),2019.0)</f>
        <v>2019</v>
      </c>
      <c r="K15" s="120">
        <f>IFERROR(__xludf.DUMMYFUNCTION("""COMPUTED_VALUE"""),24900.095430058784)</f>
        <v>24900.09543</v>
      </c>
      <c r="L15" s="20"/>
      <c r="M15" s="20"/>
      <c r="N15" s="20"/>
      <c r="O15" s="20">
        <f>IFERROR(__xludf.DUMMYFUNCTION("""COMPUTED_VALUE"""),2019.0)</f>
        <v>2019</v>
      </c>
      <c r="P15" s="20">
        <f>IFERROR(__xludf.DUMMYFUNCTION("""COMPUTED_VALUE"""),97.0)</f>
        <v>97</v>
      </c>
      <c r="Q15" s="20"/>
      <c r="R15" s="20">
        <f>IFERROR(__xludf.DUMMYFUNCTION("""COMPUTED_VALUE"""),2019.0)</f>
        <v>2019</v>
      </c>
      <c r="S15" s="20">
        <f>IFERROR(__xludf.DUMMYFUNCTION("""COMPUTED_VALUE"""),7.0)</f>
        <v>7</v>
      </c>
      <c r="T15" s="121">
        <f>IFERROR(__xludf.DUMMYFUNCTION("""COMPUTED_VALUE"""),4229.554157551136)</f>
        <v>4229.554158</v>
      </c>
      <c r="U15" s="23" t="str">
        <f t="shared" si="1"/>
        <v>2019-7</v>
      </c>
      <c r="V15" s="121">
        <v>4229.554157551136</v>
      </c>
      <c r="W15" s="20"/>
      <c r="X15" s="20"/>
      <c r="Y15" s="121"/>
      <c r="Z15" s="20"/>
      <c r="AA15" s="20" t="str">
        <f>IFERROR(__xludf.DUMMYFUNCTION("""COMPUTED_VALUE"""),"Reimbursed")</f>
        <v>Reimbursed</v>
      </c>
      <c r="AB15" s="20" t="str">
        <f>IFERROR(__xludf.DUMMYFUNCTION("""COMPUTED_VALUE"""),"Job expenses")</f>
        <v>Job expenses</v>
      </c>
    </row>
    <row r="16">
      <c r="A16" s="20"/>
      <c r="B16" s="117">
        <f>IFERROR(__xludf.DUMMYFUNCTION("""COMPUTED_VALUE"""),42743.0)</f>
        <v>42743</v>
      </c>
      <c r="C16" s="20">
        <f>IFERROR(__xludf.DUMMYFUNCTION("""COMPUTED_VALUE"""),2017.0)</f>
        <v>2017</v>
      </c>
      <c r="D16" s="20" t="str">
        <f>IFERROR(__xludf.DUMMYFUNCTION("""COMPUTED_VALUE"""),"Reimbursed")</f>
        <v>Reimbursed</v>
      </c>
      <c r="E16" s="20" t="str">
        <f>IFERROR(__xludf.DUMMYFUNCTION("""COMPUTED_VALUE"""),"Job expenses")</f>
        <v>Job expenses</v>
      </c>
      <c r="F16" s="118">
        <f>IFERROR(__xludf.DUMMYFUNCTION("""COMPUTED_VALUE"""),443.67724065746484)</f>
        <v>443.6772407</v>
      </c>
      <c r="G16" s="20">
        <f>IFERROR(__xludf.DUMMYFUNCTION("""COMPUTED_VALUE"""),390942.0)</f>
        <v>390942</v>
      </c>
      <c r="H16" s="20">
        <f>IFERROR(__xludf.DUMMYFUNCTION("""COMPUTED_VALUE"""),1.0)</f>
        <v>1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21"/>
      <c r="U16" s="20"/>
      <c r="V16" s="20"/>
      <c r="W16" s="20"/>
      <c r="X16" s="20"/>
      <c r="Y16" s="121"/>
      <c r="Z16" s="20"/>
      <c r="AA16" s="20" t="str">
        <f>IFERROR(__xludf.DUMMYFUNCTION("""COMPUTED_VALUE"""),"Physician")</f>
        <v>Physician</v>
      </c>
      <c r="AB16" s="20" t="str">
        <f>IFERROR(__xludf.DUMMYFUNCTION("""COMPUTED_VALUE"""),"Healthcare")</f>
        <v>Healthcare</v>
      </c>
    </row>
    <row r="17">
      <c r="A17" s="20"/>
      <c r="B17" s="117">
        <f>IFERROR(__xludf.DUMMYFUNCTION("""COMPUTED_VALUE"""),42746.0)</f>
        <v>42746</v>
      </c>
      <c r="C17" s="20">
        <f>IFERROR(__xludf.DUMMYFUNCTION("""COMPUTED_VALUE"""),2017.0)</f>
        <v>2017</v>
      </c>
      <c r="D17" s="20" t="str">
        <f>IFERROR(__xludf.DUMMYFUNCTION("""COMPUTED_VALUE"""),"Physician")</f>
        <v>Physician</v>
      </c>
      <c r="E17" s="20" t="str">
        <f>IFERROR(__xludf.DUMMYFUNCTION("""COMPUTED_VALUE"""),"Healthcare")</f>
        <v>Healthcare</v>
      </c>
      <c r="F17" s="118">
        <f>IFERROR(__xludf.DUMMYFUNCTION("""COMPUTED_VALUE"""),165.0483703508735)</f>
        <v>165.0483704</v>
      </c>
      <c r="G17" s="20">
        <f>IFERROR(__xludf.DUMMYFUNCTION("""COMPUTED_VALUE"""),180628.0)</f>
        <v>180628</v>
      </c>
      <c r="H17" s="20">
        <f>IFERROR(__xludf.DUMMYFUNCTION("""COMPUTED_VALUE"""),1.0)</f>
        <v>1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21"/>
      <c r="U17" s="20"/>
      <c r="V17" s="20"/>
      <c r="W17" s="20"/>
      <c r="X17" s="20"/>
      <c r="Y17" s="121"/>
      <c r="Z17" s="20"/>
      <c r="AA17" s="20" t="str">
        <f>IFERROR(__xludf.DUMMYFUNCTION("""COMPUTED_VALUE"""),"Charity")</f>
        <v>Charity</v>
      </c>
      <c r="AB17" s="20" t="str">
        <f>IFERROR(__xludf.DUMMYFUNCTION("""COMPUTED_VALUE"""),"Charity")</f>
        <v>Charity</v>
      </c>
    </row>
    <row r="18">
      <c r="A18" s="20"/>
      <c r="B18" s="117">
        <f>IFERROR(__xludf.DUMMYFUNCTION("""COMPUTED_VALUE"""),42748.0)</f>
        <v>42748</v>
      </c>
      <c r="C18" s="20">
        <f>IFERROR(__xludf.DUMMYFUNCTION("""COMPUTED_VALUE"""),2017.0)</f>
        <v>2017</v>
      </c>
      <c r="D18" s="20" t="str">
        <f>IFERROR(__xludf.DUMMYFUNCTION("""COMPUTED_VALUE"""),"Charity")</f>
        <v>Charity</v>
      </c>
      <c r="E18" s="20" t="str">
        <f>IFERROR(__xludf.DUMMYFUNCTION("""COMPUTED_VALUE"""),"Charity")</f>
        <v>Charity</v>
      </c>
      <c r="F18" s="118">
        <f>IFERROR(__xludf.DUMMYFUNCTION("""COMPUTED_VALUE"""),500.0)</f>
        <v>500</v>
      </c>
      <c r="G18" s="20">
        <f>IFERROR(__xludf.DUMMYFUNCTION("""COMPUTED_VALUE"""),130291.0)</f>
        <v>130291</v>
      </c>
      <c r="H18" s="20">
        <f>IFERROR(__xludf.DUMMYFUNCTION("""COMPUTED_VALUE"""),1.0)</f>
        <v>1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21"/>
      <c r="U18" s="20"/>
      <c r="V18" s="20"/>
      <c r="W18" s="20"/>
      <c r="X18" s="20"/>
      <c r="Y18" s="121"/>
      <c r="Z18" s="20"/>
      <c r="AA18" s="20" t="str">
        <f>IFERROR(__xludf.DUMMYFUNCTION("""COMPUTED_VALUE"""),"Life")</f>
        <v>Life</v>
      </c>
      <c r="AB18" s="20" t="str">
        <f>IFERROR(__xludf.DUMMYFUNCTION("""COMPUTED_VALUE"""),"Insurance")</f>
        <v>Insurance</v>
      </c>
    </row>
    <row r="19">
      <c r="A19" s="20"/>
      <c r="B19" s="117">
        <f>IFERROR(__xludf.DUMMYFUNCTION("""COMPUTED_VALUE"""),42750.0)</f>
        <v>42750</v>
      </c>
      <c r="C19" s="20">
        <f>IFERROR(__xludf.DUMMYFUNCTION("""COMPUTED_VALUE"""),2017.0)</f>
        <v>2017</v>
      </c>
      <c r="D19" s="20" t="str">
        <f>IFERROR(__xludf.DUMMYFUNCTION("""COMPUTED_VALUE"""),"Life")</f>
        <v>Life</v>
      </c>
      <c r="E19" s="20" t="str">
        <f>IFERROR(__xludf.DUMMYFUNCTION("""COMPUTED_VALUE"""),"Insurance")</f>
        <v>Insurance</v>
      </c>
      <c r="F19" s="118">
        <f>IFERROR(__xludf.DUMMYFUNCTION("""COMPUTED_VALUE"""),346.9744153790909)</f>
        <v>346.9744154</v>
      </c>
      <c r="G19" s="20">
        <f>IFERROR(__xludf.DUMMYFUNCTION("""COMPUTED_VALUE"""),462751.0)</f>
        <v>462751</v>
      </c>
      <c r="H19" s="20">
        <f>IFERROR(__xludf.DUMMYFUNCTION("""COMPUTED_VALUE"""),1.0)</f>
        <v>1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21"/>
      <c r="U19" s="20"/>
      <c r="V19" s="20"/>
      <c r="W19" s="20"/>
      <c r="X19" s="20"/>
      <c r="Y19" s="121"/>
      <c r="Z19" s="20"/>
      <c r="AA19" s="20" t="str">
        <f>IFERROR(__xludf.DUMMYFUNCTION("""COMPUTED_VALUE"""),"ATM fees")</f>
        <v>ATM fees</v>
      </c>
      <c r="AB19" s="20" t="str">
        <f>IFERROR(__xludf.DUMMYFUNCTION("""COMPUTED_VALUE"""),"Bank Charges")</f>
        <v>Bank Charges</v>
      </c>
    </row>
    <row r="20">
      <c r="A20" s="20"/>
      <c r="B20" s="117">
        <f>IFERROR(__xludf.DUMMYFUNCTION("""COMPUTED_VALUE"""),42751.0)</f>
        <v>42751</v>
      </c>
      <c r="C20" s="20">
        <f>IFERROR(__xludf.DUMMYFUNCTION("""COMPUTED_VALUE"""),2017.0)</f>
        <v>2017</v>
      </c>
      <c r="D20" s="20" t="str">
        <f>IFERROR(__xludf.DUMMYFUNCTION("""COMPUTED_VALUE"""),"ATM fees")</f>
        <v>ATM fees</v>
      </c>
      <c r="E20" s="20" t="str">
        <f>IFERROR(__xludf.DUMMYFUNCTION("""COMPUTED_VALUE"""),"Bank Charges")</f>
        <v>Bank Charges</v>
      </c>
      <c r="F20" s="118">
        <f>IFERROR(__xludf.DUMMYFUNCTION("""COMPUTED_VALUE"""),205.23643571043615)</f>
        <v>205.2364357</v>
      </c>
      <c r="G20" s="20">
        <f>IFERROR(__xludf.DUMMYFUNCTION("""COMPUTED_VALUE"""),347484.0)</f>
        <v>347484</v>
      </c>
      <c r="H20" s="20">
        <f>IFERROR(__xludf.DUMMYFUNCTION("""COMPUTED_VALUE"""),1.0)</f>
        <v>1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21"/>
      <c r="U20" s="20"/>
      <c r="V20" s="20"/>
      <c r="W20" s="20"/>
      <c r="X20" s="20"/>
      <c r="Y20" s="121"/>
      <c r="Z20" s="20"/>
      <c r="AA20" s="20" t="str">
        <f>IFERROR(__xludf.DUMMYFUNCTION("""COMPUTED_VALUE"""),"Auto loan payment")</f>
        <v>Auto loan payment</v>
      </c>
      <c r="AB20" s="20" t="str">
        <f>IFERROR(__xludf.DUMMYFUNCTION("""COMPUTED_VALUE"""),"Automobile")</f>
        <v>Automobile</v>
      </c>
    </row>
    <row r="21">
      <c r="A21" s="20"/>
      <c r="B21" s="117">
        <f>IFERROR(__xludf.DUMMYFUNCTION("""COMPUTED_VALUE"""),42755.0)</f>
        <v>42755</v>
      </c>
      <c r="C21" s="20">
        <f>IFERROR(__xludf.DUMMYFUNCTION("""COMPUTED_VALUE"""),2017.0)</f>
        <v>2017</v>
      </c>
      <c r="D21" s="20" t="str">
        <f>IFERROR(__xludf.DUMMYFUNCTION("""COMPUTED_VALUE"""),"Auto loan payment")</f>
        <v>Auto loan payment</v>
      </c>
      <c r="E21" s="20" t="str">
        <f>IFERROR(__xludf.DUMMYFUNCTION("""COMPUTED_VALUE"""),"Automobile")</f>
        <v>Automobile</v>
      </c>
      <c r="F21" s="118">
        <f>IFERROR(__xludf.DUMMYFUNCTION("""COMPUTED_VALUE"""),396.30040104982766)</f>
        <v>396.300401</v>
      </c>
      <c r="G21" s="20">
        <f>IFERROR(__xludf.DUMMYFUNCTION("""COMPUTED_VALUE"""),749407.0)</f>
        <v>749407</v>
      </c>
      <c r="H21" s="20">
        <f>IFERROR(__xludf.DUMMYFUNCTION("""COMPUTED_VALUE"""),1.0)</f>
        <v>1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21"/>
      <c r="U21" s="20"/>
      <c r="V21" s="20"/>
      <c r="W21" s="20"/>
      <c r="X21" s="20"/>
      <c r="Y21" s="121"/>
      <c r="Z21" s="20"/>
      <c r="AA21" s="20" t="str">
        <f>IFERROR(__xludf.DUMMYFUNCTION("""COMPUTED_VALUE"""),"Gasoline")</f>
        <v>Gasoline</v>
      </c>
      <c r="AB21" s="20" t="str">
        <f>IFERROR(__xludf.DUMMYFUNCTION("""COMPUTED_VALUE"""),"Automobile")</f>
        <v>Automobile</v>
      </c>
    </row>
    <row r="22">
      <c r="A22" s="20"/>
      <c r="B22" s="117">
        <f>IFERROR(__xludf.DUMMYFUNCTION("""COMPUTED_VALUE"""),42756.0)</f>
        <v>42756</v>
      </c>
      <c r="C22" s="20">
        <f>IFERROR(__xludf.DUMMYFUNCTION("""COMPUTED_VALUE"""),2017.0)</f>
        <v>2017</v>
      </c>
      <c r="D22" s="20" t="str">
        <f>IFERROR(__xludf.DUMMYFUNCTION("""COMPUTED_VALUE"""),"Gasoline")</f>
        <v>Gasoline</v>
      </c>
      <c r="E22" s="20" t="str">
        <f>IFERROR(__xludf.DUMMYFUNCTION("""COMPUTED_VALUE"""),"Automobile")</f>
        <v>Automobile</v>
      </c>
      <c r="F22" s="118">
        <f>IFERROR(__xludf.DUMMYFUNCTION("""COMPUTED_VALUE"""),273.81889584388756)</f>
        <v>273.8188958</v>
      </c>
      <c r="G22" s="20">
        <f>IFERROR(__xludf.DUMMYFUNCTION("""COMPUTED_VALUE"""),639123.0)</f>
        <v>639123</v>
      </c>
      <c r="H22" s="20">
        <f>IFERROR(__xludf.DUMMYFUNCTION("""COMPUTED_VALUE"""),1.0)</f>
        <v>1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21"/>
      <c r="U22" s="20"/>
      <c r="V22" s="20"/>
      <c r="W22" s="20"/>
      <c r="X22" s="20"/>
      <c r="Y22" s="121"/>
      <c r="Z22" s="20"/>
      <c r="AA22" s="20" t="str">
        <f>IFERROR(__xludf.DUMMYFUNCTION("""COMPUTED_VALUE"""),"Late fee")</f>
        <v>Late fee</v>
      </c>
      <c r="AB22" s="20" t="str">
        <f>IFERROR(__xludf.DUMMYFUNCTION("""COMPUTED_VALUE"""),"Credit Card Fees")</f>
        <v>Credit Card Fees</v>
      </c>
    </row>
    <row r="23">
      <c r="A23" s="20"/>
      <c r="B23" s="117">
        <f>IFERROR(__xludf.DUMMYFUNCTION("""COMPUTED_VALUE"""),42758.0)</f>
        <v>42758</v>
      </c>
      <c r="C23" s="20">
        <f>IFERROR(__xludf.DUMMYFUNCTION("""COMPUTED_VALUE"""),2017.0)</f>
        <v>2017</v>
      </c>
      <c r="D23" s="20" t="str">
        <f>IFERROR(__xludf.DUMMYFUNCTION("""COMPUTED_VALUE"""),"Late fee")</f>
        <v>Late fee</v>
      </c>
      <c r="E23" s="20" t="str">
        <f>IFERROR(__xludf.DUMMYFUNCTION("""COMPUTED_VALUE"""),"Credit Card Fees")</f>
        <v>Credit Card Fees</v>
      </c>
      <c r="F23" s="118">
        <f>IFERROR(__xludf.DUMMYFUNCTION("""COMPUTED_VALUE"""),128.56671957260957)</f>
        <v>128.5667196</v>
      </c>
      <c r="G23" s="20">
        <f>IFERROR(__xludf.DUMMYFUNCTION("""COMPUTED_VALUE"""),355436.0)</f>
        <v>355436</v>
      </c>
      <c r="H23" s="20">
        <f>IFERROR(__xludf.DUMMYFUNCTION("""COMPUTED_VALUE"""),1.0)</f>
        <v>1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21"/>
      <c r="U23" s="20"/>
      <c r="V23" s="20"/>
      <c r="W23" s="20"/>
      <c r="X23" s="20"/>
      <c r="Y23" s="121"/>
      <c r="Z23" s="20"/>
      <c r="AA23" s="20" t="str">
        <f>IFERROR(__xludf.DUMMYFUNCTION("""COMPUTED_VALUE"""),"Student loan payment")</f>
        <v>Student loan payment</v>
      </c>
      <c r="AB23" s="20" t="str">
        <f>IFERROR(__xludf.DUMMYFUNCTION("""COMPUTED_VALUE"""),"Education")</f>
        <v>Education</v>
      </c>
    </row>
    <row r="24">
      <c r="A24" s="20"/>
      <c r="B24" s="117">
        <f>IFERROR(__xludf.DUMMYFUNCTION("""COMPUTED_VALUE"""),42761.0)</f>
        <v>42761</v>
      </c>
      <c r="C24" s="20">
        <f>IFERROR(__xludf.DUMMYFUNCTION("""COMPUTED_VALUE"""),2017.0)</f>
        <v>2017</v>
      </c>
      <c r="D24" s="20" t="str">
        <f>IFERROR(__xludf.DUMMYFUNCTION("""COMPUTED_VALUE"""),"Student loan payment")</f>
        <v>Student loan payment</v>
      </c>
      <c r="E24" s="20" t="str">
        <f>IFERROR(__xludf.DUMMYFUNCTION("""COMPUTED_VALUE"""),"Education")</f>
        <v>Education</v>
      </c>
      <c r="F24" s="118">
        <f>IFERROR(__xludf.DUMMYFUNCTION("""COMPUTED_VALUE"""),312.5869804563446)</f>
        <v>312.5869805</v>
      </c>
      <c r="G24" s="20">
        <f>IFERROR(__xludf.DUMMYFUNCTION("""COMPUTED_VALUE"""),561977.0)</f>
        <v>561977</v>
      </c>
      <c r="H24" s="20">
        <f>IFERROR(__xludf.DUMMYFUNCTION("""COMPUTED_VALUE"""),1.0)</f>
        <v>1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21"/>
      <c r="U24" s="20"/>
      <c r="V24" s="20"/>
      <c r="W24" s="20"/>
      <c r="X24" s="20"/>
      <c r="Y24" s="121"/>
      <c r="Z24" s="20"/>
      <c r="AA24" s="20" t="str">
        <f>IFERROR(__xludf.DUMMYFUNCTION("""COMPUTED_VALUE"""),"Decorating")</f>
        <v>Decorating</v>
      </c>
      <c r="AB24" s="20" t="str">
        <f>IFERROR(__xludf.DUMMYFUNCTION("""COMPUTED_VALUE"""),"Household")</f>
        <v>Household</v>
      </c>
    </row>
    <row r="25">
      <c r="A25" s="20"/>
      <c r="B25" s="117">
        <f>IFERROR(__xludf.DUMMYFUNCTION("""COMPUTED_VALUE"""),42763.0)</f>
        <v>42763</v>
      </c>
      <c r="C25" s="20">
        <f>IFERROR(__xludf.DUMMYFUNCTION("""COMPUTED_VALUE"""),2017.0)</f>
        <v>2017</v>
      </c>
      <c r="D25" s="20" t="str">
        <f>IFERROR(__xludf.DUMMYFUNCTION("""COMPUTED_VALUE"""),"Decorating")</f>
        <v>Decorating</v>
      </c>
      <c r="E25" s="20" t="str">
        <f>IFERROR(__xludf.DUMMYFUNCTION("""COMPUTED_VALUE"""),"Household")</f>
        <v>Household</v>
      </c>
      <c r="F25" s="118">
        <f>IFERROR(__xludf.DUMMYFUNCTION("""COMPUTED_VALUE"""),490.54911804825167)</f>
        <v>490.549118</v>
      </c>
      <c r="G25" s="20">
        <f>IFERROR(__xludf.DUMMYFUNCTION("""COMPUTED_VALUE"""),297816.0)</f>
        <v>297816</v>
      </c>
      <c r="H25" s="20">
        <f>IFERROR(__xludf.DUMMYFUNCTION("""COMPUTED_VALUE"""),1.0)</f>
        <v>1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21"/>
      <c r="U25" s="20"/>
      <c r="V25" s="20"/>
      <c r="W25" s="20"/>
      <c r="X25" s="20"/>
      <c r="Y25" s="121"/>
      <c r="Z25" s="20"/>
      <c r="AA25" s="20" t="str">
        <f>IFERROR(__xludf.DUMMYFUNCTION("""COMPUTED_VALUE"""),"Home improvement")</f>
        <v>Home improvement</v>
      </c>
      <c r="AB25" s="20" t="str">
        <f>IFERROR(__xludf.DUMMYFUNCTION("""COMPUTED_VALUE"""),"Household")</f>
        <v>Household</v>
      </c>
    </row>
    <row r="26">
      <c r="A26" s="20"/>
      <c r="B26" s="117">
        <f>IFERROR(__xludf.DUMMYFUNCTION("""COMPUTED_VALUE"""),42765.0)</f>
        <v>42765</v>
      </c>
      <c r="C26" s="20">
        <f>IFERROR(__xludf.DUMMYFUNCTION("""COMPUTED_VALUE"""),2017.0)</f>
        <v>2017</v>
      </c>
      <c r="D26" s="20" t="str">
        <f>IFERROR(__xludf.DUMMYFUNCTION("""COMPUTED_VALUE"""),"Home improvement")</f>
        <v>Home improvement</v>
      </c>
      <c r="E26" s="20" t="str">
        <f>IFERROR(__xludf.DUMMYFUNCTION("""COMPUTED_VALUE"""),"Household")</f>
        <v>Household</v>
      </c>
      <c r="F26" s="118">
        <f>IFERROR(__xludf.DUMMYFUNCTION("""COMPUTED_VALUE"""),350.41087023702016)</f>
        <v>350.4108702</v>
      </c>
      <c r="G26" s="20">
        <f>IFERROR(__xludf.DUMMYFUNCTION("""COMPUTED_VALUE"""),645598.0)</f>
        <v>645598</v>
      </c>
      <c r="H26" s="20">
        <f>IFERROR(__xludf.DUMMYFUNCTION("""COMPUTED_VALUE"""),1.0)</f>
        <v>1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121"/>
      <c r="U26" s="20"/>
      <c r="V26" s="20"/>
      <c r="W26" s="20"/>
      <c r="X26" s="20"/>
      <c r="Y26" s="121"/>
      <c r="Z26" s="20"/>
      <c r="AA26" s="20" t="str">
        <f>IFERROR(__xludf.DUMMYFUNCTION("""COMPUTED_VALUE"""),"Garbage and recycling")</f>
        <v>Garbage and recycling</v>
      </c>
      <c r="AB26" s="20" t="str">
        <f>IFERROR(__xludf.DUMMYFUNCTION("""COMPUTED_VALUE"""),"Utilities")</f>
        <v>Utilities</v>
      </c>
    </row>
    <row r="27">
      <c r="A27" s="20"/>
      <c r="B27" s="117">
        <f>IFERROR(__xludf.DUMMYFUNCTION("""COMPUTED_VALUE"""),42769.0)</f>
        <v>42769</v>
      </c>
      <c r="C27" s="20">
        <f>IFERROR(__xludf.DUMMYFUNCTION("""COMPUTED_VALUE"""),2017.0)</f>
        <v>2017</v>
      </c>
      <c r="D27" s="20" t="str">
        <f>IFERROR(__xludf.DUMMYFUNCTION("""COMPUTED_VALUE"""),"Garbage and recycling")</f>
        <v>Garbage and recycling</v>
      </c>
      <c r="E27" s="20" t="str">
        <f>IFERROR(__xludf.DUMMYFUNCTION("""COMPUTED_VALUE"""),"Utilities")</f>
        <v>Utilities</v>
      </c>
      <c r="F27" s="118">
        <f>IFERROR(__xludf.DUMMYFUNCTION("""COMPUTED_VALUE"""),165.2030258052324)</f>
        <v>165.2030258</v>
      </c>
      <c r="G27" s="20">
        <f>IFERROR(__xludf.DUMMYFUNCTION("""COMPUTED_VALUE"""),533803.0)</f>
        <v>533803</v>
      </c>
      <c r="H27" s="20">
        <f>IFERROR(__xludf.DUMMYFUNCTION("""COMPUTED_VALUE"""),2.0)</f>
        <v>2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121"/>
      <c r="U27" s="20"/>
      <c r="V27" s="20"/>
      <c r="W27" s="20"/>
      <c r="X27" s="20"/>
      <c r="Y27" s="121"/>
      <c r="Z27" s="20"/>
      <c r="AA27" s="20" t="str">
        <f>IFERROR(__xludf.DUMMYFUNCTION("""COMPUTED_VALUE"""),"Just because")</f>
        <v>Just because</v>
      </c>
      <c r="AB27" s="20" t="str">
        <f>IFERROR(__xludf.DUMMYFUNCTION("""COMPUTED_VALUE"""),"Gifts")</f>
        <v>Gifts</v>
      </c>
    </row>
    <row r="28">
      <c r="A28" s="20"/>
      <c r="B28" s="117">
        <f>IFERROR(__xludf.DUMMYFUNCTION("""COMPUTED_VALUE"""),42772.0)</f>
        <v>42772</v>
      </c>
      <c r="C28" s="20">
        <f>IFERROR(__xludf.DUMMYFUNCTION("""COMPUTED_VALUE"""),2017.0)</f>
        <v>2017</v>
      </c>
      <c r="D28" s="20" t="str">
        <f>IFERROR(__xludf.DUMMYFUNCTION("""COMPUTED_VALUE"""),"Just because")</f>
        <v>Just because</v>
      </c>
      <c r="E28" s="20" t="str">
        <f>IFERROR(__xludf.DUMMYFUNCTION("""COMPUTED_VALUE"""),"Gifts")</f>
        <v>Gifts</v>
      </c>
      <c r="F28" s="118">
        <f>IFERROR(__xludf.DUMMYFUNCTION("""COMPUTED_VALUE"""),322.5132083964626)</f>
        <v>322.5132084</v>
      </c>
      <c r="G28" s="20">
        <f>IFERROR(__xludf.DUMMYFUNCTION("""COMPUTED_VALUE"""),441318.0)</f>
        <v>441318</v>
      </c>
      <c r="H28" s="20">
        <f>IFERROR(__xludf.DUMMYFUNCTION("""COMPUTED_VALUE"""),2.0)</f>
        <v>2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121"/>
      <c r="U28" s="20"/>
      <c r="V28" s="20"/>
      <c r="W28" s="20"/>
      <c r="X28" s="20"/>
      <c r="Y28" s="121"/>
      <c r="Z28" s="20"/>
      <c r="AA28" s="20" t="str">
        <f>IFERROR(__xludf.DUMMYFUNCTION("""COMPUTED_VALUE"""),"Anniversary")</f>
        <v>Anniversary</v>
      </c>
      <c r="AB28" s="20" t="str">
        <f>IFERROR(__xludf.DUMMYFUNCTION("""COMPUTED_VALUE"""),"Gifts")</f>
        <v>Gifts</v>
      </c>
    </row>
    <row r="29">
      <c r="A29" s="20"/>
      <c r="B29" s="117">
        <f>IFERROR(__xludf.DUMMYFUNCTION("""COMPUTED_VALUE"""),42776.0)</f>
        <v>42776</v>
      </c>
      <c r="C29" s="20">
        <f>IFERROR(__xludf.DUMMYFUNCTION("""COMPUTED_VALUE"""),2017.0)</f>
        <v>2017</v>
      </c>
      <c r="D29" s="20" t="str">
        <f>IFERROR(__xludf.DUMMYFUNCTION("""COMPUTED_VALUE"""),"Anniversary")</f>
        <v>Anniversary</v>
      </c>
      <c r="E29" s="20" t="str">
        <f>IFERROR(__xludf.DUMMYFUNCTION("""COMPUTED_VALUE"""),"Gifts")</f>
        <v>Gifts</v>
      </c>
      <c r="F29" s="118">
        <f>IFERROR(__xludf.DUMMYFUNCTION("""COMPUTED_VALUE"""),92.19405272832292)</f>
        <v>92.19405273</v>
      </c>
      <c r="G29" s="20">
        <f>IFERROR(__xludf.DUMMYFUNCTION("""COMPUTED_VALUE"""),231393.0)</f>
        <v>231393</v>
      </c>
      <c r="H29" s="20">
        <f>IFERROR(__xludf.DUMMYFUNCTION("""COMPUTED_VALUE"""),2.0)</f>
        <v>2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21"/>
      <c r="U29" s="20"/>
      <c r="V29" s="20"/>
      <c r="W29" s="20"/>
      <c r="X29" s="20"/>
      <c r="Y29" s="121"/>
      <c r="Z29" s="20"/>
      <c r="AA29" s="20" t="str">
        <f>IFERROR(__xludf.DUMMYFUNCTION("""COMPUTED_VALUE"""),"Maintenance")</f>
        <v>Maintenance</v>
      </c>
      <c r="AB29" s="20" t="str">
        <f>IFERROR(__xludf.DUMMYFUNCTION("""COMPUTED_VALUE"""),"Automobile")</f>
        <v>Automobile</v>
      </c>
    </row>
    <row r="30">
      <c r="A30" s="20"/>
      <c r="B30" s="117">
        <f>IFERROR(__xludf.DUMMYFUNCTION("""COMPUTED_VALUE"""),42778.0)</f>
        <v>42778</v>
      </c>
      <c r="C30" s="20">
        <f>IFERROR(__xludf.DUMMYFUNCTION("""COMPUTED_VALUE"""),2017.0)</f>
        <v>2017</v>
      </c>
      <c r="D30" s="20" t="str">
        <f>IFERROR(__xludf.DUMMYFUNCTION("""COMPUTED_VALUE"""),"Maintenance")</f>
        <v>Maintenance</v>
      </c>
      <c r="E30" s="20" t="str">
        <f>IFERROR(__xludf.DUMMYFUNCTION("""COMPUTED_VALUE"""),"Automobile")</f>
        <v>Automobile</v>
      </c>
      <c r="F30" s="118">
        <f>IFERROR(__xludf.DUMMYFUNCTION("""COMPUTED_VALUE"""),456.451219700928)</f>
        <v>456.4512197</v>
      </c>
      <c r="G30" s="20">
        <f>IFERROR(__xludf.DUMMYFUNCTION("""COMPUTED_VALUE"""),871712.0)</f>
        <v>871712</v>
      </c>
      <c r="H30" s="20">
        <f>IFERROR(__xludf.DUMMYFUNCTION("""COMPUTED_VALUE"""),2.0)</f>
        <v>2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121"/>
      <c r="U30" s="20"/>
      <c r="V30" s="20"/>
      <c r="W30" s="20"/>
      <c r="X30" s="20"/>
      <c r="Y30" s="121"/>
      <c r="Z30" s="20"/>
      <c r="AA30" s="20" t="str">
        <f>IFERROR(__xludf.DUMMYFUNCTION("""COMPUTED_VALUE"""),"Day trips")</f>
        <v>Day trips</v>
      </c>
      <c r="AB30" s="20" t="str">
        <f>IFERROR(__xludf.DUMMYFUNCTION("""COMPUTED_VALUE"""),"Vacation")</f>
        <v>Vacation</v>
      </c>
    </row>
    <row r="31">
      <c r="A31" s="20"/>
      <c r="B31" s="117">
        <f>IFERROR(__xludf.DUMMYFUNCTION("""COMPUTED_VALUE"""),42781.0)</f>
        <v>42781</v>
      </c>
      <c r="C31" s="20">
        <f>IFERROR(__xludf.DUMMYFUNCTION("""COMPUTED_VALUE"""),2017.0)</f>
        <v>2017</v>
      </c>
      <c r="D31" s="20" t="str">
        <f>IFERROR(__xludf.DUMMYFUNCTION("""COMPUTED_VALUE"""),"Day trips")</f>
        <v>Day trips</v>
      </c>
      <c r="E31" s="20" t="str">
        <f>IFERROR(__xludf.DUMMYFUNCTION("""COMPUTED_VALUE"""),"Vacation")</f>
        <v>Vacation</v>
      </c>
      <c r="F31" s="118">
        <f>IFERROR(__xludf.DUMMYFUNCTION("""COMPUTED_VALUE"""),315.84513368453537)</f>
        <v>315.8451337</v>
      </c>
      <c r="G31" s="20">
        <f>IFERROR(__xludf.DUMMYFUNCTION("""COMPUTED_VALUE"""),410505.0)</f>
        <v>410505</v>
      </c>
      <c r="H31" s="20">
        <f>IFERROR(__xludf.DUMMYFUNCTION("""COMPUTED_VALUE"""),2.0)</f>
        <v>2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21"/>
      <c r="U31" s="20"/>
      <c r="V31" s="20"/>
      <c r="W31" s="20"/>
      <c r="X31" s="20"/>
      <c r="Y31" s="121"/>
      <c r="Z31" s="20"/>
      <c r="AA31" s="20" t="str">
        <f>IFERROR(__xludf.DUMMYFUNCTION("""COMPUTED_VALUE"""),"Monthly payment")</f>
        <v>Monthly payment</v>
      </c>
      <c r="AB31" s="20" t="str">
        <f>IFERROR(__xludf.DUMMYFUNCTION("""COMPUTED_VALUE"""),"Credit Card Fees")</f>
        <v>Credit Card Fees</v>
      </c>
    </row>
    <row r="32">
      <c r="A32" s="20"/>
      <c r="B32" s="117">
        <f>IFERROR(__xludf.DUMMYFUNCTION("""COMPUTED_VALUE"""),42784.0)</f>
        <v>42784</v>
      </c>
      <c r="C32" s="20">
        <f>IFERROR(__xludf.DUMMYFUNCTION("""COMPUTED_VALUE"""),2017.0)</f>
        <v>2017</v>
      </c>
      <c r="D32" s="20" t="str">
        <f>IFERROR(__xludf.DUMMYFUNCTION("""COMPUTED_VALUE"""),"Monthly payment")</f>
        <v>Monthly payment</v>
      </c>
      <c r="E32" s="20" t="str">
        <f>IFERROR(__xludf.DUMMYFUNCTION("""COMPUTED_VALUE"""),"Credit Card Fees")</f>
        <v>Credit Card Fees</v>
      </c>
      <c r="F32" s="118">
        <f>IFERROR(__xludf.DUMMYFUNCTION("""COMPUTED_VALUE"""),190.76262198597448)</f>
        <v>190.762622</v>
      </c>
      <c r="G32" s="20">
        <f>IFERROR(__xludf.DUMMYFUNCTION("""COMPUTED_VALUE"""),427924.0)</f>
        <v>427924</v>
      </c>
      <c r="H32" s="20">
        <f>IFERROR(__xludf.DUMMYFUNCTION("""COMPUTED_VALUE"""),2.0)</f>
        <v>2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21"/>
      <c r="U32" s="20"/>
      <c r="V32" s="20"/>
      <c r="W32" s="20"/>
      <c r="X32" s="20"/>
      <c r="Y32" s="121"/>
      <c r="Z32" s="20"/>
      <c r="AA32" s="20" t="str">
        <f>IFERROR(__xludf.DUMMYFUNCTION("""COMPUTED_VALUE"""),"Cultural events (e.g. parades, carnivals, etc.)")</f>
        <v>Cultural events (e.g. parades, carnivals, etc.)</v>
      </c>
      <c r="AB32" s="20" t="str">
        <f>IFERROR(__xludf.DUMMYFUNCTION("""COMPUTED_VALUE"""),"Hobbies")</f>
        <v>Hobbies</v>
      </c>
    </row>
    <row r="33">
      <c r="A33" s="20"/>
      <c r="B33" s="117">
        <f>IFERROR(__xludf.DUMMYFUNCTION("""COMPUTED_VALUE"""),42788.0)</f>
        <v>42788</v>
      </c>
      <c r="C33" s="20">
        <f>IFERROR(__xludf.DUMMYFUNCTION("""COMPUTED_VALUE"""),2017.0)</f>
        <v>2017</v>
      </c>
      <c r="D33" s="20" t="str">
        <f>IFERROR(__xludf.DUMMYFUNCTION("""COMPUTED_VALUE"""),"Cultural events (e.g. parades, carnivals, etc.)")</f>
        <v>Cultural events (e.g. parades, carnivals, etc.)</v>
      </c>
      <c r="E33" s="20" t="str">
        <f>IFERROR(__xludf.DUMMYFUNCTION("""COMPUTED_VALUE"""),"Hobbies")</f>
        <v>Hobbies</v>
      </c>
      <c r="F33" s="118">
        <f>IFERROR(__xludf.DUMMYFUNCTION("""COMPUTED_VALUE"""),47.554426664082875)</f>
        <v>47.55442666</v>
      </c>
      <c r="G33" s="20">
        <f>IFERROR(__xludf.DUMMYFUNCTION("""COMPUTED_VALUE"""),986785.0)</f>
        <v>986785</v>
      </c>
      <c r="H33" s="20">
        <f>IFERROR(__xludf.DUMMYFUNCTION("""COMPUTED_VALUE"""),2.0)</f>
        <v>2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21"/>
      <c r="U33" s="20"/>
      <c r="V33" s="20"/>
      <c r="W33" s="20"/>
      <c r="X33" s="20"/>
      <c r="Y33" s="121"/>
      <c r="Z33" s="20"/>
      <c r="AA33" s="20" t="str">
        <f>IFERROR(__xludf.DUMMYFUNCTION("""COMPUTED_VALUE"""),"Dining out")</f>
        <v>Dining out</v>
      </c>
      <c r="AB33" s="20" t="str">
        <f>IFERROR(__xludf.DUMMYFUNCTION("""COMPUTED_VALUE"""),"Food")</f>
        <v>Food</v>
      </c>
    </row>
    <row r="34">
      <c r="A34" s="20"/>
      <c r="B34" s="117">
        <f>IFERROR(__xludf.DUMMYFUNCTION("""COMPUTED_VALUE"""),42789.0)</f>
        <v>42789</v>
      </c>
      <c r="C34" s="20">
        <f>IFERROR(__xludf.DUMMYFUNCTION("""COMPUTED_VALUE"""),2017.0)</f>
        <v>2017</v>
      </c>
      <c r="D34" s="20" t="str">
        <f>IFERROR(__xludf.DUMMYFUNCTION("""COMPUTED_VALUE"""),"Gasoline")</f>
        <v>Gasoline</v>
      </c>
      <c r="E34" s="20" t="str">
        <f>IFERROR(__xludf.DUMMYFUNCTION("""COMPUTED_VALUE"""),"Automobile")</f>
        <v>Automobile</v>
      </c>
      <c r="F34" s="118">
        <f>IFERROR(__xludf.DUMMYFUNCTION("""COMPUTED_VALUE"""),367.093598266594)</f>
        <v>367.0935983</v>
      </c>
      <c r="G34" s="20">
        <f>IFERROR(__xludf.DUMMYFUNCTION("""COMPUTED_VALUE"""),625483.0)</f>
        <v>625483</v>
      </c>
      <c r="H34" s="20">
        <f>IFERROR(__xludf.DUMMYFUNCTION("""COMPUTED_VALUE"""),2.0)</f>
        <v>2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121"/>
      <c r="U34" s="20"/>
      <c r="V34" s="20"/>
      <c r="W34" s="20"/>
      <c r="X34" s="20"/>
      <c r="Y34" s="121"/>
      <c r="Z34" s="20"/>
      <c r="AA34" s="20" t="str">
        <f>IFERROR(__xludf.DUMMYFUNCTION("""COMPUTED_VALUE"""),"Savings")</f>
        <v>Savings</v>
      </c>
      <c r="AB34" s="20" t="str">
        <f>IFERROR(__xludf.DUMMYFUNCTION("""COMPUTED_VALUE"""),"Pet Care")</f>
        <v>Pet Care</v>
      </c>
    </row>
    <row r="35">
      <c r="A35" s="20"/>
      <c r="B35" s="117">
        <f>IFERROR(__xludf.DUMMYFUNCTION("""COMPUTED_VALUE"""),42790.0)</f>
        <v>42790</v>
      </c>
      <c r="C35" s="20">
        <f>IFERROR(__xludf.DUMMYFUNCTION("""COMPUTED_VALUE"""),2017.0)</f>
        <v>2017</v>
      </c>
      <c r="D35" s="20" t="str">
        <f>IFERROR(__xludf.DUMMYFUNCTION("""COMPUTED_VALUE"""),"Late fee")</f>
        <v>Late fee</v>
      </c>
      <c r="E35" s="20" t="str">
        <f>IFERROR(__xludf.DUMMYFUNCTION("""COMPUTED_VALUE"""),"Credit Card Fees")</f>
        <v>Credit Card Fees</v>
      </c>
      <c r="F35" s="118">
        <f>IFERROR(__xludf.DUMMYFUNCTION("""COMPUTED_VALUE"""),145.86795498693064)</f>
        <v>145.867955</v>
      </c>
      <c r="G35" s="20">
        <f>IFERROR(__xludf.DUMMYFUNCTION("""COMPUTED_VALUE"""),442657.0)</f>
        <v>442657</v>
      </c>
      <c r="H35" s="20">
        <f>IFERROR(__xludf.DUMMYFUNCTION("""COMPUTED_VALUE"""),2.0)</f>
        <v>2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21"/>
      <c r="U35" s="20"/>
      <c r="V35" s="20"/>
      <c r="W35" s="20"/>
      <c r="X35" s="20"/>
      <c r="Y35" s="121"/>
      <c r="Z35" s="20"/>
      <c r="AA35" s="20" t="str">
        <f>IFERROR(__xludf.DUMMYFUNCTION("""COMPUTED_VALUE"""),"Sporting events")</f>
        <v>Sporting events</v>
      </c>
      <c r="AB35" s="20" t="str">
        <f>IFERROR(__xludf.DUMMYFUNCTION("""COMPUTED_VALUE"""),"Leisure (daily / non-vacation)")</f>
        <v>Leisure (daily / non-vacation)</v>
      </c>
    </row>
    <row r="36">
      <c r="A36" s="20"/>
      <c r="B36" s="117">
        <f>IFERROR(__xludf.DUMMYFUNCTION("""COMPUTED_VALUE"""),42791.0)</f>
        <v>42791</v>
      </c>
      <c r="C36" s="20">
        <f>IFERROR(__xludf.DUMMYFUNCTION("""COMPUTED_VALUE"""),2017.0)</f>
        <v>2017</v>
      </c>
      <c r="D36" s="20" t="str">
        <f>IFERROR(__xludf.DUMMYFUNCTION("""COMPUTED_VALUE"""),"Dining out")</f>
        <v>Dining out</v>
      </c>
      <c r="E36" s="20" t="str">
        <f>IFERROR(__xludf.DUMMYFUNCTION("""COMPUTED_VALUE"""),"Food")</f>
        <v>Food</v>
      </c>
      <c r="F36" s="118">
        <f>IFERROR(__xludf.DUMMYFUNCTION("""COMPUTED_VALUE"""),272.58510482120766)</f>
        <v>272.5851048</v>
      </c>
      <c r="G36" s="20">
        <f>IFERROR(__xludf.DUMMYFUNCTION("""COMPUTED_VALUE"""),431583.0)</f>
        <v>431583</v>
      </c>
      <c r="H36" s="20">
        <f>IFERROR(__xludf.DUMMYFUNCTION("""COMPUTED_VALUE"""),2.0)</f>
        <v>2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21"/>
      <c r="U36" s="20"/>
      <c r="V36" s="20"/>
      <c r="W36" s="20"/>
      <c r="X36" s="20"/>
      <c r="Y36" s="121"/>
      <c r="Z36" s="20"/>
      <c r="AA36" s="20" t="str">
        <f>IFERROR(__xludf.DUMMYFUNCTION("""COMPUTED_VALUE"""),"Internet service")</f>
        <v>Internet service</v>
      </c>
      <c r="AB36" s="20" t="str">
        <f>IFERROR(__xludf.DUMMYFUNCTION("""COMPUTED_VALUE"""),"Utilities")</f>
        <v>Utilities</v>
      </c>
    </row>
    <row r="37">
      <c r="A37" s="20"/>
      <c r="B37" s="117">
        <f>IFERROR(__xludf.DUMMYFUNCTION("""COMPUTED_VALUE"""),42794.0)</f>
        <v>42794</v>
      </c>
      <c r="C37" s="20">
        <f>IFERROR(__xludf.DUMMYFUNCTION("""COMPUTED_VALUE"""),2017.0)</f>
        <v>2017</v>
      </c>
      <c r="D37" s="20" t="str">
        <f>IFERROR(__xludf.DUMMYFUNCTION("""COMPUTED_VALUE"""),"Savings")</f>
        <v>Savings</v>
      </c>
      <c r="E37" s="20" t="str">
        <f>IFERROR(__xludf.DUMMYFUNCTION("""COMPUTED_VALUE"""),"Pet Care")</f>
        <v>Pet Care</v>
      </c>
      <c r="F37" s="118">
        <f>IFERROR(__xludf.DUMMYFUNCTION("""COMPUTED_VALUE"""),426.4271169531677)</f>
        <v>426.427117</v>
      </c>
      <c r="G37" s="20">
        <f>IFERROR(__xludf.DUMMYFUNCTION("""COMPUTED_VALUE"""),195636.0)</f>
        <v>195636</v>
      </c>
      <c r="H37" s="20">
        <f>IFERROR(__xludf.DUMMYFUNCTION("""COMPUTED_VALUE"""),2.0)</f>
        <v>2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21"/>
      <c r="U37" s="20"/>
      <c r="V37" s="20"/>
      <c r="W37" s="20"/>
      <c r="X37" s="20"/>
      <c r="Y37" s="121"/>
      <c r="Z37" s="20"/>
      <c r="AA37" s="20" t="str">
        <f>IFERROR(__xludf.DUMMYFUNCTION("""COMPUTED_VALUE"""),"Minimum usage fee")</f>
        <v>Minimum usage fee</v>
      </c>
      <c r="AB37" s="20" t="str">
        <f>IFERROR(__xludf.DUMMYFUNCTION("""COMPUTED_VALUE"""),"Credit Card Fees")</f>
        <v>Credit Card Fees</v>
      </c>
    </row>
    <row r="38">
      <c r="A38" s="20"/>
      <c r="B38" s="117">
        <f>IFERROR(__xludf.DUMMYFUNCTION("""COMPUTED_VALUE"""),42798.0)</f>
        <v>42798</v>
      </c>
      <c r="C38" s="20">
        <f>IFERROR(__xludf.DUMMYFUNCTION("""COMPUTED_VALUE"""),2017.0)</f>
        <v>2017</v>
      </c>
      <c r="D38" s="20" t="str">
        <f>IFERROR(__xludf.DUMMYFUNCTION("""COMPUTED_VALUE"""),"Sporting events")</f>
        <v>Sporting events</v>
      </c>
      <c r="E38" s="20" t="str">
        <f>IFERROR(__xludf.DUMMYFUNCTION("""COMPUTED_VALUE"""),"Leisure (daily / non-vacation)")</f>
        <v>Leisure (daily / non-vacation)</v>
      </c>
      <c r="F38" s="118">
        <f>IFERROR(__xludf.DUMMYFUNCTION("""COMPUTED_VALUE"""),49.65804875531375)</f>
        <v>49.65804876</v>
      </c>
      <c r="G38" s="20">
        <f>IFERROR(__xludf.DUMMYFUNCTION("""COMPUTED_VALUE"""),497506.0)</f>
        <v>497506</v>
      </c>
      <c r="H38" s="20">
        <f>IFERROR(__xludf.DUMMYFUNCTION("""COMPUTED_VALUE"""),3.0)</f>
        <v>3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21"/>
      <c r="U38" s="20"/>
      <c r="V38" s="20"/>
      <c r="W38" s="20"/>
      <c r="X38" s="20"/>
      <c r="Y38" s="121"/>
      <c r="Z38" s="20"/>
      <c r="AA38" s="20" t="str">
        <f>IFERROR(__xludf.DUMMYFUNCTION("""COMPUTED_VALUE"""),"Birthday")</f>
        <v>Birthday</v>
      </c>
      <c r="AB38" s="20" t="str">
        <f>IFERROR(__xludf.DUMMYFUNCTION("""COMPUTED_VALUE"""),"Gifts")</f>
        <v>Gifts</v>
      </c>
    </row>
    <row r="39">
      <c r="A39" s="20"/>
      <c r="B39" s="117">
        <f>IFERROR(__xludf.DUMMYFUNCTION("""COMPUTED_VALUE"""),42801.0)</f>
        <v>42801</v>
      </c>
      <c r="C39" s="20">
        <f>IFERROR(__xludf.DUMMYFUNCTION("""COMPUTED_VALUE"""),2017.0)</f>
        <v>2017</v>
      </c>
      <c r="D39" s="20" t="str">
        <f>IFERROR(__xludf.DUMMYFUNCTION("""COMPUTED_VALUE"""),"ATM fees")</f>
        <v>ATM fees</v>
      </c>
      <c r="E39" s="20" t="str">
        <f>IFERROR(__xludf.DUMMYFUNCTION("""COMPUTED_VALUE"""),"Bank Charges")</f>
        <v>Bank Charges</v>
      </c>
      <c r="F39" s="118">
        <f>IFERROR(__xludf.DUMMYFUNCTION("""COMPUTED_VALUE"""),239.9535691163014)</f>
        <v>239.9535691</v>
      </c>
      <c r="G39" s="20">
        <f>IFERROR(__xludf.DUMMYFUNCTION("""COMPUTED_VALUE"""),518636.0)</f>
        <v>518636</v>
      </c>
      <c r="H39" s="20">
        <f>IFERROR(__xludf.DUMMYFUNCTION("""COMPUTED_VALUE"""),3.0)</f>
        <v>3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121"/>
      <c r="U39" s="20"/>
      <c r="V39" s="20"/>
      <c r="W39" s="20"/>
      <c r="X39" s="20"/>
      <c r="Y39" s="121"/>
      <c r="Z39" s="20"/>
      <c r="AA39" s="20" t="str">
        <f>IFERROR(__xludf.DUMMYFUNCTION("""COMPUTED_VALUE"""),"Service fees")</f>
        <v>Service fees</v>
      </c>
      <c r="AB39" s="20" t="str">
        <f>IFERROR(__xludf.DUMMYFUNCTION("""COMPUTED_VALUE"""),"Bank Charges")</f>
        <v>Bank Charges</v>
      </c>
    </row>
    <row r="40">
      <c r="A40" s="20"/>
      <c r="B40" s="117">
        <f>IFERROR(__xludf.DUMMYFUNCTION("""COMPUTED_VALUE"""),42802.0)</f>
        <v>42802</v>
      </c>
      <c r="C40" s="20">
        <f>IFERROR(__xludf.DUMMYFUNCTION("""COMPUTED_VALUE"""),2017.0)</f>
        <v>2017</v>
      </c>
      <c r="D40" s="20" t="str">
        <f>IFERROR(__xludf.DUMMYFUNCTION("""COMPUTED_VALUE"""),"Auto loan payment")</f>
        <v>Auto loan payment</v>
      </c>
      <c r="E40" s="20" t="str">
        <f>IFERROR(__xludf.DUMMYFUNCTION("""COMPUTED_VALUE"""),"Automobile")</f>
        <v>Automobile</v>
      </c>
      <c r="F40" s="118">
        <f>IFERROR(__xludf.DUMMYFUNCTION("""COMPUTED_VALUE"""),139.10837651932286)</f>
        <v>139.1083765</v>
      </c>
      <c r="G40" s="20">
        <f>IFERROR(__xludf.DUMMYFUNCTION("""COMPUTED_VALUE"""),793791.0)</f>
        <v>793791</v>
      </c>
      <c r="H40" s="20">
        <f>IFERROR(__xludf.DUMMYFUNCTION("""COMPUTED_VALUE"""),3.0)</f>
        <v>3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121"/>
      <c r="U40" s="20"/>
      <c r="V40" s="20"/>
      <c r="W40" s="20"/>
      <c r="X40" s="20"/>
      <c r="Y40" s="121"/>
      <c r="Z40" s="20"/>
      <c r="AA40" s="20" t="str">
        <f>IFERROR(__xludf.DUMMYFUNCTION("""COMPUTED_VALUE"""),"Dental")</f>
        <v>Dental</v>
      </c>
      <c r="AB40" s="20" t="str">
        <f>IFERROR(__xludf.DUMMYFUNCTION("""COMPUTED_VALUE"""),"Healthcare")</f>
        <v>Healthcare</v>
      </c>
    </row>
    <row r="41">
      <c r="A41" s="20"/>
      <c r="B41" s="117">
        <f>IFERROR(__xludf.DUMMYFUNCTION("""COMPUTED_VALUE"""),42805.0)</f>
        <v>42805</v>
      </c>
      <c r="C41" s="20">
        <f>IFERROR(__xludf.DUMMYFUNCTION("""COMPUTED_VALUE"""),2017.0)</f>
        <v>2017</v>
      </c>
      <c r="D41" s="20" t="str">
        <f>IFERROR(__xludf.DUMMYFUNCTION("""COMPUTED_VALUE"""),"Cultural events (e.g. parades, carnivals, etc.)")</f>
        <v>Cultural events (e.g. parades, carnivals, etc.)</v>
      </c>
      <c r="E41" s="20" t="str">
        <f>IFERROR(__xludf.DUMMYFUNCTION("""COMPUTED_VALUE"""),"Hobbies")</f>
        <v>Hobbies</v>
      </c>
      <c r="F41" s="118">
        <f>IFERROR(__xludf.DUMMYFUNCTION("""COMPUTED_VALUE"""),152.2826219326729)</f>
        <v>152.2826219</v>
      </c>
      <c r="G41" s="20">
        <f>IFERROR(__xludf.DUMMYFUNCTION("""COMPUTED_VALUE"""),734992.0)</f>
        <v>734992</v>
      </c>
      <c r="H41" s="20">
        <f>IFERROR(__xludf.DUMMYFUNCTION("""COMPUTED_VALUE"""),3.0)</f>
        <v>3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121"/>
      <c r="U41" s="20"/>
      <c r="V41" s="20"/>
      <c r="W41" s="20"/>
      <c r="X41" s="20"/>
      <c r="Y41" s="121"/>
      <c r="Z41" s="20"/>
      <c r="AA41" s="20" t="str">
        <f>IFERROR(__xludf.DUMMYFUNCTION("""COMPUTED_VALUE"""),"Wedding")</f>
        <v>Wedding</v>
      </c>
      <c r="AB41" s="20" t="str">
        <f>IFERROR(__xludf.DUMMYFUNCTION("""COMPUTED_VALUE"""),"Events")</f>
        <v>Events</v>
      </c>
    </row>
    <row r="42">
      <c r="A42" s="20"/>
      <c r="B42" s="117">
        <f>IFERROR(__xludf.DUMMYFUNCTION("""COMPUTED_VALUE"""),42807.0)</f>
        <v>42807</v>
      </c>
      <c r="C42" s="20">
        <f>IFERROR(__xludf.DUMMYFUNCTION("""COMPUTED_VALUE"""),2017.0)</f>
        <v>2017</v>
      </c>
      <c r="D42" s="20" t="str">
        <f>IFERROR(__xludf.DUMMYFUNCTION("""COMPUTED_VALUE"""),"Garbage and recycling")</f>
        <v>Garbage and recycling</v>
      </c>
      <c r="E42" s="20" t="str">
        <f>IFERROR(__xludf.DUMMYFUNCTION("""COMPUTED_VALUE"""),"Utilities")</f>
        <v>Utilities</v>
      </c>
      <c r="F42" s="118">
        <f>IFERROR(__xludf.DUMMYFUNCTION("""COMPUTED_VALUE"""),171.59987202338706)</f>
        <v>171.599872</v>
      </c>
      <c r="G42" s="20">
        <f>IFERROR(__xludf.DUMMYFUNCTION("""COMPUTED_VALUE"""),647788.0)</f>
        <v>647788</v>
      </c>
      <c r="H42" s="20">
        <f>IFERROR(__xludf.DUMMYFUNCTION("""COMPUTED_VALUE"""),3.0)</f>
        <v>3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121"/>
      <c r="U42" s="20"/>
      <c r="V42" s="20"/>
      <c r="W42" s="20"/>
      <c r="X42" s="20"/>
      <c r="Y42" s="121"/>
      <c r="Z42" s="20"/>
      <c r="AA42" s="20" t="str">
        <f>IFERROR(__xludf.DUMMYFUNCTION("""COMPUTED_VALUE"""),"Over the counter medication")</f>
        <v>Over the counter medication</v>
      </c>
      <c r="AB42" s="20" t="str">
        <f>IFERROR(__xludf.DUMMYFUNCTION("""COMPUTED_VALUE"""),"Healthcare")</f>
        <v>Healthcare</v>
      </c>
    </row>
    <row r="43">
      <c r="A43" s="20"/>
      <c r="B43" s="117">
        <f>IFERROR(__xludf.DUMMYFUNCTION("""COMPUTED_VALUE"""),42809.0)</f>
        <v>42809</v>
      </c>
      <c r="C43" s="20">
        <f>IFERROR(__xludf.DUMMYFUNCTION("""COMPUTED_VALUE"""),2017.0)</f>
        <v>2017</v>
      </c>
      <c r="D43" s="20" t="str">
        <f>IFERROR(__xludf.DUMMYFUNCTION("""COMPUTED_VALUE"""),"Internet service")</f>
        <v>Internet service</v>
      </c>
      <c r="E43" s="20" t="str">
        <f>IFERROR(__xludf.DUMMYFUNCTION("""COMPUTED_VALUE"""),"Utilities")</f>
        <v>Utilities</v>
      </c>
      <c r="F43" s="118">
        <f>IFERROR(__xludf.DUMMYFUNCTION("""COMPUTED_VALUE"""),67.21116957296483)</f>
        <v>67.21116957</v>
      </c>
      <c r="G43" s="20">
        <f>IFERROR(__xludf.DUMMYFUNCTION("""COMPUTED_VALUE"""),489521.0)</f>
        <v>489521</v>
      </c>
      <c r="H43" s="20">
        <f>IFERROR(__xludf.DUMMYFUNCTION("""COMPUTED_VALUE"""),3.0)</f>
        <v>3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121"/>
      <c r="U43" s="20"/>
      <c r="V43" s="20"/>
      <c r="W43" s="20"/>
      <c r="X43" s="20"/>
      <c r="Y43" s="121"/>
      <c r="Z43" s="20"/>
      <c r="AA43" s="20" t="str">
        <f>IFERROR(__xludf.DUMMYFUNCTION("""COMPUTED_VALUE"""),"Vitamins")</f>
        <v>Vitamins</v>
      </c>
      <c r="AB43" s="20" t="str">
        <f>IFERROR(__xludf.DUMMYFUNCTION("""COMPUTED_VALUE"""),"Healthcare")</f>
        <v>Healthcare</v>
      </c>
    </row>
    <row r="44">
      <c r="A44" s="20"/>
      <c r="B44" s="117">
        <f>IFERROR(__xludf.DUMMYFUNCTION("""COMPUTED_VALUE"""),42812.0)</f>
        <v>42812</v>
      </c>
      <c r="C44" s="20">
        <f>IFERROR(__xludf.DUMMYFUNCTION("""COMPUTED_VALUE"""),2017.0)</f>
        <v>2017</v>
      </c>
      <c r="D44" s="20" t="str">
        <f>IFERROR(__xludf.DUMMYFUNCTION("""COMPUTED_VALUE"""),"Minimum usage fee")</f>
        <v>Minimum usage fee</v>
      </c>
      <c r="E44" s="20" t="str">
        <f>IFERROR(__xludf.DUMMYFUNCTION("""COMPUTED_VALUE"""),"Credit Card Fees")</f>
        <v>Credit Card Fees</v>
      </c>
      <c r="F44" s="118">
        <f>IFERROR(__xludf.DUMMYFUNCTION("""COMPUTED_VALUE"""),114.22547168441002)</f>
        <v>114.2254717</v>
      </c>
      <c r="G44" s="20">
        <f>IFERROR(__xludf.DUMMYFUNCTION("""COMPUTED_VALUE"""),113789.0)</f>
        <v>113789</v>
      </c>
      <c r="H44" s="20">
        <f>IFERROR(__xludf.DUMMYFUNCTION("""COMPUTED_VALUE"""),3.0)</f>
        <v>3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121"/>
      <c r="U44" s="20"/>
      <c r="V44" s="20"/>
      <c r="W44" s="20"/>
      <c r="X44" s="20"/>
      <c r="Y44" s="121"/>
      <c r="Z44" s="20"/>
      <c r="AA44" s="20" t="str">
        <f>IFERROR(__xludf.DUMMYFUNCTION("""COMPUTED_VALUE"""),"Veterinarian")</f>
        <v>Veterinarian</v>
      </c>
      <c r="AB44" s="20" t="str">
        <f>IFERROR(__xludf.DUMMYFUNCTION("""COMPUTED_VALUE"""),"Pet Care")</f>
        <v>Pet Care</v>
      </c>
    </row>
    <row r="45">
      <c r="A45" s="20"/>
      <c r="B45" s="117">
        <f>IFERROR(__xludf.DUMMYFUNCTION("""COMPUTED_VALUE"""),42815.0)</f>
        <v>42815</v>
      </c>
      <c r="C45" s="20">
        <f>IFERROR(__xludf.DUMMYFUNCTION("""COMPUTED_VALUE"""),2017.0)</f>
        <v>2017</v>
      </c>
      <c r="D45" s="20" t="str">
        <f>IFERROR(__xludf.DUMMYFUNCTION("""COMPUTED_VALUE"""),"Late fee")</f>
        <v>Late fee</v>
      </c>
      <c r="E45" s="20" t="str">
        <f>IFERROR(__xludf.DUMMYFUNCTION("""COMPUTED_VALUE"""),"Credit Card Fees")</f>
        <v>Credit Card Fees</v>
      </c>
      <c r="F45" s="118">
        <f>IFERROR(__xludf.DUMMYFUNCTION("""COMPUTED_VALUE"""),341.5873086516792)</f>
        <v>341.5873087</v>
      </c>
      <c r="G45" s="20">
        <f>IFERROR(__xludf.DUMMYFUNCTION("""COMPUTED_VALUE"""),920824.0)</f>
        <v>920824</v>
      </c>
      <c r="H45" s="20">
        <f>IFERROR(__xludf.DUMMYFUNCTION("""COMPUTED_VALUE"""),3.0)</f>
        <v>3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21"/>
      <c r="Z45" s="20"/>
      <c r="AA45" s="20" t="str">
        <f>IFERROR(__xludf.DUMMYFUNCTION("""COMPUTED_VALUE"""),"Groceries")</f>
        <v>Groceries</v>
      </c>
      <c r="AB45" s="20" t="str">
        <f>IFERROR(__xludf.DUMMYFUNCTION("""COMPUTED_VALUE"""),"Food")</f>
        <v>Food</v>
      </c>
    </row>
    <row r="46">
      <c r="A46" s="20"/>
      <c r="B46" s="117">
        <f>IFERROR(__xludf.DUMMYFUNCTION("""COMPUTED_VALUE"""),42816.0)</f>
        <v>42816</v>
      </c>
      <c r="C46" s="20">
        <f>IFERROR(__xludf.DUMMYFUNCTION("""COMPUTED_VALUE"""),2017.0)</f>
        <v>2017</v>
      </c>
      <c r="D46" s="20" t="str">
        <f>IFERROR(__xludf.DUMMYFUNCTION("""COMPUTED_VALUE"""),"Birthday")</f>
        <v>Birthday</v>
      </c>
      <c r="E46" s="20" t="str">
        <f>IFERROR(__xludf.DUMMYFUNCTION("""COMPUTED_VALUE"""),"Gifts")</f>
        <v>Gifts</v>
      </c>
      <c r="F46" s="118">
        <f>IFERROR(__xludf.DUMMYFUNCTION("""COMPUTED_VALUE"""),280.7971607382667)</f>
        <v>280.7971607</v>
      </c>
      <c r="G46" s="20">
        <f>IFERROR(__xludf.DUMMYFUNCTION("""COMPUTED_VALUE"""),675635.0)</f>
        <v>675635</v>
      </c>
      <c r="H46" s="20">
        <f>IFERROR(__xludf.DUMMYFUNCTION("""COMPUTED_VALUE"""),3.0)</f>
        <v>3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21"/>
      <c r="Z46" s="20"/>
      <c r="AA46" s="20" t="str">
        <f>IFERROR(__xludf.DUMMYFUNCTION("""COMPUTED_VALUE"""),"Electricity")</f>
        <v>Electricity</v>
      </c>
      <c r="AB46" s="20" t="str">
        <f>IFERROR(__xludf.DUMMYFUNCTION("""COMPUTED_VALUE"""),"Utilities")</f>
        <v>Utilities</v>
      </c>
    </row>
    <row r="47">
      <c r="A47" s="20"/>
      <c r="B47" s="117">
        <f>IFERROR(__xludf.DUMMYFUNCTION("""COMPUTED_VALUE"""),42819.0)</f>
        <v>42819</v>
      </c>
      <c r="C47" s="20">
        <f>IFERROR(__xludf.DUMMYFUNCTION("""COMPUTED_VALUE"""),2017.0)</f>
        <v>2017</v>
      </c>
      <c r="D47" s="20" t="str">
        <f>IFERROR(__xludf.DUMMYFUNCTION("""COMPUTED_VALUE"""),"Service fees")</f>
        <v>Service fees</v>
      </c>
      <c r="E47" s="20" t="str">
        <f>IFERROR(__xludf.DUMMYFUNCTION("""COMPUTED_VALUE"""),"Bank Charges")</f>
        <v>Bank Charges</v>
      </c>
      <c r="F47" s="118">
        <f>IFERROR(__xludf.DUMMYFUNCTION("""COMPUTED_VALUE"""),217.6361827626484)</f>
        <v>217.6361828</v>
      </c>
      <c r="G47" s="20">
        <f>IFERROR(__xludf.DUMMYFUNCTION("""COMPUTED_VALUE"""),296914.0)</f>
        <v>296914</v>
      </c>
      <c r="H47" s="20">
        <f>IFERROR(__xludf.DUMMYFUNCTION("""COMPUTED_VALUE"""),3.0)</f>
        <v>3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121"/>
      <c r="Z47" s="20"/>
      <c r="AA47" s="20" t="str">
        <f>IFERROR(__xludf.DUMMYFUNCTION("""COMPUTED_VALUE"""),"Holiday")</f>
        <v>Holiday</v>
      </c>
      <c r="AB47" s="20" t="str">
        <f>IFERROR(__xludf.DUMMYFUNCTION("""COMPUTED_VALUE"""),"Gifts")</f>
        <v>Gifts</v>
      </c>
    </row>
    <row r="48">
      <c r="A48" s="20"/>
      <c r="B48" s="117">
        <f>IFERROR(__xludf.DUMMYFUNCTION("""COMPUTED_VALUE"""),42822.0)</f>
        <v>42822</v>
      </c>
      <c r="C48" s="20">
        <f>IFERROR(__xludf.DUMMYFUNCTION("""COMPUTED_VALUE"""),2017.0)</f>
        <v>2017</v>
      </c>
      <c r="D48" s="20" t="str">
        <f>IFERROR(__xludf.DUMMYFUNCTION("""COMPUTED_VALUE"""),"Internet service")</f>
        <v>Internet service</v>
      </c>
      <c r="E48" s="20" t="str">
        <f>IFERROR(__xludf.DUMMYFUNCTION("""COMPUTED_VALUE"""),"Utilities")</f>
        <v>Utilities</v>
      </c>
      <c r="F48" s="118">
        <f>IFERROR(__xludf.DUMMYFUNCTION("""COMPUTED_VALUE"""),235.9200237169138)</f>
        <v>235.9200237</v>
      </c>
      <c r="G48" s="20">
        <f>IFERROR(__xludf.DUMMYFUNCTION("""COMPUTED_VALUE"""),146484.0)</f>
        <v>146484</v>
      </c>
      <c r="H48" s="20">
        <f>IFERROR(__xludf.DUMMYFUNCTION("""COMPUTED_VALUE"""),3.0)</f>
        <v>3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121"/>
      <c r="Z48" s="20"/>
      <c r="AA48" s="20" t="str">
        <f>IFERROR(__xludf.DUMMYFUNCTION("""COMPUTED_VALUE"""),"Television (e.g. cable, satellite, etc.)")</f>
        <v>Television (e.g. cable, satellite, etc.)</v>
      </c>
      <c r="AB48" s="20" t="str">
        <f>IFERROR(__xludf.DUMMYFUNCTION("""COMPUTED_VALUE"""),"Utilities")</f>
        <v>Utilities</v>
      </c>
    </row>
    <row r="49">
      <c r="A49" s="20"/>
      <c r="B49" s="117">
        <f>IFERROR(__xludf.DUMMYFUNCTION("""COMPUTED_VALUE"""),42825.0)</f>
        <v>42825</v>
      </c>
      <c r="C49" s="20">
        <f>IFERROR(__xludf.DUMMYFUNCTION("""COMPUTED_VALUE"""),2017.0)</f>
        <v>2017</v>
      </c>
      <c r="D49" s="20" t="str">
        <f>IFERROR(__xludf.DUMMYFUNCTION("""COMPUTED_VALUE"""),"Life")</f>
        <v>Life</v>
      </c>
      <c r="E49" s="20" t="str">
        <f>IFERROR(__xludf.DUMMYFUNCTION("""COMPUTED_VALUE"""),"Insurance")</f>
        <v>Insurance</v>
      </c>
      <c r="F49" s="118">
        <f>IFERROR(__xludf.DUMMYFUNCTION("""COMPUTED_VALUE"""),295.9902234915933)</f>
        <v>295.9902235</v>
      </c>
      <c r="G49" s="20">
        <f>IFERROR(__xludf.DUMMYFUNCTION("""COMPUTED_VALUE"""),551723.0)</f>
        <v>551723</v>
      </c>
      <c r="H49" s="20">
        <f>IFERROR(__xludf.DUMMYFUNCTION("""COMPUTED_VALUE"""),3.0)</f>
        <v>3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121"/>
      <c r="Z49" s="20"/>
      <c r="AA49" s="20" t="str">
        <f>IFERROR(__xludf.DUMMYFUNCTION("""COMPUTED_VALUE"""),"Transportation")</f>
        <v>Transportation</v>
      </c>
      <c r="AB49" s="20" t="str">
        <f>IFERROR(__xludf.DUMMYFUNCTION("""COMPUTED_VALUE"""),"Vacation")</f>
        <v>Vacation</v>
      </c>
    </row>
    <row r="50">
      <c r="A50" s="20"/>
      <c r="B50" s="117">
        <f>IFERROR(__xludf.DUMMYFUNCTION("""COMPUTED_VALUE"""),42826.0)</f>
        <v>42826</v>
      </c>
      <c r="C50" s="20">
        <f>IFERROR(__xludf.DUMMYFUNCTION("""COMPUTED_VALUE"""),2017.0)</f>
        <v>2017</v>
      </c>
      <c r="D50" s="20" t="str">
        <f>IFERROR(__xludf.DUMMYFUNCTION("""COMPUTED_VALUE"""),"Dental")</f>
        <v>Dental</v>
      </c>
      <c r="E50" s="20" t="str">
        <f>IFERROR(__xludf.DUMMYFUNCTION("""COMPUTED_VALUE"""),"Healthcare")</f>
        <v>Healthcare</v>
      </c>
      <c r="F50" s="118">
        <f>IFERROR(__xludf.DUMMYFUNCTION("""COMPUTED_VALUE"""),439.70777890688595)</f>
        <v>439.7077789</v>
      </c>
      <c r="G50" s="20">
        <f>IFERROR(__xludf.DUMMYFUNCTION("""COMPUTED_VALUE"""),516579.0)</f>
        <v>516579</v>
      </c>
      <c r="H50" s="20">
        <f>IFERROR(__xludf.DUMMYFUNCTION("""COMPUTED_VALUE"""),4.0)</f>
        <v>4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121"/>
      <c r="Z50" s="20"/>
      <c r="AA50" s="20" t="str">
        <f>IFERROR(__xludf.DUMMYFUNCTION("""COMPUTED_VALUE"""),"Supplies")</f>
        <v>Supplies</v>
      </c>
      <c r="AB50" s="20" t="str">
        <f>IFERROR(__xludf.DUMMYFUNCTION("""COMPUTED_VALUE"""),"Household")</f>
        <v>Household</v>
      </c>
    </row>
    <row r="51">
      <c r="A51" s="20"/>
      <c r="B51" s="117">
        <f>IFERROR(__xludf.DUMMYFUNCTION("""COMPUTED_VALUE"""),42829.0)</f>
        <v>42829</v>
      </c>
      <c r="C51" s="20">
        <f>IFERROR(__xludf.DUMMYFUNCTION("""COMPUTED_VALUE"""),2017.0)</f>
        <v>2017</v>
      </c>
      <c r="D51" s="20" t="str">
        <f>IFERROR(__xludf.DUMMYFUNCTION("""COMPUTED_VALUE"""),"Wedding")</f>
        <v>Wedding</v>
      </c>
      <c r="E51" s="20" t="str">
        <f>IFERROR(__xludf.DUMMYFUNCTION("""COMPUTED_VALUE"""),"Events")</f>
        <v>Events</v>
      </c>
      <c r="F51" s="118">
        <f>IFERROR(__xludf.DUMMYFUNCTION("""COMPUTED_VALUE"""),230.27184049379238)</f>
        <v>230.2718405</v>
      </c>
      <c r="G51" s="20">
        <f>IFERROR(__xludf.DUMMYFUNCTION("""COMPUTED_VALUE"""),282205.0)</f>
        <v>282205</v>
      </c>
      <c r="H51" s="20">
        <f>IFERROR(__xludf.DUMMYFUNCTION("""COMPUTED_VALUE"""),4.0)</f>
        <v>4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121"/>
      <c r="Z51" s="20"/>
      <c r="AA51" s="20" t="str">
        <f>IFERROR(__xludf.DUMMYFUNCTION("""COMPUTED_VALUE"""),"Sewer")</f>
        <v>Sewer</v>
      </c>
      <c r="AB51" s="20" t="str">
        <f>IFERROR(__xludf.DUMMYFUNCTION("""COMPUTED_VALUE"""),"Utilities")</f>
        <v>Utilities</v>
      </c>
    </row>
    <row r="52">
      <c r="A52" s="20"/>
      <c r="B52" s="117">
        <f>IFERROR(__xludf.DUMMYFUNCTION("""COMPUTED_VALUE"""),42830.0)</f>
        <v>42830</v>
      </c>
      <c r="C52" s="20">
        <f>IFERROR(__xludf.DUMMYFUNCTION("""COMPUTED_VALUE"""),2017.0)</f>
        <v>2017</v>
      </c>
      <c r="D52" s="20" t="str">
        <f>IFERROR(__xludf.DUMMYFUNCTION("""COMPUTED_VALUE"""),"Over the counter medication")</f>
        <v>Over the counter medication</v>
      </c>
      <c r="E52" s="20" t="str">
        <f>IFERROR(__xludf.DUMMYFUNCTION("""COMPUTED_VALUE"""),"Healthcare")</f>
        <v>Healthcare</v>
      </c>
      <c r="F52" s="118">
        <f>IFERROR(__xludf.DUMMYFUNCTION("""COMPUTED_VALUE"""),293.2051354340301)</f>
        <v>293.2051354</v>
      </c>
      <c r="G52" s="20">
        <f>IFERROR(__xludf.DUMMYFUNCTION("""COMPUTED_VALUE"""),128994.0)</f>
        <v>128994</v>
      </c>
      <c r="H52" s="20">
        <f>IFERROR(__xludf.DUMMYFUNCTION("""COMPUTED_VALUE"""),4.0)</f>
        <v>4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121"/>
      <c r="Z52" s="20"/>
      <c r="AA52" s="20" t="str">
        <f>IFERROR(__xludf.DUMMYFUNCTION("""COMPUTED_VALUE"""),"Movie theater")</f>
        <v>Movie theater</v>
      </c>
      <c r="AB52" s="20" t="str">
        <f>IFERROR(__xludf.DUMMYFUNCTION("""COMPUTED_VALUE"""),"Leisure (daily / non-vacation)")</f>
        <v>Leisure (daily / non-vacation)</v>
      </c>
    </row>
    <row r="53">
      <c r="A53" s="20"/>
      <c r="B53" s="117">
        <f>IFERROR(__xludf.DUMMYFUNCTION("""COMPUTED_VALUE"""),42831.0)</f>
        <v>42831</v>
      </c>
      <c r="C53" s="20">
        <f>IFERROR(__xludf.DUMMYFUNCTION("""COMPUTED_VALUE"""),2017.0)</f>
        <v>2017</v>
      </c>
      <c r="D53" s="20" t="str">
        <f>IFERROR(__xludf.DUMMYFUNCTION("""COMPUTED_VALUE"""),"Vitamins")</f>
        <v>Vitamins</v>
      </c>
      <c r="E53" s="20" t="str">
        <f>IFERROR(__xludf.DUMMYFUNCTION("""COMPUTED_VALUE"""),"Healthcare")</f>
        <v>Healthcare</v>
      </c>
      <c r="F53" s="118">
        <f>IFERROR(__xludf.DUMMYFUNCTION("""COMPUTED_VALUE"""),293.3627467331357)</f>
        <v>293.3627467</v>
      </c>
      <c r="G53" s="20">
        <f>IFERROR(__xludf.DUMMYFUNCTION("""COMPUTED_VALUE"""),650960.0)</f>
        <v>650960</v>
      </c>
      <c r="H53" s="20">
        <f>IFERROR(__xludf.DUMMYFUNCTION("""COMPUTED_VALUE"""),4.0)</f>
        <v>4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121"/>
      <c r="Z53" s="20"/>
      <c r="AA53" s="20" t="str">
        <f>IFERROR(__xludf.DUMMYFUNCTION("""COMPUTED_VALUE"""),"Roadside assistance")</f>
        <v>Roadside assistance</v>
      </c>
      <c r="AB53" s="20" t="str">
        <f>IFERROR(__xludf.DUMMYFUNCTION("""COMPUTED_VALUE"""),"Insurance")</f>
        <v>Insurance</v>
      </c>
    </row>
    <row r="54">
      <c r="A54" s="20"/>
      <c r="B54" s="117">
        <f>IFERROR(__xludf.DUMMYFUNCTION("""COMPUTED_VALUE"""),42835.0)</f>
        <v>42835</v>
      </c>
      <c r="C54" s="20">
        <f>IFERROR(__xludf.DUMMYFUNCTION("""COMPUTED_VALUE"""),2017.0)</f>
        <v>2017</v>
      </c>
      <c r="D54" s="20" t="str">
        <f>IFERROR(__xludf.DUMMYFUNCTION("""COMPUTED_VALUE"""),"Veterinarian")</f>
        <v>Veterinarian</v>
      </c>
      <c r="E54" s="20" t="str">
        <f>IFERROR(__xludf.DUMMYFUNCTION("""COMPUTED_VALUE"""),"Pet Care")</f>
        <v>Pet Care</v>
      </c>
      <c r="F54" s="118">
        <f>IFERROR(__xludf.DUMMYFUNCTION("""COMPUTED_VALUE"""),11023.1965685147)</f>
        <v>11023.19657</v>
      </c>
      <c r="G54" s="20">
        <f>IFERROR(__xludf.DUMMYFUNCTION("""COMPUTED_VALUE"""),577257.0)</f>
        <v>577257</v>
      </c>
      <c r="H54" s="20">
        <f>IFERROR(__xludf.DUMMYFUNCTION("""COMPUTED_VALUE"""),4.0)</f>
        <v>4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121"/>
      <c r="Z54" s="20"/>
      <c r="AA54" s="20" t="str">
        <f>IFERROR(__xludf.DUMMYFUNCTION("""COMPUTED_VALUE"""),"Reserve funds (to set aside for planned expenses)")</f>
        <v>Reserve funds (to set aside for planned expenses)</v>
      </c>
      <c r="AB54" s="20" t="str">
        <f>IFERROR(__xludf.DUMMYFUNCTION("""COMPUTED_VALUE"""),"Pet Care")</f>
        <v>Pet Care</v>
      </c>
    </row>
    <row r="55">
      <c r="A55" s="20"/>
      <c r="B55" s="117">
        <f>IFERROR(__xludf.DUMMYFUNCTION("""COMPUTED_VALUE"""),42837.0)</f>
        <v>42837</v>
      </c>
      <c r="C55" s="20">
        <f>IFERROR(__xludf.DUMMYFUNCTION("""COMPUTED_VALUE"""),2017.0)</f>
        <v>2017</v>
      </c>
      <c r="D55" s="20" t="str">
        <f>IFERROR(__xludf.DUMMYFUNCTION("""COMPUTED_VALUE"""),"Decorating")</f>
        <v>Decorating</v>
      </c>
      <c r="E55" s="20" t="str">
        <f>IFERROR(__xludf.DUMMYFUNCTION("""COMPUTED_VALUE"""),"Household")</f>
        <v>Household</v>
      </c>
      <c r="F55" s="118">
        <f>IFERROR(__xludf.DUMMYFUNCTION("""COMPUTED_VALUE"""),88.68648724699642)</f>
        <v>88.68648725</v>
      </c>
      <c r="G55" s="20">
        <f>IFERROR(__xludf.DUMMYFUNCTION("""COMPUTED_VALUE"""),136243.0)</f>
        <v>136243</v>
      </c>
      <c r="H55" s="20">
        <f>IFERROR(__xludf.DUMMYFUNCTION("""COMPUTED_VALUE"""),4.0)</f>
        <v>4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21"/>
      <c r="Z55" s="20"/>
      <c r="AA55" s="20" t="str">
        <f>IFERROR(__xludf.DUMMYFUNCTION("""COMPUTED_VALUE"""),"Local")</f>
        <v>Local</v>
      </c>
      <c r="AB55" s="20" t="str">
        <f>IFERROR(__xludf.DUMMYFUNCTION("""COMPUTED_VALUE"""),"Taxes")</f>
        <v>Taxes</v>
      </c>
    </row>
    <row r="56">
      <c r="A56" s="20"/>
      <c r="B56" s="117">
        <f>IFERROR(__xludf.DUMMYFUNCTION("""COMPUTED_VALUE"""),42841.0)</f>
        <v>42841</v>
      </c>
      <c r="C56" s="20">
        <f>IFERROR(__xludf.DUMMYFUNCTION("""COMPUTED_VALUE"""),2017.0)</f>
        <v>2017</v>
      </c>
      <c r="D56" s="20" t="str">
        <f>IFERROR(__xludf.DUMMYFUNCTION("""COMPUTED_VALUE"""),"Groceries")</f>
        <v>Groceries</v>
      </c>
      <c r="E56" s="20" t="str">
        <f>IFERROR(__xludf.DUMMYFUNCTION("""COMPUTED_VALUE"""),"Food")</f>
        <v>Food</v>
      </c>
      <c r="F56" s="118">
        <f>IFERROR(__xludf.DUMMYFUNCTION("""COMPUTED_VALUE"""),333.1016169972269)</f>
        <v>333.101617</v>
      </c>
      <c r="G56" s="20">
        <f>IFERROR(__xludf.DUMMYFUNCTION("""COMPUTED_VALUE"""),204789.0)</f>
        <v>204789</v>
      </c>
      <c r="H56" s="20">
        <f>IFERROR(__xludf.DUMMYFUNCTION("""COMPUTED_VALUE"""),4.0)</f>
        <v>4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21"/>
      <c r="Z56" s="20"/>
      <c r="AA56" s="20" t="str">
        <f>IFERROR(__xludf.DUMMYFUNCTION("""COMPUTED_VALUE"""),"Tuition")</f>
        <v>Tuition</v>
      </c>
      <c r="AB56" s="20" t="str">
        <f>IFERROR(__xludf.DUMMYFUNCTION("""COMPUTED_VALUE"""),"Education")</f>
        <v>Education</v>
      </c>
    </row>
    <row r="57">
      <c r="A57" s="20"/>
      <c r="B57" s="117">
        <f>IFERROR(__xludf.DUMMYFUNCTION("""COMPUTED_VALUE"""),42845.0)</f>
        <v>42845</v>
      </c>
      <c r="C57" s="20">
        <f>IFERROR(__xludf.DUMMYFUNCTION("""COMPUTED_VALUE"""),2017.0)</f>
        <v>2017</v>
      </c>
      <c r="D57" s="20" t="str">
        <f>IFERROR(__xludf.DUMMYFUNCTION("""COMPUTED_VALUE"""),"Electricity")</f>
        <v>Electricity</v>
      </c>
      <c r="E57" s="20" t="str">
        <f>IFERROR(__xludf.DUMMYFUNCTION("""COMPUTED_VALUE"""),"Utilities")</f>
        <v>Utilities</v>
      </c>
      <c r="F57" s="118">
        <f>IFERROR(__xludf.DUMMYFUNCTION("""COMPUTED_VALUE"""),377.92937294541713)</f>
        <v>377.9293729</v>
      </c>
      <c r="G57" s="20">
        <f>IFERROR(__xludf.DUMMYFUNCTION("""COMPUTED_VALUE"""),486834.0)</f>
        <v>486834</v>
      </c>
      <c r="H57" s="20">
        <f>IFERROR(__xludf.DUMMYFUNCTION("""COMPUTED_VALUE"""),4.0)</f>
        <v>4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121"/>
      <c r="Z57" s="20"/>
      <c r="AA57" s="20" t="str">
        <f>IFERROR(__xludf.DUMMYFUNCTION("""COMPUTED_VALUE"""),"Video games")</f>
        <v>Video games</v>
      </c>
      <c r="AB57" s="20" t="str">
        <f>IFERROR(__xludf.DUMMYFUNCTION("""COMPUTED_VALUE"""),"Hobbies")</f>
        <v>Hobbies</v>
      </c>
    </row>
    <row r="58">
      <c r="A58" s="20"/>
      <c r="B58" s="117">
        <f>IFERROR(__xludf.DUMMYFUNCTION("""COMPUTED_VALUE"""),42847.0)</f>
        <v>42847</v>
      </c>
      <c r="C58" s="20">
        <f>IFERROR(__xludf.DUMMYFUNCTION("""COMPUTED_VALUE"""),2017.0)</f>
        <v>2017</v>
      </c>
      <c r="D58" s="20" t="str">
        <f>IFERROR(__xludf.DUMMYFUNCTION("""COMPUTED_VALUE"""),"Holiday")</f>
        <v>Holiday</v>
      </c>
      <c r="E58" s="20" t="str">
        <f>IFERROR(__xludf.DUMMYFUNCTION("""COMPUTED_VALUE"""),"Gifts")</f>
        <v>Gifts</v>
      </c>
      <c r="F58" s="118">
        <f>IFERROR(__xludf.DUMMYFUNCTION("""COMPUTED_VALUE"""),102.0835643994595)</f>
        <v>102.0835644</v>
      </c>
      <c r="G58" s="20">
        <f>IFERROR(__xludf.DUMMYFUNCTION("""COMPUTED_VALUE"""),701669.0)</f>
        <v>701669</v>
      </c>
      <c r="H58" s="20">
        <f>IFERROR(__xludf.DUMMYFUNCTION("""COMPUTED_VALUE"""),4.0)</f>
        <v>4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121"/>
      <c r="Z58" s="20"/>
      <c r="AA58" s="20" t="str">
        <f>IFERROR(__xludf.DUMMYFUNCTION("""COMPUTED_VALUE"""),"Vision")</f>
        <v>Vision</v>
      </c>
      <c r="AB58" s="20" t="str">
        <f>IFERROR(__xludf.DUMMYFUNCTION("""COMPUTED_VALUE"""),"Healthcare")</f>
        <v>Healthcare</v>
      </c>
    </row>
    <row r="59">
      <c r="A59" s="20"/>
      <c r="B59" s="117">
        <f>IFERROR(__xludf.DUMMYFUNCTION("""COMPUTED_VALUE"""),42850.0)</f>
        <v>42850</v>
      </c>
      <c r="C59" s="20">
        <f>IFERROR(__xludf.DUMMYFUNCTION("""COMPUTED_VALUE"""),2017.0)</f>
        <v>2017</v>
      </c>
      <c r="D59" s="20" t="str">
        <f>IFERROR(__xludf.DUMMYFUNCTION("""COMPUTED_VALUE"""),"Late fee")</f>
        <v>Late fee</v>
      </c>
      <c r="E59" s="20" t="str">
        <f>IFERROR(__xludf.DUMMYFUNCTION("""COMPUTED_VALUE"""),"Credit Card Fees")</f>
        <v>Credit Card Fees</v>
      </c>
      <c r="F59" s="118">
        <f>IFERROR(__xludf.DUMMYFUNCTION("""COMPUTED_VALUE"""),261.62990369158155)</f>
        <v>261.6299037</v>
      </c>
      <c r="G59" s="20">
        <f>IFERROR(__xludf.DUMMYFUNCTION("""COMPUTED_VALUE"""),162951.0)</f>
        <v>162951</v>
      </c>
      <c r="H59" s="20">
        <f>IFERROR(__xludf.DUMMYFUNCTION("""COMPUTED_VALUE"""),4.0)</f>
        <v>4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121"/>
      <c r="Z59" s="20"/>
      <c r="AA59" s="20" t="str">
        <f>IFERROR(__xludf.DUMMYFUNCTION("""COMPUTED_VALUE"""),"Clothing")</f>
        <v>Clothing</v>
      </c>
      <c r="AB59" s="20" t="str">
        <f>IFERROR(__xludf.DUMMYFUNCTION("""COMPUTED_VALUE"""),"Clothing")</f>
        <v>Clothing</v>
      </c>
    </row>
    <row r="60">
      <c r="A60" s="20"/>
      <c r="B60" s="117">
        <f>IFERROR(__xludf.DUMMYFUNCTION("""COMPUTED_VALUE"""),42851.0)</f>
        <v>42851</v>
      </c>
      <c r="C60" s="20">
        <f>IFERROR(__xludf.DUMMYFUNCTION("""COMPUTED_VALUE"""),2017.0)</f>
        <v>2017</v>
      </c>
      <c r="D60" s="20" t="str">
        <f>IFERROR(__xludf.DUMMYFUNCTION("""COMPUTED_VALUE"""),"Television (e.g. cable, satellite, etc.)")</f>
        <v>Television (e.g. cable, satellite, etc.)</v>
      </c>
      <c r="E60" s="20" t="str">
        <f>IFERROR(__xludf.DUMMYFUNCTION("""COMPUTED_VALUE"""),"Utilities")</f>
        <v>Utilities</v>
      </c>
      <c r="F60" s="118">
        <f>IFERROR(__xludf.DUMMYFUNCTION("""COMPUTED_VALUE"""),95.33137310708014)</f>
        <v>95.33137311</v>
      </c>
      <c r="G60" s="20">
        <f>IFERROR(__xludf.DUMMYFUNCTION("""COMPUTED_VALUE"""),192207.0)</f>
        <v>192207</v>
      </c>
      <c r="H60" s="20">
        <f>IFERROR(__xludf.DUMMYFUNCTION("""COMPUTED_VALUE"""),4.0)</f>
        <v>4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121"/>
      <c r="Z60" s="20"/>
      <c r="AA60" s="20" t="str">
        <f>IFERROR(__xludf.DUMMYFUNCTION("""COMPUTED_VALUE"""),"Coffee house")</f>
        <v>Coffee house</v>
      </c>
      <c r="AB60" s="20" t="str">
        <f>IFERROR(__xludf.DUMMYFUNCTION("""COMPUTED_VALUE"""),"Food")</f>
        <v>Food</v>
      </c>
    </row>
    <row r="61">
      <c r="A61" s="20"/>
      <c r="B61" s="117">
        <f>IFERROR(__xludf.DUMMYFUNCTION("""COMPUTED_VALUE"""),42852.0)</f>
        <v>42852</v>
      </c>
      <c r="C61" s="20">
        <f>IFERROR(__xludf.DUMMYFUNCTION("""COMPUTED_VALUE"""),2017.0)</f>
        <v>2017</v>
      </c>
      <c r="D61" s="20" t="str">
        <f>IFERROR(__xludf.DUMMYFUNCTION("""COMPUTED_VALUE"""),"Transportation")</f>
        <v>Transportation</v>
      </c>
      <c r="E61" s="20" t="str">
        <f>IFERROR(__xludf.DUMMYFUNCTION("""COMPUTED_VALUE"""),"Vacation")</f>
        <v>Vacation</v>
      </c>
      <c r="F61" s="118">
        <f>IFERROR(__xludf.DUMMYFUNCTION("""COMPUTED_VALUE"""),180.9778977798694)</f>
        <v>180.9778978</v>
      </c>
      <c r="G61" s="20">
        <f>IFERROR(__xludf.DUMMYFUNCTION("""COMPUTED_VALUE"""),173589.0)</f>
        <v>173589</v>
      </c>
      <c r="H61" s="20">
        <f>IFERROR(__xludf.DUMMYFUNCTION("""COMPUTED_VALUE"""),4.0)</f>
        <v>4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21"/>
      <c r="Z61" s="20"/>
      <c r="AA61" s="20" t="str">
        <f>IFERROR(__xludf.DUMMYFUNCTION("""COMPUTED_VALUE"""),"Health")</f>
        <v>Health</v>
      </c>
      <c r="AB61" s="20" t="str">
        <f>IFERROR(__xludf.DUMMYFUNCTION("""COMPUTED_VALUE"""),"Insurance")</f>
        <v>Insurance</v>
      </c>
    </row>
    <row r="62">
      <c r="A62" s="20"/>
      <c r="B62" s="117">
        <f>IFERROR(__xludf.DUMMYFUNCTION("""COMPUTED_VALUE"""),42854.0)</f>
        <v>42854</v>
      </c>
      <c r="C62" s="20">
        <f>IFERROR(__xludf.DUMMYFUNCTION("""COMPUTED_VALUE"""),2017.0)</f>
        <v>2017</v>
      </c>
      <c r="D62" s="20" t="str">
        <f>IFERROR(__xludf.DUMMYFUNCTION("""COMPUTED_VALUE"""),"Supplies")</f>
        <v>Supplies</v>
      </c>
      <c r="E62" s="20" t="str">
        <f>IFERROR(__xludf.DUMMYFUNCTION("""COMPUTED_VALUE"""),"Household")</f>
        <v>Household</v>
      </c>
      <c r="F62" s="118">
        <f>IFERROR(__xludf.DUMMYFUNCTION("""COMPUTED_VALUE"""),161.71399876996622)</f>
        <v>161.7139988</v>
      </c>
      <c r="G62" s="20">
        <f>IFERROR(__xludf.DUMMYFUNCTION("""COMPUTED_VALUE"""),660372.0)</f>
        <v>660372</v>
      </c>
      <c r="H62" s="20">
        <f>IFERROR(__xludf.DUMMYFUNCTION("""COMPUTED_VALUE"""),4.0)</f>
        <v>4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21"/>
      <c r="Z62" s="20"/>
      <c r="AA62" s="20" t="str">
        <f>IFERROR(__xludf.DUMMYFUNCTION("""COMPUTED_VALUE"""),"Long term care")</f>
        <v>Long term care</v>
      </c>
      <c r="AB62" s="20" t="str">
        <f>IFERROR(__xludf.DUMMYFUNCTION("""COMPUTED_VALUE"""),"Insurance")</f>
        <v>Insurance</v>
      </c>
    </row>
    <row r="63">
      <c r="A63" s="20"/>
      <c r="B63" s="117">
        <f>IFERROR(__xludf.DUMMYFUNCTION("""COMPUTED_VALUE"""),42858.0)</f>
        <v>42858</v>
      </c>
      <c r="C63" s="20">
        <f>IFERROR(__xludf.DUMMYFUNCTION("""COMPUTED_VALUE"""),2017.0)</f>
        <v>2017</v>
      </c>
      <c r="D63" s="20" t="str">
        <f>IFERROR(__xludf.DUMMYFUNCTION("""COMPUTED_VALUE"""),"Sewer")</f>
        <v>Sewer</v>
      </c>
      <c r="E63" s="20" t="str">
        <f>IFERROR(__xludf.DUMMYFUNCTION("""COMPUTED_VALUE"""),"Utilities")</f>
        <v>Utilities</v>
      </c>
      <c r="F63" s="118">
        <f>IFERROR(__xludf.DUMMYFUNCTION("""COMPUTED_VALUE"""),273.981927391525)</f>
        <v>273.9819274</v>
      </c>
      <c r="G63" s="20">
        <f>IFERROR(__xludf.DUMMYFUNCTION("""COMPUTED_VALUE"""),385577.0)</f>
        <v>385577</v>
      </c>
      <c r="H63" s="20">
        <f>IFERROR(__xludf.DUMMYFUNCTION("""COMPUTED_VALUE"""),5.0)</f>
        <v>5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121"/>
      <c r="Z63" s="20"/>
      <c r="AA63" s="20" t="str">
        <f>IFERROR(__xludf.DUMMYFUNCTION("""COMPUTED_VALUE"""),"Rent / Mortgage payment")</f>
        <v>Rent / Mortgage payment</v>
      </c>
      <c r="AB63" s="20" t="str">
        <f>IFERROR(__xludf.DUMMYFUNCTION("""COMPUTED_VALUE"""),"Household")</f>
        <v>Household</v>
      </c>
    </row>
    <row r="64">
      <c r="A64" s="20"/>
      <c r="B64" s="117">
        <f>IFERROR(__xludf.DUMMYFUNCTION("""COMPUTED_VALUE"""),42861.0)</f>
        <v>42861</v>
      </c>
      <c r="C64" s="20">
        <f>IFERROR(__xludf.DUMMYFUNCTION("""COMPUTED_VALUE"""),2017.0)</f>
        <v>2017</v>
      </c>
      <c r="D64" s="20" t="str">
        <f>IFERROR(__xludf.DUMMYFUNCTION("""COMPUTED_VALUE"""),"Movie theater")</f>
        <v>Movie theater</v>
      </c>
      <c r="E64" s="20" t="str">
        <f>IFERROR(__xludf.DUMMYFUNCTION("""COMPUTED_VALUE"""),"Leisure (daily / non-vacation)")</f>
        <v>Leisure (daily / non-vacation)</v>
      </c>
      <c r="F64" s="118">
        <f>IFERROR(__xludf.DUMMYFUNCTION("""COMPUTED_VALUE"""),470.65172008823816)</f>
        <v>470.6517201</v>
      </c>
      <c r="G64" s="20">
        <f>IFERROR(__xludf.DUMMYFUNCTION("""COMPUTED_VALUE"""),887610.0)</f>
        <v>887610</v>
      </c>
      <c r="H64" s="20">
        <f>IFERROR(__xludf.DUMMYFUNCTION("""COMPUTED_VALUE"""),5.0)</f>
        <v>5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121"/>
      <c r="Z64" s="20"/>
      <c r="AA64" s="20" t="str">
        <f>IFERROR(__xludf.DUMMYFUNCTION("""COMPUTED_VALUE"""),"Registration fees")</f>
        <v>Registration fees</v>
      </c>
      <c r="AB64" s="20" t="str">
        <f>IFERROR(__xludf.DUMMYFUNCTION("""COMPUTED_VALUE"""),"Automobile")</f>
        <v>Automobile</v>
      </c>
    </row>
    <row r="65">
      <c r="A65" s="20"/>
      <c r="B65" s="117">
        <f>IFERROR(__xludf.DUMMYFUNCTION("""COMPUTED_VALUE"""),42865.0)</f>
        <v>42865</v>
      </c>
      <c r="C65" s="20">
        <f>IFERROR(__xludf.DUMMYFUNCTION("""COMPUTED_VALUE"""),2017.0)</f>
        <v>2017</v>
      </c>
      <c r="D65" s="20" t="str">
        <f>IFERROR(__xludf.DUMMYFUNCTION("""COMPUTED_VALUE"""),"Roadside assistance")</f>
        <v>Roadside assistance</v>
      </c>
      <c r="E65" s="20" t="str">
        <f>IFERROR(__xludf.DUMMYFUNCTION("""COMPUTED_VALUE"""),"Insurance")</f>
        <v>Insurance</v>
      </c>
      <c r="F65" s="118">
        <f>IFERROR(__xludf.DUMMYFUNCTION("""COMPUTED_VALUE"""),49.887293037020555)</f>
        <v>49.88729304</v>
      </c>
      <c r="G65" s="20">
        <f>IFERROR(__xludf.DUMMYFUNCTION("""COMPUTED_VALUE"""),868176.0)</f>
        <v>868176</v>
      </c>
      <c r="H65" s="20">
        <f>IFERROR(__xludf.DUMMYFUNCTION("""COMPUTED_VALUE"""),5.0)</f>
        <v>5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121"/>
      <c r="Z65" s="20"/>
      <c r="AA65" s="20" t="str">
        <f>IFERROR(__xludf.DUMMYFUNCTION("""COMPUTED_VALUE"""),"Gas")</f>
        <v>Gas</v>
      </c>
      <c r="AB65" s="20" t="str">
        <f>IFERROR(__xludf.DUMMYFUNCTION("""COMPUTED_VALUE"""),"Utilities")</f>
        <v>Utilities</v>
      </c>
    </row>
    <row r="66">
      <c r="A66" s="20"/>
      <c r="B66" s="117">
        <f>IFERROR(__xludf.DUMMYFUNCTION("""COMPUTED_VALUE"""),42866.0)</f>
        <v>42866</v>
      </c>
      <c r="C66" s="20">
        <f>IFERROR(__xludf.DUMMYFUNCTION("""COMPUTED_VALUE"""),2017.0)</f>
        <v>2017</v>
      </c>
      <c r="D66" s="20" t="str">
        <f>IFERROR(__xludf.DUMMYFUNCTION("""COMPUTED_VALUE"""),"Reserve funds (to set aside for planned expenses)")</f>
        <v>Reserve funds (to set aside for planned expenses)</v>
      </c>
      <c r="E66" s="20" t="str">
        <f>IFERROR(__xludf.DUMMYFUNCTION("""COMPUTED_VALUE"""),"Pet Care")</f>
        <v>Pet Care</v>
      </c>
      <c r="F66" s="118">
        <f>IFERROR(__xludf.DUMMYFUNCTION("""COMPUTED_VALUE"""),412.10087644228855)</f>
        <v>412.1008764</v>
      </c>
      <c r="G66" s="20">
        <f>IFERROR(__xludf.DUMMYFUNCTION("""COMPUTED_VALUE"""),667962.0)</f>
        <v>667962</v>
      </c>
      <c r="H66" s="20">
        <f>IFERROR(__xludf.DUMMYFUNCTION("""COMPUTED_VALUE"""),5.0)</f>
        <v>5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121"/>
      <c r="Z66" s="20"/>
      <c r="AA66" s="20" t="str">
        <f>IFERROR(__xludf.DUMMYFUNCTION("""COMPUTED_VALUE"""),"Hospital")</f>
        <v>Hospital</v>
      </c>
      <c r="AB66" s="20" t="str">
        <f>IFERROR(__xludf.DUMMYFUNCTION("""COMPUTED_VALUE"""),"Healthcare")</f>
        <v>Healthcare</v>
      </c>
    </row>
    <row r="67">
      <c r="A67" s="20"/>
      <c r="B67" s="117">
        <f>IFERROR(__xludf.DUMMYFUNCTION("""COMPUTED_VALUE"""),42870.0)</f>
        <v>42870</v>
      </c>
      <c r="C67" s="20">
        <f>IFERROR(__xludf.DUMMYFUNCTION("""COMPUTED_VALUE"""),2017.0)</f>
        <v>2017</v>
      </c>
      <c r="D67" s="20" t="str">
        <f>IFERROR(__xludf.DUMMYFUNCTION("""COMPUTED_VALUE"""),"Local")</f>
        <v>Local</v>
      </c>
      <c r="E67" s="20" t="str">
        <f>IFERROR(__xludf.DUMMYFUNCTION("""COMPUTED_VALUE"""),"Taxes")</f>
        <v>Taxes</v>
      </c>
      <c r="F67" s="118">
        <f>IFERROR(__xludf.DUMMYFUNCTION("""COMPUTED_VALUE"""),265.3566522427946)</f>
        <v>265.3566522</v>
      </c>
      <c r="G67" s="20">
        <f>IFERROR(__xludf.DUMMYFUNCTION("""COMPUTED_VALUE"""),320081.0)</f>
        <v>320081</v>
      </c>
      <c r="H67" s="20">
        <f>IFERROR(__xludf.DUMMYFUNCTION("""COMPUTED_VALUE"""),5.0)</f>
        <v>5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121"/>
      <c r="Z67" s="20"/>
      <c r="AA67" s="20" t="str">
        <f>IFERROR(__xludf.DUMMYFUNCTION("""COMPUTED_VALUE"""),"Child support")</f>
        <v>Child support</v>
      </c>
      <c r="AB67" s="20" t="str">
        <f>IFERROR(__xludf.DUMMYFUNCTION("""COMPUTED_VALUE"""),"Childcare")</f>
        <v>Childcare</v>
      </c>
    </row>
    <row r="68">
      <c r="A68" s="20"/>
      <c r="B68" s="117">
        <f>IFERROR(__xludf.DUMMYFUNCTION("""COMPUTED_VALUE"""),42871.0)</f>
        <v>42871</v>
      </c>
      <c r="C68" s="20">
        <f>IFERROR(__xludf.DUMMYFUNCTION("""COMPUTED_VALUE"""),2017.0)</f>
        <v>2017</v>
      </c>
      <c r="D68" s="20" t="str">
        <f>IFERROR(__xludf.DUMMYFUNCTION("""COMPUTED_VALUE"""),"Reimbursed")</f>
        <v>Reimbursed</v>
      </c>
      <c r="E68" s="20" t="str">
        <f>IFERROR(__xludf.DUMMYFUNCTION("""COMPUTED_VALUE"""),"Job expenses")</f>
        <v>Job expenses</v>
      </c>
      <c r="F68" s="118">
        <f>IFERROR(__xludf.DUMMYFUNCTION("""COMPUTED_VALUE"""),302.0064145639355)</f>
        <v>302.0064146</v>
      </c>
      <c r="G68" s="20">
        <f>IFERROR(__xludf.DUMMYFUNCTION("""COMPUTED_VALUE"""),402501.0)</f>
        <v>402501</v>
      </c>
      <c r="H68" s="20">
        <f>IFERROR(__xludf.DUMMYFUNCTION("""COMPUTED_VALUE"""),5.0)</f>
        <v>5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121"/>
      <c r="Z68" s="20"/>
      <c r="AA68" s="20" t="str">
        <f>IFERROR(__xludf.DUMMYFUNCTION("""COMPUTED_VALUE"""),"Finance charge / Interest")</f>
        <v>Finance charge / Interest</v>
      </c>
      <c r="AB68" s="20" t="str">
        <f>IFERROR(__xludf.DUMMYFUNCTION("""COMPUTED_VALUE"""),"Loans")</f>
        <v>Loans</v>
      </c>
    </row>
    <row r="69">
      <c r="A69" s="20"/>
      <c r="B69" s="117">
        <f>IFERROR(__xludf.DUMMYFUNCTION("""COMPUTED_VALUE"""),42873.0)</f>
        <v>42873</v>
      </c>
      <c r="C69" s="20">
        <f>IFERROR(__xludf.DUMMYFUNCTION("""COMPUTED_VALUE"""),2017.0)</f>
        <v>2017</v>
      </c>
      <c r="D69" s="20" t="str">
        <f>IFERROR(__xludf.DUMMYFUNCTION("""COMPUTED_VALUE"""),"Tuition")</f>
        <v>Tuition</v>
      </c>
      <c r="E69" s="20" t="str">
        <f>IFERROR(__xludf.DUMMYFUNCTION("""COMPUTED_VALUE"""),"Education")</f>
        <v>Education</v>
      </c>
      <c r="F69" s="118">
        <f>IFERROR(__xludf.DUMMYFUNCTION("""COMPUTED_VALUE"""),402.4615508049477)</f>
        <v>402.4615508</v>
      </c>
      <c r="G69" s="20">
        <f>IFERROR(__xludf.DUMMYFUNCTION("""COMPUTED_VALUE"""),481749.0)</f>
        <v>481749</v>
      </c>
      <c r="H69" s="20">
        <f>IFERROR(__xludf.DUMMYFUNCTION("""COMPUTED_VALUE"""),5.0)</f>
        <v>5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21"/>
      <c r="Z69" s="20"/>
      <c r="AA69" s="20" t="str">
        <f>IFERROR(__xludf.DUMMYFUNCTION("""COMPUTED_VALUE"""),"Cash advance fee")</f>
        <v>Cash advance fee</v>
      </c>
      <c r="AB69" s="20" t="str">
        <f>IFERROR(__xludf.DUMMYFUNCTION("""COMPUTED_VALUE"""),"Credit Card Fees")</f>
        <v>Credit Card Fees</v>
      </c>
    </row>
    <row r="70">
      <c r="A70" s="20"/>
      <c r="B70" s="117">
        <f>IFERROR(__xludf.DUMMYFUNCTION("""COMPUTED_VALUE"""),42875.0)</f>
        <v>42875</v>
      </c>
      <c r="C70" s="20">
        <f>IFERROR(__xludf.DUMMYFUNCTION("""COMPUTED_VALUE"""),2017.0)</f>
        <v>2017</v>
      </c>
      <c r="D70" s="20" t="str">
        <f>IFERROR(__xludf.DUMMYFUNCTION("""COMPUTED_VALUE"""),"Over the counter medication")</f>
        <v>Over the counter medication</v>
      </c>
      <c r="E70" s="20" t="str">
        <f>IFERROR(__xludf.DUMMYFUNCTION("""COMPUTED_VALUE"""),"Healthcare")</f>
        <v>Healthcare</v>
      </c>
      <c r="F70" s="118">
        <f>IFERROR(__xludf.DUMMYFUNCTION("""COMPUTED_VALUE"""),357.4409021363257)</f>
        <v>357.4409021</v>
      </c>
      <c r="G70" s="20">
        <f>IFERROR(__xludf.DUMMYFUNCTION("""COMPUTED_VALUE"""),663565.0)</f>
        <v>663565</v>
      </c>
      <c r="H70" s="20">
        <f>IFERROR(__xludf.DUMMYFUNCTION("""COMPUTED_VALUE"""),5.0)</f>
        <v>5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21"/>
      <c r="Z70" s="20"/>
      <c r="AA70" s="20" t="str">
        <f>IFERROR(__xludf.DUMMYFUNCTION("""COMPUTED_VALUE"""),"Books")</f>
        <v>Books</v>
      </c>
      <c r="AB70" s="20" t="str">
        <f>IFERROR(__xludf.DUMMYFUNCTION("""COMPUTED_VALUE"""),"Education")</f>
        <v>Education</v>
      </c>
    </row>
    <row r="71">
      <c r="A71" s="20"/>
      <c r="B71" s="117">
        <f>IFERROR(__xludf.DUMMYFUNCTION("""COMPUTED_VALUE"""),42876.0)</f>
        <v>42876</v>
      </c>
      <c r="C71" s="20">
        <f>IFERROR(__xludf.DUMMYFUNCTION("""COMPUTED_VALUE"""),2017.0)</f>
        <v>2017</v>
      </c>
      <c r="D71" s="20" t="str">
        <f>IFERROR(__xludf.DUMMYFUNCTION("""COMPUTED_VALUE"""),"Video games")</f>
        <v>Video games</v>
      </c>
      <c r="E71" s="20" t="str">
        <f>IFERROR(__xludf.DUMMYFUNCTION("""COMPUTED_VALUE"""),"Hobbies")</f>
        <v>Hobbies</v>
      </c>
      <c r="F71" s="118">
        <f>IFERROR(__xludf.DUMMYFUNCTION("""COMPUTED_VALUE"""),363.9754877855056)</f>
        <v>363.9754878</v>
      </c>
      <c r="G71" s="20">
        <f>IFERROR(__xludf.DUMMYFUNCTION("""COMPUTED_VALUE"""),676609.0)</f>
        <v>676609</v>
      </c>
      <c r="H71" s="20">
        <f>IFERROR(__xludf.DUMMYFUNCTION("""COMPUTED_VALUE"""),5.0)</f>
        <v>5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121"/>
      <c r="Z71" s="20"/>
      <c r="AA71" s="20" t="str">
        <f>IFERROR(__xludf.DUMMYFUNCTION("""COMPUTED_VALUE"""),"Food")</f>
        <v>Food</v>
      </c>
      <c r="AB71" s="20" t="str">
        <f>IFERROR(__xludf.DUMMYFUNCTION("""COMPUTED_VALUE"""),"Pet Care")</f>
        <v>Pet Care</v>
      </c>
    </row>
    <row r="72">
      <c r="A72" s="20"/>
      <c r="B72" s="117">
        <f>IFERROR(__xludf.DUMMYFUNCTION("""COMPUTED_VALUE"""),42877.0)</f>
        <v>42877</v>
      </c>
      <c r="C72" s="20">
        <f>IFERROR(__xludf.DUMMYFUNCTION("""COMPUTED_VALUE"""),2017.0)</f>
        <v>2017</v>
      </c>
      <c r="D72" s="20" t="str">
        <f>IFERROR(__xludf.DUMMYFUNCTION("""COMPUTED_VALUE"""),"Vision")</f>
        <v>Vision</v>
      </c>
      <c r="E72" s="20" t="str">
        <f>IFERROR(__xludf.DUMMYFUNCTION("""COMPUTED_VALUE"""),"Healthcare")</f>
        <v>Healthcare</v>
      </c>
      <c r="F72" s="118">
        <f>IFERROR(__xludf.DUMMYFUNCTION("""COMPUTED_VALUE"""),187.919174842057)</f>
        <v>187.9191748</v>
      </c>
      <c r="G72" s="20">
        <f>IFERROR(__xludf.DUMMYFUNCTION("""COMPUTED_VALUE"""),608642.0)</f>
        <v>608642</v>
      </c>
      <c r="H72" s="20">
        <f>IFERROR(__xludf.DUMMYFUNCTION("""COMPUTED_VALUE"""),5.0)</f>
        <v>5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21"/>
      <c r="Z72" s="20"/>
      <c r="AA72" s="20" t="str">
        <f>IFERROR(__xludf.DUMMYFUNCTION("""COMPUTED_VALUE"""),"Professional dues")</f>
        <v>Professional dues</v>
      </c>
      <c r="AB72" s="20" t="str">
        <f>IFERROR(__xludf.DUMMYFUNCTION("""COMPUTED_VALUE"""),"Job expenses")</f>
        <v>Job expenses</v>
      </c>
    </row>
    <row r="73">
      <c r="A73" s="20"/>
      <c r="B73" s="117">
        <f>IFERROR(__xludf.DUMMYFUNCTION("""COMPUTED_VALUE"""),42879.0)</f>
        <v>42879</v>
      </c>
      <c r="C73" s="20">
        <f>IFERROR(__xludf.DUMMYFUNCTION("""COMPUTED_VALUE"""),2017.0)</f>
        <v>2017</v>
      </c>
      <c r="D73" s="20" t="str">
        <f>IFERROR(__xludf.DUMMYFUNCTION("""COMPUTED_VALUE"""),"Clothing")</f>
        <v>Clothing</v>
      </c>
      <c r="E73" s="20" t="str">
        <f>IFERROR(__xludf.DUMMYFUNCTION("""COMPUTED_VALUE"""),"Clothing")</f>
        <v>Clothing</v>
      </c>
      <c r="F73" s="118">
        <f>IFERROR(__xludf.DUMMYFUNCTION("""COMPUTED_VALUE"""),318.80777812761596)</f>
        <v>318.8077781</v>
      </c>
      <c r="G73" s="20">
        <f>IFERROR(__xludf.DUMMYFUNCTION("""COMPUTED_VALUE"""),119021.0)</f>
        <v>119021</v>
      </c>
      <c r="H73" s="20">
        <f>IFERROR(__xludf.DUMMYFUNCTION("""COMPUTED_VALUE"""),5.0)</f>
        <v>5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121"/>
      <c r="Z73" s="20"/>
      <c r="AA73" s="20" t="str">
        <f>IFERROR(__xludf.DUMMYFUNCTION("""COMPUTED_VALUE"""),"Emergency fund")</f>
        <v>Emergency fund</v>
      </c>
      <c r="AB73" s="20" t="str">
        <f>IFERROR(__xludf.DUMMYFUNCTION("""COMPUTED_VALUE"""),"Pet Care")</f>
        <v>Pet Care</v>
      </c>
    </row>
    <row r="74">
      <c r="A74" s="20"/>
      <c r="B74" s="117">
        <f>IFERROR(__xludf.DUMMYFUNCTION("""COMPUTED_VALUE"""),42881.0)</f>
        <v>42881</v>
      </c>
      <c r="C74" s="20">
        <f>IFERROR(__xludf.DUMMYFUNCTION("""COMPUTED_VALUE"""),2017.0)</f>
        <v>2017</v>
      </c>
      <c r="D74" s="20" t="str">
        <f>IFERROR(__xludf.DUMMYFUNCTION("""COMPUTED_VALUE"""),"Late fee")</f>
        <v>Late fee</v>
      </c>
      <c r="E74" s="20" t="str">
        <f>IFERROR(__xludf.DUMMYFUNCTION("""COMPUTED_VALUE"""),"Credit Card Fees")</f>
        <v>Credit Card Fees</v>
      </c>
      <c r="F74" s="118">
        <f>IFERROR(__xludf.DUMMYFUNCTION("""COMPUTED_VALUE"""),379.0545411060567)</f>
        <v>379.0545411</v>
      </c>
      <c r="G74" s="20">
        <f>IFERROR(__xludf.DUMMYFUNCTION("""COMPUTED_VALUE"""),834086.0)</f>
        <v>834086</v>
      </c>
      <c r="H74" s="20">
        <f>IFERROR(__xludf.DUMMYFUNCTION("""COMPUTED_VALUE"""),5.0)</f>
        <v>5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21"/>
      <c r="Z74" s="20"/>
      <c r="AA74" s="20" t="str">
        <f>IFERROR(__xludf.DUMMYFUNCTION("""COMPUTED_VALUE"""),"Lodging")</f>
        <v>Lodging</v>
      </c>
      <c r="AB74" s="20" t="str">
        <f>IFERROR(__xludf.DUMMYFUNCTION("""COMPUTED_VALUE"""),"Vacation")</f>
        <v>Vacation</v>
      </c>
    </row>
    <row r="75">
      <c r="A75" s="20"/>
      <c r="B75" s="117">
        <f>IFERROR(__xludf.DUMMYFUNCTION("""COMPUTED_VALUE"""),42885.0)</f>
        <v>42885</v>
      </c>
      <c r="C75" s="20">
        <f>IFERROR(__xludf.DUMMYFUNCTION("""COMPUTED_VALUE"""),2017.0)</f>
        <v>2017</v>
      </c>
      <c r="D75" s="20" t="str">
        <f>IFERROR(__xludf.DUMMYFUNCTION("""COMPUTED_VALUE"""),"Electricity")</f>
        <v>Electricity</v>
      </c>
      <c r="E75" s="20" t="str">
        <f>IFERROR(__xludf.DUMMYFUNCTION("""COMPUTED_VALUE"""),"Utilities")</f>
        <v>Utilities</v>
      </c>
      <c r="F75" s="118">
        <f>IFERROR(__xludf.DUMMYFUNCTION("""COMPUTED_VALUE"""),115.67235956784795)</f>
        <v>115.6723596</v>
      </c>
      <c r="G75" s="20">
        <f>IFERROR(__xludf.DUMMYFUNCTION("""COMPUTED_VALUE"""),526997.0)</f>
        <v>526997</v>
      </c>
      <c r="H75" s="20">
        <f>IFERROR(__xludf.DUMMYFUNCTION("""COMPUTED_VALUE"""),5.0)</f>
        <v>5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21"/>
      <c r="Z75" s="20"/>
      <c r="AA75" s="20" t="str">
        <f>IFERROR(__xludf.DUMMYFUNCTION("""COMPUTED_VALUE"""),"Moving")</f>
        <v>Moving</v>
      </c>
      <c r="AB75" s="20" t="str">
        <f>IFERROR(__xludf.DUMMYFUNCTION("""COMPUTED_VALUE"""),"Events")</f>
        <v>Events</v>
      </c>
    </row>
    <row r="76">
      <c r="A76" s="20"/>
      <c r="B76" s="117">
        <f>IFERROR(__xludf.DUMMYFUNCTION("""COMPUTED_VALUE"""),42889.0)</f>
        <v>42889</v>
      </c>
      <c r="C76" s="20">
        <f>IFERROR(__xludf.DUMMYFUNCTION("""COMPUTED_VALUE"""),2017.0)</f>
        <v>2017</v>
      </c>
      <c r="D76" s="20" t="str">
        <f>IFERROR(__xludf.DUMMYFUNCTION("""COMPUTED_VALUE"""),"Coffee house")</f>
        <v>Coffee house</v>
      </c>
      <c r="E76" s="20" t="str">
        <f>IFERROR(__xludf.DUMMYFUNCTION("""COMPUTED_VALUE"""),"Food")</f>
        <v>Food</v>
      </c>
      <c r="F76" s="118">
        <f>IFERROR(__xludf.DUMMYFUNCTION("""COMPUTED_VALUE"""),475.80547598946845)</f>
        <v>475.805476</v>
      </c>
      <c r="G76" s="20">
        <f>IFERROR(__xludf.DUMMYFUNCTION("""COMPUTED_VALUE"""),505552.0)</f>
        <v>505552</v>
      </c>
      <c r="H76" s="20">
        <f>IFERROR(__xludf.DUMMYFUNCTION("""COMPUTED_VALUE"""),6.0)</f>
        <v>6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21"/>
      <c r="Z76" s="20"/>
      <c r="AA76" s="20" t="str">
        <f>IFERROR(__xludf.DUMMYFUNCTION("""COMPUTED_VALUE"""),"Wedding / Wedding shower")</f>
        <v>Wedding / Wedding shower</v>
      </c>
      <c r="AB76" s="20" t="str">
        <f>IFERROR(__xludf.DUMMYFUNCTION("""COMPUTED_VALUE"""),"Gifts")</f>
        <v>Gifts</v>
      </c>
    </row>
    <row r="77">
      <c r="A77" s="20"/>
      <c r="B77" s="117">
        <f>IFERROR(__xludf.DUMMYFUNCTION("""COMPUTED_VALUE"""),42891.0)</f>
        <v>42891</v>
      </c>
      <c r="C77" s="20">
        <f>IFERROR(__xludf.DUMMYFUNCTION("""COMPUTED_VALUE"""),2017.0)</f>
        <v>2017</v>
      </c>
      <c r="D77" s="20" t="str">
        <f>IFERROR(__xludf.DUMMYFUNCTION("""COMPUTED_VALUE"""),"Supplies")</f>
        <v>Supplies</v>
      </c>
      <c r="E77" s="20" t="str">
        <f>IFERROR(__xludf.DUMMYFUNCTION("""COMPUTED_VALUE"""),"Household")</f>
        <v>Household</v>
      </c>
      <c r="F77" s="118">
        <f>IFERROR(__xludf.DUMMYFUNCTION("""COMPUTED_VALUE"""),392.2468234415198)</f>
        <v>392.2468234</v>
      </c>
      <c r="G77" s="20">
        <f>IFERROR(__xludf.DUMMYFUNCTION("""COMPUTED_VALUE"""),343465.0)</f>
        <v>343465</v>
      </c>
      <c r="H77" s="20">
        <f>IFERROR(__xludf.DUMMYFUNCTION("""COMPUTED_VALUE"""),6.0)</f>
        <v>6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121"/>
      <c r="Z77" s="20"/>
      <c r="AA77" s="20" t="str">
        <f>IFERROR(__xludf.DUMMYFUNCTION("""COMPUTED_VALUE"""),"Home maintenance and repair")</f>
        <v>Home maintenance and repair</v>
      </c>
      <c r="AB77" s="20" t="str">
        <f>IFERROR(__xludf.DUMMYFUNCTION("""COMPUTED_VALUE"""),"Household")</f>
        <v>Household</v>
      </c>
    </row>
    <row r="78">
      <c r="A78" s="20"/>
      <c r="B78" s="117">
        <f>IFERROR(__xludf.DUMMYFUNCTION("""COMPUTED_VALUE"""),42892.0)</f>
        <v>42892</v>
      </c>
      <c r="C78" s="20">
        <f>IFERROR(__xludf.DUMMYFUNCTION("""COMPUTED_VALUE"""),2017.0)</f>
        <v>2017</v>
      </c>
      <c r="D78" s="20" t="str">
        <f>IFERROR(__xludf.DUMMYFUNCTION("""COMPUTED_VALUE"""),"Health")</f>
        <v>Health</v>
      </c>
      <c r="E78" s="20" t="str">
        <f>IFERROR(__xludf.DUMMYFUNCTION("""COMPUTED_VALUE"""),"Insurance")</f>
        <v>Insurance</v>
      </c>
      <c r="F78" s="118">
        <f>IFERROR(__xludf.DUMMYFUNCTION("""COMPUTED_VALUE"""),345.05099432031636)</f>
        <v>345.0509943</v>
      </c>
      <c r="G78" s="20">
        <f>IFERROR(__xludf.DUMMYFUNCTION("""COMPUTED_VALUE"""),520630.0)</f>
        <v>520630</v>
      </c>
      <c r="H78" s="20">
        <f>IFERROR(__xludf.DUMMYFUNCTION("""COMPUTED_VALUE"""),6.0)</f>
        <v>6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121"/>
      <c r="Z78" s="20"/>
      <c r="AA78" s="20" t="str">
        <f>IFERROR(__xludf.DUMMYFUNCTION("""COMPUTED_VALUE"""),"Over the limit fee")</f>
        <v>Over the limit fee</v>
      </c>
      <c r="AB78" s="20" t="str">
        <f>IFERROR(__xludf.DUMMYFUNCTION("""COMPUTED_VALUE"""),"Credit Card Fees")</f>
        <v>Credit Card Fees</v>
      </c>
    </row>
    <row r="79">
      <c r="A79" s="20"/>
      <c r="B79" s="117">
        <f>IFERROR(__xludf.DUMMYFUNCTION("""COMPUTED_VALUE"""),42893.0)</f>
        <v>42893</v>
      </c>
      <c r="C79" s="20">
        <f>IFERROR(__xludf.DUMMYFUNCTION("""COMPUTED_VALUE"""),2017.0)</f>
        <v>2017</v>
      </c>
      <c r="D79" s="20" t="str">
        <f>IFERROR(__xludf.DUMMYFUNCTION("""COMPUTED_VALUE"""),"Long term care")</f>
        <v>Long term care</v>
      </c>
      <c r="E79" s="20" t="str">
        <f>IFERROR(__xludf.DUMMYFUNCTION("""COMPUTED_VALUE"""),"Insurance")</f>
        <v>Insurance</v>
      </c>
      <c r="F79" s="118">
        <f>IFERROR(__xludf.DUMMYFUNCTION("""COMPUTED_VALUE"""),411.14433183186696)</f>
        <v>411.1443318</v>
      </c>
      <c r="G79" s="20">
        <f>IFERROR(__xludf.DUMMYFUNCTION("""COMPUTED_VALUE"""),193997.0)</f>
        <v>193997</v>
      </c>
      <c r="H79" s="20">
        <f>IFERROR(__xludf.DUMMYFUNCTION("""COMPUTED_VALUE"""),6.0)</f>
        <v>6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121"/>
      <c r="Z79" s="20"/>
      <c r="AA79" s="20" t="str">
        <f>IFERROR(__xludf.DUMMYFUNCTION("""COMPUTED_VALUE"""),"Babysitting")</f>
        <v>Babysitting</v>
      </c>
      <c r="AB79" s="20" t="str">
        <f>IFERROR(__xludf.DUMMYFUNCTION("""COMPUTED_VALUE"""),"Childcare")</f>
        <v>Childcare</v>
      </c>
    </row>
    <row r="80">
      <c r="A80" s="20"/>
      <c r="B80" s="117">
        <f>IFERROR(__xludf.DUMMYFUNCTION("""COMPUTED_VALUE"""),42896.0)</f>
        <v>42896</v>
      </c>
      <c r="C80" s="20">
        <f>IFERROR(__xludf.DUMMYFUNCTION("""COMPUTED_VALUE"""),2017.0)</f>
        <v>2017</v>
      </c>
      <c r="D80" s="20" t="str">
        <f>IFERROR(__xludf.DUMMYFUNCTION("""COMPUTED_VALUE"""),"School supplies")</f>
        <v>School supplies</v>
      </c>
      <c r="E80" s="20" t="str">
        <f>IFERROR(__xludf.DUMMYFUNCTION("""COMPUTED_VALUE"""),"Education")</f>
        <v>Education</v>
      </c>
      <c r="F80" s="118">
        <f>IFERROR(__xludf.DUMMYFUNCTION("""COMPUTED_VALUE"""),456.1284003648143)</f>
        <v>456.1284004</v>
      </c>
      <c r="G80" s="20">
        <f>IFERROR(__xludf.DUMMYFUNCTION("""COMPUTED_VALUE"""),930700.0)</f>
        <v>930700</v>
      </c>
      <c r="H80" s="20">
        <f>IFERROR(__xludf.DUMMYFUNCTION("""COMPUTED_VALUE"""),6.0)</f>
        <v>6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121"/>
      <c r="Z80" s="20"/>
      <c r="AA80" s="20" t="str">
        <f>IFERROR(__xludf.DUMMYFUNCTION("""COMPUTED_VALUE"""),"Prescriptions")</f>
        <v>Prescriptions</v>
      </c>
      <c r="AB80" s="20" t="str">
        <f>IFERROR(__xludf.DUMMYFUNCTION("""COMPUTED_VALUE"""),"Healthcare")</f>
        <v>Healthcare</v>
      </c>
    </row>
    <row r="81">
      <c r="A81" s="20"/>
      <c r="B81" s="117">
        <f>IFERROR(__xludf.DUMMYFUNCTION("""COMPUTED_VALUE"""),42897.0)</f>
        <v>42897</v>
      </c>
      <c r="C81" s="20">
        <f>IFERROR(__xludf.DUMMYFUNCTION("""COMPUTED_VALUE"""),2017.0)</f>
        <v>2017</v>
      </c>
      <c r="D81" s="20" t="str">
        <f>IFERROR(__xludf.DUMMYFUNCTION("""COMPUTED_VALUE"""),"Rent / Mortgage payment")</f>
        <v>Rent / Mortgage payment</v>
      </c>
      <c r="E81" s="20" t="str">
        <f>IFERROR(__xludf.DUMMYFUNCTION("""COMPUTED_VALUE"""),"Household")</f>
        <v>Household</v>
      </c>
      <c r="F81" s="118">
        <f>IFERROR(__xludf.DUMMYFUNCTION("""COMPUTED_VALUE"""),300.99471594826366)</f>
        <v>300.9947159</v>
      </c>
      <c r="G81" s="20">
        <f>IFERROR(__xludf.DUMMYFUNCTION("""COMPUTED_VALUE"""),141839.0)</f>
        <v>141839</v>
      </c>
      <c r="H81" s="20">
        <f>IFERROR(__xludf.DUMMYFUNCTION("""COMPUTED_VALUE"""),6.0)</f>
        <v>6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121"/>
      <c r="Z81" s="20"/>
      <c r="AA81" s="20" t="str">
        <f>IFERROR(__xludf.DUMMYFUNCTION("""COMPUTED_VALUE"""),"Rewards programs")</f>
        <v>Rewards programs</v>
      </c>
      <c r="AB81" s="20" t="str">
        <f>IFERROR(__xludf.DUMMYFUNCTION("""COMPUTED_VALUE"""),"Credit Card Fees")</f>
        <v>Credit Card Fees</v>
      </c>
    </row>
    <row r="82">
      <c r="A82" s="20"/>
      <c r="B82" s="117">
        <f>IFERROR(__xludf.DUMMYFUNCTION("""COMPUTED_VALUE"""),42901.0)</f>
        <v>42901</v>
      </c>
      <c r="C82" s="20">
        <f>IFERROR(__xludf.DUMMYFUNCTION("""COMPUTED_VALUE"""),2017.0)</f>
        <v>2017</v>
      </c>
      <c r="D82" s="20" t="str">
        <f>IFERROR(__xludf.DUMMYFUNCTION("""COMPUTED_VALUE"""),"Registration fees")</f>
        <v>Registration fees</v>
      </c>
      <c r="E82" s="20" t="str">
        <f>IFERROR(__xludf.DUMMYFUNCTION("""COMPUTED_VALUE"""),"Automobile")</f>
        <v>Automobile</v>
      </c>
      <c r="F82" s="118">
        <f>IFERROR(__xludf.DUMMYFUNCTION("""COMPUTED_VALUE"""),39.26886942974365)</f>
        <v>39.26886943</v>
      </c>
      <c r="G82" s="20">
        <f>IFERROR(__xludf.DUMMYFUNCTION("""COMPUTED_VALUE"""),724742.0)</f>
        <v>724742</v>
      </c>
      <c r="H82" s="20">
        <f>IFERROR(__xludf.DUMMYFUNCTION("""COMPUTED_VALUE"""),6.0)</f>
        <v>6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121"/>
      <c r="Z82" s="20"/>
      <c r="AA82" s="20" t="str">
        <f>IFERROR(__xludf.DUMMYFUNCTION("""COMPUTED_VALUE"""),"Field trips")</f>
        <v>Field trips</v>
      </c>
      <c r="AB82" s="20" t="str">
        <f>IFERROR(__xludf.DUMMYFUNCTION("""COMPUTED_VALUE"""),"Education")</f>
        <v>Education</v>
      </c>
    </row>
    <row r="83">
      <c r="A83" s="20"/>
      <c r="B83" s="117">
        <f>IFERROR(__xludf.DUMMYFUNCTION("""COMPUTED_VALUE"""),42902.0)</f>
        <v>42902</v>
      </c>
      <c r="C83" s="20">
        <f>IFERROR(__xludf.DUMMYFUNCTION("""COMPUTED_VALUE"""),2017.0)</f>
        <v>2017</v>
      </c>
      <c r="D83" s="20" t="str">
        <f>IFERROR(__xludf.DUMMYFUNCTION("""COMPUTED_VALUE"""),"Local")</f>
        <v>Local</v>
      </c>
      <c r="E83" s="20" t="str">
        <f>IFERROR(__xludf.DUMMYFUNCTION("""COMPUTED_VALUE"""),"Taxes")</f>
        <v>Taxes</v>
      </c>
      <c r="F83" s="118">
        <f>IFERROR(__xludf.DUMMYFUNCTION("""COMPUTED_VALUE"""),97.81093400352003)</f>
        <v>97.810934</v>
      </c>
      <c r="G83" s="20">
        <f>IFERROR(__xludf.DUMMYFUNCTION("""COMPUTED_VALUE"""),976150.0)</f>
        <v>976150</v>
      </c>
      <c r="H83" s="20">
        <f>IFERROR(__xludf.DUMMYFUNCTION("""COMPUTED_VALUE"""),6.0)</f>
        <v>6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121"/>
      <c r="Z83" s="20"/>
      <c r="AA83" s="20" t="str">
        <f>IFERROR(__xludf.DUMMYFUNCTION("""COMPUTED_VALUE"""),"Homeowner’s association dues")</f>
        <v>Homeowner’s association dues</v>
      </c>
      <c r="AB83" s="20" t="str">
        <f>IFERROR(__xludf.DUMMYFUNCTION("""COMPUTED_VALUE"""),"Household")</f>
        <v>Household</v>
      </c>
    </row>
    <row r="84">
      <c r="A84" s="20"/>
      <c r="B84" s="117">
        <f>IFERROR(__xludf.DUMMYFUNCTION("""COMPUTED_VALUE"""),42904.0)</f>
        <v>42904</v>
      </c>
      <c r="C84" s="20">
        <f>IFERROR(__xludf.DUMMYFUNCTION("""COMPUTED_VALUE"""),2017.0)</f>
        <v>2017</v>
      </c>
      <c r="D84" s="20" t="str">
        <f>IFERROR(__xludf.DUMMYFUNCTION("""COMPUTED_VALUE"""),"Gas")</f>
        <v>Gas</v>
      </c>
      <c r="E84" s="20" t="str">
        <f>IFERROR(__xludf.DUMMYFUNCTION("""COMPUTED_VALUE"""),"Utilities")</f>
        <v>Utilities</v>
      </c>
      <c r="F84" s="118">
        <f>IFERROR(__xludf.DUMMYFUNCTION("""COMPUTED_VALUE"""),427.574324430036)</f>
        <v>427.5743244</v>
      </c>
      <c r="G84" s="20">
        <f>IFERROR(__xludf.DUMMYFUNCTION("""COMPUTED_VALUE"""),304312.0)</f>
        <v>304312</v>
      </c>
      <c r="H84" s="20">
        <f>IFERROR(__xludf.DUMMYFUNCTION("""COMPUTED_VALUE"""),6.0)</f>
        <v>6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121"/>
      <c r="Z84" s="20"/>
      <c r="AA84" s="20" t="str">
        <f>IFERROR(__xludf.DUMMYFUNCTION("""COMPUTED_VALUE"""),"Tools")</f>
        <v>Tools</v>
      </c>
      <c r="AB84" s="20" t="str">
        <f>IFERROR(__xludf.DUMMYFUNCTION("""COMPUTED_VALUE"""),"Household")</f>
        <v>Household</v>
      </c>
    </row>
    <row r="85">
      <c r="A85" s="20"/>
      <c r="B85" s="117">
        <f>IFERROR(__xludf.DUMMYFUNCTION("""COMPUTED_VALUE"""),42908.0)</f>
        <v>42908</v>
      </c>
      <c r="C85" s="20">
        <f>IFERROR(__xludf.DUMMYFUNCTION("""COMPUTED_VALUE"""),2017.0)</f>
        <v>2017</v>
      </c>
      <c r="D85" s="20" t="str">
        <f>IFERROR(__xludf.DUMMYFUNCTION("""COMPUTED_VALUE"""),"Service fees")</f>
        <v>Service fees</v>
      </c>
      <c r="E85" s="20" t="str">
        <f>IFERROR(__xludf.DUMMYFUNCTION("""COMPUTED_VALUE"""),"Bank Charges")</f>
        <v>Bank Charges</v>
      </c>
      <c r="F85" s="118">
        <f>IFERROR(__xludf.DUMMYFUNCTION("""COMPUTED_VALUE"""),281.6031992583558)</f>
        <v>281.6031993</v>
      </c>
      <c r="G85" s="20">
        <f>IFERROR(__xludf.DUMMYFUNCTION("""COMPUTED_VALUE"""),827631.0)</f>
        <v>827631</v>
      </c>
      <c r="H85" s="20">
        <f>IFERROR(__xludf.DUMMYFUNCTION("""COMPUTED_VALUE"""),6.0)</f>
        <v>6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121"/>
      <c r="Z85" s="20"/>
      <c r="AA85" s="20" t="str">
        <f>IFERROR(__xludf.DUMMYFUNCTION("""COMPUTED_VALUE"""),"Tourist attractions (e.g. amusement parks, museums, zoos, etc.)")</f>
        <v>Tourist attractions (e.g. amusement parks, museums, zoos, etc.)</v>
      </c>
      <c r="AB85" s="20" t="str">
        <f>IFERROR(__xludf.DUMMYFUNCTION("""COMPUTED_VALUE"""),"Hobbies")</f>
        <v>Hobbies</v>
      </c>
    </row>
    <row r="86">
      <c r="A86" s="20"/>
      <c r="B86" s="117">
        <f>IFERROR(__xludf.DUMMYFUNCTION("""COMPUTED_VALUE"""),42909.0)</f>
        <v>42909</v>
      </c>
      <c r="C86" s="20">
        <f>IFERROR(__xludf.DUMMYFUNCTION("""COMPUTED_VALUE"""),2017.0)</f>
        <v>2017</v>
      </c>
      <c r="D86" s="20" t="str">
        <f>IFERROR(__xludf.DUMMYFUNCTION("""COMPUTED_VALUE"""),"Minimum usage fee")</f>
        <v>Minimum usage fee</v>
      </c>
      <c r="E86" s="20" t="str">
        <f>IFERROR(__xludf.DUMMYFUNCTION("""COMPUTED_VALUE"""),"Credit Card Fees")</f>
        <v>Credit Card Fees</v>
      </c>
      <c r="F86" s="118">
        <f>IFERROR(__xludf.DUMMYFUNCTION("""COMPUTED_VALUE"""),494.2933287145465)</f>
        <v>494.2933287</v>
      </c>
      <c r="G86" s="20">
        <f>IFERROR(__xludf.DUMMYFUNCTION("""COMPUTED_VALUE"""),923028.0)</f>
        <v>923028</v>
      </c>
      <c r="H86" s="20">
        <f>IFERROR(__xludf.DUMMYFUNCTION("""COMPUTED_VALUE"""),6.0)</f>
        <v>6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21"/>
      <c r="Z86" s="20"/>
      <c r="AA86" s="20" t="str">
        <f>IFERROR(__xludf.DUMMYFUNCTION("""COMPUTED_VALUE"""),"Magazines")</f>
        <v>Magazines</v>
      </c>
      <c r="AB86" s="20" t="str">
        <f>IFERROR(__xludf.DUMMYFUNCTION("""COMPUTED_VALUE"""),"Leisure (daily / non-vacation)")</f>
        <v>Leisure (daily / non-vacation)</v>
      </c>
    </row>
    <row r="87">
      <c r="A87" s="20"/>
      <c r="B87" s="117">
        <f>IFERROR(__xludf.DUMMYFUNCTION("""COMPUTED_VALUE"""),42911.0)</f>
        <v>42911</v>
      </c>
      <c r="C87" s="20">
        <f>IFERROR(__xludf.DUMMYFUNCTION("""COMPUTED_VALUE"""),2017.0)</f>
        <v>2017</v>
      </c>
      <c r="D87" s="20" t="str">
        <f>IFERROR(__xludf.DUMMYFUNCTION("""COMPUTED_VALUE"""),"Hospital")</f>
        <v>Hospital</v>
      </c>
      <c r="E87" s="20" t="str">
        <f>IFERROR(__xludf.DUMMYFUNCTION("""COMPUTED_VALUE"""),"Healthcare")</f>
        <v>Healthcare</v>
      </c>
      <c r="F87" s="118">
        <f>IFERROR(__xludf.DUMMYFUNCTION("""COMPUTED_VALUE"""),246.89547178770414)</f>
        <v>246.8954718</v>
      </c>
      <c r="G87" s="20">
        <f>IFERROR(__xludf.DUMMYFUNCTION("""COMPUTED_VALUE"""),821208.0)</f>
        <v>821208</v>
      </c>
      <c r="H87" s="20">
        <f>IFERROR(__xludf.DUMMYFUNCTION("""COMPUTED_VALUE"""),6.0)</f>
        <v>6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121"/>
      <c r="Z87" s="20"/>
      <c r="AA87" s="20" t="str">
        <f>IFERROR(__xludf.DUMMYFUNCTION("""COMPUTED_VALUE"""),"Water")</f>
        <v>Water</v>
      </c>
      <c r="AB87" s="20" t="str">
        <f>IFERROR(__xludf.DUMMYFUNCTION("""COMPUTED_VALUE"""),"Utilities")</f>
        <v>Utilities</v>
      </c>
    </row>
    <row r="88">
      <c r="A88" s="20"/>
      <c r="B88" s="117">
        <f>IFERROR(__xludf.DUMMYFUNCTION("""COMPUTED_VALUE"""),42914.0)</f>
        <v>42914</v>
      </c>
      <c r="C88" s="20">
        <f>IFERROR(__xludf.DUMMYFUNCTION("""COMPUTED_VALUE"""),2017.0)</f>
        <v>2017</v>
      </c>
      <c r="D88" s="20" t="str">
        <f>IFERROR(__xludf.DUMMYFUNCTION("""COMPUTED_VALUE"""),"Coffee house")</f>
        <v>Coffee house</v>
      </c>
      <c r="E88" s="20" t="str">
        <f>IFERROR(__xludf.DUMMYFUNCTION("""COMPUTED_VALUE"""),"Food")</f>
        <v>Food</v>
      </c>
      <c r="F88" s="118">
        <f>IFERROR(__xludf.DUMMYFUNCTION("""COMPUTED_VALUE"""),107.67422326063556)</f>
        <v>107.6742233</v>
      </c>
      <c r="G88" s="20">
        <f>IFERROR(__xludf.DUMMYFUNCTION("""COMPUTED_VALUE"""),437904.0)</f>
        <v>437904</v>
      </c>
      <c r="H88" s="20">
        <f>IFERROR(__xludf.DUMMYFUNCTION("""COMPUTED_VALUE"""),6.0)</f>
        <v>6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21"/>
      <c r="Z88" s="20"/>
      <c r="AA88" s="20" t="str">
        <f>IFERROR(__xludf.DUMMYFUNCTION("""COMPUTED_VALUE"""),"Furniture")</f>
        <v>Furniture</v>
      </c>
      <c r="AB88" s="20" t="str">
        <f>IFERROR(__xludf.DUMMYFUNCTION("""COMPUTED_VALUE"""),"Household")</f>
        <v>Household</v>
      </c>
    </row>
    <row r="89">
      <c r="A89" s="20"/>
      <c r="B89" s="117">
        <f>IFERROR(__xludf.DUMMYFUNCTION("""COMPUTED_VALUE"""),42915.0)</f>
        <v>42915</v>
      </c>
      <c r="C89" s="20">
        <f>IFERROR(__xludf.DUMMYFUNCTION("""COMPUTED_VALUE"""),2017.0)</f>
        <v>2017</v>
      </c>
      <c r="D89" s="20" t="str">
        <f>IFERROR(__xludf.DUMMYFUNCTION("""COMPUTED_VALUE"""),"Child support")</f>
        <v>Child support</v>
      </c>
      <c r="E89" s="20" t="str">
        <f>IFERROR(__xludf.DUMMYFUNCTION("""COMPUTED_VALUE"""),"Childcare")</f>
        <v>Childcare</v>
      </c>
      <c r="F89" s="118">
        <f>IFERROR(__xludf.DUMMYFUNCTION("""COMPUTED_VALUE"""),168.397640540906)</f>
        <v>168.3976405</v>
      </c>
      <c r="G89" s="20">
        <f>IFERROR(__xludf.DUMMYFUNCTION("""COMPUTED_VALUE"""),779737.0)</f>
        <v>779737</v>
      </c>
      <c r="H89" s="20">
        <f>IFERROR(__xludf.DUMMYFUNCTION("""COMPUTED_VALUE"""),6.0)</f>
        <v>6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121"/>
      <c r="Z89" s="20"/>
      <c r="AA89" s="20" t="str">
        <f>IFERROR(__xludf.DUMMYFUNCTION("""COMPUTED_VALUE"""),"Automobile")</f>
        <v>Automobile</v>
      </c>
      <c r="AB89" s="20" t="str">
        <f>IFERROR(__xludf.DUMMYFUNCTION("""COMPUTED_VALUE"""),"Insurance")</f>
        <v>Insurance</v>
      </c>
    </row>
    <row r="90">
      <c r="A90" s="20"/>
      <c r="B90" s="117">
        <f>IFERROR(__xludf.DUMMYFUNCTION("""COMPUTED_VALUE"""),42916.0)</f>
        <v>42916</v>
      </c>
      <c r="C90" s="20">
        <f>IFERROR(__xludf.DUMMYFUNCTION("""COMPUTED_VALUE"""),2017.0)</f>
        <v>2017</v>
      </c>
      <c r="D90" s="20" t="str">
        <f>IFERROR(__xludf.DUMMYFUNCTION("""COMPUTED_VALUE"""),"Coffee house")</f>
        <v>Coffee house</v>
      </c>
      <c r="E90" s="20" t="str">
        <f>IFERROR(__xludf.DUMMYFUNCTION("""COMPUTED_VALUE"""),"Food")</f>
        <v>Food</v>
      </c>
      <c r="F90" s="118">
        <f>IFERROR(__xludf.DUMMYFUNCTION("""COMPUTED_VALUE"""),473.6004955541795)</f>
        <v>473.6004956</v>
      </c>
      <c r="G90" s="20">
        <f>IFERROR(__xludf.DUMMYFUNCTION("""COMPUTED_VALUE"""),506254.0)</f>
        <v>506254</v>
      </c>
      <c r="H90" s="20">
        <f>IFERROR(__xludf.DUMMYFUNCTION("""COMPUTED_VALUE"""),6.0)</f>
        <v>6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21"/>
      <c r="Z90" s="20"/>
      <c r="AA90" s="20" t="str">
        <f>IFERROR(__xludf.DUMMYFUNCTION("""COMPUTED_VALUE"""),"Retirement")</f>
        <v>Retirement</v>
      </c>
      <c r="AB90" s="20" t="str">
        <f>IFERROR(__xludf.DUMMYFUNCTION("""COMPUTED_VALUE"""),"Pet Care")</f>
        <v>Pet Care</v>
      </c>
    </row>
    <row r="91">
      <c r="A91" s="20"/>
      <c r="B91" s="117">
        <f>IFERROR(__xludf.DUMMYFUNCTION("""COMPUTED_VALUE"""),42919.0)</f>
        <v>42919</v>
      </c>
      <c r="C91" s="20">
        <f>IFERROR(__xludf.DUMMYFUNCTION("""COMPUTED_VALUE"""),2017.0)</f>
        <v>2017</v>
      </c>
      <c r="D91" s="20" t="str">
        <f>IFERROR(__xludf.DUMMYFUNCTION("""COMPUTED_VALUE"""),"Finance charge / Interest")</f>
        <v>Finance charge / Interest</v>
      </c>
      <c r="E91" s="20" t="str">
        <f>IFERROR(__xludf.DUMMYFUNCTION("""COMPUTED_VALUE"""),"Loans")</f>
        <v>Loans</v>
      </c>
      <c r="F91" s="118">
        <f>IFERROR(__xludf.DUMMYFUNCTION("""COMPUTED_VALUE"""),191.5916046114482)</f>
        <v>191.5916046</v>
      </c>
      <c r="G91" s="20">
        <f>IFERROR(__xludf.DUMMYFUNCTION("""COMPUTED_VALUE"""),400530.0)</f>
        <v>400530</v>
      </c>
      <c r="H91" s="20">
        <f>IFERROR(__xludf.DUMMYFUNCTION("""COMPUTED_VALUE"""),7.0)</f>
        <v>7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121"/>
      <c r="Z91" s="20"/>
      <c r="AA91" s="20" t="str">
        <f>IFERROR(__xludf.DUMMYFUNCTION("""COMPUTED_VALUE"""),"Check orders")</f>
        <v>Check orders</v>
      </c>
      <c r="AB91" s="20" t="str">
        <f>IFERROR(__xludf.DUMMYFUNCTION("""COMPUTED_VALUE"""),"Bank Charges")</f>
        <v>Bank Charges</v>
      </c>
    </row>
    <row r="92">
      <c r="A92" s="20"/>
      <c r="B92" s="117">
        <f>IFERROR(__xludf.DUMMYFUNCTION("""COMPUTED_VALUE"""),42921.0)</f>
        <v>42921</v>
      </c>
      <c r="C92" s="20">
        <f>IFERROR(__xludf.DUMMYFUNCTION("""COMPUTED_VALUE"""),2017.0)</f>
        <v>2017</v>
      </c>
      <c r="D92" s="20" t="str">
        <f>IFERROR(__xludf.DUMMYFUNCTION("""COMPUTED_VALUE"""),"Cash advance fee")</f>
        <v>Cash advance fee</v>
      </c>
      <c r="E92" s="20" t="str">
        <f>IFERROR(__xludf.DUMMYFUNCTION("""COMPUTED_VALUE"""),"Credit Card Fees")</f>
        <v>Credit Card Fees</v>
      </c>
      <c r="F92" s="118">
        <f>IFERROR(__xludf.DUMMYFUNCTION("""COMPUTED_VALUE"""),258.5463739549168)</f>
        <v>258.546374</v>
      </c>
      <c r="G92" s="20">
        <f>IFERROR(__xludf.DUMMYFUNCTION("""COMPUTED_VALUE"""),138496.0)</f>
        <v>138496</v>
      </c>
      <c r="H92" s="20">
        <f>IFERROR(__xludf.DUMMYFUNCTION("""COMPUTED_VALUE"""),7.0)</f>
        <v>7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21"/>
      <c r="Z92" s="20"/>
      <c r="AA92" s="20" t="str">
        <f>IFERROR(__xludf.DUMMYFUNCTION("""COMPUTED_VALUE"""),"Toys")</f>
        <v>Toys</v>
      </c>
      <c r="AB92" s="20" t="str">
        <f>IFERROR(__xludf.DUMMYFUNCTION("""COMPUTED_VALUE"""),"Hobbies")</f>
        <v>Hobbies</v>
      </c>
    </row>
    <row r="93">
      <c r="A93" s="20"/>
      <c r="B93" s="117">
        <f>IFERROR(__xludf.DUMMYFUNCTION("""COMPUTED_VALUE"""),42925.0)</f>
        <v>42925</v>
      </c>
      <c r="C93" s="20">
        <f>IFERROR(__xludf.DUMMYFUNCTION("""COMPUTED_VALUE"""),2017.0)</f>
        <v>2017</v>
      </c>
      <c r="D93" s="20" t="str">
        <f>IFERROR(__xludf.DUMMYFUNCTION("""COMPUTED_VALUE"""),"Gasoline")</f>
        <v>Gasoline</v>
      </c>
      <c r="E93" s="20" t="str">
        <f>IFERROR(__xludf.DUMMYFUNCTION("""COMPUTED_VALUE"""),"Automobile")</f>
        <v>Automobile</v>
      </c>
      <c r="F93" s="118">
        <f>IFERROR(__xludf.DUMMYFUNCTION("""COMPUTED_VALUE"""),29.400596328238464)</f>
        <v>29.40059633</v>
      </c>
      <c r="G93" s="20">
        <f>IFERROR(__xludf.DUMMYFUNCTION("""COMPUTED_VALUE"""),660090.0)</f>
        <v>660090</v>
      </c>
      <c r="H93" s="20">
        <f>IFERROR(__xludf.DUMMYFUNCTION("""COMPUTED_VALUE"""),7.0)</f>
        <v>7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21"/>
      <c r="Z93" s="20"/>
      <c r="AA93" s="20" t="str">
        <f>IFERROR(__xludf.DUMMYFUNCTION("""COMPUTED_VALUE"""),"Federal")</f>
        <v>Federal</v>
      </c>
      <c r="AB93" s="20" t="str">
        <f>IFERROR(__xludf.DUMMYFUNCTION("""COMPUTED_VALUE"""),"Taxes")</f>
        <v>Taxes</v>
      </c>
    </row>
    <row r="94">
      <c r="A94" s="20"/>
      <c r="B94" s="117">
        <f>IFERROR(__xludf.DUMMYFUNCTION("""COMPUTED_VALUE"""),42928.0)</f>
        <v>42928</v>
      </c>
      <c r="C94" s="20">
        <f>IFERROR(__xludf.DUMMYFUNCTION("""COMPUTED_VALUE"""),2017.0)</f>
        <v>2017</v>
      </c>
      <c r="D94" s="20" t="str">
        <f>IFERROR(__xludf.DUMMYFUNCTION("""COMPUTED_VALUE"""),"Books")</f>
        <v>Books</v>
      </c>
      <c r="E94" s="20" t="str">
        <f>IFERROR(__xludf.DUMMYFUNCTION("""COMPUTED_VALUE"""),"Education")</f>
        <v>Education</v>
      </c>
      <c r="F94" s="118">
        <f>IFERROR(__xludf.DUMMYFUNCTION("""COMPUTED_VALUE"""),188.1299001143907)</f>
        <v>188.1299001</v>
      </c>
      <c r="G94" s="20">
        <f>IFERROR(__xludf.DUMMYFUNCTION("""COMPUTED_VALUE"""),482124.0)</f>
        <v>482124</v>
      </c>
      <c r="H94" s="20">
        <f>IFERROR(__xludf.DUMMYFUNCTION("""COMPUTED_VALUE"""),7.0)</f>
        <v>7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121"/>
      <c r="Z94" s="20"/>
      <c r="AA94" s="20" t="str">
        <f>IFERROR(__xludf.DUMMYFUNCTION("""COMPUTED_VALUE"""),"Loan Payment")</f>
        <v>Loan Payment</v>
      </c>
      <c r="AB94" s="20" t="str">
        <f>IFERROR(__xludf.DUMMYFUNCTION("""COMPUTED_VALUE"""),"Loans")</f>
        <v>Loans</v>
      </c>
    </row>
    <row r="95">
      <c r="A95" s="20"/>
      <c r="B95" s="117">
        <f>IFERROR(__xludf.DUMMYFUNCTION("""COMPUTED_VALUE"""),42931.0)</f>
        <v>42931</v>
      </c>
      <c r="C95" s="20">
        <f>IFERROR(__xludf.DUMMYFUNCTION("""COMPUTED_VALUE"""),2017.0)</f>
        <v>2017</v>
      </c>
      <c r="D95" s="20" t="str">
        <f>IFERROR(__xludf.DUMMYFUNCTION("""COMPUTED_VALUE"""),"Television (e.g. cable, satellite, etc.)")</f>
        <v>Television (e.g. cable, satellite, etc.)</v>
      </c>
      <c r="E95" s="20" t="str">
        <f>IFERROR(__xludf.DUMMYFUNCTION("""COMPUTED_VALUE"""),"Utilities")</f>
        <v>Utilities</v>
      </c>
      <c r="F95" s="118">
        <f>IFERROR(__xludf.DUMMYFUNCTION("""COMPUTED_VALUE"""),14.428470268119224)</f>
        <v>14.42847027</v>
      </c>
      <c r="G95" s="20">
        <f>IFERROR(__xludf.DUMMYFUNCTION("""COMPUTED_VALUE"""),917055.0)</f>
        <v>917055</v>
      </c>
      <c r="H95" s="20">
        <f>IFERROR(__xludf.DUMMYFUNCTION("""COMPUTED_VALUE"""),7.0)</f>
        <v>7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121"/>
      <c r="Z95" s="20"/>
      <c r="AA95" s="20" t="str">
        <f>IFERROR(__xludf.DUMMYFUNCTION("""COMPUTED_VALUE"""),"Entertainment")</f>
        <v>Entertainment</v>
      </c>
      <c r="AB95" s="20" t="str">
        <f>IFERROR(__xludf.DUMMYFUNCTION("""COMPUTED_VALUE"""),"Vacation")</f>
        <v>Vacation</v>
      </c>
    </row>
    <row r="96">
      <c r="A96" s="20"/>
      <c r="B96" s="117">
        <f>IFERROR(__xludf.DUMMYFUNCTION("""COMPUTED_VALUE"""),42933.0)</f>
        <v>42933</v>
      </c>
      <c r="C96" s="20">
        <f>IFERROR(__xludf.DUMMYFUNCTION("""COMPUTED_VALUE"""),2017.0)</f>
        <v>2017</v>
      </c>
      <c r="D96" s="20" t="str">
        <f>IFERROR(__xludf.DUMMYFUNCTION("""COMPUTED_VALUE"""),"Food")</f>
        <v>Food</v>
      </c>
      <c r="E96" s="20" t="str">
        <f>IFERROR(__xludf.DUMMYFUNCTION("""COMPUTED_VALUE"""),"Pet Care")</f>
        <v>Pet Care</v>
      </c>
      <c r="F96" s="118">
        <f>IFERROR(__xludf.DUMMYFUNCTION("""COMPUTED_VALUE"""),255.68623926537072)</f>
        <v>255.6862393</v>
      </c>
      <c r="G96" s="20">
        <f>IFERROR(__xludf.DUMMYFUNCTION("""COMPUTED_VALUE"""),708908.0)</f>
        <v>708908</v>
      </c>
      <c r="H96" s="20">
        <f>IFERROR(__xludf.DUMMYFUNCTION("""COMPUTED_VALUE"""),7.0)</f>
        <v>7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121"/>
      <c r="Z96" s="20"/>
      <c r="AA96" s="20" t="str">
        <f>IFERROR(__xludf.DUMMYFUNCTION("""COMPUTED_VALUE"""),"Investments")</f>
        <v>Investments</v>
      </c>
      <c r="AB96" s="20" t="str">
        <f>IFERROR(__xludf.DUMMYFUNCTION("""COMPUTED_VALUE"""),"Pet Care")</f>
        <v>Pet Care</v>
      </c>
    </row>
    <row r="97">
      <c r="A97" s="20"/>
      <c r="B97" s="117">
        <f>IFERROR(__xludf.DUMMYFUNCTION("""COMPUTED_VALUE"""),42936.0)</f>
        <v>42936</v>
      </c>
      <c r="C97" s="20">
        <f>IFERROR(__xludf.DUMMYFUNCTION("""COMPUTED_VALUE"""),2017.0)</f>
        <v>2017</v>
      </c>
      <c r="D97" s="20" t="str">
        <f>IFERROR(__xludf.DUMMYFUNCTION("""COMPUTED_VALUE"""),"Sporting events")</f>
        <v>Sporting events</v>
      </c>
      <c r="E97" s="20" t="str">
        <f>IFERROR(__xludf.DUMMYFUNCTION("""COMPUTED_VALUE"""),"Leisure (daily / non-vacation)")</f>
        <v>Leisure (daily / non-vacation)</v>
      </c>
      <c r="F97" s="118">
        <f>IFERROR(__xludf.DUMMYFUNCTION("""COMPUTED_VALUE"""),218.47931650068213)</f>
        <v>218.4793165</v>
      </c>
      <c r="G97" s="20">
        <f>IFERROR(__xludf.DUMMYFUNCTION("""COMPUTED_VALUE"""),191891.0)</f>
        <v>191891</v>
      </c>
      <c r="H97" s="20">
        <f>IFERROR(__xludf.DUMMYFUNCTION("""COMPUTED_VALUE"""),7.0)</f>
        <v>7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121"/>
      <c r="Z97" s="20"/>
      <c r="AA97" s="20" t="str">
        <f>IFERROR(__xludf.DUMMYFUNCTION("""COMPUTED_VALUE"""),"Video rental / Pay per view")</f>
        <v>Video rental / Pay per view</v>
      </c>
      <c r="AB97" s="20" t="str">
        <f>IFERROR(__xludf.DUMMYFUNCTION("""COMPUTED_VALUE"""),"Leisure (daily / non-vacation)")</f>
        <v>Leisure (daily / non-vacation)</v>
      </c>
    </row>
    <row r="98">
      <c r="A98" s="20"/>
      <c r="B98" s="117">
        <f>IFERROR(__xludf.DUMMYFUNCTION("""COMPUTED_VALUE"""),42938.0)</f>
        <v>42938</v>
      </c>
      <c r="C98" s="20">
        <f>IFERROR(__xludf.DUMMYFUNCTION("""COMPUTED_VALUE"""),2017.0)</f>
        <v>2017</v>
      </c>
      <c r="D98" s="20" t="str">
        <f>IFERROR(__xludf.DUMMYFUNCTION("""COMPUTED_VALUE"""),"Auto loan payment")</f>
        <v>Auto loan payment</v>
      </c>
      <c r="E98" s="20" t="str">
        <f>IFERROR(__xludf.DUMMYFUNCTION("""COMPUTED_VALUE"""),"Automobile")</f>
        <v>Automobile</v>
      </c>
      <c r="F98" s="118">
        <f>IFERROR(__xludf.DUMMYFUNCTION("""COMPUTED_VALUE"""),375.83574617271285)</f>
        <v>375.8357462</v>
      </c>
      <c r="G98" s="20">
        <f>IFERROR(__xludf.DUMMYFUNCTION("""COMPUTED_VALUE"""),719747.0)</f>
        <v>719747</v>
      </c>
      <c r="H98" s="20">
        <f>IFERROR(__xludf.DUMMYFUNCTION("""COMPUTED_VALUE"""),7.0)</f>
        <v>7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121"/>
      <c r="Z98" s="20"/>
      <c r="AA98" s="20" t="str">
        <f>IFERROR(__xludf.DUMMYFUNCTION("""COMPUTED_VALUE"""),"Insufficient funds fee")</f>
        <v>Insufficient funds fee</v>
      </c>
      <c r="AB98" s="20" t="str">
        <f>IFERROR(__xludf.DUMMYFUNCTION("""COMPUTED_VALUE"""),"Bank Charges")</f>
        <v>Bank Charges</v>
      </c>
    </row>
    <row r="99">
      <c r="A99" s="20"/>
      <c r="B99" s="117">
        <f>IFERROR(__xludf.DUMMYFUNCTION("""COMPUTED_VALUE"""),42941.0)</f>
        <v>42941</v>
      </c>
      <c r="C99" s="20">
        <f>IFERROR(__xludf.DUMMYFUNCTION("""COMPUTED_VALUE"""),2017.0)</f>
        <v>2017</v>
      </c>
      <c r="D99" s="20" t="str">
        <f>IFERROR(__xludf.DUMMYFUNCTION("""COMPUTED_VALUE"""),"Local")</f>
        <v>Local</v>
      </c>
      <c r="E99" s="20" t="str">
        <f>IFERROR(__xludf.DUMMYFUNCTION("""COMPUTED_VALUE"""),"Taxes")</f>
        <v>Taxes</v>
      </c>
      <c r="F99" s="118">
        <f>IFERROR(__xludf.DUMMYFUNCTION("""COMPUTED_VALUE"""),211.19763823016405)</f>
        <v>211.1976382</v>
      </c>
      <c r="G99" s="20">
        <f>IFERROR(__xludf.DUMMYFUNCTION("""COMPUTED_VALUE"""),500271.0)</f>
        <v>500271</v>
      </c>
      <c r="H99" s="20">
        <f>IFERROR(__xludf.DUMMYFUNCTION("""COMPUTED_VALUE"""),7.0)</f>
        <v>7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121"/>
      <c r="Z99" s="20"/>
      <c r="AA99" s="20" t="str">
        <f>IFERROR(__xludf.DUMMYFUNCTION("""COMPUTED_VALUE"""),"Annual fee")</f>
        <v>Annual fee</v>
      </c>
      <c r="AB99" s="20" t="str">
        <f>IFERROR(__xludf.DUMMYFUNCTION("""COMPUTED_VALUE"""),"Credit Card Fees")</f>
        <v>Credit Card Fees</v>
      </c>
    </row>
    <row r="100">
      <c r="A100" s="20"/>
      <c r="B100" s="117">
        <f>IFERROR(__xludf.DUMMYFUNCTION("""COMPUTED_VALUE"""),42945.0)</f>
        <v>42945</v>
      </c>
      <c r="C100" s="20">
        <f>IFERROR(__xludf.DUMMYFUNCTION("""COMPUTED_VALUE"""),2017.0)</f>
        <v>2017</v>
      </c>
      <c r="D100" s="20" t="str">
        <f>IFERROR(__xludf.DUMMYFUNCTION("""COMPUTED_VALUE"""),"Cash advance fee")</f>
        <v>Cash advance fee</v>
      </c>
      <c r="E100" s="20" t="str">
        <f>IFERROR(__xludf.DUMMYFUNCTION("""COMPUTED_VALUE"""),"Credit Card Fees")</f>
        <v>Credit Card Fees</v>
      </c>
      <c r="F100" s="118">
        <f>IFERROR(__xludf.DUMMYFUNCTION("""COMPUTED_VALUE"""),159.9793126449874)</f>
        <v>159.9793126</v>
      </c>
      <c r="G100" s="20">
        <f>IFERROR(__xludf.DUMMYFUNCTION("""COMPUTED_VALUE"""),578619.0)</f>
        <v>578619</v>
      </c>
      <c r="H100" s="20">
        <f>IFERROR(__xludf.DUMMYFUNCTION("""COMPUTED_VALUE"""),7.0)</f>
        <v>7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121"/>
      <c r="Z100" s="20"/>
      <c r="AA100" s="20" t="str">
        <f>IFERROR(__xludf.DUMMYFUNCTION("""COMPUTED_VALUE"""),"Finance charge")</f>
        <v>Finance charge</v>
      </c>
      <c r="AB100" s="20" t="str">
        <f>IFERROR(__xludf.DUMMYFUNCTION("""COMPUTED_VALUE"""),"Credit Card Fees")</f>
        <v>Credit Card Fees</v>
      </c>
    </row>
    <row r="101">
      <c r="A101" s="20"/>
      <c r="B101" s="117">
        <f>IFERROR(__xludf.DUMMYFUNCTION("""COMPUTED_VALUE"""),42948.0)</f>
        <v>42948</v>
      </c>
      <c r="C101" s="20">
        <f>IFERROR(__xludf.DUMMYFUNCTION("""COMPUTED_VALUE"""),2017.0)</f>
        <v>2017</v>
      </c>
      <c r="D101" s="20" t="str">
        <f>IFERROR(__xludf.DUMMYFUNCTION("""COMPUTED_VALUE"""),"Just because")</f>
        <v>Just because</v>
      </c>
      <c r="E101" s="20" t="str">
        <f>IFERROR(__xludf.DUMMYFUNCTION("""COMPUTED_VALUE"""),"Gifts")</f>
        <v>Gifts</v>
      </c>
      <c r="F101" s="118">
        <f>IFERROR(__xludf.DUMMYFUNCTION("""COMPUTED_VALUE"""),219.7054671907676)</f>
        <v>219.7054672</v>
      </c>
      <c r="G101" s="20">
        <f>IFERROR(__xludf.DUMMYFUNCTION("""COMPUTED_VALUE"""),708757.0)</f>
        <v>708757</v>
      </c>
      <c r="H101" s="20">
        <f>IFERROR(__xludf.DUMMYFUNCTION("""COMPUTED_VALUE"""),8.0)</f>
        <v>8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121"/>
      <c r="Z101" s="20"/>
      <c r="AA101" s="20" t="str">
        <f>IFERROR(__xludf.DUMMYFUNCTION("""COMPUTED_VALUE"""),"Telephone / Cell phone")</f>
        <v>Telephone / Cell phone</v>
      </c>
      <c r="AB101" s="20" t="str">
        <f>IFERROR(__xludf.DUMMYFUNCTION("""COMPUTED_VALUE"""),"Utilities")</f>
        <v>Utilities</v>
      </c>
    </row>
    <row r="102">
      <c r="A102" s="20"/>
      <c r="B102" s="117">
        <f>IFERROR(__xludf.DUMMYFUNCTION("""COMPUTED_VALUE"""),42952.0)</f>
        <v>42952</v>
      </c>
      <c r="C102" s="20">
        <f>IFERROR(__xludf.DUMMYFUNCTION("""COMPUTED_VALUE"""),2017.0)</f>
        <v>2017</v>
      </c>
      <c r="D102" s="20" t="str">
        <f>IFERROR(__xludf.DUMMYFUNCTION("""COMPUTED_VALUE"""),"Professional dues")</f>
        <v>Professional dues</v>
      </c>
      <c r="E102" s="20" t="str">
        <f>IFERROR(__xludf.DUMMYFUNCTION("""COMPUTED_VALUE"""),"Job expenses")</f>
        <v>Job expenses</v>
      </c>
      <c r="F102" s="118">
        <f>IFERROR(__xludf.DUMMYFUNCTION("""COMPUTED_VALUE"""),223.01777972570096)</f>
        <v>223.0177797</v>
      </c>
      <c r="G102" s="20">
        <f>IFERROR(__xludf.DUMMYFUNCTION("""COMPUTED_VALUE"""),168176.0)</f>
        <v>168176</v>
      </c>
      <c r="H102" s="20">
        <f>IFERROR(__xludf.DUMMYFUNCTION("""COMPUTED_VALUE"""),8.0)</f>
        <v>8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121"/>
      <c r="Z102" s="20"/>
      <c r="AA102" s="20" t="str">
        <f>IFERROR(__xludf.DUMMYFUNCTION("""COMPUTED_VALUE"""),"Vending machines")</f>
        <v>Vending machines</v>
      </c>
      <c r="AB102" s="20" t="str">
        <f>IFERROR(__xludf.DUMMYFUNCTION("""COMPUTED_VALUE"""),"Food")</f>
        <v>Food</v>
      </c>
    </row>
    <row r="103">
      <c r="A103" s="20"/>
      <c r="B103" s="117">
        <f>IFERROR(__xludf.DUMMYFUNCTION("""COMPUTED_VALUE"""),42955.0)</f>
        <v>42955</v>
      </c>
      <c r="C103" s="20">
        <f>IFERROR(__xludf.DUMMYFUNCTION("""COMPUTED_VALUE"""),2017.0)</f>
        <v>2017</v>
      </c>
      <c r="D103" s="20" t="str">
        <f>IFERROR(__xludf.DUMMYFUNCTION("""COMPUTED_VALUE"""),"Maintenance")</f>
        <v>Maintenance</v>
      </c>
      <c r="E103" s="20" t="str">
        <f>IFERROR(__xludf.DUMMYFUNCTION("""COMPUTED_VALUE"""),"Automobile")</f>
        <v>Automobile</v>
      </c>
      <c r="F103" s="118">
        <f>IFERROR(__xludf.DUMMYFUNCTION("""COMPUTED_VALUE"""),223.05517286321574)</f>
        <v>223.0551729</v>
      </c>
      <c r="G103" s="20">
        <f>IFERROR(__xludf.DUMMYFUNCTION("""COMPUTED_VALUE"""),103007.0)</f>
        <v>103007</v>
      </c>
      <c r="H103" s="20">
        <f>IFERROR(__xludf.DUMMYFUNCTION("""COMPUTED_VALUE"""),8.0)</f>
        <v>8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121"/>
      <c r="Z103" s="20"/>
      <c r="AA103" s="20" t="str">
        <f>IFERROR(__xludf.DUMMYFUNCTION("""COMPUTED_VALUE"""),"Baby shower")</f>
        <v>Baby shower</v>
      </c>
      <c r="AB103" s="20" t="str">
        <f>IFERROR(__xludf.DUMMYFUNCTION("""COMPUTED_VALUE"""),"Gifts")</f>
        <v>Gifts</v>
      </c>
    </row>
    <row r="104">
      <c r="A104" s="20"/>
      <c r="B104" s="117">
        <f>IFERROR(__xludf.DUMMYFUNCTION("""COMPUTED_VALUE"""),42957.0)</f>
        <v>42957</v>
      </c>
      <c r="C104" s="20">
        <f>IFERROR(__xludf.DUMMYFUNCTION("""COMPUTED_VALUE"""),2017.0)</f>
        <v>2017</v>
      </c>
      <c r="D104" s="20" t="str">
        <f>IFERROR(__xludf.DUMMYFUNCTION("""COMPUTED_VALUE"""),"Movie theater")</f>
        <v>Movie theater</v>
      </c>
      <c r="E104" s="20" t="str">
        <f>IFERROR(__xludf.DUMMYFUNCTION("""COMPUTED_VALUE"""),"Leisure (daily / non-vacation)")</f>
        <v>Leisure (daily / non-vacation)</v>
      </c>
      <c r="F104" s="118">
        <f>IFERROR(__xludf.DUMMYFUNCTION("""COMPUTED_VALUE"""),292.3627059944089)</f>
        <v>292.362706</v>
      </c>
      <c r="G104" s="20">
        <f>IFERROR(__xludf.DUMMYFUNCTION("""COMPUTED_VALUE"""),699404.0)</f>
        <v>699404</v>
      </c>
      <c r="H104" s="20">
        <f>IFERROR(__xludf.DUMMYFUNCTION("""COMPUTED_VALUE"""),8.0)</f>
        <v>8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21"/>
      <c r="Z104" s="20"/>
      <c r="AA104" s="20" t="str">
        <f>IFERROR(__xludf.DUMMYFUNCTION("""COMPUTED_VALUE"""),"Misc. fees")</f>
        <v>Misc. fees</v>
      </c>
      <c r="AB104" s="20" t="str">
        <f>IFERROR(__xludf.DUMMYFUNCTION("""COMPUTED_VALUE"""),"Education")</f>
        <v>Education</v>
      </c>
    </row>
    <row r="105">
      <c r="A105" s="20"/>
      <c r="B105" s="117">
        <f>IFERROR(__xludf.DUMMYFUNCTION("""COMPUTED_VALUE"""),42960.0)</f>
        <v>42960</v>
      </c>
      <c r="C105" s="20">
        <f>IFERROR(__xludf.DUMMYFUNCTION("""COMPUTED_VALUE"""),2017.0)</f>
        <v>2017</v>
      </c>
      <c r="D105" s="20" t="str">
        <f>IFERROR(__xludf.DUMMYFUNCTION("""COMPUTED_VALUE"""),"Cash advance fee")</f>
        <v>Cash advance fee</v>
      </c>
      <c r="E105" s="20" t="str">
        <f>IFERROR(__xludf.DUMMYFUNCTION("""COMPUTED_VALUE"""),"Credit Card Fees")</f>
        <v>Credit Card Fees</v>
      </c>
      <c r="F105" s="118">
        <f>IFERROR(__xludf.DUMMYFUNCTION("""COMPUTED_VALUE"""),250.1653545120734)</f>
        <v>250.1653545</v>
      </c>
      <c r="G105" s="20">
        <f>IFERROR(__xludf.DUMMYFUNCTION("""COMPUTED_VALUE"""),204307.0)</f>
        <v>204307</v>
      </c>
      <c r="H105" s="20">
        <f>IFERROR(__xludf.DUMMYFUNCTION("""COMPUTED_VALUE"""),8.0)</f>
        <v>8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121"/>
      <c r="Z105" s="20"/>
      <c r="AA105" s="20" t="str">
        <f>IFERROR(__xludf.DUMMYFUNCTION("""COMPUTED_VALUE"""),"Disability")</f>
        <v>Disability</v>
      </c>
      <c r="AB105" s="20" t="str">
        <f>IFERROR(__xludf.DUMMYFUNCTION("""COMPUTED_VALUE"""),"Insurance")</f>
        <v>Insurance</v>
      </c>
    </row>
    <row r="106">
      <c r="A106" s="20"/>
      <c r="B106" s="117">
        <f>IFERROR(__xludf.DUMMYFUNCTION("""COMPUTED_VALUE"""),42963.0)</f>
        <v>42963</v>
      </c>
      <c r="C106" s="20">
        <f>IFERROR(__xludf.DUMMYFUNCTION("""COMPUTED_VALUE"""),2017.0)</f>
        <v>2017</v>
      </c>
      <c r="D106" s="20" t="str">
        <f>IFERROR(__xludf.DUMMYFUNCTION("""COMPUTED_VALUE"""),"Over the counter medication")</f>
        <v>Over the counter medication</v>
      </c>
      <c r="E106" s="20" t="str">
        <f>IFERROR(__xludf.DUMMYFUNCTION("""COMPUTED_VALUE"""),"Healthcare")</f>
        <v>Healthcare</v>
      </c>
      <c r="F106" s="118">
        <f>IFERROR(__xludf.DUMMYFUNCTION("""COMPUTED_VALUE"""),180.48254111272811)</f>
        <v>180.4825411</v>
      </c>
      <c r="G106" s="20">
        <f>IFERROR(__xludf.DUMMYFUNCTION("""COMPUTED_VALUE"""),651420.0)</f>
        <v>651420</v>
      </c>
      <c r="H106" s="20">
        <f>IFERROR(__xludf.DUMMYFUNCTION("""COMPUTED_VALUE"""),8.0)</f>
        <v>8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121"/>
      <c r="Z106" s="20"/>
      <c r="AA106" s="20"/>
      <c r="AB106" s="20"/>
    </row>
    <row r="107">
      <c r="A107" s="20"/>
      <c r="B107" s="117">
        <f>IFERROR(__xludf.DUMMYFUNCTION("""COMPUTED_VALUE"""),42965.0)</f>
        <v>42965</v>
      </c>
      <c r="C107" s="20">
        <f>IFERROR(__xludf.DUMMYFUNCTION("""COMPUTED_VALUE"""),2017.0)</f>
        <v>2017</v>
      </c>
      <c r="D107" s="20" t="str">
        <f>IFERROR(__xludf.DUMMYFUNCTION("""COMPUTED_VALUE"""),"Emergency fund")</f>
        <v>Emergency fund</v>
      </c>
      <c r="E107" s="20" t="str">
        <f>IFERROR(__xludf.DUMMYFUNCTION("""COMPUTED_VALUE"""),"Pet Care")</f>
        <v>Pet Care</v>
      </c>
      <c r="F107" s="118">
        <f>IFERROR(__xludf.DUMMYFUNCTION("""COMPUTED_VALUE"""),59.66208768871155)</f>
        <v>59.66208769</v>
      </c>
      <c r="G107" s="20">
        <f>IFERROR(__xludf.DUMMYFUNCTION("""COMPUTED_VALUE"""),716937.0)</f>
        <v>716937</v>
      </c>
      <c r="H107" s="20">
        <f>IFERROR(__xludf.DUMMYFUNCTION("""COMPUTED_VALUE"""),8.0)</f>
        <v>8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121"/>
      <c r="Z107" s="20"/>
      <c r="AA107" s="20"/>
      <c r="AB107" s="20"/>
    </row>
    <row r="108">
      <c r="A108" s="20"/>
      <c r="B108" s="117">
        <f>IFERROR(__xludf.DUMMYFUNCTION("""COMPUTED_VALUE"""),42969.0)</f>
        <v>42969</v>
      </c>
      <c r="C108" s="20">
        <f>IFERROR(__xludf.DUMMYFUNCTION("""COMPUTED_VALUE"""),2017.0)</f>
        <v>2017</v>
      </c>
      <c r="D108" s="20" t="str">
        <f>IFERROR(__xludf.DUMMYFUNCTION("""COMPUTED_VALUE"""),"Books")</f>
        <v>Books</v>
      </c>
      <c r="E108" s="20" t="str">
        <f>IFERROR(__xludf.DUMMYFUNCTION("""COMPUTED_VALUE"""),"Education")</f>
        <v>Education</v>
      </c>
      <c r="F108" s="118">
        <f>IFERROR(__xludf.DUMMYFUNCTION("""COMPUTED_VALUE"""),250.81126125054993)</f>
        <v>250.8112613</v>
      </c>
      <c r="G108" s="20">
        <f>IFERROR(__xludf.DUMMYFUNCTION("""COMPUTED_VALUE"""),705252.0)</f>
        <v>705252</v>
      </c>
      <c r="H108" s="20">
        <f>IFERROR(__xludf.DUMMYFUNCTION("""COMPUTED_VALUE"""),8.0)</f>
        <v>8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121"/>
      <c r="Z108" s="20"/>
      <c r="AA108" s="20"/>
      <c r="AB108" s="20"/>
    </row>
    <row r="109">
      <c r="A109" s="20"/>
      <c r="B109" s="117">
        <f>IFERROR(__xludf.DUMMYFUNCTION("""COMPUTED_VALUE"""),42971.0)</f>
        <v>42971</v>
      </c>
      <c r="C109" s="20">
        <f>IFERROR(__xludf.DUMMYFUNCTION("""COMPUTED_VALUE"""),2017.0)</f>
        <v>2017</v>
      </c>
      <c r="D109" s="20" t="str">
        <f>IFERROR(__xludf.DUMMYFUNCTION("""COMPUTED_VALUE"""),"Long term care")</f>
        <v>Long term care</v>
      </c>
      <c r="E109" s="20" t="str">
        <f>IFERROR(__xludf.DUMMYFUNCTION("""COMPUTED_VALUE"""),"Insurance")</f>
        <v>Insurance</v>
      </c>
      <c r="F109" s="118">
        <f>IFERROR(__xludf.DUMMYFUNCTION("""COMPUTED_VALUE"""),321.70892981469706)</f>
        <v>321.7089298</v>
      </c>
      <c r="G109" s="20">
        <f>IFERROR(__xludf.DUMMYFUNCTION("""COMPUTED_VALUE"""),121590.0)</f>
        <v>121590</v>
      </c>
      <c r="H109" s="20">
        <f>IFERROR(__xludf.DUMMYFUNCTION("""COMPUTED_VALUE"""),8.0)</f>
        <v>8</v>
      </c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121"/>
      <c r="Z109" s="20"/>
      <c r="AA109" s="20"/>
      <c r="AB109" s="20"/>
    </row>
    <row r="110">
      <c r="A110" s="20"/>
      <c r="B110" s="117">
        <f>IFERROR(__xludf.DUMMYFUNCTION("""COMPUTED_VALUE"""),42973.0)</f>
        <v>42973</v>
      </c>
      <c r="C110" s="20">
        <f>IFERROR(__xludf.DUMMYFUNCTION("""COMPUTED_VALUE"""),2017.0)</f>
        <v>2017</v>
      </c>
      <c r="D110" s="20" t="str">
        <f>IFERROR(__xludf.DUMMYFUNCTION("""COMPUTED_VALUE"""),"Wedding")</f>
        <v>Wedding</v>
      </c>
      <c r="E110" s="20" t="str">
        <f>IFERROR(__xludf.DUMMYFUNCTION("""COMPUTED_VALUE"""),"Events")</f>
        <v>Events</v>
      </c>
      <c r="F110" s="118">
        <f>IFERROR(__xludf.DUMMYFUNCTION("""COMPUTED_VALUE"""),140.83578144120153)</f>
        <v>140.8357814</v>
      </c>
      <c r="G110" s="20">
        <f>IFERROR(__xludf.DUMMYFUNCTION("""COMPUTED_VALUE"""),728003.0)</f>
        <v>728003</v>
      </c>
      <c r="H110" s="20">
        <f>IFERROR(__xludf.DUMMYFUNCTION("""COMPUTED_VALUE"""),8.0)</f>
        <v>8</v>
      </c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121"/>
      <c r="Z110" s="20"/>
      <c r="AA110" s="20"/>
      <c r="AB110" s="20"/>
    </row>
    <row r="111">
      <c r="A111" s="20"/>
      <c r="B111" s="117">
        <f>IFERROR(__xludf.DUMMYFUNCTION("""COMPUTED_VALUE"""),42977.0)</f>
        <v>42977</v>
      </c>
      <c r="C111" s="20">
        <f>IFERROR(__xludf.DUMMYFUNCTION("""COMPUTED_VALUE"""),2017.0)</f>
        <v>2017</v>
      </c>
      <c r="D111" s="20" t="str">
        <f>IFERROR(__xludf.DUMMYFUNCTION("""COMPUTED_VALUE"""),"Transportation")</f>
        <v>Transportation</v>
      </c>
      <c r="E111" s="20" t="str">
        <f>IFERROR(__xludf.DUMMYFUNCTION("""COMPUTED_VALUE"""),"Vacation")</f>
        <v>Vacation</v>
      </c>
      <c r="F111" s="118">
        <f>IFERROR(__xludf.DUMMYFUNCTION("""COMPUTED_VALUE"""),60.47647206941225)</f>
        <v>60.47647207</v>
      </c>
      <c r="G111" s="20">
        <f>IFERROR(__xludf.DUMMYFUNCTION("""COMPUTED_VALUE"""),566352.0)</f>
        <v>566352</v>
      </c>
      <c r="H111" s="20">
        <f>IFERROR(__xludf.DUMMYFUNCTION("""COMPUTED_VALUE"""),8.0)</f>
        <v>8</v>
      </c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121"/>
      <c r="Z111" s="20"/>
      <c r="AA111" s="20"/>
      <c r="AB111" s="20"/>
    </row>
    <row r="112">
      <c r="A112" s="20"/>
      <c r="B112" s="117">
        <f>IFERROR(__xludf.DUMMYFUNCTION("""COMPUTED_VALUE"""),42979.0)</f>
        <v>42979</v>
      </c>
      <c r="C112" s="20">
        <f>IFERROR(__xludf.DUMMYFUNCTION("""COMPUTED_VALUE"""),2017.0)</f>
        <v>2017</v>
      </c>
      <c r="D112" s="20" t="str">
        <f>IFERROR(__xludf.DUMMYFUNCTION("""COMPUTED_VALUE"""),"Garbage and recycling")</f>
        <v>Garbage and recycling</v>
      </c>
      <c r="E112" s="20" t="str">
        <f>IFERROR(__xludf.DUMMYFUNCTION("""COMPUTED_VALUE"""),"Utilities")</f>
        <v>Utilities</v>
      </c>
      <c r="F112" s="118">
        <f>IFERROR(__xludf.DUMMYFUNCTION("""COMPUTED_VALUE"""),399.5739671547556)</f>
        <v>399.5739672</v>
      </c>
      <c r="G112" s="20">
        <f>IFERROR(__xludf.DUMMYFUNCTION("""COMPUTED_VALUE"""),167072.0)</f>
        <v>167072</v>
      </c>
      <c r="H112" s="20">
        <f>IFERROR(__xludf.DUMMYFUNCTION("""COMPUTED_VALUE"""),9.0)</f>
        <v>9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121"/>
      <c r="Z112" s="20"/>
      <c r="AA112" s="20"/>
      <c r="AB112" s="20"/>
    </row>
    <row r="113">
      <c r="A113" s="20"/>
      <c r="B113" s="117">
        <f>IFERROR(__xludf.DUMMYFUNCTION("""COMPUTED_VALUE"""),42980.0)</f>
        <v>42980</v>
      </c>
      <c r="C113" s="20">
        <f>IFERROR(__xludf.DUMMYFUNCTION("""COMPUTED_VALUE"""),2017.0)</f>
        <v>2017</v>
      </c>
      <c r="D113" s="20" t="str">
        <f>IFERROR(__xludf.DUMMYFUNCTION("""COMPUTED_VALUE"""),"Lodging")</f>
        <v>Lodging</v>
      </c>
      <c r="E113" s="20" t="str">
        <f>IFERROR(__xludf.DUMMYFUNCTION("""COMPUTED_VALUE"""),"Vacation")</f>
        <v>Vacation</v>
      </c>
      <c r="F113" s="118">
        <f>IFERROR(__xludf.DUMMYFUNCTION("""COMPUTED_VALUE"""),470.3758579926145)</f>
        <v>470.375858</v>
      </c>
      <c r="G113" s="20">
        <f>IFERROR(__xludf.DUMMYFUNCTION("""COMPUTED_VALUE"""),622227.0)</f>
        <v>622227</v>
      </c>
      <c r="H113" s="20">
        <f>IFERROR(__xludf.DUMMYFUNCTION("""COMPUTED_VALUE"""),9.0)</f>
        <v>9</v>
      </c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121"/>
      <c r="Z113" s="20"/>
      <c r="AA113" s="20"/>
      <c r="AB113" s="20"/>
    </row>
    <row r="114">
      <c r="A114" s="20"/>
      <c r="B114" s="117">
        <f>IFERROR(__xludf.DUMMYFUNCTION("""COMPUTED_VALUE"""),42982.0)</f>
        <v>42982</v>
      </c>
      <c r="C114" s="20">
        <f>IFERROR(__xludf.DUMMYFUNCTION("""COMPUTED_VALUE"""),2017.0)</f>
        <v>2017</v>
      </c>
      <c r="D114" s="20" t="str">
        <f>IFERROR(__xludf.DUMMYFUNCTION("""COMPUTED_VALUE"""),"Groceries")</f>
        <v>Groceries</v>
      </c>
      <c r="E114" s="20" t="str">
        <f>IFERROR(__xludf.DUMMYFUNCTION("""COMPUTED_VALUE"""),"Food")</f>
        <v>Food</v>
      </c>
      <c r="F114" s="118">
        <f>IFERROR(__xludf.DUMMYFUNCTION("""COMPUTED_VALUE"""),264.4568251746709)</f>
        <v>264.4568252</v>
      </c>
      <c r="G114" s="20">
        <f>IFERROR(__xludf.DUMMYFUNCTION("""COMPUTED_VALUE"""),504359.0)</f>
        <v>504359</v>
      </c>
      <c r="H114" s="20">
        <f>IFERROR(__xludf.DUMMYFUNCTION("""COMPUTED_VALUE"""),9.0)</f>
        <v>9</v>
      </c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121"/>
      <c r="Z114" s="20"/>
      <c r="AA114" s="20"/>
      <c r="AB114" s="20"/>
    </row>
    <row r="115">
      <c r="A115" s="20"/>
      <c r="B115" s="117">
        <f>IFERROR(__xludf.DUMMYFUNCTION("""COMPUTED_VALUE"""),42985.0)</f>
        <v>42985</v>
      </c>
      <c r="C115" s="20">
        <f>IFERROR(__xludf.DUMMYFUNCTION("""COMPUTED_VALUE"""),2017.0)</f>
        <v>2017</v>
      </c>
      <c r="D115" s="20" t="str">
        <f>IFERROR(__xludf.DUMMYFUNCTION("""COMPUTED_VALUE"""),"Books")</f>
        <v>Books</v>
      </c>
      <c r="E115" s="20" t="str">
        <f>IFERROR(__xludf.DUMMYFUNCTION("""COMPUTED_VALUE"""),"Education")</f>
        <v>Education</v>
      </c>
      <c r="F115" s="118">
        <f>IFERROR(__xludf.DUMMYFUNCTION("""COMPUTED_VALUE"""),343.560571442618)</f>
        <v>343.5605714</v>
      </c>
      <c r="G115" s="20">
        <f>IFERROR(__xludf.DUMMYFUNCTION("""COMPUTED_VALUE"""),923075.0)</f>
        <v>923075</v>
      </c>
      <c r="H115" s="20">
        <f>IFERROR(__xludf.DUMMYFUNCTION("""COMPUTED_VALUE"""),9.0)</f>
        <v>9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121"/>
      <c r="Z115" s="20"/>
      <c r="AA115" s="20"/>
      <c r="AB115" s="20"/>
    </row>
    <row r="116">
      <c r="A116" s="20"/>
      <c r="B116" s="117">
        <f>IFERROR(__xludf.DUMMYFUNCTION("""COMPUTED_VALUE"""),42986.0)</f>
        <v>42986</v>
      </c>
      <c r="C116" s="20">
        <f>IFERROR(__xludf.DUMMYFUNCTION("""COMPUTED_VALUE"""),2017.0)</f>
        <v>2017</v>
      </c>
      <c r="D116" s="20" t="str">
        <f>IFERROR(__xludf.DUMMYFUNCTION("""COMPUTED_VALUE"""),"Moving")</f>
        <v>Moving</v>
      </c>
      <c r="E116" s="20" t="str">
        <f>IFERROR(__xludf.DUMMYFUNCTION("""COMPUTED_VALUE"""),"Events")</f>
        <v>Events</v>
      </c>
      <c r="F116" s="118">
        <f>IFERROR(__xludf.DUMMYFUNCTION("""COMPUTED_VALUE"""),192.83646264659686)</f>
        <v>192.8364626</v>
      </c>
      <c r="G116" s="20">
        <f>IFERROR(__xludf.DUMMYFUNCTION("""COMPUTED_VALUE"""),869229.0)</f>
        <v>869229</v>
      </c>
      <c r="H116" s="20">
        <f>IFERROR(__xludf.DUMMYFUNCTION("""COMPUTED_VALUE"""),9.0)</f>
        <v>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121"/>
      <c r="Z116" s="20"/>
      <c r="AA116" s="20"/>
      <c r="AB116" s="20"/>
    </row>
    <row r="117">
      <c r="A117" s="20"/>
      <c r="B117" s="117">
        <f>IFERROR(__xludf.DUMMYFUNCTION("""COMPUTED_VALUE"""),42987.0)</f>
        <v>42987</v>
      </c>
      <c r="C117" s="20">
        <f>IFERROR(__xludf.DUMMYFUNCTION("""COMPUTED_VALUE"""),2017.0)</f>
        <v>2017</v>
      </c>
      <c r="D117" s="20" t="str">
        <f>IFERROR(__xludf.DUMMYFUNCTION("""COMPUTED_VALUE"""),"Service fees")</f>
        <v>Service fees</v>
      </c>
      <c r="E117" s="20" t="str">
        <f>IFERROR(__xludf.DUMMYFUNCTION("""COMPUTED_VALUE"""),"Bank Charges")</f>
        <v>Bank Charges</v>
      </c>
      <c r="F117" s="118">
        <f>IFERROR(__xludf.DUMMYFUNCTION("""COMPUTED_VALUE"""),81.48693004409205)</f>
        <v>81.48693004</v>
      </c>
      <c r="G117" s="20">
        <f>IFERROR(__xludf.DUMMYFUNCTION("""COMPUTED_VALUE"""),166271.0)</f>
        <v>166271</v>
      </c>
      <c r="H117" s="20">
        <f>IFERROR(__xludf.DUMMYFUNCTION("""COMPUTED_VALUE"""),9.0)</f>
        <v>9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121"/>
      <c r="Z117" s="20"/>
      <c r="AA117" s="20"/>
      <c r="AB117" s="20"/>
    </row>
    <row r="118">
      <c r="A118" s="20"/>
      <c r="B118" s="117">
        <f>IFERROR(__xludf.DUMMYFUNCTION("""COMPUTED_VALUE"""),42991.0)</f>
        <v>42991</v>
      </c>
      <c r="C118" s="20">
        <f>IFERROR(__xludf.DUMMYFUNCTION("""COMPUTED_VALUE"""),2017.0)</f>
        <v>2017</v>
      </c>
      <c r="D118" s="20" t="str">
        <f>IFERROR(__xludf.DUMMYFUNCTION("""COMPUTED_VALUE"""),"Wedding / Wedding shower")</f>
        <v>Wedding / Wedding shower</v>
      </c>
      <c r="E118" s="20" t="str">
        <f>IFERROR(__xludf.DUMMYFUNCTION("""COMPUTED_VALUE"""),"Gifts")</f>
        <v>Gifts</v>
      </c>
      <c r="F118" s="118">
        <f>IFERROR(__xludf.DUMMYFUNCTION("""COMPUTED_VALUE"""),64.95565933341491)</f>
        <v>64.95565933</v>
      </c>
      <c r="G118" s="20">
        <f>IFERROR(__xludf.DUMMYFUNCTION("""COMPUTED_VALUE"""),608311.0)</f>
        <v>608311</v>
      </c>
      <c r="H118" s="20">
        <f>IFERROR(__xludf.DUMMYFUNCTION("""COMPUTED_VALUE"""),9.0)</f>
        <v>9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121"/>
      <c r="Z118" s="20"/>
      <c r="AA118" s="20"/>
      <c r="AB118" s="20"/>
    </row>
    <row r="119">
      <c r="A119" s="20"/>
      <c r="B119" s="117">
        <f>IFERROR(__xludf.DUMMYFUNCTION("""COMPUTED_VALUE"""),42992.0)</f>
        <v>42992</v>
      </c>
      <c r="C119" s="20">
        <f>IFERROR(__xludf.DUMMYFUNCTION("""COMPUTED_VALUE"""),2017.0)</f>
        <v>2017</v>
      </c>
      <c r="D119" s="20" t="str">
        <f>IFERROR(__xludf.DUMMYFUNCTION("""COMPUTED_VALUE"""),"Home maintenance and repair")</f>
        <v>Home maintenance and repair</v>
      </c>
      <c r="E119" s="20" t="str">
        <f>IFERROR(__xludf.DUMMYFUNCTION("""COMPUTED_VALUE"""),"Household")</f>
        <v>Household</v>
      </c>
      <c r="F119" s="118">
        <f>IFERROR(__xludf.DUMMYFUNCTION("""COMPUTED_VALUE"""),123.5161024680205)</f>
        <v>123.5161025</v>
      </c>
      <c r="G119" s="20">
        <f>IFERROR(__xludf.DUMMYFUNCTION("""COMPUTED_VALUE"""),509286.0)</f>
        <v>509286</v>
      </c>
      <c r="H119" s="20">
        <f>IFERROR(__xludf.DUMMYFUNCTION("""COMPUTED_VALUE"""),9.0)</f>
        <v>9</v>
      </c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121"/>
      <c r="Z119" s="20"/>
      <c r="AA119" s="20"/>
      <c r="AB119" s="20"/>
    </row>
    <row r="120">
      <c r="A120" s="20"/>
      <c r="B120" s="117">
        <f>IFERROR(__xludf.DUMMYFUNCTION("""COMPUTED_VALUE"""),42994.0)</f>
        <v>42994</v>
      </c>
      <c r="C120" s="20">
        <f>IFERROR(__xludf.DUMMYFUNCTION("""COMPUTED_VALUE"""),2017.0)</f>
        <v>2017</v>
      </c>
      <c r="D120" s="20" t="str">
        <f>IFERROR(__xludf.DUMMYFUNCTION("""COMPUTED_VALUE"""),"Lodging")</f>
        <v>Lodging</v>
      </c>
      <c r="E120" s="20" t="str">
        <f>IFERROR(__xludf.DUMMYFUNCTION("""COMPUTED_VALUE"""),"Vacation")</f>
        <v>Vacation</v>
      </c>
      <c r="F120" s="118">
        <f>IFERROR(__xludf.DUMMYFUNCTION("""COMPUTED_VALUE"""),36.23540766257905)</f>
        <v>36.23540766</v>
      </c>
      <c r="G120" s="20">
        <f>IFERROR(__xludf.DUMMYFUNCTION("""COMPUTED_VALUE"""),597208.0)</f>
        <v>597208</v>
      </c>
      <c r="H120" s="20">
        <f>IFERROR(__xludf.DUMMYFUNCTION("""COMPUTED_VALUE"""),9.0)</f>
        <v>9</v>
      </c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121"/>
      <c r="Z120" s="20"/>
      <c r="AA120" s="20"/>
      <c r="AB120" s="20"/>
    </row>
    <row r="121">
      <c r="A121" s="20"/>
      <c r="B121" s="117">
        <f>IFERROR(__xludf.DUMMYFUNCTION("""COMPUTED_VALUE"""),42997.0)</f>
        <v>42997</v>
      </c>
      <c r="C121" s="20">
        <f>IFERROR(__xludf.DUMMYFUNCTION("""COMPUTED_VALUE"""),2017.0)</f>
        <v>2017</v>
      </c>
      <c r="D121" s="20" t="str">
        <f>IFERROR(__xludf.DUMMYFUNCTION("""COMPUTED_VALUE"""),"Television (e.g. cable, satellite, etc.)")</f>
        <v>Television (e.g. cable, satellite, etc.)</v>
      </c>
      <c r="E121" s="20" t="str">
        <f>IFERROR(__xludf.DUMMYFUNCTION("""COMPUTED_VALUE"""),"Utilities")</f>
        <v>Utilities</v>
      </c>
      <c r="F121" s="118">
        <f>IFERROR(__xludf.DUMMYFUNCTION("""COMPUTED_VALUE"""),233.6391011049408)</f>
        <v>233.6391011</v>
      </c>
      <c r="G121" s="20">
        <f>IFERROR(__xludf.DUMMYFUNCTION("""COMPUTED_VALUE"""),915523.0)</f>
        <v>915523</v>
      </c>
      <c r="H121" s="20">
        <f>IFERROR(__xludf.DUMMYFUNCTION("""COMPUTED_VALUE"""),9.0)</f>
        <v>9</v>
      </c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121"/>
      <c r="Z121" s="20"/>
      <c r="AA121" s="20"/>
      <c r="AB121" s="20"/>
    </row>
    <row r="122">
      <c r="A122" s="20"/>
      <c r="B122" s="117">
        <f>IFERROR(__xludf.DUMMYFUNCTION("""COMPUTED_VALUE"""),43001.0)</f>
        <v>43001</v>
      </c>
      <c r="C122" s="20">
        <f>IFERROR(__xludf.DUMMYFUNCTION("""COMPUTED_VALUE"""),2017.0)</f>
        <v>2017</v>
      </c>
      <c r="D122" s="20" t="str">
        <f>IFERROR(__xludf.DUMMYFUNCTION("""COMPUTED_VALUE"""),"ATM fees")</f>
        <v>ATM fees</v>
      </c>
      <c r="E122" s="20" t="str">
        <f>IFERROR(__xludf.DUMMYFUNCTION("""COMPUTED_VALUE"""),"Bank Charges")</f>
        <v>Bank Charges</v>
      </c>
      <c r="F122" s="118">
        <f>IFERROR(__xludf.DUMMYFUNCTION("""COMPUTED_VALUE"""),346.1635313850449)</f>
        <v>346.1635314</v>
      </c>
      <c r="G122" s="20">
        <f>IFERROR(__xludf.DUMMYFUNCTION("""COMPUTED_VALUE"""),161353.0)</f>
        <v>161353</v>
      </c>
      <c r="H122" s="20">
        <f>IFERROR(__xludf.DUMMYFUNCTION("""COMPUTED_VALUE"""),9.0)</f>
        <v>9</v>
      </c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121"/>
      <c r="Z122" s="20"/>
      <c r="AA122" s="20"/>
      <c r="AB122" s="20"/>
    </row>
    <row r="123">
      <c r="A123" s="20"/>
      <c r="B123" s="117">
        <f>IFERROR(__xludf.DUMMYFUNCTION("""COMPUTED_VALUE"""),43005.0)</f>
        <v>43005</v>
      </c>
      <c r="C123" s="20">
        <f>IFERROR(__xludf.DUMMYFUNCTION("""COMPUTED_VALUE"""),2017.0)</f>
        <v>2017</v>
      </c>
      <c r="D123" s="20" t="str">
        <f>IFERROR(__xludf.DUMMYFUNCTION("""COMPUTED_VALUE"""),"Gasoline")</f>
        <v>Gasoline</v>
      </c>
      <c r="E123" s="20" t="str">
        <f>IFERROR(__xludf.DUMMYFUNCTION("""COMPUTED_VALUE"""),"Automobile")</f>
        <v>Automobile</v>
      </c>
      <c r="F123" s="118">
        <f>IFERROR(__xludf.DUMMYFUNCTION("""COMPUTED_VALUE"""),165.41108429694194)</f>
        <v>165.4110843</v>
      </c>
      <c r="G123" s="20">
        <f>IFERROR(__xludf.DUMMYFUNCTION("""COMPUTED_VALUE"""),119616.0)</f>
        <v>119616</v>
      </c>
      <c r="H123" s="20">
        <f>IFERROR(__xludf.DUMMYFUNCTION("""COMPUTED_VALUE"""),9.0)</f>
        <v>9</v>
      </c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121"/>
      <c r="Z123" s="20"/>
      <c r="AA123" s="20"/>
      <c r="AB123" s="20"/>
    </row>
    <row r="124">
      <c r="A124" s="20"/>
      <c r="B124" s="117">
        <f>IFERROR(__xludf.DUMMYFUNCTION("""COMPUTED_VALUE"""),43007.0)</f>
        <v>43007</v>
      </c>
      <c r="C124" s="20">
        <f>IFERROR(__xludf.DUMMYFUNCTION("""COMPUTED_VALUE"""),2017.0)</f>
        <v>2017</v>
      </c>
      <c r="D124" s="20" t="str">
        <f>IFERROR(__xludf.DUMMYFUNCTION("""COMPUTED_VALUE"""),"Health")</f>
        <v>Health</v>
      </c>
      <c r="E124" s="20" t="str">
        <f>IFERROR(__xludf.DUMMYFUNCTION("""COMPUTED_VALUE"""),"Insurance")</f>
        <v>Insurance</v>
      </c>
      <c r="F124" s="118">
        <f>IFERROR(__xludf.DUMMYFUNCTION("""COMPUTED_VALUE"""),300.9005030019316)</f>
        <v>300.900503</v>
      </c>
      <c r="G124" s="20">
        <f>IFERROR(__xludf.DUMMYFUNCTION("""COMPUTED_VALUE"""),753490.0)</f>
        <v>753490</v>
      </c>
      <c r="H124" s="20">
        <f>IFERROR(__xludf.DUMMYFUNCTION("""COMPUTED_VALUE"""),9.0)</f>
        <v>9</v>
      </c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121"/>
      <c r="Z124" s="20"/>
      <c r="AA124" s="20"/>
      <c r="AB124" s="20"/>
    </row>
    <row r="125">
      <c r="A125" s="20"/>
      <c r="B125" s="117">
        <f>IFERROR(__xludf.DUMMYFUNCTION("""COMPUTED_VALUE"""),43011.0)</f>
        <v>43011</v>
      </c>
      <c r="C125" s="20">
        <f>IFERROR(__xludf.DUMMYFUNCTION("""COMPUTED_VALUE"""),2017.0)</f>
        <v>2017</v>
      </c>
      <c r="D125" s="20" t="str">
        <f>IFERROR(__xludf.DUMMYFUNCTION("""COMPUTED_VALUE"""),"Monthly payment")</f>
        <v>Monthly payment</v>
      </c>
      <c r="E125" s="20" t="str">
        <f>IFERROR(__xludf.DUMMYFUNCTION("""COMPUTED_VALUE"""),"Credit Card Fees")</f>
        <v>Credit Card Fees</v>
      </c>
      <c r="F125" s="118">
        <f>IFERROR(__xludf.DUMMYFUNCTION("""COMPUTED_VALUE"""),358.09243520793154)</f>
        <v>358.0924352</v>
      </c>
      <c r="G125" s="20">
        <f>IFERROR(__xludf.DUMMYFUNCTION("""COMPUTED_VALUE"""),545391.0)</f>
        <v>545391</v>
      </c>
      <c r="H125" s="20">
        <f>IFERROR(__xludf.DUMMYFUNCTION("""COMPUTED_VALUE"""),10.0)</f>
        <v>10</v>
      </c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121"/>
      <c r="Z125" s="20"/>
      <c r="AA125" s="20"/>
      <c r="AB125" s="20"/>
    </row>
    <row r="126">
      <c r="A126" s="20"/>
      <c r="B126" s="117">
        <f>IFERROR(__xludf.DUMMYFUNCTION("""COMPUTED_VALUE"""),43014.0)</f>
        <v>43014</v>
      </c>
      <c r="C126" s="20">
        <f>IFERROR(__xludf.DUMMYFUNCTION("""COMPUTED_VALUE"""),2017.0)</f>
        <v>2017</v>
      </c>
      <c r="D126" s="20" t="str">
        <f>IFERROR(__xludf.DUMMYFUNCTION("""COMPUTED_VALUE"""),"Tuition")</f>
        <v>Tuition</v>
      </c>
      <c r="E126" s="20" t="str">
        <f>IFERROR(__xludf.DUMMYFUNCTION("""COMPUTED_VALUE"""),"Education")</f>
        <v>Education</v>
      </c>
      <c r="F126" s="118">
        <f>IFERROR(__xludf.DUMMYFUNCTION("""COMPUTED_VALUE"""),415.95783643117363)</f>
        <v>415.9578364</v>
      </c>
      <c r="G126" s="20">
        <f>IFERROR(__xludf.DUMMYFUNCTION("""COMPUTED_VALUE"""),336611.0)</f>
        <v>336611</v>
      </c>
      <c r="H126" s="20">
        <f>IFERROR(__xludf.DUMMYFUNCTION("""COMPUTED_VALUE"""),10.0)</f>
        <v>10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121"/>
      <c r="Z126" s="20"/>
      <c r="AA126" s="20"/>
      <c r="AB126" s="20"/>
    </row>
    <row r="127">
      <c r="A127" s="20"/>
      <c r="B127" s="117">
        <f>IFERROR(__xludf.DUMMYFUNCTION("""COMPUTED_VALUE"""),43015.0)</f>
        <v>43015</v>
      </c>
      <c r="C127" s="20">
        <f>IFERROR(__xludf.DUMMYFUNCTION("""COMPUTED_VALUE"""),2017.0)</f>
        <v>2017</v>
      </c>
      <c r="D127" s="20" t="str">
        <f>IFERROR(__xludf.DUMMYFUNCTION("""COMPUTED_VALUE"""),"Lodging")</f>
        <v>Lodging</v>
      </c>
      <c r="E127" s="20" t="str">
        <f>IFERROR(__xludf.DUMMYFUNCTION("""COMPUTED_VALUE"""),"Vacation")</f>
        <v>Vacation</v>
      </c>
      <c r="F127" s="118">
        <f>IFERROR(__xludf.DUMMYFUNCTION("""COMPUTED_VALUE"""),481.8114671287359)</f>
        <v>481.8114671</v>
      </c>
      <c r="G127" s="20">
        <f>IFERROR(__xludf.DUMMYFUNCTION("""COMPUTED_VALUE"""),799010.0)</f>
        <v>799010</v>
      </c>
      <c r="H127" s="20">
        <f>IFERROR(__xludf.DUMMYFUNCTION("""COMPUTED_VALUE"""),10.0)</f>
        <v>10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121"/>
      <c r="Z127" s="20"/>
      <c r="AA127" s="20"/>
      <c r="AB127" s="20"/>
    </row>
    <row r="128">
      <c r="A128" s="20"/>
      <c r="B128" s="117">
        <f>IFERROR(__xludf.DUMMYFUNCTION("""COMPUTED_VALUE"""),43018.0)</f>
        <v>43018</v>
      </c>
      <c r="C128" s="20">
        <f>IFERROR(__xludf.DUMMYFUNCTION("""COMPUTED_VALUE"""),2017.0)</f>
        <v>2017</v>
      </c>
      <c r="D128" s="20" t="str">
        <f>IFERROR(__xludf.DUMMYFUNCTION("""COMPUTED_VALUE"""),"Over the limit fee")</f>
        <v>Over the limit fee</v>
      </c>
      <c r="E128" s="20" t="str">
        <f>IFERROR(__xludf.DUMMYFUNCTION("""COMPUTED_VALUE"""),"Credit Card Fees")</f>
        <v>Credit Card Fees</v>
      </c>
      <c r="F128" s="118">
        <f>IFERROR(__xludf.DUMMYFUNCTION("""COMPUTED_VALUE"""),23.94994040383227)</f>
        <v>23.9499404</v>
      </c>
      <c r="G128" s="20">
        <f>IFERROR(__xludf.DUMMYFUNCTION("""COMPUTED_VALUE"""),412214.0)</f>
        <v>412214</v>
      </c>
      <c r="H128" s="20">
        <f>IFERROR(__xludf.DUMMYFUNCTION("""COMPUTED_VALUE"""),10.0)</f>
        <v>10</v>
      </c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121"/>
      <c r="Z128" s="20"/>
      <c r="AA128" s="20"/>
      <c r="AB128" s="20"/>
    </row>
    <row r="129">
      <c r="A129" s="20"/>
      <c r="B129" s="117">
        <f>IFERROR(__xludf.DUMMYFUNCTION("""COMPUTED_VALUE"""),43022.0)</f>
        <v>43022</v>
      </c>
      <c r="C129" s="20">
        <f>IFERROR(__xludf.DUMMYFUNCTION("""COMPUTED_VALUE"""),2017.0)</f>
        <v>2017</v>
      </c>
      <c r="D129" s="20" t="str">
        <f>IFERROR(__xludf.DUMMYFUNCTION("""COMPUTED_VALUE"""),"Babysitting")</f>
        <v>Babysitting</v>
      </c>
      <c r="E129" s="20" t="str">
        <f>IFERROR(__xludf.DUMMYFUNCTION("""COMPUTED_VALUE"""),"Childcare")</f>
        <v>Childcare</v>
      </c>
      <c r="F129" s="118">
        <f>IFERROR(__xludf.DUMMYFUNCTION("""COMPUTED_VALUE"""),291.28723802541316)</f>
        <v>291.287238</v>
      </c>
      <c r="G129" s="20">
        <f>IFERROR(__xludf.DUMMYFUNCTION("""COMPUTED_VALUE"""),913391.0)</f>
        <v>913391</v>
      </c>
      <c r="H129" s="20">
        <f>IFERROR(__xludf.DUMMYFUNCTION("""COMPUTED_VALUE"""),10.0)</f>
        <v>10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121"/>
      <c r="Z129" s="20"/>
      <c r="AA129" s="20"/>
      <c r="AB129" s="20"/>
    </row>
    <row r="130">
      <c r="A130" s="20"/>
      <c r="B130" s="117">
        <f>IFERROR(__xludf.DUMMYFUNCTION("""COMPUTED_VALUE"""),43026.0)</f>
        <v>43026</v>
      </c>
      <c r="C130" s="20">
        <f>IFERROR(__xludf.DUMMYFUNCTION("""COMPUTED_VALUE"""),2017.0)</f>
        <v>2017</v>
      </c>
      <c r="D130" s="20" t="str">
        <f>IFERROR(__xludf.DUMMYFUNCTION("""COMPUTED_VALUE"""),"Dental")</f>
        <v>Dental</v>
      </c>
      <c r="E130" s="20" t="str">
        <f>IFERROR(__xludf.DUMMYFUNCTION("""COMPUTED_VALUE"""),"Healthcare")</f>
        <v>Healthcare</v>
      </c>
      <c r="F130" s="118">
        <f>IFERROR(__xludf.DUMMYFUNCTION("""COMPUTED_VALUE"""),311.4720752983013)</f>
        <v>311.4720753</v>
      </c>
      <c r="G130" s="20">
        <f>IFERROR(__xludf.DUMMYFUNCTION("""COMPUTED_VALUE"""),153157.0)</f>
        <v>153157</v>
      </c>
      <c r="H130" s="20">
        <f>IFERROR(__xludf.DUMMYFUNCTION("""COMPUTED_VALUE"""),10.0)</f>
        <v>10</v>
      </c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121"/>
      <c r="Z130" s="20"/>
      <c r="AA130" s="20"/>
      <c r="AB130" s="20"/>
    </row>
    <row r="131">
      <c r="A131" s="20"/>
      <c r="B131" s="117">
        <f>IFERROR(__xludf.DUMMYFUNCTION("""COMPUTED_VALUE"""),43030.0)</f>
        <v>43030</v>
      </c>
      <c r="C131" s="20">
        <f>IFERROR(__xludf.DUMMYFUNCTION("""COMPUTED_VALUE"""),2017.0)</f>
        <v>2017</v>
      </c>
      <c r="D131" s="20" t="str">
        <f>IFERROR(__xludf.DUMMYFUNCTION("""COMPUTED_VALUE"""),"Prescriptions")</f>
        <v>Prescriptions</v>
      </c>
      <c r="E131" s="20" t="str">
        <f>IFERROR(__xludf.DUMMYFUNCTION("""COMPUTED_VALUE"""),"Healthcare")</f>
        <v>Healthcare</v>
      </c>
      <c r="F131" s="118">
        <f>IFERROR(__xludf.DUMMYFUNCTION("""COMPUTED_VALUE"""),182.2808394920686)</f>
        <v>182.2808395</v>
      </c>
      <c r="G131" s="20">
        <f>IFERROR(__xludf.DUMMYFUNCTION("""COMPUTED_VALUE"""),158686.0)</f>
        <v>158686</v>
      </c>
      <c r="H131" s="20">
        <f>IFERROR(__xludf.DUMMYFUNCTION("""COMPUTED_VALUE"""),10.0)</f>
        <v>10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121"/>
      <c r="Z131" s="20"/>
      <c r="AA131" s="20"/>
      <c r="AB131" s="20"/>
    </row>
    <row r="132">
      <c r="A132" s="20"/>
      <c r="B132" s="117">
        <f>IFERROR(__xludf.DUMMYFUNCTION("""COMPUTED_VALUE"""),43032.0)</f>
        <v>43032</v>
      </c>
      <c r="C132" s="20">
        <f>IFERROR(__xludf.DUMMYFUNCTION("""COMPUTED_VALUE"""),2017.0)</f>
        <v>2017</v>
      </c>
      <c r="D132" s="20" t="str">
        <f>IFERROR(__xludf.DUMMYFUNCTION("""COMPUTED_VALUE"""),"Maintenance")</f>
        <v>Maintenance</v>
      </c>
      <c r="E132" s="20" t="str">
        <f>IFERROR(__xludf.DUMMYFUNCTION("""COMPUTED_VALUE"""),"Automobile")</f>
        <v>Automobile</v>
      </c>
      <c r="F132" s="118">
        <f>IFERROR(__xludf.DUMMYFUNCTION("""COMPUTED_VALUE"""),466.61506387983553)</f>
        <v>466.6150639</v>
      </c>
      <c r="G132" s="20">
        <f>IFERROR(__xludf.DUMMYFUNCTION("""COMPUTED_VALUE"""),882270.0)</f>
        <v>882270</v>
      </c>
      <c r="H132" s="20">
        <f>IFERROR(__xludf.DUMMYFUNCTION("""COMPUTED_VALUE"""),10.0)</f>
        <v>10</v>
      </c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121"/>
      <c r="Z132" s="20"/>
      <c r="AA132" s="20"/>
      <c r="AB132" s="20"/>
    </row>
    <row r="133">
      <c r="A133" s="20"/>
      <c r="B133" s="117">
        <f>IFERROR(__xludf.DUMMYFUNCTION("""COMPUTED_VALUE"""),43035.0)</f>
        <v>43035</v>
      </c>
      <c r="C133" s="20">
        <f>IFERROR(__xludf.DUMMYFUNCTION("""COMPUTED_VALUE"""),2017.0)</f>
        <v>2017</v>
      </c>
      <c r="D133" s="20" t="str">
        <f>IFERROR(__xludf.DUMMYFUNCTION("""COMPUTED_VALUE"""),"Rewards programs")</f>
        <v>Rewards programs</v>
      </c>
      <c r="E133" s="20" t="str">
        <f>IFERROR(__xludf.DUMMYFUNCTION("""COMPUTED_VALUE"""),"Credit Card Fees")</f>
        <v>Credit Card Fees</v>
      </c>
      <c r="F133" s="118">
        <f>IFERROR(__xludf.DUMMYFUNCTION("""COMPUTED_VALUE"""),204.4796589006064)</f>
        <v>204.4796589</v>
      </c>
      <c r="G133" s="20">
        <f>IFERROR(__xludf.DUMMYFUNCTION("""COMPUTED_VALUE"""),185985.0)</f>
        <v>185985</v>
      </c>
      <c r="H133" s="20">
        <f>IFERROR(__xludf.DUMMYFUNCTION("""COMPUTED_VALUE"""),10.0)</f>
        <v>10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121"/>
      <c r="Z133" s="20"/>
      <c r="AA133" s="20"/>
      <c r="AB133" s="20"/>
    </row>
    <row r="134">
      <c r="A134" s="20"/>
      <c r="B134" s="117">
        <f>IFERROR(__xludf.DUMMYFUNCTION("""COMPUTED_VALUE"""),43039.0)</f>
        <v>43039</v>
      </c>
      <c r="C134" s="20">
        <f>IFERROR(__xludf.DUMMYFUNCTION("""COMPUTED_VALUE"""),2017.0)</f>
        <v>2017</v>
      </c>
      <c r="D134" s="20" t="str">
        <f>IFERROR(__xludf.DUMMYFUNCTION("""COMPUTED_VALUE"""),"Babysitting")</f>
        <v>Babysitting</v>
      </c>
      <c r="E134" s="20" t="str">
        <f>IFERROR(__xludf.DUMMYFUNCTION("""COMPUTED_VALUE"""),"Childcare")</f>
        <v>Childcare</v>
      </c>
      <c r="F134" s="118">
        <f>IFERROR(__xludf.DUMMYFUNCTION("""COMPUTED_VALUE"""),234.49166468286006)</f>
        <v>234.4916647</v>
      </c>
      <c r="G134" s="20">
        <f>IFERROR(__xludf.DUMMYFUNCTION("""COMPUTED_VALUE"""),636687.0)</f>
        <v>636687</v>
      </c>
      <c r="H134" s="20">
        <f>IFERROR(__xludf.DUMMYFUNCTION("""COMPUTED_VALUE"""),10.0)</f>
        <v>10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121"/>
      <c r="Z134" s="20"/>
      <c r="AA134" s="20"/>
      <c r="AB134" s="20"/>
    </row>
    <row r="135">
      <c r="A135" s="20"/>
      <c r="B135" s="117">
        <f>IFERROR(__xludf.DUMMYFUNCTION("""COMPUTED_VALUE"""),43042.0)</f>
        <v>43042</v>
      </c>
      <c r="C135" s="20">
        <f>IFERROR(__xludf.DUMMYFUNCTION("""COMPUTED_VALUE"""),2017.0)</f>
        <v>2017</v>
      </c>
      <c r="D135" s="20" t="str">
        <f>IFERROR(__xludf.DUMMYFUNCTION("""COMPUTED_VALUE"""),"Field trips")</f>
        <v>Field trips</v>
      </c>
      <c r="E135" s="20" t="str">
        <f>IFERROR(__xludf.DUMMYFUNCTION("""COMPUTED_VALUE"""),"Education")</f>
        <v>Education</v>
      </c>
      <c r="F135" s="118">
        <f>IFERROR(__xludf.DUMMYFUNCTION("""COMPUTED_VALUE"""),208.96149527529337)</f>
        <v>208.9614953</v>
      </c>
      <c r="G135" s="20">
        <f>IFERROR(__xludf.DUMMYFUNCTION("""COMPUTED_VALUE"""),198915.0)</f>
        <v>198915</v>
      </c>
      <c r="H135" s="20">
        <f>IFERROR(__xludf.DUMMYFUNCTION("""COMPUTED_VALUE"""),11.0)</f>
        <v>11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121"/>
      <c r="Z135" s="20"/>
      <c r="AA135" s="20"/>
      <c r="AB135" s="20"/>
    </row>
    <row r="136">
      <c r="A136" s="20"/>
      <c r="B136" s="117">
        <f>IFERROR(__xludf.DUMMYFUNCTION("""COMPUTED_VALUE"""),43043.0)</f>
        <v>43043</v>
      </c>
      <c r="C136" s="20">
        <f>IFERROR(__xludf.DUMMYFUNCTION("""COMPUTED_VALUE"""),2017.0)</f>
        <v>2017</v>
      </c>
      <c r="D136" s="20" t="str">
        <f>IFERROR(__xludf.DUMMYFUNCTION("""COMPUTED_VALUE"""),"Moving")</f>
        <v>Moving</v>
      </c>
      <c r="E136" s="20" t="str">
        <f>IFERROR(__xludf.DUMMYFUNCTION("""COMPUTED_VALUE"""),"Events")</f>
        <v>Events</v>
      </c>
      <c r="F136" s="118">
        <f>IFERROR(__xludf.DUMMYFUNCTION("""COMPUTED_VALUE"""),90.42002397485047)</f>
        <v>90.42002397</v>
      </c>
      <c r="G136" s="20">
        <f>IFERROR(__xludf.DUMMYFUNCTION("""COMPUTED_VALUE"""),373162.0)</f>
        <v>373162</v>
      </c>
      <c r="H136" s="20">
        <f>IFERROR(__xludf.DUMMYFUNCTION("""COMPUTED_VALUE"""),11.0)</f>
        <v>11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121"/>
      <c r="Z136" s="20"/>
      <c r="AA136" s="20"/>
      <c r="AB136" s="20"/>
    </row>
    <row r="137">
      <c r="A137" s="20"/>
      <c r="B137" s="117">
        <f>IFERROR(__xludf.DUMMYFUNCTION("""COMPUTED_VALUE"""),43046.0)</f>
        <v>43046</v>
      </c>
      <c r="C137" s="20">
        <f>IFERROR(__xludf.DUMMYFUNCTION("""COMPUTED_VALUE"""),2017.0)</f>
        <v>2017</v>
      </c>
      <c r="D137" s="20" t="str">
        <f>IFERROR(__xludf.DUMMYFUNCTION("""COMPUTED_VALUE"""),"Homeowner’s association dues")</f>
        <v>Homeowner’s association dues</v>
      </c>
      <c r="E137" s="20" t="str">
        <f>IFERROR(__xludf.DUMMYFUNCTION("""COMPUTED_VALUE"""),"Household")</f>
        <v>Household</v>
      </c>
      <c r="F137" s="118">
        <f>IFERROR(__xludf.DUMMYFUNCTION("""COMPUTED_VALUE"""),423.734043327759)</f>
        <v>423.7340433</v>
      </c>
      <c r="G137" s="20">
        <f>IFERROR(__xludf.DUMMYFUNCTION("""COMPUTED_VALUE"""),469686.0)</f>
        <v>469686</v>
      </c>
      <c r="H137" s="20">
        <f>IFERROR(__xludf.DUMMYFUNCTION("""COMPUTED_VALUE"""),11.0)</f>
        <v>11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121"/>
      <c r="Z137" s="20"/>
      <c r="AA137" s="20"/>
      <c r="AB137" s="20"/>
    </row>
    <row r="138">
      <c r="A138" s="20"/>
      <c r="B138" s="117">
        <f>IFERROR(__xludf.DUMMYFUNCTION("""COMPUTED_VALUE"""),43050.0)</f>
        <v>43050</v>
      </c>
      <c r="C138" s="20">
        <f>IFERROR(__xludf.DUMMYFUNCTION("""COMPUTED_VALUE"""),2017.0)</f>
        <v>2017</v>
      </c>
      <c r="D138" s="20" t="str">
        <f>IFERROR(__xludf.DUMMYFUNCTION("""COMPUTED_VALUE"""),"Gas")</f>
        <v>Gas</v>
      </c>
      <c r="E138" s="20" t="str">
        <f>IFERROR(__xludf.DUMMYFUNCTION("""COMPUTED_VALUE"""),"Utilities")</f>
        <v>Utilities</v>
      </c>
      <c r="F138" s="118">
        <f>IFERROR(__xludf.DUMMYFUNCTION("""COMPUTED_VALUE"""),276.0863806083907)</f>
        <v>276.0863806</v>
      </c>
      <c r="G138" s="20">
        <f>IFERROR(__xludf.DUMMYFUNCTION("""COMPUTED_VALUE"""),771659.0)</f>
        <v>771659</v>
      </c>
      <c r="H138" s="20">
        <f>IFERROR(__xludf.DUMMYFUNCTION("""COMPUTED_VALUE"""),11.0)</f>
        <v>11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121"/>
      <c r="Z138" s="20"/>
      <c r="AA138" s="20"/>
      <c r="AB138" s="20"/>
    </row>
    <row r="139">
      <c r="A139" s="20"/>
      <c r="B139" s="117">
        <f>IFERROR(__xludf.DUMMYFUNCTION("""COMPUTED_VALUE"""),43053.0)</f>
        <v>43053</v>
      </c>
      <c r="C139" s="20">
        <f>IFERROR(__xludf.DUMMYFUNCTION("""COMPUTED_VALUE"""),2017.0)</f>
        <v>2017</v>
      </c>
      <c r="D139" s="20" t="str">
        <f>IFERROR(__xludf.DUMMYFUNCTION("""COMPUTED_VALUE"""),"Supplies")</f>
        <v>Supplies</v>
      </c>
      <c r="E139" s="20" t="str">
        <f>IFERROR(__xludf.DUMMYFUNCTION("""COMPUTED_VALUE"""),"Household")</f>
        <v>Household</v>
      </c>
      <c r="F139" s="118">
        <f>IFERROR(__xludf.DUMMYFUNCTION("""COMPUTED_VALUE"""),383.10014196599013)</f>
        <v>383.100142</v>
      </c>
      <c r="G139" s="20">
        <f>IFERROR(__xludf.DUMMYFUNCTION("""COMPUTED_VALUE"""),334430.0)</f>
        <v>334430</v>
      </c>
      <c r="H139" s="20">
        <f>IFERROR(__xludf.DUMMYFUNCTION("""COMPUTED_VALUE"""),11.0)</f>
        <v>11</v>
      </c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121"/>
      <c r="Z139" s="20"/>
      <c r="AA139" s="20"/>
      <c r="AB139" s="20"/>
    </row>
    <row r="140">
      <c r="A140" s="20"/>
      <c r="B140" s="117">
        <f>IFERROR(__xludf.DUMMYFUNCTION("""COMPUTED_VALUE"""),43054.0)</f>
        <v>43054</v>
      </c>
      <c r="C140" s="20">
        <f>IFERROR(__xludf.DUMMYFUNCTION("""COMPUTED_VALUE"""),2017.0)</f>
        <v>2017</v>
      </c>
      <c r="D140" s="20" t="str">
        <f>IFERROR(__xludf.DUMMYFUNCTION("""COMPUTED_VALUE"""),"Birthday")</f>
        <v>Birthday</v>
      </c>
      <c r="E140" s="20" t="str">
        <f>IFERROR(__xludf.DUMMYFUNCTION("""COMPUTED_VALUE"""),"Gifts")</f>
        <v>Gifts</v>
      </c>
      <c r="F140" s="118">
        <f>IFERROR(__xludf.DUMMYFUNCTION("""COMPUTED_VALUE"""),99.09220566516129)</f>
        <v>99.09220567</v>
      </c>
      <c r="G140" s="20">
        <f>IFERROR(__xludf.DUMMYFUNCTION("""COMPUTED_VALUE"""),648339.0)</f>
        <v>648339</v>
      </c>
      <c r="H140" s="20">
        <f>IFERROR(__xludf.DUMMYFUNCTION("""COMPUTED_VALUE"""),11.0)</f>
        <v>11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121"/>
      <c r="Z140" s="20"/>
      <c r="AA140" s="20"/>
      <c r="AB140" s="20"/>
    </row>
    <row r="141">
      <c r="A141" s="20"/>
      <c r="B141" s="117">
        <f>IFERROR(__xludf.DUMMYFUNCTION("""COMPUTED_VALUE"""),43058.0)</f>
        <v>43058</v>
      </c>
      <c r="C141" s="20">
        <f>IFERROR(__xludf.DUMMYFUNCTION("""COMPUTED_VALUE"""),2017.0)</f>
        <v>2017</v>
      </c>
      <c r="D141" s="20" t="str">
        <f>IFERROR(__xludf.DUMMYFUNCTION("""COMPUTED_VALUE"""),"Maintenance")</f>
        <v>Maintenance</v>
      </c>
      <c r="E141" s="20" t="str">
        <f>IFERROR(__xludf.DUMMYFUNCTION("""COMPUTED_VALUE"""),"Automobile")</f>
        <v>Automobile</v>
      </c>
      <c r="F141" s="118">
        <f>IFERROR(__xludf.DUMMYFUNCTION("""COMPUTED_VALUE"""),263.76031714938034)</f>
        <v>263.7603171</v>
      </c>
      <c r="G141" s="20">
        <f>IFERROR(__xludf.DUMMYFUNCTION("""COMPUTED_VALUE"""),327249.0)</f>
        <v>327249</v>
      </c>
      <c r="H141" s="20">
        <f>IFERROR(__xludf.DUMMYFUNCTION("""COMPUTED_VALUE"""),11.0)</f>
        <v>11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121"/>
      <c r="Z141" s="20"/>
      <c r="AA141" s="20"/>
      <c r="AB141" s="20"/>
    </row>
    <row r="142">
      <c r="A142" s="20"/>
      <c r="B142" s="117">
        <f>IFERROR(__xludf.DUMMYFUNCTION("""COMPUTED_VALUE"""),43059.0)</f>
        <v>43059</v>
      </c>
      <c r="C142" s="20">
        <f>IFERROR(__xludf.DUMMYFUNCTION("""COMPUTED_VALUE"""),2017.0)</f>
        <v>2017</v>
      </c>
      <c r="D142" s="20" t="str">
        <f>IFERROR(__xludf.DUMMYFUNCTION("""COMPUTED_VALUE"""),"Minimum balance fee")</f>
        <v>Minimum balance fee</v>
      </c>
      <c r="E142" s="20" t="str">
        <f>IFERROR(__xludf.DUMMYFUNCTION("""COMPUTED_VALUE"""),"Bank Charges")</f>
        <v>Bank Charges</v>
      </c>
      <c r="F142" s="118">
        <f>IFERROR(__xludf.DUMMYFUNCTION("""COMPUTED_VALUE"""),266.78021630754057)</f>
        <v>266.7802163</v>
      </c>
      <c r="G142" s="20">
        <f>IFERROR(__xludf.DUMMYFUNCTION("""COMPUTED_VALUE"""),680576.0)</f>
        <v>680576</v>
      </c>
      <c r="H142" s="20">
        <f>IFERROR(__xludf.DUMMYFUNCTION("""COMPUTED_VALUE"""),11.0)</f>
        <v>11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121"/>
      <c r="Z142" s="20"/>
      <c r="AA142" s="20"/>
      <c r="AB142" s="20"/>
    </row>
    <row r="143">
      <c r="A143" s="20"/>
      <c r="B143" s="117">
        <f>IFERROR(__xludf.DUMMYFUNCTION("""COMPUTED_VALUE"""),43061.0)</f>
        <v>43061</v>
      </c>
      <c r="C143" s="20">
        <f>IFERROR(__xludf.DUMMYFUNCTION("""COMPUTED_VALUE"""),2017.0)</f>
        <v>2017</v>
      </c>
      <c r="D143" s="20" t="str">
        <f>IFERROR(__xludf.DUMMYFUNCTION("""COMPUTED_VALUE"""),"Dining out")</f>
        <v>Dining out</v>
      </c>
      <c r="E143" s="20" t="str">
        <f>IFERROR(__xludf.DUMMYFUNCTION("""COMPUTED_VALUE"""),"Food")</f>
        <v>Food</v>
      </c>
      <c r="F143" s="118">
        <f>IFERROR(__xludf.DUMMYFUNCTION("""COMPUTED_VALUE"""),93.63153119093708)</f>
        <v>93.63153119</v>
      </c>
      <c r="G143" s="20">
        <f>IFERROR(__xludf.DUMMYFUNCTION("""COMPUTED_VALUE"""),685924.0)</f>
        <v>685924</v>
      </c>
      <c r="H143" s="20">
        <f>IFERROR(__xludf.DUMMYFUNCTION("""COMPUTED_VALUE"""),11.0)</f>
        <v>11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121"/>
      <c r="Z143" s="20"/>
      <c r="AA143" s="20"/>
      <c r="AB143" s="20"/>
    </row>
    <row r="144">
      <c r="A144" s="20"/>
      <c r="B144" s="117">
        <f>IFERROR(__xludf.DUMMYFUNCTION("""COMPUTED_VALUE"""),43062.0)</f>
        <v>43062</v>
      </c>
      <c r="C144" s="20">
        <f>IFERROR(__xludf.DUMMYFUNCTION("""COMPUTED_VALUE"""),2017.0)</f>
        <v>2017</v>
      </c>
      <c r="D144" s="20" t="str">
        <f>IFERROR(__xludf.DUMMYFUNCTION("""COMPUTED_VALUE"""),"Sporting goods")</f>
        <v>Sporting goods</v>
      </c>
      <c r="E144" s="20" t="str">
        <f>IFERROR(__xludf.DUMMYFUNCTION("""COMPUTED_VALUE"""),"Leisure (daily / non-vacation)")</f>
        <v>Leisure (daily / non-vacation)</v>
      </c>
      <c r="F144" s="118">
        <f>IFERROR(__xludf.DUMMYFUNCTION("""COMPUTED_VALUE"""),28.129211738198773)</f>
        <v>28.12921174</v>
      </c>
      <c r="G144" s="20">
        <f>IFERROR(__xludf.DUMMYFUNCTION("""COMPUTED_VALUE"""),206628.0)</f>
        <v>206628</v>
      </c>
      <c r="H144" s="20">
        <f>IFERROR(__xludf.DUMMYFUNCTION("""COMPUTED_VALUE"""),11.0)</f>
        <v>11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121"/>
      <c r="Z144" s="20"/>
      <c r="AA144" s="20"/>
      <c r="AB144" s="20"/>
    </row>
    <row r="145">
      <c r="A145" s="20"/>
      <c r="B145" s="117">
        <f>IFERROR(__xludf.DUMMYFUNCTION("""COMPUTED_VALUE"""),43065.0)</f>
        <v>43065</v>
      </c>
      <c r="C145" s="20">
        <f>IFERROR(__xludf.DUMMYFUNCTION("""COMPUTED_VALUE"""),2017.0)</f>
        <v>2017</v>
      </c>
      <c r="D145" s="20" t="str">
        <f>IFERROR(__xludf.DUMMYFUNCTION("""COMPUTED_VALUE"""),"Babysitting")</f>
        <v>Babysitting</v>
      </c>
      <c r="E145" s="20" t="str">
        <f>IFERROR(__xludf.DUMMYFUNCTION("""COMPUTED_VALUE"""),"Childcare")</f>
        <v>Childcare</v>
      </c>
      <c r="F145" s="118">
        <f>IFERROR(__xludf.DUMMYFUNCTION("""COMPUTED_VALUE"""),69.33468381700646)</f>
        <v>69.33468382</v>
      </c>
      <c r="G145" s="20">
        <f>IFERROR(__xludf.DUMMYFUNCTION("""COMPUTED_VALUE"""),985217.0)</f>
        <v>985217</v>
      </c>
      <c r="H145" s="20">
        <f>IFERROR(__xludf.DUMMYFUNCTION("""COMPUTED_VALUE"""),11.0)</f>
        <v>11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121"/>
      <c r="Z145" s="20"/>
      <c r="AA145" s="20"/>
      <c r="AB145" s="20"/>
    </row>
    <row r="146">
      <c r="A146" s="20"/>
      <c r="B146" s="117">
        <f>IFERROR(__xludf.DUMMYFUNCTION("""COMPUTED_VALUE"""),43067.0)</f>
        <v>43067</v>
      </c>
      <c r="C146" s="20">
        <f>IFERROR(__xludf.DUMMYFUNCTION("""COMPUTED_VALUE"""),2017.0)</f>
        <v>2017</v>
      </c>
      <c r="D146" s="20" t="str">
        <f>IFERROR(__xludf.DUMMYFUNCTION("""COMPUTED_VALUE"""),"Home improvement")</f>
        <v>Home improvement</v>
      </c>
      <c r="E146" s="20" t="str">
        <f>IFERROR(__xludf.DUMMYFUNCTION("""COMPUTED_VALUE"""),"Household")</f>
        <v>Household</v>
      </c>
      <c r="F146" s="118">
        <f>IFERROR(__xludf.DUMMYFUNCTION("""COMPUTED_VALUE"""),114.80943613703353)</f>
        <v>114.8094361</v>
      </c>
      <c r="G146" s="20">
        <f>IFERROR(__xludf.DUMMYFUNCTION("""COMPUTED_VALUE"""),892406.0)</f>
        <v>892406</v>
      </c>
      <c r="H146" s="20">
        <f>IFERROR(__xludf.DUMMYFUNCTION("""COMPUTED_VALUE"""),11.0)</f>
        <v>11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121"/>
      <c r="Z146" s="20"/>
      <c r="AA146" s="20"/>
      <c r="AB146" s="20"/>
    </row>
    <row r="147">
      <c r="A147" s="20"/>
      <c r="B147" s="117">
        <f>IFERROR(__xludf.DUMMYFUNCTION("""COMPUTED_VALUE"""),43071.0)</f>
        <v>43071</v>
      </c>
      <c r="C147" s="20">
        <f>IFERROR(__xludf.DUMMYFUNCTION("""COMPUTED_VALUE"""),2017.0)</f>
        <v>2017</v>
      </c>
      <c r="D147" s="20" t="str">
        <f>IFERROR(__xludf.DUMMYFUNCTION("""COMPUTED_VALUE"""),"Tuition")</f>
        <v>Tuition</v>
      </c>
      <c r="E147" s="20" t="str">
        <f>IFERROR(__xludf.DUMMYFUNCTION("""COMPUTED_VALUE"""),"Education")</f>
        <v>Education</v>
      </c>
      <c r="F147" s="118">
        <f>IFERROR(__xludf.DUMMYFUNCTION("""COMPUTED_VALUE"""),192.18329290482757)</f>
        <v>192.1832929</v>
      </c>
      <c r="G147" s="20">
        <f>IFERROR(__xludf.DUMMYFUNCTION("""COMPUTED_VALUE"""),409401.0)</f>
        <v>409401</v>
      </c>
      <c r="H147" s="20">
        <f>IFERROR(__xludf.DUMMYFUNCTION("""COMPUTED_VALUE"""),12.0)</f>
        <v>12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121"/>
      <c r="Z147" s="20"/>
      <c r="AA147" s="20"/>
      <c r="AB147" s="20"/>
    </row>
    <row r="148">
      <c r="A148" s="20"/>
      <c r="B148" s="117">
        <f>IFERROR(__xludf.DUMMYFUNCTION("""COMPUTED_VALUE"""),43072.0)</f>
        <v>43072</v>
      </c>
      <c r="C148" s="20">
        <f>IFERROR(__xludf.DUMMYFUNCTION("""COMPUTED_VALUE"""),2017.0)</f>
        <v>2017</v>
      </c>
      <c r="D148" s="20" t="str">
        <f>IFERROR(__xludf.DUMMYFUNCTION("""COMPUTED_VALUE"""),"Sporting events")</f>
        <v>Sporting events</v>
      </c>
      <c r="E148" s="20" t="str">
        <f>IFERROR(__xludf.DUMMYFUNCTION("""COMPUTED_VALUE"""),"Leisure (daily / non-vacation)")</f>
        <v>Leisure (daily / non-vacation)</v>
      </c>
      <c r="F148" s="118">
        <f>IFERROR(__xludf.DUMMYFUNCTION("""COMPUTED_VALUE"""),288.1981822806002)</f>
        <v>288.1981823</v>
      </c>
      <c r="G148" s="20">
        <f>IFERROR(__xludf.DUMMYFUNCTION("""COMPUTED_VALUE"""),553987.0)</f>
        <v>553987</v>
      </c>
      <c r="H148" s="20">
        <f>IFERROR(__xludf.DUMMYFUNCTION("""COMPUTED_VALUE"""),12.0)</f>
        <v>12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121"/>
      <c r="Z148" s="20"/>
      <c r="AA148" s="20"/>
      <c r="AB148" s="20"/>
    </row>
    <row r="149">
      <c r="A149" s="20"/>
      <c r="B149" s="117">
        <f>IFERROR(__xludf.DUMMYFUNCTION("""COMPUTED_VALUE"""),43074.0)</f>
        <v>43074</v>
      </c>
      <c r="C149" s="20">
        <f>IFERROR(__xludf.DUMMYFUNCTION("""COMPUTED_VALUE"""),2017.0)</f>
        <v>2017</v>
      </c>
      <c r="D149" s="20" t="str">
        <f>IFERROR(__xludf.DUMMYFUNCTION("""COMPUTED_VALUE"""),"Life")</f>
        <v>Life</v>
      </c>
      <c r="E149" s="20" t="str">
        <f>IFERROR(__xludf.DUMMYFUNCTION("""COMPUTED_VALUE"""),"Insurance")</f>
        <v>Insurance</v>
      </c>
      <c r="F149" s="118">
        <f>IFERROR(__xludf.DUMMYFUNCTION("""COMPUTED_VALUE"""),458.2919157527464)</f>
        <v>458.2919158</v>
      </c>
      <c r="G149" s="20">
        <f>IFERROR(__xludf.DUMMYFUNCTION("""COMPUTED_VALUE"""),755249.0)</f>
        <v>755249</v>
      </c>
      <c r="H149" s="20">
        <f>IFERROR(__xludf.DUMMYFUNCTION("""COMPUTED_VALUE"""),12.0)</f>
        <v>12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121"/>
      <c r="Z149" s="20"/>
      <c r="AA149" s="20"/>
      <c r="AB149" s="20"/>
    </row>
    <row r="150">
      <c r="A150" s="20"/>
      <c r="B150" s="117">
        <f>IFERROR(__xludf.DUMMYFUNCTION("""COMPUTED_VALUE"""),43078.0)</f>
        <v>43078</v>
      </c>
      <c r="C150" s="20">
        <f>IFERROR(__xludf.DUMMYFUNCTION("""COMPUTED_VALUE"""),2017.0)</f>
        <v>2017</v>
      </c>
      <c r="D150" s="20" t="str">
        <f>IFERROR(__xludf.DUMMYFUNCTION("""COMPUTED_VALUE"""),"Tools")</f>
        <v>Tools</v>
      </c>
      <c r="E150" s="20" t="str">
        <f>IFERROR(__xludf.DUMMYFUNCTION("""COMPUTED_VALUE"""),"Household")</f>
        <v>Household</v>
      </c>
      <c r="F150" s="118">
        <f>IFERROR(__xludf.DUMMYFUNCTION("""COMPUTED_VALUE"""),227.26960624342044)</f>
        <v>227.2696062</v>
      </c>
      <c r="G150" s="20">
        <f>IFERROR(__xludf.DUMMYFUNCTION("""COMPUTED_VALUE"""),404003.0)</f>
        <v>404003</v>
      </c>
      <c r="H150" s="20">
        <f>IFERROR(__xludf.DUMMYFUNCTION("""COMPUTED_VALUE"""),12.0)</f>
        <v>12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121"/>
      <c r="Z150" s="20"/>
      <c r="AA150" s="20"/>
      <c r="AB150" s="20"/>
    </row>
    <row r="151">
      <c r="A151" s="20"/>
      <c r="B151" s="117">
        <f>IFERROR(__xludf.DUMMYFUNCTION("""COMPUTED_VALUE"""),43082.0)</f>
        <v>43082</v>
      </c>
      <c r="C151" s="20">
        <f>IFERROR(__xludf.DUMMYFUNCTION("""COMPUTED_VALUE"""),2017.0)</f>
        <v>2017</v>
      </c>
      <c r="D151" s="20" t="str">
        <f>IFERROR(__xludf.DUMMYFUNCTION("""COMPUTED_VALUE"""),"Supplies")</f>
        <v>Supplies</v>
      </c>
      <c r="E151" s="20" t="str">
        <f>IFERROR(__xludf.DUMMYFUNCTION("""COMPUTED_VALUE"""),"Household")</f>
        <v>Household</v>
      </c>
      <c r="F151" s="118">
        <f>IFERROR(__xludf.DUMMYFUNCTION("""COMPUTED_VALUE"""),441.1152544158576)</f>
        <v>441.1152544</v>
      </c>
      <c r="G151" s="20">
        <f>IFERROR(__xludf.DUMMYFUNCTION("""COMPUTED_VALUE"""),484083.0)</f>
        <v>484083</v>
      </c>
      <c r="H151" s="20">
        <f>IFERROR(__xludf.DUMMYFUNCTION("""COMPUTED_VALUE"""),12.0)</f>
        <v>12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121"/>
      <c r="Z151" s="20"/>
      <c r="AA151" s="20"/>
      <c r="AB151" s="20"/>
    </row>
    <row r="152">
      <c r="A152" s="20"/>
      <c r="B152" s="117">
        <f>IFERROR(__xludf.DUMMYFUNCTION("""COMPUTED_VALUE"""),43086.0)</f>
        <v>43086</v>
      </c>
      <c r="C152" s="20">
        <f>IFERROR(__xludf.DUMMYFUNCTION("""COMPUTED_VALUE"""),2017.0)</f>
        <v>2017</v>
      </c>
      <c r="D152" s="20" t="str">
        <f>IFERROR(__xludf.DUMMYFUNCTION("""COMPUTED_VALUE"""),"Food")</f>
        <v>Food</v>
      </c>
      <c r="E152" s="20" t="str">
        <f>IFERROR(__xludf.DUMMYFUNCTION("""COMPUTED_VALUE"""),"Pet Care")</f>
        <v>Pet Care</v>
      </c>
      <c r="F152" s="118">
        <f>IFERROR(__xludf.DUMMYFUNCTION("""COMPUTED_VALUE"""),238.79323217141922)</f>
        <v>238.7932322</v>
      </c>
      <c r="G152" s="20">
        <f>IFERROR(__xludf.DUMMYFUNCTION("""COMPUTED_VALUE"""),115013.0)</f>
        <v>115013</v>
      </c>
      <c r="H152" s="20">
        <f>IFERROR(__xludf.DUMMYFUNCTION("""COMPUTED_VALUE"""),12.0)</f>
        <v>12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121"/>
      <c r="Z152" s="20"/>
      <c r="AA152" s="20"/>
      <c r="AB152" s="20"/>
    </row>
    <row r="153">
      <c r="A153" s="20"/>
      <c r="B153" s="117">
        <f>IFERROR(__xludf.DUMMYFUNCTION("""COMPUTED_VALUE"""),43090.0)</f>
        <v>43090</v>
      </c>
      <c r="C153" s="20">
        <f>IFERROR(__xludf.DUMMYFUNCTION("""COMPUTED_VALUE"""),2017.0)</f>
        <v>2017</v>
      </c>
      <c r="D153" s="20" t="str">
        <f>IFERROR(__xludf.DUMMYFUNCTION("""COMPUTED_VALUE"""),"Tourist attractions (e.g. amusement parks, museums, zoos, etc.)")</f>
        <v>Tourist attractions (e.g. amusement parks, museums, zoos, etc.)</v>
      </c>
      <c r="E153" s="20" t="str">
        <f>IFERROR(__xludf.DUMMYFUNCTION("""COMPUTED_VALUE"""),"Hobbies")</f>
        <v>Hobbies</v>
      </c>
      <c r="F153" s="118">
        <f>IFERROR(__xludf.DUMMYFUNCTION("""COMPUTED_VALUE"""),247.32752141882955)</f>
        <v>247.3275214</v>
      </c>
      <c r="G153" s="20">
        <f>IFERROR(__xludf.DUMMYFUNCTION("""COMPUTED_VALUE"""),198341.0)</f>
        <v>198341</v>
      </c>
      <c r="H153" s="20">
        <f>IFERROR(__xludf.DUMMYFUNCTION("""COMPUTED_VALUE"""),12.0)</f>
        <v>12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121"/>
      <c r="Z153" s="20"/>
      <c r="AA153" s="20"/>
      <c r="AB153" s="20"/>
    </row>
    <row r="154">
      <c r="A154" s="20"/>
      <c r="B154" s="117">
        <f>IFERROR(__xludf.DUMMYFUNCTION("""COMPUTED_VALUE"""),43091.0)</f>
        <v>43091</v>
      </c>
      <c r="C154" s="20">
        <f>IFERROR(__xludf.DUMMYFUNCTION("""COMPUTED_VALUE"""),2017.0)</f>
        <v>2017</v>
      </c>
      <c r="D154" s="20" t="str">
        <f>IFERROR(__xludf.DUMMYFUNCTION("""COMPUTED_VALUE"""),"Local")</f>
        <v>Local</v>
      </c>
      <c r="E154" s="20" t="str">
        <f>IFERROR(__xludf.DUMMYFUNCTION("""COMPUTED_VALUE"""),"Taxes")</f>
        <v>Taxes</v>
      </c>
      <c r="F154" s="118">
        <f>IFERROR(__xludf.DUMMYFUNCTION("""COMPUTED_VALUE"""),178.20238384853087)</f>
        <v>178.2023838</v>
      </c>
      <c r="G154" s="20">
        <f>IFERROR(__xludf.DUMMYFUNCTION("""COMPUTED_VALUE"""),995933.0)</f>
        <v>995933</v>
      </c>
      <c r="H154" s="20">
        <f>IFERROR(__xludf.DUMMYFUNCTION("""COMPUTED_VALUE"""),12.0)</f>
        <v>12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121"/>
      <c r="Z154" s="20"/>
      <c r="AA154" s="20"/>
      <c r="AB154" s="20"/>
    </row>
    <row r="155">
      <c r="A155" s="20"/>
      <c r="B155" s="117">
        <f>IFERROR(__xludf.DUMMYFUNCTION("""COMPUTED_VALUE"""),43093.0)</f>
        <v>43093</v>
      </c>
      <c r="C155" s="20">
        <f>IFERROR(__xludf.DUMMYFUNCTION("""COMPUTED_VALUE"""),2017.0)</f>
        <v>2017</v>
      </c>
      <c r="D155" s="20" t="str">
        <f>IFERROR(__xludf.DUMMYFUNCTION("""COMPUTED_VALUE"""),"Magazines")</f>
        <v>Magazines</v>
      </c>
      <c r="E155" s="20" t="str">
        <f>IFERROR(__xludf.DUMMYFUNCTION("""COMPUTED_VALUE"""),"Leisure (daily / non-vacation)")</f>
        <v>Leisure (daily / non-vacation)</v>
      </c>
      <c r="F155" s="118">
        <f>IFERROR(__xludf.DUMMYFUNCTION("""COMPUTED_VALUE"""),162.45652552944108)</f>
        <v>162.4565255</v>
      </c>
      <c r="G155" s="20">
        <f>IFERROR(__xludf.DUMMYFUNCTION("""COMPUTED_VALUE"""),169112.0)</f>
        <v>169112</v>
      </c>
      <c r="H155" s="20">
        <f>IFERROR(__xludf.DUMMYFUNCTION("""COMPUTED_VALUE"""),12.0)</f>
        <v>12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121"/>
      <c r="Z155" s="20"/>
      <c r="AA155" s="20"/>
      <c r="AB155" s="20"/>
    </row>
    <row r="156">
      <c r="A156" s="20"/>
      <c r="B156" s="117">
        <f>IFERROR(__xludf.DUMMYFUNCTION("""COMPUTED_VALUE"""),43095.0)</f>
        <v>43095</v>
      </c>
      <c r="C156" s="20">
        <f>IFERROR(__xludf.DUMMYFUNCTION("""COMPUTED_VALUE"""),2017.0)</f>
        <v>2017</v>
      </c>
      <c r="D156" s="20" t="str">
        <f>IFERROR(__xludf.DUMMYFUNCTION("""COMPUTED_VALUE"""),"Sewer")</f>
        <v>Sewer</v>
      </c>
      <c r="E156" s="20" t="str">
        <f>IFERROR(__xludf.DUMMYFUNCTION("""COMPUTED_VALUE"""),"Utilities")</f>
        <v>Utilities</v>
      </c>
      <c r="F156" s="118">
        <f>IFERROR(__xludf.DUMMYFUNCTION("""COMPUTED_VALUE"""),105.82678716977134)</f>
        <v>105.8267872</v>
      </c>
      <c r="G156" s="20">
        <f>IFERROR(__xludf.DUMMYFUNCTION("""COMPUTED_VALUE"""),386467.0)</f>
        <v>386467</v>
      </c>
      <c r="H156" s="20">
        <f>IFERROR(__xludf.DUMMYFUNCTION("""COMPUTED_VALUE"""),12.0)</f>
        <v>12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121"/>
      <c r="Z156" s="20"/>
      <c r="AA156" s="20"/>
      <c r="AB156" s="20"/>
    </row>
    <row r="157">
      <c r="A157" s="20"/>
      <c r="B157" s="117">
        <f>IFERROR(__xludf.DUMMYFUNCTION("""COMPUTED_VALUE"""),43098.0)</f>
        <v>43098</v>
      </c>
      <c r="C157" s="20">
        <f>IFERROR(__xludf.DUMMYFUNCTION("""COMPUTED_VALUE"""),2017.0)</f>
        <v>2017</v>
      </c>
      <c r="D157" s="20" t="str">
        <f>IFERROR(__xludf.DUMMYFUNCTION("""COMPUTED_VALUE"""),"Service fees")</f>
        <v>Service fees</v>
      </c>
      <c r="E157" s="20" t="str">
        <f>IFERROR(__xludf.DUMMYFUNCTION("""COMPUTED_VALUE"""),"Bank Charges")</f>
        <v>Bank Charges</v>
      </c>
      <c r="F157" s="118">
        <f>IFERROR(__xludf.DUMMYFUNCTION("""COMPUTED_VALUE"""),64.09806888653695)</f>
        <v>64.09806889</v>
      </c>
      <c r="G157" s="20">
        <f>IFERROR(__xludf.DUMMYFUNCTION("""COMPUTED_VALUE"""),958474.0)</f>
        <v>958474</v>
      </c>
      <c r="H157" s="20">
        <f>IFERROR(__xludf.DUMMYFUNCTION("""COMPUTED_VALUE"""),12.0)</f>
        <v>12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121"/>
      <c r="Z157" s="20"/>
      <c r="AA157" s="20"/>
      <c r="AB157" s="20"/>
    </row>
    <row r="158">
      <c r="A158" s="20"/>
      <c r="B158" s="117">
        <f>IFERROR(__xludf.DUMMYFUNCTION("""COMPUTED_VALUE"""),43102.0)</f>
        <v>43102</v>
      </c>
      <c r="C158" s="20">
        <f>IFERROR(__xludf.DUMMYFUNCTION("""COMPUTED_VALUE"""),2018.0)</f>
        <v>2018</v>
      </c>
      <c r="D158" s="20" t="str">
        <f>IFERROR(__xludf.DUMMYFUNCTION("""COMPUTED_VALUE"""),"Anniversary")</f>
        <v>Anniversary</v>
      </c>
      <c r="E158" s="20" t="str">
        <f>IFERROR(__xludf.DUMMYFUNCTION("""COMPUTED_VALUE"""),"Gifts")</f>
        <v>Gifts</v>
      </c>
      <c r="F158" s="118">
        <f>IFERROR(__xludf.DUMMYFUNCTION("""COMPUTED_VALUE"""),340.922845864984)</f>
        <v>340.9228459</v>
      </c>
      <c r="G158" s="20">
        <f>IFERROR(__xludf.DUMMYFUNCTION("""COMPUTED_VALUE"""),237225.0)</f>
        <v>237225</v>
      </c>
      <c r="H158" s="20">
        <f>IFERROR(__xludf.DUMMYFUNCTION("""COMPUTED_VALUE"""),1.0)</f>
        <v>1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121"/>
      <c r="Z158" s="20"/>
      <c r="AA158" s="20"/>
      <c r="AB158" s="20"/>
    </row>
    <row r="159">
      <c r="A159" s="20"/>
      <c r="B159" s="117">
        <f>IFERROR(__xludf.DUMMYFUNCTION("""COMPUTED_VALUE"""),43103.0)</f>
        <v>43103</v>
      </c>
      <c r="C159" s="20">
        <f>IFERROR(__xludf.DUMMYFUNCTION("""COMPUTED_VALUE"""),2018.0)</f>
        <v>2018</v>
      </c>
      <c r="D159" s="20" t="str">
        <f>IFERROR(__xludf.DUMMYFUNCTION("""COMPUTED_VALUE"""),"Sporting goods")</f>
        <v>Sporting goods</v>
      </c>
      <c r="E159" s="20" t="str">
        <f>IFERROR(__xludf.DUMMYFUNCTION("""COMPUTED_VALUE"""),"Leisure (daily / non-vacation)")</f>
        <v>Leisure (daily / non-vacation)</v>
      </c>
      <c r="F159" s="118">
        <f>IFERROR(__xludf.DUMMYFUNCTION("""COMPUTED_VALUE"""),92.85363109503596)</f>
        <v>92.8536311</v>
      </c>
      <c r="G159" s="20">
        <f>IFERROR(__xludf.DUMMYFUNCTION("""COMPUTED_VALUE"""),369467.0)</f>
        <v>369467</v>
      </c>
      <c r="H159" s="20">
        <f>IFERROR(__xludf.DUMMYFUNCTION("""COMPUTED_VALUE"""),1.0)</f>
        <v>1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121"/>
      <c r="Z159" s="20"/>
      <c r="AA159" s="20"/>
      <c r="AB159" s="20"/>
    </row>
    <row r="160">
      <c r="A160" s="20"/>
      <c r="B160" s="117">
        <f>IFERROR(__xludf.DUMMYFUNCTION("""COMPUTED_VALUE"""),43107.0)</f>
        <v>43107</v>
      </c>
      <c r="C160" s="20">
        <f>IFERROR(__xludf.DUMMYFUNCTION("""COMPUTED_VALUE"""),2018.0)</f>
        <v>2018</v>
      </c>
      <c r="D160" s="20" t="str">
        <f>IFERROR(__xludf.DUMMYFUNCTION("""COMPUTED_VALUE"""),"Water")</f>
        <v>Water</v>
      </c>
      <c r="E160" s="20" t="str">
        <f>IFERROR(__xludf.DUMMYFUNCTION("""COMPUTED_VALUE"""),"Utilities")</f>
        <v>Utilities</v>
      </c>
      <c r="F160" s="118">
        <f>IFERROR(__xludf.DUMMYFUNCTION("""COMPUTED_VALUE"""),473.08060045652263)</f>
        <v>473.0806005</v>
      </c>
      <c r="G160" s="20">
        <f>IFERROR(__xludf.DUMMYFUNCTION("""COMPUTED_VALUE"""),353533.0)</f>
        <v>353533</v>
      </c>
      <c r="H160" s="20">
        <f>IFERROR(__xludf.DUMMYFUNCTION("""COMPUTED_VALUE"""),1.0)</f>
        <v>1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121"/>
      <c r="Z160" s="20"/>
      <c r="AA160" s="20"/>
      <c r="AB160" s="20"/>
    </row>
    <row r="161">
      <c r="A161" s="20"/>
      <c r="B161" s="117">
        <f>IFERROR(__xludf.DUMMYFUNCTION("""COMPUTED_VALUE"""),43110.0)</f>
        <v>43110</v>
      </c>
      <c r="C161" s="20">
        <f>IFERROR(__xludf.DUMMYFUNCTION("""COMPUTED_VALUE"""),2018.0)</f>
        <v>2018</v>
      </c>
      <c r="D161" s="20" t="str">
        <f>IFERROR(__xludf.DUMMYFUNCTION("""COMPUTED_VALUE"""),"Babysitting")</f>
        <v>Babysitting</v>
      </c>
      <c r="E161" s="20" t="str">
        <f>IFERROR(__xludf.DUMMYFUNCTION("""COMPUTED_VALUE"""),"Childcare")</f>
        <v>Childcare</v>
      </c>
      <c r="F161" s="118">
        <f>IFERROR(__xludf.DUMMYFUNCTION("""COMPUTED_VALUE"""),127.35794750428538)</f>
        <v>127.3579475</v>
      </c>
      <c r="G161" s="20">
        <f>IFERROR(__xludf.DUMMYFUNCTION("""COMPUTED_VALUE"""),680166.0)</f>
        <v>680166</v>
      </c>
      <c r="H161" s="20">
        <f>IFERROR(__xludf.DUMMYFUNCTION("""COMPUTED_VALUE"""),1.0)</f>
        <v>1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121"/>
      <c r="Z161" s="20"/>
      <c r="AA161" s="20"/>
      <c r="AB161" s="20"/>
    </row>
    <row r="162">
      <c r="A162" s="20"/>
      <c r="B162" s="117">
        <f>IFERROR(__xludf.DUMMYFUNCTION("""COMPUTED_VALUE"""),43111.0)</f>
        <v>43111</v>
      </c>
      <c r="C162" s="20">
        <f>IFERROR(__xludf.DUMMYFUNCTION("""COMPUTED_VALUE"""),2018.0)</f>
        <v>2018</v>
      </c>
      <c r="D162" s="20" t="str">
        <f>IFERROR(__xludf.DUMMYFUNCTION("""COMPUTED_VALUE"""),"Sewer")</f>
        <v>Sewer</v>
      </c>
      <c r="E162" s="20" t="str">
        <f>IFERROR(__xludf.DUMMYFUNCTION("""COMPUTED_VALUE"""),"Utilities")</f>
        <v>Utilities</v>
      </c>
      <c r="F162" s="118">
        <f>IFERROR(__xludf.DUMMYFUNCTION("""COMPUTED_VALUE"""),24.13813834560181)</f>
        <v>24.13813835</v>
      </c>
      <c r="G162" s="20">
        <f>IFERROR(__xludf.DUMMYFUNCTION("""COMPUTED_VALUE"""),702366.0)</f>
        <v>702366</v>
      </c>
      <c r="H162" s="20">
        <f>IFERROR(__xludf.DUMMYFUNCTION("""COMPUTED_VALUE"""),1.0)</f>
        <v>1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121"/>
      <c r="Z162" s="20"/>
      <c r="AA162" s="20"/>
      <c r="AB162" s="20"/>
    </row>
    <row r="163">
      <c r="A163" s="20"/>
      <c r="B163" s="117">
        <f>IFERROR(__xludf.DUMMYFUNCTION("""COMPUTED_VALUE"""),43115.0)</f>
        <v>43115</v>
      </c>
      <c r="C163" s="20">
        <f>IFERROR(__xludf.DUMMYFUNCTION("""COMPUTED_VALUE"""),2018.0)</f>
        <v>2018</v>
      </c>
      <c r="D163" s="20" t="str">
        <f>IFERROR(__xludf.DUMMYFUNCTION("""COMPUTED_VALUE"""),"Furniture")</f>
        <v>Furniture</v>
      </c>
      <c r="E163" s="20" t="str">
        <f>IFERROR(__xludf.DUMMYFUNCTION("""COMPUTED_VALUE"""),"Household")</f>
        <v>Household</v>
      </c>
      <c r="F163" s="118">
        <f>IFERROR(__xludf.DUMMYFUNCTION("""COMPUTED_VALUE"""),103.89297215538208)</f>
        <v>103.8929722</v>
      </c>
      <c r="G163" s="20">
        <f>IFERROR(__xludf.DUMMYFUNCTION("""COMPUTED_VALUE"""),922320.0)</f>
        <v>922320</v>
      </c>
      <c r="H163" s="20">
        <f>IFERROR(__xludf.DUMMYFUNCTION("""COMPUTED_VALUE"""),1.0)</f>
        <v>1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121"/>
      <c r="Z163" s="20"/>
      <c r="AA163" s="20"/>
      <c r="AB163" s="20"/>
    </row>
    <row r="164">
      <c r="A164" s="20"/>
      <c r="B164" s="117">
        <f>IFERROR(__xludf.DUMMYFUNCTION("""COMPUTED_VALUE"""),43118.0)</f>
        <v>43118</v>
      </c>
      <c r="C164" s="20">
        <f>IFERROR(__xludf.DUMMYFUNCTION("""COMPUTED_VALUE"""),2018.0)</f>
        <v>2018</v>
      </c>
      <c r="D164" s="20" t="str">
        <f>IFERROR(__xludf.DUMMYFUNCTION("""COMPUTED_VALUE"""),"Garbage and recycling")</f>
        <v>Garbage and recycling</v>
      </c>
      <c r="E164" s="20" t="str">
        <f>IFERROR(__xludf.DUMMYFUNCTION("""COMPUTED_VALUE"""),"Utilities")</f>
        <v>Utilities</v>
      </c>
      <c r="F164" s="118">
        <f>IFERROR(__xludf.DUMMYFUNCTION("""COMPUTED_VALUE"""),54.692230435374384)</f>
        <v>54.69223044</v>
      </c>
      <c r="G164" s="20">
        <f>IFERROR(__xludf.DUMMYFUNCTION("""COMPUTED_VALUE"""),573601.0)</f>
        <v>573601</v>
      </c>
      <c r="H164" s="20">
        <f>IFERROR(__xludf.DUMMYFUNCTION("""COMPUTED_VALUE"""),1.0)</f>
        <v>1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121"/>
      <c r="Z164" s="20"/>
      <c r="AA164" s="20"/>
      <c r="AB164" s="20"/>
    </row>
    <row r="165">
      <c r="A165" s="20"/>
      <c r="B165" s="117">
        <f>IFERROR(__xludf.DUMMYFUNCTION("""COMPUTED_VALUE"""),43122.0)</f>
        <v>43122</v>
      </c>
      <c r="C165" s="20">
        <f>IFERROR(__xludf.DUMMYFUNCTION("""COMPUTED_VALUE"""),2018.0)</f>
        <v>2018</v>
      </c>
      <c r="D165" s="20" t="str">
        <f>IFERROR(__xludf.DUMMYFUNCTION("""COMPUTED_VALUE"""),"Life")</f>
        <v>Life</v>
      </c>
      <c r="E165" s="20" t="str">
        <f>IFERROR(__xludf.DUMMYFUNCTION("""COMPUTED_VALUE"""),"Insurance")</f>
        <v>Insurance</v>
      </c>
      <c r="F165" s="118">
        <f>IFERROR(__xludf.DUMMYFUNCTION("""COMPUTED_VALUE"""),412.12084889583076)</f>
        <v>412.1208489</v>
      </c>
      <c r="G165" s="20">
        <f>IFERROR(__xludf.DUMMYFUNCTION("""COMPUTED_VALUE"""),203035.0)</f>
        <v>203035</v>
      </c>
      <c r="H165" s="20">
        <f>IFERROR(__xludf.DUMMYFUNCTION("""COMPUTED_VALUE"""),1.0)</f>
        <v>1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121"/>
      <c r="Z165" s="20"/>
      <c r="AA165" s="20"/>
      <c r="AB165" s="20"/>
    </row>
    <row r="166">
      <c r="A166" s="20"/>
      <c r="B166" s="117">
        <f>IFERROR(__xludf.DUMMYFUNCTION("""COMPUTED_VALUE"""),43126.0)</f>
        <v>43126</v>
      </c>
      <c r="C166" s="20">
        <f>IFERROR(__xludf.DUMMYFUNCTION("""COMPUTED_VALUE"""),2018.0)</f>
        <v>2018</v>
      </c>
      <c r="D166" s="20" t="str">
        <f>IFERROR(__xludf.DUMMYFUNCTION("""COMPUTED_VALUE"""),"Cash advance fee")</f>
        <v>Cash advance fee</v>
      </c>
      <c r="E166" s="20" t="str">
        <f>IFERROR(__xludf.DUMMYFUNCTION("""COMPUTED_VALUE"""),"Credit Card Fees")</f>
        <v>Credit Card Fees</v>
      </c>
      <c r="F166" s="118">
        <f>IFERROR(__xludf.DUMMYFUNCTION("""COMPUTED_VALUE"""),496.65822809547905)</f>
        <v>496.6582281</v>
      </c>
      <c r="G166" s="20">
        <f>IFERROR(__xludf.DUMMYFUNCTION("""COMPUTED_VALUE"""),828242.0)</f>
        <v>828242</v>
      </c>
      <c r="H166" s="20">
        <f>IFERROR(__xludf.DUMMYFUNCTION("""COMPUTED_VALUE"""),1.0)</f>
        <v>1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121"/>
      <c r="Z166" s="20"/>
      <c r="AA166" s="20"/>
      <c r="AB166" s="20"/>
    </row>
    <row r="167">
      <c r="A167" s="20"/>
      <c r="B167" s="117">
        <f>IFERROR(__xludf.DUMMYFUNCTION("""COMPUTED_VALUE"""),43130.0)</f>
        <v>43130</v>
      </c>
      <c r="C167" s="20">
        <f>IFERROR(__xludf.DUMMYFUNCTION("""COMPUTED_VALUE"""),2018.0)</f>
        <v>2018</v>
      </c>
      <c r="D167" s="20" t="str">
        <f>IFERROR(__xludf.DUMMYFUNCTION("""COMPUTED_VALUE"""),"ATM fees")</f>
        <v>ATM fees</v>
      </c>
      <c r="E167" s="20" t="str">
        <f>IFERROR(__xludf.DUMMYFUNCTION("""COMPUTED_VALUE"""),"Bank Charges")</f>
        <v>Bank Charges</v>
      </c>
      <c r="F167" s="118">
        <f>IFERROR(__xludf.DUMMYFUNCTION("""COMPUTED_VALUE"""),350.4108967819682)</f>
        <v>350.4108968</v>
      </c>
      <c r="G167" s="20">
        <f>IFERROR(__xludf.DUMMYFUNCTION("""COMPUTED_VALUE"""),426482.0)</f>
        <v>426482</v>
      </c>
      <c r="H167" s="20">
        <f>IFERROR(__xludf.DUMMYFUNCTION("""COMPUTED_VALUE"""),1.0)</f>
        <v>1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121"/>
      <c r="Z167" s="20"/>
      <c r="AA167" s="20"/>
      <c r="AB167" s="20"/>
    </row>
    <row r="168">
      <c r="A168" s="20"/>
      <c r="B168" s="117">
        <f>IFERROR(__xludf.DUMMYFUNCTION("""COMPUTED_VALUE"""),43132.0)</f>
        <v>43132</v>
      </c>
      <c r="C168" s="20">
        <f>IFERROR(__xludf.DUMMYFUNCTION("""COMPUTED_VALUE"""),2018.0)</f>
        <v>2018</v>
      </c>
      <c r="D168" s="20" t="str">
        <f>IFERROR(__xludf.DUMMYFUNCTION("""COMPUTED_VALUE"""),"Sporting goods")</f>
        <v>Sporting goods</v>
      </c>
      <c r="E168" s="20" t="str">
        <f>IFERROR(__xludf.DUMMYFUNCTION("""COMPUTED_VALUE"""),"Leisure (daily / non-vacation)")</f>
        <v>Leisure (daily / non-vacation)</v>
      </c>
      <c r="F168" s="118">
        <f>IFERROR(__xludf.DUMMYFUNCTION("""COMPUTED_VALUE"""),440.1027612729726)</f>
        <v>440.1027613</v>
      </c>
      <c r="G168" s="20">
        <f>IFERROR(__xludf.DUMMYFUNCTION("""COMPUTED_VALUE"""),382106.0)</f>
        <v>382106</v>
      </c>
      <c r="H168" s="20">
        <f>IFERROR(__xludf.DUMMYFUNCTION("""COMPUTED_VALUE"""),2.0)</f>
        <v>2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121"/>
      <c r="Z168" s="20"/>
      <c r="AA168" s="20"/>
      <c r="AB168" s="20"/>
    </row>
    <row r="169">
      <c r="A169" s="20"/>
      <c r="B169" s="117">
        <f>IFERROR(__xludf.DUMMYFUNCTION("""COMPUTED_VALUE"""),43133.0)</f>
        <v>43133</v>
      </c>
      <c r="C169" s="20">
        <f>IFERROR(__xludf.DUMMYFUNCTION("""COMPUTED_VALUE"""),2018.0)</f>
        <v>2018</v>
      </c>
      <c r="D169" s="20" t="str">
        <f>IFERROR(__xludf.DUMMYFUNCTION("""COMPUTED_VALUE"""),"Minimum balance fee")</f>
        <v>Minimum balance fee</v>
      </c>
      <c r="E169" s="20" t="str">
        <f>IFERROR(__xludf.DUMMYFUNCTION("""COMPUTED_VALUE"""),"Bank Charges")</f>
        <v>Bank Charges</v>
      </c>
      <c r="F169" s="118">
        <f>IFERROR(__xludf.DUMMYFUNCTION("""COMPUTED_VALUE"""),284.0842482699629)</f>
        <v>284.0842483</v>
      </c>
      <c r="G169" s="20">
        <f>IFERROR(__xludf.DUMMYFUNCTION("""COMPUTED_VALUE"""),495719.0)</f>
        <v>495719</v>
      </c>
      <c r="H169" s="20">
        <f>IFERROR(__xludf.DUMMYFUNCTION("""COMPUTED_VALUE"""),2.0)</f>
        <v>2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121"/>
      <c r="Z169" s="20"/>
      <c r="AA169" s="20"/>
      <c r="AB169" s="20"/>
    </row>
    <row r="170">
      <c r="A170" s="20"/>
      <c r="B170" s="117">
        <f>IFERROR(__xludf.DUMMYFUNCTION("""COMPUTED_VALUE"""),43134.0)</f>
        <v>43134</v>
      </c>
      <c r="C170" s="20">
        <f>IFERROR(__xludf.DUMMYFUNCTION("""COMPUTED_VALUE"""),2018.0)</f>
        <v>2018</v>
      </c>
      <c r="D170" s="20" t="str">
        <f>IFERROR(__xludf.DUMMYFUNCTION("""COMPUTED_VALUE"""),"Health")</f>
        <v>Health</v>
      </c>
      <c r="E170" s="20" t="str">
        <f>IFERROR(__xludf.DUMMYFUNCTION("""COMPUTED_VALUE"""),"Insurance")</f>
        <v>Insurance</v>
      </c>
      <c r="F170" s="118">
        <f>IFERROR(__xludf.DUMMYFUNCTION("""COMPUTED_VALUE"""),286.74953742156373)</f>
        <v>286.7495374</v>
      </c>
      <c r="G170" s="20">
        <f>IFERROR(__xludf.DUMMYFUNCTION("""COMPUTED_VALUE"""),258729.0)</f>
        <v>258729</v>
      </c>
      <c r="H170" s="20">
        <f>IFERROR(__xludf.DUMMYFUNCTION("""COMPUTED_VALUE"""),2.0)</f>
        <v>2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121"/>
      <c r="Z170" s="20"/>
      <c r="AA170" s="20"/>
      <c r="AB170" s="20"/>
    </row>
    <row r="171">
      <c r="A171" s="20"/>
      <c r="B171" s="117">
        <f>IFERROR(__xludf.DUMMYFUNCTION("""COMPUTED_VALUE"""),43138.0)</f>
        <v>43138</v>
      </c>
      <c r="C171" s="20">
        <f>IFERROR(__xludf.DUMMYFUNCTION("""COMPUTED_VALUE"""),2018.0)</f>
        <v>2018</v>
      </c>
      <c r="D171" s="20" t="str">
        <f>IFERROR(__xludf.DUMMYFUNCTION("""COMPUTED_VALUE"""),"Homeowner’s association dues")</f>
        <v>Homeowner’s association dues</v>
      </c>
      <c r="E171" s="20" t="str">
        <f>IFERROR(__xludf.DUMMYFUNCTION("""COMPUTED_VALUE"""),"Household")</f>
        <v>Household</v>
      </c>
      <c r="F171" s="118">
        <f>IFERROR(__xludf.DUMMYFUNCTION("""COMPUTED_VALUE"""),273.6546624442296)</f>
        <v>273.6546624</v>
      </c>
      <c r="G171" s="20">
        <f>IFERROR(__xludf.DUMMYFUNCTION("""COMPUTED_VALUE"""),189621.0)</f>
        <v>189621</v>
      </c>
      <c r="H171" s="20">
        <f>IFERROR(__xludf.DUMMYFUNCTION("""COMPUTED_VALUE"""),2.0)</f>
        <v>2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121"/>
      <c r="Z171" s="20"/>
      <c r="AA171" s="20"/>
      <c r="AB171" s="20"/>
    </row>
    <row r="172">
      <c r="A172" s="20"/>
      <c r="B172" s="117">
        <f>IFERROR(__xludf.DUMMYFUNCTION("""COMPUTED_VALUE"""),43141.0)</f>
        <v>43141</v>
      </c>
      <c r="C172" s="20">
        <f>IFERROR(__xludf.DUMMYFUNCTION("""COMPUTED_VALUE"""),2018.0)</f>
        <v>2018</v>
      </c>
      <c r="D172" s="20" t="str">
        <f>IFERROR(__xludf.DUMMYFUNCTION("""COMPUTED_VALUE"""),"Books")</f>
        <v>Books</v>
      </c>
      <c r="E172" s="20" t="str">
        <f>IFERROR(__xludf.DUMMYFUNCTION("""COMPUTED_VALUE"""),"Education")</f>
        <v>Education</v>
      </c>
      <c r="F172" s="118">
        <f>IFERROR(__xludf.DUMMYFUNCTION("""COMPUTED_VALUE"""),134.14154736337318)</f>
        <v>134.1415474</v>
      </c>
      <c r="G172" s="20">
        <f>IFERROR(__xludf.DUMMYFUNCTION("""COMPUTED_VALUE"""),690234.0)</f>
        <v>690234</v>
      </c>
      <c r="H172" s="20">
        <f>IFERROR(__xludf.DUMMYFUNCTION("""COMPUTED_VALUE"""),2.0)</f>
        <v>2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121"/>
      <c r="Z172" s="20"/>
      <c r="AA172" s="20"/>
      <c r="AB172" s="20"/>
    </row>
    <row r="173">
      <c r="A173" s="20"/>
      <c r="B173" s="117">
        <f>IFERROR(__xludf.DUMMYFUNCTION("""COMPUTED_VALUE"""),43142.0)</f>
        <v>43142</v>
      </c>
      <c r="C173" s="20">
        <f>IFERROR(__xludf.DUMMYFUNCTION("""COMPUTED_VALUE"""),2018.0)</f>
        <v>2018</v>
      </c>
      <c r="D173" s="20" t="str">
        <f>IFERROR(__xludf.DUMMYFUNCTION("""COMPUTED_VALUE"""),"Cultural events (e.g. parades, carnivals, etc.)")</f>
        <v>Cultural events (e.g. parades, carnivals, etc.)</v>
      </c>
      <c r="E173" s="20" t="str">
        <f>IFERROR(__xludf.DUMMYFUNCTION("""COMPUTED_VALUE"""),"Hobbies")</f>
        <v>Hobbies</v>
      </c>
      <c r="F173" s="118">
        <f>IFERROR(__xludf.DUMMYFUNCTION("""COMPUTED_VALUE"""),167.80516754832817)</f>
        <v>167.8051675</v>
      </c>
      <c r="G173" s="20">
        <f>IFERROR(__xludf.DUMMYFUNCTION("""COMPUTED_VALUE"""),651364.0)</f>
        <v>651364</v>
      </c>
      <c r="H173" s="20">
        <f>IFERROR(__xludf.DUMMYFUNCTION("""COMPUTED_VALUE"""),2.0)</f>
        <v>2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121"/>
      <c r="Z173" s="20"/>
      <c r="AA173" s="20"/>
      <c r="AB173" s="20"/>
    </row>
    <row r="174">
      <c r="A174" s="20"/>
      <c r="B174" s="117">
        <f>IFERROR(__xludf.DUMMYFUNCTION("""COMPUTED_VALUE"""),43143.0)</f>
        <v>43143</v>
      </c>
      <c r="C174" s="20">
        <f>IFERROR(__xludf.DUMMYFUNCTION("""COMPUTED_VALUE"""),2018.0)</f>
        <v>2018</v>
      </c>
      <c r="D174" s="20" t="str">
        <f>IFERROR(__xludf.DUMMYFUNCTION("""COMPUTED_VALUE"""),"Automobile")</f>
        <v>Automobile</v>
      </c>
      <c r="E174" s="20" t="str">
        <f>IFERROR(__xludf.DUMMYFUNCTION("""COMPUTED_VALUE"""),"Insurance")</f>
        <v>Insurance</v>
      </c>
      <c r="F174" s="118">
        <f>IFERROR(__xludf.DUMMYFUNCTION("""COMPUTED_VALUE"""),241.43224357946937)</f>
        <v>241.4322436</v>
      </c>
      <c r="G174" s="20">
        <f>IFERROR(__xludf.DUMMYFUNCTION("""COMPUTED_VALUE"""),160325.0)</f>
        <v>160325</v>
      </c>
      <c r="H174" s="20">
        <f>IFERROR(__xludf.DUMMYFUNCTION("""COMPUTED_VALUE"""),2.0)</f>
        <v>2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121"/>
      <c r="Z174" s="20"/>
      <c r="AA174" s="20"/>
      <c r="AB174" s="20"/>
    </row>
    <row r="175">
      <c r="A175" s="20"/>
      <c r="B175" s="117">
        <f>IFERROR(__xludf.DUMMYFUNCTION("""COMPUTED_VALUE"""),43144.0)</f>
        <v>43144</v>
      </c>
      <c r="C175" s="20">
        <f>IFERROR(__xludf.DUMMYFUNCTION("""COMPUTED_VALUE"""),2018.0)</f>
        <v>2018</v>
      </c>
      <c r="D175" s="20" t="str">
        <f>IFERROR(__xludf.DUMMYFUNCTION("""COMPUTED_VALUE"""),"Homeowner’s association dues")</f>
        <v>Homeowner’s association dues</v>
      </c>
      <c r="E175" s="20" t="str">
        <f>IFERROR(__xludf.DUMMYFUNCTION("""COMPUTED_VALUE"""),"Household")</f>
        <v>Household</v>
      </c>
      <c r="F175" s="118">
        <f>IFERROR(__xludf.DUMMYFUNCTION("""COMPUTED_VALUE"""),305.40757019908125)</f>
        <v>305.4075702</v>
      </c>
      <c r="G175" s="20">
        <f>IFERROR(__xludf.DUMMYFUNCTION("""COMPUTED_VALUE"""),660650.0)</f>
        <v>660650</v>
      </c>
      <c r="H175" s="20">
        <f>IFERROR(__xludf.DUMMYFUNCTION("""COMPUTED_VALUE"""),2.0)</f>
        <v>2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121"/>
      <c r="Z175" s="20"/>
      <c r="AA175" s="20"/>
      <c r="AB175" s="20"/>
    </row>
    <row r="176">
      <c r="A176" s="20"/>
      <c r="B176" s="117">
        <f>IFERROR(__xludf.DUMMYFUNCTION("""COMPUTED_VALUE"""),43148.0)</f>
        <v>43148</v>
      </c>
      <c r="C176" s="20">
        <f>IFERROR(__xludf.DUMMYFUNCTION("""COMPUTED_VALUE"""),2018.0)</f>
        <v>2018</v>
      </c>
      <c r="D176" s="20" t="str">
        <f>IFERROR(__xludf.DUMMYFUNCTION("""COMPUTED_VALUE"""),"School supplies")</f>
        <v>School supplies</v>
      </c>
      <c r="E176" s="20" t="str">
        <f>IFERROR(__xludf.DUMMYFUNCTION("""COMPUTED_VALUE"""),"Education")</f>
        <v>Education</v>
      </c>
      <c r="F176" s="118">
        <f>IFERROR(__xludf.DUMMYFUNCTION("""COMPUTED_VALUE"""),60.17376287611795)</f>
        <v>60.17376288</v>
      </c>
      <c r="G176" s="20">
        <f>IFERROR(__xludf.DUMMYFUNCTION("""COMPUTED_VALUE"""),225314.0)</f>
        <v>225314</v>
      </c>
      <c r="H176" s="20">
        <f>IFERROR(__xludf.DUMMYFUNCTION("""COMPUTED_VALUE"""),2.0)</f>
        <v>2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121"/>
      <c r="Z176" s="20"/>
      <c r="AA176" s="20"/>
      <c r="AB176" s="20"/>
    </row>
    <row r="177">
      <c r="A177" s="20"/>
      <c r="B177" s="117">
        <f>IFERROR(__xludf.DUMMYFUNCTION("""COMPUTED_VALUE"""),43152.0)</f>
        <v>43152</v>
      </c>
      <c r="C177" s="20">
        <f>IFERROR(__xludf.DUMMYFUNCTION("""COMPUTED_VALUE"""),2018.0)</f>
        <v>2018</v>
      </c>
      <c r="D177" s="20" t="str">
        <f>IFERROR(__xludf.DUMMYFUNCTION("""COMPUTED_VALUE"""),"Clothing")</f>
        <v>Clothing</v>
      </c>
      <c r="E177" s="20" t="str">
        <f>IFERROR(__xludf.DUMMYFUNCTION("""COMPUTED_VALUE"""),"Clothing")</f>
        <v>Clothing</v>
      </c>
      <c r="F177" s="118">
        <f>IFERROR(__xludf.DUMMYFUNCTION("""COMPUTED_VALUE"""),120.36550150881962)</f>
        <v>120.3655015</v>
      </c>
      <c r="G177" s="20">
        <f>IFERROR(__xludf.DUMMYFUNCTION("""COMPUTED_VALUE"""),417371.0)</f>
        <v>417371</v>
      </c>
      <c r="H177" s="20">
        <f>IFERROR(__xludf.DUMMYFUNCTION("""COMPUTED_VALUE"""),2.0)</f>
        <v>2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121"/>
      <c r="Z177" s="20"/>
      <c r="AA177" s="20"/>
      <c r="AB177" s="20"/>
    </row>
    <row r="178">
      <c r="A178" s="20"/>
      <c r="B178" s="117">
        <f>IFERROR(__xludf.DUMMYFUNCTION("""COMPUTED_VALUE"""),43156.0)</f>
        <v>43156</v>
      </c>
      <c r="C178" s="20">
        <f>IFERROR(__xludf.DUMMYFUNCTION("""COMPUTED_VALUE"""),2018.0)</f>
        <v>2018</v>
      </c>
      <c r="D178" s="20" t="str">
        <f>IFERROR(__xludf.DUMMYFUNCTION("""COMPUTED_VALUE"""),"Books")</f>
        <v>Books</v>
      </c>
      <c r="E178" s="20" t="str">
        <f>IFERROR(__xludf.DUMMYFUNCTION("""COMPUTED_VALUE"""),"Education")</f>
        <v>Education</v>
      </c>
      <c r="F178" s="118">
        <f>IFERROR(__xludf.DUMMYFUNCTION("""COMPUTED_VALUE"""),95.27202395942828)</f>
        <v>95.27202396</v>
      </c>
      <c r="G178" s="20">
        <f>IFERROR(__xludf.DUMMYFUNCTION("""COMPUTED_VALUE"""),343429.0)</f>
        <v>343429</v>
      </c>
      <c r="H178" s="20">
        <f>IFERROR(__xludf.DUMMYFUNCTION("""COMPUTED_VALUE"""),2.0)</f>
        <v>2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121"/>
      <c r="Z178" s="20"/>
      <c r="AA178" s="20"/>
      <c r="AB178" s="20"/>
    </row>
    <row r="179">
      <c r="A179" s="20"/>
      <c r="B179" s="117">
        <f>IFERROR(__xludf.DUMMYFUNCTION("""COMPUTED_VALUE"""),43160.0)</f>
        <v>43160</v>
      </c>
      <c r="C179" s="20">
        <f>IFERROR(__xludf.DUMMYFUNCTION("""COMPUTED_VALUE"""),2018.0)</f>
        <v>2018</v>
      </c>
      <c r="D179" s="20" t="str">
        <f>IFERROR(__xludf.DUMMYFUNCTION("""COMPUTED_VALUE"""),"Auto loan payment")</f>
        <v>Auto loan payment</v>
      </c>
      <c r="E179" s="20" t="str">
        <f>IFERROR(__xludf.DUMMYFUNCTION("""COMPUTED_VALUE"""),"Automobile")</f>
        <v>Automobile</v>
      </c>
      <c r="F179" s="118">
        <f>IFERROR(__xludf.DUMMYFUNCTION("""COMPUTED_VALUE"""),474.44155300277407)</f>
        <v>474.441553</v>
      </c>
      <c r="G179" s="20">
        <f>IFERROR(__xludf.DUMMYFUNCTION("""COMPUTED_VALUE"""),747934.0)</f>
        <v>747934</v>
      </c>
      <c r="H179" s="20">
        <f>IFERROR(__xludf.DUMMYFUNCTION("""COMPUTED_VALUE"""),3.0)</f>
        <v>3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121"/>
      <c r="Z179" s="20"/>
      <c r="AA179" s="20"/>
      <c r="AB179" s="20"/>
    </row>
    <row r="180">
      <c r="A180" s="20"/>
      <c r="B180" s="117">
        <f>IFERROR(__xludf.DUMMYFUNCTION("""COMPUTED_VALUE"""),43164.0)</f>
        <v>43164</v>
      </c>
      <c r="C180" s="20">
        <f>IFERROR(__xludf.DUMMYFUNCTION("""COMPUTED_VALUE"""),2018.0)</f>
        <v>2018</v>
      </c>
      <c r="D180" s="20" t="str">
        <f>IFERROR(__xludf.DUMMYFUNCTION("""COMPUTED_VALUE"""),"Retirement")</f>
        <v>Retirement</v>
      </c>
      <c r="E180" s="20" t="str">
        <f>IFERROR(__xludf.DUMMYFUNCTION("""COMPUTED_VALUE"""),"Pet Care")</f>
        <v>Pet Care</v>
      </c>
      <c r="F180" s="118">
        <f>IFERROR(__xludf.DUMMYFUNCTION("""COMPUTED_VALUE"""),149.48653798303377)</f>
        <v>149.486538</v>
      </c>
      <c r="G180" s="20">
        <f>IFERROR(__xludf.DUMMYFUNCTION("""COMPUTED_VALUE"""),111262.0)</f>
        <v>111262</v>
      </c>
      <c r="H180" s="20">
        <f>IFERROR(__xludf.DUMMYFUNCTION("""COMPUTED_VALUE"""),3.0)</f>
        <v>3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121"/>
      <c r="Z180" s="20"/>
      <c r="AA180" s="20"/>
      <c r="AB180" s="20"/>
    </row>
    <row r="181">
      <c r="A181" s="20"/>
      <c r="B181" s="117">
        <f>IFERROR(__xludf.DUMMYFUNCTION("""COMPUTED_VALUE"""),43166.0)</f>
        <v>43166</v>
      </c>
      <c r="C181" s="20">
        <f>IFERROR(__xludf.DUMMYFUNCTION("""COMPUTED_VALUE"""),2018.0)</f>
        <v>2018</v>
      </c>
      <c r="D181" s="20" t="str">
        <f>IFERROR(__xludf.DUMMYFUNCTION("""COMPUTED_VALUE"""),"Finance charge / Interest")</f>
        <v>Finance charge / Interest</v>
      </c>
      <c r="E181" s="20" t="str">
        <f>IFERROR(__xludf.DUMMYFUNCTION("""COMPUTED_VALUE"""),"Loans")</f>
        <v>Loans</v>
      </c>
      <c r="F181" s="118">
        <f>IFERROR(__xludf.DUMMYFUNCTION("""COMPUTED_VALUE"""),106.51518819040125)</f>
        <v>106.5151882</v>
      </c>
      <c r="G181" s="20">
        <f>IFERROR(__xludf.DUMMYFUNCTION("""COMPUTED_VALUE"""),773217.0)</f>
        <v>773217</v>
      </c>
      <c r="H181" s="20">
        <f>IFERROR(__xludf.DUMMYFUNCTION("""COMPUTED_VALUE"""),3.0)</f>
        <v>3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121"/>
      <c r="Z181" s="20"/>
      <c r="AA181" s="20"/>
      <c r="AB181" s="20"/>
    </row>
    <row r="182">
      <c r="A182" s="20"/>
      <c r="B182" s="117">
        <f>IFERROR(__xludf.DUMMYFUNCTION("""COMPUTED_VALUE"""),43168.0)</f>
        <v>43168</v>
      </c>
      <c r="C182" s="20">
        <f>IFERROR(__xludf.DUMMYFUNCTION("""COMPUTED_VALUE"""),2018.0)</f>
        <v>2018</v>
      </c>
      <c r="D182" s="20" t="str">
        <f>IFERROR(__xludf.DUMMYFUNCTION("""COMPUTED_VALUE"""),"Registration fees")</f>
        <v>Registration fees</v>
      </c>
      <c r="E182" s="20" t="str">
        <f>IFERROR(__xludf.DUMMYFUNCTION("""COMPUTED_VALUE"""),"Automobile")</f>
        <v>Automobile</v>
      </c>
      <c r="F182" s="118">
        <f>IFERROR(__xludf.DUMMYFUNCTION("""COMPUTED_VALUE"""),321.46702826563353)</f>
        <v>321.4670283</v>
      </c>
      <c r="G182" s="20">
        <f>IFERROR(__xludf.DUMMYFUNCTION("""COMPUTED_VALUE"""),990819.0)</f>
        <v>990819</v>
      </c>
      <c r="H182" s="20">
        <f>IFERROR(__xludf.DUMMYFUNCTION("""COMPUTED_VALUE"""),3.0)</f>
        <v>3</v>
      </c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121"/>
      <c r="Z182" s="20"/>
      <c r="AA182" s="20"/>
      <c r="AB182" s="20"/>
    </row>
    <row r="183">
      <c r="A183" s="20"/>
      <c r="B183" s="117">
        <f>IFERROR(__xludf.DUMMYFUNCTION("""COMPUTED_VALUE"""),43170.0)</f>
        <v>43170</v>
      </c>
      <c r="C183" s="20">
        <f>IFERROR(__xludf.DUMMYFUNCTION("""COMPUTED_VALUE"""),2018.0)</f>
        <v>2018</v>
      </c>
      <c r="D183" s="20" t="str">
        <f>IFERROR(__xludf.DUMMYFUNCTION("""COMPUTED_VALUE"""),"Television (e.g. cable, satellite, etc.)")</f>
        <v>Television (e.g. cable, satellite, etc.)</v>
      </c>
      <c r="E183" s="20" t="str">
        <f>IFERROR(__xludf.DUMMYFUNCTION("""COMPUTED_VALUE"""),"Utilities")</f>
        <v>Utilities</v>
      </c>
      <c r="F183" s="118">
        <f>IFERROR(__xludf.DUMMYFUNCTION("""COMPUTED_VALUE"""),11.910498498733348)</f>
        <v>11.9104985</v>
      </c>
      <c r="G183" s="20">
        <f>IFERROR(__xludf.DUMMYFUNCTION("""COMPUTED_VALUE"""),197939.0)</f>
        <v>197939</v>
      </c>
      <c r="H183" s="20">
        <f>IFERROR(__xludf.DUMMYFUNCTION("""COMPUTED_VALUE"""),3.0)</f>
        <v>3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121"/>
      <c r="Z183" s="20"/>
      <c r="AA183" s="20"/>
      <c r="AB183" s="20"/>
    </row>
    <row r="184">
      <c r="A184" s="20"/>
      <c r="B184" s="117">
        <f>IFERROR(__xludf.DUMMYFUNCTION("""COMPUTED_VALUE"""),43173.0)</f>
        <v>43173</v>
      </c>
      <c r="C184" s="20">
        <f>IFERROR(__xludf.DUMMYFUNCTION("""COMPUTED_VALUE"""),2018.0)</f>
        <v>2018</v>
      </c>
      <c r="D184" s="20" t="str">
        <f>IFERROR(__xludf.DUMMYFUNCTION("""COMPUTED_VALUE"""),"Home maintenance and repair")</f>
        <v>Home maintenance and repair</v>
      </c>
      <c r="E184" s="20" t="str">
        <f>IFERROR(__xludf.DUMMYFUNCTION("""COMPUTED_VALUE"""),"Household")</f>
        <v>Household</v>
      </c>
      <c r="F184" s="118">
        <f>IFERROR(__xludf.DUMMYFUNCTION("""COMPUTED_VALUE"""),125.33946242382082)</f>
        <v>125.3394624</v>
      </c>
      <c r="G184" s="20">
        <f>IFERROR(__xludf.DUMMYFUNCTION("""COMPUTED_VALUE"""),598664.0)</f>
        <v>598664</v>
      </c>
      <c r="H184" s="20">
        <f>IFERROR(__xludf.DUMMYFUNCTION("""COMPUTED_VALUE"""),3.0)</f>
        <v>3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121"/>
      <c r="Z184" s="20"/>
      <c r="AA184" s="20"/>
      <c r="AB184" s="20"/>
    </row>
    <row r="185">
      <c r="A185" s="20"/>
      <c r="B185" s="117">
        <f>IFERROR(__xludf.DUMMYFUNCTION("""COMPUTED_VALUE"""),43176.0)</f>
        <v>43176</v>
      </c>
      <c r="C185" s="20">
        <f>IFERROR(__xludf.DUMMYFUNCTION("""COMPUTED_VALUE"""),2018.0)</f>
        <v>2018</v>
      </c>
      <c r="D185" s="20" t="str">
        <f>IFERROR(__xludf.DUMMYFUNCTION("""COMPUTED_VALUE"""),"Check orders")</f>
        <v>Check orders</v>
      </c>
      <c r="E185" s="20" t="str">
        <f>IFERROR(__xludf.DUMMYFUNCTION("""COMPUTED_VALUE"""),"Bank Charges")</f>
        <v>Bank Charges</v>
      </c>
      <c r="F185" s="118">
        <f>IFERROR(__xludf.DUMMYFUNCTION("""COMPUTED_VALUE"""),494.53150463014504)</f>
        <v>494.5315046</v>
      </c>
      <c r="G185" s="20">
        <f>IFERROR(__xludf.DUMMYFUNCTION("""COMPUTED_VALUE"""),201885.0)</f>
        <v>201885</v>
      </c>
      <c r="H185" s="20">
        <f>IFERROR(__xludf.DUMMYFUNCTION("""COMPUTED_VALUE"""),3.0)</f>
        <v>3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121"/>
      <c r="Z185" s="20"/>
      <c r="AA185" s="20"/>
      <c r="AB185" s="20"/>
    </row>
    <row r="186">
      <c r="A186" s="20"/>
      <c r="B186" s="117">
        <f>IFERROR(__xludf.DUMMYFUNCTION("""COMPUTED_VALUE"""),43177.0)</f>
        <v>43177</v>
      </c>
      <c r="C186" s="20">
        <f>IFERROR(__xludf.DUMMYFUNCTION("""COMPUTED_VALUE"""),2018.0)</f>
        <v>2018</v>
      </c>
      <c r="D186" s="20" t="str">
        <f>IFERROR(__xludf.DUMMYFUNCTION("""COMPUTED_VALUE"""),"Groceries")</f>
        <v>Groceries</v>
      </c>
      <c r="E186" s="20" t="str">
        <f>IFERROR(__xludf.DUMMYFUNCTION("""COMPUTED_VALUE"""),"Food")</f>
        <v>Food</v>
      </c>
      <c r="F186" s="118">
        <f>IFERROR(__xludf.DUMMYFUNCTION("""COMPUTED_VALUE"""),114.28085911085819)</f>
        <v>114.2808591</v>
      </c>
      <c r="G186" s="20">
        <f>IFERROR(__xludf.DUMMYFUNCTION("""COMPUTED_VALUE"""),177362.0)</f>
        <v>177362</v>
      </c>
      <c r="H186" s="20">
        <f>IFERROR(__xludf.DUMMYFUNCTION("""COMPUTED_VALUE"""),3.0)</f>
        <v>3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121"/>
      <c r="Z186" s="20"/>
      <c r="AA186" s="20"/>
      <c r="AB186" s="20"/>
    </row>
    <row r="187">
      <c r="A187" s="20"/>
      <c r="B187" s="117">
        <f>IFERROR(__xludf.DUMMYFUNCTION("""COMPUTED_VALUE"""),43180.0)</f>
        <v>43180</v>
      </c>
      <c r="C187" s="20">
        <f>IFERROR(__xludf.DUMMYFUNCTION("""COMPUTED_VALUE"""),2018.0)</f>
        <v>2018</v>
      </c>
      <c r="D187" s="20" t="str">
        <f>IFERROR(__xludf.DUMMYFUNCTION("""COMPUTED_VALUE"""),"Television (e.g. cable, satellite, etc.)")</f>
        <v>Television (e.g. cable, satellite, etc.)</v>
      </c>
      <c r="E187" s="20" t="str">
        <f>IFERROR(__xludf.DUMMYFUNCTION("""COMPUTED_VALUE"""),"Utilities")</f>
        <v>Utilities</v>
      </c>
      <c r="F187" s="118">
        <f>IFERROR(__xludf.DUMMYFUNCTION("""COMPUTED_VALUE"""),252.54758811398148)</f>
        <v>252.5475881</v>
      </c>
      <c r="G187" s="20">
        <f>IFERROR(__xludf.DUMMYFUNCTION("""COMPUTED_VALUE"""),523455.0)</f>
        <v>523455</v>
      </c>
      <c r="H187" s="20">
        <f>IFERROR(__xludf.DUMMYFUNCTION("""COMPUTED_VALUE"""),3.0)</f>
        <v>3</v>
      </c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121"/>
      <c r="Z187" s="20"/>
      <c r="AA187" s="20"/>
      <c r="AB187" s="20"/>
    </row>
    <row r="188">
      <c r="A188" s="20"/>
      <c r="B188" s="117">
        <f>IFERROR(__xludf.DUMMYFUNCTION("""COMPUTED_VALUE"""),43183.0)</f>
        <v>43183</v>
      </c>
      <c r="C188" s="20">
        <f>IFERROR(__xludf.DUMMYFUNCTION("""COMPUTED_VALUE"""),2018.0)</f>
        <v>2018</v>
      </c>
      <c r="D188" s="20" t="str">
        <f>IFERROR(__xludf.DUMMYFUNCTION("""COMPUTED_VALUE"""),"Maintenance")</f>
        <v>Maintenance</v>
      </c>
      <c r="E188" s="20" t="str">
        <f>IFERROR(__xludf.DUMMYFUNCTION("""COMPUTED_VALUE"""),"Automobile")</f>
        <v>Automobile</v>
      </c>
      <c r="F188" s="118">
        <f>IFERROR(__xludf.DUMMYFUNCTION("""COMPUTED_VALUE"""),34.35523822160981)</f>
        <v>34.35523822</v>
      </c>
      <c r="G188" s="20">
        <f>IFERROR(__xludf.DUMMYFUNCTION("""COMPUTED_VALUE"""),631924.0)</f>
        <v>631924</v>
      </c>
      <c r="H188" s="20">
        <f>IFERROR(__xludf.DUMMYFUNCTION("""COMPUTED_VALUE"""),3.0)</f>
        <v>3</v>
      </c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121"/>
      <c r="Z188" s="20"/>
      <c r="AA188" s="20"/>
      <c r="AB188" s="20"/>
    </row>
    <row r="189">
      <c r="A189" s="20"/>
      <c r="B189" s="117">
        <f>IFERROR(__xludf.DUMMYFUNCTION("""COMPUTED_VALUE"""),43184.0)</f>
        <v>43184</v>
      </c>
      <c r="C189" s="20">
        <f>IFERROR(__xludf.DUMMYFUNCTION("""COMPUTED_VALUE"""),2018.0)</f>
        <v>2018</v>
      </c>
      <c r="D189" s="20" t="str">
        <f>IFERROR(__xludf.DUMMYFUNCTION("""COMPUTED_VALUE"""),"Toys")</f>
        <v>Toys</v>
      </c>
      <c r="E189" s="20" t="str">
        <f>IFERROR(__xludf.DUMMYFUNCTION("""COMPUTED_VALUE"""),"Hobbies")</f>
        <v>Hobbies</v>
      </c>
      <c r="F189" s="118">
        <f>IFERROR(__xludf.DUMMYFUNCTION("""COMPUTED_VALUE"""),473.2827695285254)</f>
        <v>473.2827695</v>
      </c>
      <c r="G189" s="20">
        <f>IFERROR(__xludf.DUMMYFUNCTION("""COMPUTED_VALUE"""),722833.0)</f>
        <v>722833</v>
      </c>
      <c r="H189" s="20">
        <f>IFERROR(__xludf.DUMMYFUNCTION("""COMPUTED_VALUE"""),3.0)</f>
        <v>3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121"/>
      <c r="Z189" s="20"/>
      <c r="AA189" s="20"/>
      <c r="AB189" s="20"/>
    </row>
    <row r="190">
      <c r="A190" s="20"/>
      <c r="B190" s="117">
        <f>IFERROR(__xludf.DUMMYFUNCTION("""COMPUTED_VALUE"""),43186.0)</f>
        <v>43186</v>
      </c>
      <c r="C190" s="20">
        <f>IFERROR(__xludf.DUMMYFUNCTION("""COMPUTED_VALUE"""),2018.0)</f>
        <v>2018</v>
      </c>
      <c r="D190" s="20" t="str">
        <f>IFERROR(__xludf.DUMMYFUNCTION("""COMPUTED_VALUE"""),"Late fee")</f>
        <v>Late fee</v>
      </c>
      <c r="E190" s="20" t="str">
        <f>IFERROR(__xludf.DUMMYFUNCTION("""COMPUTED_VALUE"""),"Credit Card Fees")</f>
        <v>Credit Card Fees</v>
      </c>
      <c r="F190" s="118">
        <f>IFERROR(__xludf.DUMMYFUNCTION("""COMPUTED_VALUE"""),139.12234209433524)</f>
        <v>139.1223421</v>
      </c>
      <c r="G190" s="20">
        <f>IFERROR(__xludf.DUMMYFUNCTION("""COMPUTED_VALUE"""),363160.0)</f>
        <v>363160</v>
      </c>
      <c r="H190" s="20">
        <f>IFERROR(__xludf.DUMMYFUNCTION("""COMPUTED_VALUE"""),3.0)</f>
        <v>3</v>
      </c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121"/>
      <c r="Z190" s="20"/>
      <c r="AA190" s="20"/>
      <c r="AB190" s="20"/>
    </row>
    <row r="191">
      <c r="A191" s="20"/>
      <c r="B191" s="117">
        <f>IFERROR(__xludf.DUMMYFUNCTION("""COMPUTED_VALUE"""),43190.0)</f>
        <v>43190</v>
      </c>
      <c r="C191" s="20">
        <f>IFERROR(__xludf.DUMMYFUNCTION("""COMPUTED_VALUE"""),2018.0)</f>
        <v>2018</v>
      </c>
      <c r="D191" s="20" t="str">
        <f>IFERROR(__xludf.DUMMYFUNCTION("""COMPUTED_VALUE"""),"Coffee house")</f>
        <v>Coffee house</v>
      </c>
      <c r="E191" s="20" t="str">
        <f>IFERROR(__xludf.DUMMYFUNCTION("""COMPUTED_VALUE"""),"Food")</f>
        <v>Food</v>
      </c>
      <c r="F191" s="118">
        <f>IFERROR(__xludf.DUMMYFUNCTION("""COMPUTED_VALUE"""),468.7799336001146)</f>
        <v>468.7799336</v>
      </c>
      <c r="G191" s="20">
        <f>IFERROR(__xludf.DUMMYFUNCTION("""COMPUTED_VALUE"""),825734.0)</f>
        <v>825734</v>
      </c>
      <c r="H191" s="20">
        <f>IFERROR(__xludf.DUMMYFUNCTION("""COMPUTED_VALUE"""),3.0)</f>
        <v>3</v>
      </c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121"/>
      <c r="Z191" s="20"/>
      <c r="AA191" s="20"/>
      <c r="AB191" s="20"/>
    </row>
    <row r="192">
      <c r="A192" s="20"/>
      <c r="B192" s="117">
        <f>IFERROR(__xludf.DUMMYFUNCTION("""COMPUTED_VALUE"""),43194.0)</f>
        <v>43194</v>
      </c>
      <c r="C192" s="20">
        <f>IFERROR(__xludf.DUMMYFUNCTION("""COMPUTED_VALUE"""),2018.0)</f>
        <v>2018</v>
      </c>
      <c r="D192" s="20" t="str">
        <f>IFERROR(__xludf.DUMMYFUNCTION("""COMPUTED_VALUE"""),"Coffee house")</f>
        <v>Coffee house</v>
      </c>
      <c r="E192" s="20" t="str">
        <f>IFERROR(__xludf.DUMMYFUNCTION("""COMPUTED_VALUE"""),"Food")</f>
        <v>Food</v>
      </c>
      <c r="F192" s="118">
        <f>IFERROR(__xludf.DUMMYFUNCTION("""COMPUTED_VALUE"""),151.1762625289284)</f>
        <v>151.1762625</v>
      </c>
      <c r="G192" s="20">
        <f>IFERROR(__xludf.DUMMYFUNCTION("""COMPUTED_VALUE"""),384338.0)</f>
        <v>384338</v>
      </c>
      <c r="H192" s="20">
        <f>IFERROR(__xludf.DUMMYFUNCTION("""COMPUTED_VALUE"""),4.0)</f>
        <v>4</v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121"/>
      <c r="Z192" s="20"/>
      <c r="AA192" s="20"/>
      <c r="AB192" s="20"/>
    </row>
    <row r="193">
      <c r="A193" s="20"/>
      <c r="B193" s="117">
        <f>IFERROR(__xludf.DUMMYFUNCTION("""COMPUTED_VALUE"""),43197.0)</f>
        <v>43197</v>
      </c>
      <c r="C193" s="20">
        <f>IFERROR(__xludf.DUMMYFUNCTION("""COMPUTED_VALUE"""),2018.0)</f>
        <v>2018</v>
      </c>
      <c r="D193" s="20" t="str">
        <f>IFERROR(__xludf.DUMMYFUNCTION("""COMPUTED_VALUE"""),"School supplies")</f>
        <v>School supplies</v>
      </c>
      <c r="E193" s="20" t="str">
        <f>IFERROR(__xludf.DUMMYFUNCTION("""COMPUTED_VALUE"""),"Education")</f>
        <v>Education</v>
      </c>
      <c r="F193" s="118">
        <f>IFERROR(__xludf.DUMMYFUNCTION("""COMPUTED_VALUE"""),27.23473380199132)</f>
        <v>27.2347338</v>
      </c>
      <c r="G193" s="20">
        <f>IFERROR(__xludf.DUMMYFUNCTION("""COMPUTED_VALUE"""),767383.0)</f>
        <v>767383</v>
      </c>
      <c r="H193" s="20">
        <f>IFERROR(__xludf.DUMMYFUNCTION("""COMPUTED_VALUE"""),4.0)</f>
        <v>4</v>
      </c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121"/>
      <c r="Z193" s="20"/>
      <c r="AA193" s="20"/>
      <c r="AB193" s="20"/>
    </row>
    <row r="194">
      <c r="A194" s="20"/>
      <c r="B194" s="117">
        <f>IFERROR(__xludf.DUMMYFUNCTION("""COMPUTED_VALUE"""),43199.0)</f>
        <v>43199</v>
      </c>
      <c r="C194" s="20">
        <f>IFERROR(__xludf.DUMMYFUNCTION("""COMPUTED_VALUE"""),2018.0)</f>
        <v>2018</v>
      </c>
      <c r="D194" s="20" t="str">
        <f>IFERROR(__xludf.DUMMYFUNCTION("""COMPUTED_VALUE"""),"Savings")</f>
        <v>Savings</v>
      </c>
      <c r="E194" s="20" t="str">
        <f>IFERROR(__xludf.DUMMYFUNCTION("""COMPUTED_VALUE"""),"Pet Care")</f>
        <v>Pet Care</v>
      </c>
      <c r="F194" s="118">
        <f>IFERROR(__xludf.DUMMYFUNCTION("""COMPUTED_VALUE"""),128.8228666432255)</f>
        <v>128.8228666</v>
      </c>
      <c r="G194" s="20">
        <f>IFERROR(__xludf.DUMMYFUNCTION("""COMPUTED_VALUE"""),456087.0)</f>
        <v>456087</v>
      </c>
      <c r="H194" s="20">
        <f>IFERROR(__xludf.DUMMYFUNCTION("""COMPUTED_VALUE"""),4.0)</f>
        <v>4</v>
      </c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121"/>
      <c r="Z194" s="20"/>
      <c r="AA194" s="20"/>
      <c r="AB194" s="20"/>
    </row>
    <row r="195">
      <c r="A195" s="20"/>
      <c r="B195" s="117">
        <f>IFERROR(__xludf.DUMMYFUNCTION("""COMPUTED_VALUE"""),43200.0)</f>
        <v>43200</v>
      </c>
      <c r="C195" s="20">
        <f>IFERROR(__xludf.DUMMYFUNCTION("""COMPUTED_VALUE"""),2018.0)</f>
        <v>2018</v>
      </c>
      <c r="D195" s="20" t="str">
        <f>IFERROR(__xludf.DUMMYFUNCTION("""COMPUTED_VALUE"""),"Child support")</f>
        <v>Child support</v>
      </c>
      <c r="E195" s="20" t="str">
        <f>IFERROR(__xludf.DUMMYFUNCTION("""COMPUTED_VALUE"""),"Childcare")</f>
        <v>Childcare</v>
      </c>
      <c r="F195" s="118">
        <f>IFERROR(__xludf.DUMMYFUNCTION("""COMPUTED_VALUE"""),441.1237918307053)</f>
        <v>441.1237918</v>
      </c>
      <c r="G195" s="20">
        <f>IFERROR(__xludf.DUMMYFUNCTION("""COMPUTED_VALUE"""),250658.0)</f>
        <v>250658</v>
      </c>
      <c r="H195" s="20">
        <f>IFERROR(__xludf.DUMMYFUNCTION("""COMPUTED_VALUE"""),4.0)</f>
        <v>4</v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121"/>
      <c r="Z195" s="20"/>
      <c r="AA195" s="20"/>
      <c r="AB195" s="20"/>
    </row>
    <row r="196">
      <c r="A196" s="20"/>
      <c r="B196" s="117">
        <f>IFERROR(__xludf.DUMMYFUNCTION("""COMPUTED_VALUE"""),43202.0)</f>
        <v>43202</v>
      </c>
      <c r="C196" s="20">
        <f>IFERROR(__xludf.DUMMYFUNCTION("""COMPUTED_VALUE"""),2018.0)</f>
        <v>2018</v>
      </c>
      <c r="D196" s="20" t="str">
        <f>IFERROR(__xludf.DUMMYFUNCTION("""COMPUTED_VALUE"""),"Decorating")</f>
        <v>Decorating</v>
      </c>
      <c r="E196" s="20" t="str">
        <f>IFERROR(__xludf.DUMMYFUNCTION("""COMPUTED_VALUE"""),"Household")</f>
        <v>Household</v>
      </c>
      <c r="F196" s="118">
        <f>IFERROR(__xludf.DUMMYFUNCTION("""COMPUTED_VALUE"""),456.56292188626577)</f>
        <v>456.5629219</v>
      </c>
      <c r="G196" s="20">
        <f>IFERROR(__xludf.DUMMYFUNCTION("""COMPUTED_VALUE"""),301064.0)</f>
        <v>301064</v>
      </c>
      <c r="H196" s="20">
        <f>IFERROR(__xludf.DUMMYFUNCTION("""COMPUTED_VALUE"""),4.0)</f>
        <v>4</v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121"/>
      <c r="Z196" s="20"/>
      <c r="AA196" s="20"/>
      <c r="AB196" s="20"/>
    </row>
    <row r="197">
      <c r="A197" s="20"/>
      <c r="B197" s="117">
        <f>IFERROR(__xludf.DUMMYFUNCTION("""COMPUTED_VALUE"""),43206.0)</f>
        <v>43206</v>
      </c>
      <c r="C197" s="20">
        <f>IFERROR(__xludf.DUMMYFUNCTION("""COMPUTED_VALUE"""),2018.0)</f>
        <v>2018</v>
      </c>
      <c r="D197" s="20" t="str">
        <f>IFERROR(__xludf.DUMMYFUNCTION("""COMPUTED_VALUE"""),"Cash advance fee")</f>
        <v>Cash advance fee</v>
      </c>
      <c r="E197" s="20" t="str">
        <f>IFERROR(__xludf.DUMMYFUNCTION("""COMPUTED_VALUE"""),"Credit Card Fees")</f>
        <v>Credit Card Fees</v>
      </c>
      <c r="F197" s="118">
        <f>IFERROR(__xludf.DUMMYFUNCTION("""COMPUTED_VALUE"""),465.3879403580892)</f>
        <v>465.3879404</v>
      </c>
      <c r="G197" s="20">
        <f>IFERROR(__xludf.DUMMYFUNCTION("""COMPUTED_VALUE"""),181054.0)</f>
        <v>181054</v>
      </c>
      <c r="H197" s="20">
        <f>IFERROR(__xludf.DUMMYFUNCTION("""COMPUTED_VALUE"""),4.0)</f>
        <v>4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121"/>
      <c r="Z197" s="20"/>
      <c r="AA197" s="20"/>
      <c r="AB197" s="20"/>
    </row>
    <row r="198">
      <c r="A198" s="20"/>
      <c r="B198" s="117">
        <f>IFERROR(__xludf.DUMMYFUNCTION("""COMPUTED_VALUE"""),43208.0)</f>
        <v>43208</v>
      </c>
      <c r="C198" s="20">
        <f>IFERROR(__xludf.DUMMYFUNCTION("""COMPUTED_VALUE"""),2018.0)</f>
        <v>2018</v>
      </c>
      <c r="D198" s="20" t="str">
        <f>IFERROR(__xludf.DUMMYFUNCTION("""COMPUTED_VALUE"""),"Birthday")</f>
        <v>Birthday</v>
      </c>
      <c r="E198" s="20" t="str">
        <f>IFERROR(__xludf.DUMMYFUNCTION("""COMPUTED_VALUE"""),"Gifts")</f>
        <v>Gifts</v>
      </c>
      <c r="F198" s="118">
        <f>IFERROR(__xludf.DUMMYFUNCTION("""COMPUTED_VALUE"""),216.91207905073574)</f>
        <v>216.9120791</v>
      </c>
      <c r="G198" s="20">
        <f>IFERROR(__xludf.DUMMYFUNCTION("""COMPUTED_VALUE"""),669077.0)</f>
        <v>669077</v>
      </c>
      <c r="H198" s="20">
        <f>IFERROR(__xludf.DUMMYFUNCTION("""COMPUTED_VALUE"""),4.0)</f>
        <v>4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121"/>
      <c r="Z198" s="20"/>
      <c r="AA198" s="20"/>
      <c r="AB198" s="20"/>
    </row>
    <row r="199">
      <c r="A199" s="20"/>
      <c r="B199" s="117">
        <f>IFERROR(__xludf.DUMMYFUNCTION("""COMPUTED_VALUE"""),43212.0)</f>
        <v>43212</v>
      </c>
      <c r="C199" s="20">
        <f>IFERROR(__xludf.DUMMYFUNCTION("""COMPUTED_VALUE"""),2018.0)</f>
        <v>2018</v>
      </c>
      <c r="D199" s="20" t="str">
        <f>IFERROR(__xludf.DUMMYFUNCTION("""COMPUTED_VALUE"""),"Holiday")</f>
        <v>Holiday</v>
      </c>
      <c r="E199" s="20" t="str">
        <f>IFERROR(__xludf.DUMMYFUNCTION("""COMPUTED_VALUE"""),"Gifts")</f>
        <v>Gifts</v>
      </c>
      <c r="F199" s="118">
        <f>IFERROR(__xludf.DUMMYFUNCTION("""COMPUTED_VALUE"""),159.47363995222642)</f>
        <v>159.47364</v>
      </c>
      <c r="G199" s="20">
        <f>IFERROR(__xludf.DUMMYFUNCTION("""COMPUTED_VALUE"""),155508.0)</f>
        <v>155508</v>
      </c>
      <c r="H199" s="20">
        <f>IFERROR(__xludf.DUMMYFUNCTION("""COMPUTED_VALUE"""),4.0)</f>
        <v>4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121"/>
      <c r="Z199" s="20"/>
      <c r="AA199" s="20"/>
      <c r="AB199" s="20"/>
    </row>
    <row r="200">
      <c r="A200" s="20"/>
      <c r="B200" s="117">
        <f>IFERROR(__xludf.DUMMYFUNCTION("""COMPUTED_VALUE"""),43214.0)</f>
        <v>43214</v>
      </c>
      <c r="C200" s="20">
        <f>IFERROR(__xludf.DUMMYFUNCTION("""COMPUTED_VALUE"""),2018.0)</f>
        <v>2018</v>
      </c>
      <c r="D200" s="20" t="str">
        <f>IFERROR(__xludf.DUMMYFUNCTION("""COMPUTED_VALUE"""),"Moving")</f>
        <v>Moving</v>
      </c>
      <c r="E200" s="20" t="str">
        <f>IFERROR(__xludf.DUMMYFUNCTION("""COMPUTED_VALUE"""),"Events")</f>
        <v>Events</v>
      </c>
      <c r="F200" s="118">
        <f>IFERROR(__xludf.DUMMYFUNCTION("""COMPUTED_VALUE"""),65.35937913444614)</f>
        <v>65.35937913</v>
      </c>
      <c r="G200" s="20">
        <f>IFERROR(__xludf.DUMMYFUNCTION("""COMPUTED_VALUE"""),164641.0)</f>
        <v>164641</v>
      </c>
      <c r="H200" s="20">
        <f>IFERROR(__xludf.DUMMYFUNCTION("""COMPUTED_VALUE"""),4.0)</f>
        <v>4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121"/>
      <c r="Z200" s="20"/>
      <c r="AA200" s="20"/>
      <c r="AB200" s="20"/>
    </row>
    <row r="201">
      <c r="A201" s="20"/>
      <c r="B201" s="117">
        <f>IFERROR(__xludf.DUMMYFUNCTION("""COMPUTED_VALUE"""),43216.0)</f>
        <v>43216</v>
      </c>
      <c r="C201" s="20">
        <f>IFERROR(__xludf.DUMMYFUNCTION("""COMPUTED_VALUE"""),2018.0)</f>
        <v>2018</v>
      </c>
      <c r="D201" s="20" t="str">
        <f>IFERROR(__xludf.DUMMYFUNCTION("""COMPUTED_VALUE"""),"Long term care")</f>
        <v>Long term care</v>
      </c>
      <c r="E201" s="20" t="str">
        <f>IFERROR(__xludf.DUMMYFUNCTION("""COMPUTED_VALUE"""),"Insurance")</f>
        <v>Insurance</v>
      </c>
      <c r="F201" s="118">
        <f>IFERROR(__xludf.DUMMYFUNCTION("""COMPUTED_VALUE"""),50.384334461940135)</f>
        <v>50.38433446</v>
      </c>
      <c r="G201" s="20">
        <f>IFERROR(__xludf.DUMMYFUNCTION("""COMPUTED_VALUE"""),531583.0)</f>
        <v>531583</v>
      </c>
      <c r="H201" s="20">
        <f>IFERROR(__xludf.DUMMYFUNCTION("""COMPUTED_VALUE"""),4.0)</f>
        <v>4</v>
      </c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121"/>
      <c r="Z201" s="20"/>
      <c r="AA201" s="20"/>
      <c r="AB201" s="20"/>
    </row>
    <row r="202">
      <c r="A202" s="20"/>
      <c r="B202" s="117">
        <f>IFERROR(__xludf.DUMMYFUNCTION("""COMPUTED_VALUE"""),43217.0)</f>
        <v>43217</v>
      </c>
      <c r="C202" s="20">
        <f>IFERROR(__xludf.DUMMYFUNCTION("""COMPUTED_VALUE"""),2018.0)</f>
        <v>2018</v>
      </c>
      <c r="D202" s="20" t="str">
        <f>IFERROR(__xludf.DUMMYFUNCTION("""COMPUTED_VALUE"""),"Books")</f>
        <v>Books</v>
      </c>
      <c r="E202" s="20" t="str">
        <f>IFERROR(__xludf.DUMMYFUNCTION("""COMPUTED_VALUE"""),"Education")</f>
        <v>Education</v>
      </c>
      <c r="F202" s="118">
        <f>IFERROR(__xludf.DUMMYFUNCTION("""COMPUTED_VALUE"""),285.94270858143176)</f>
        <v>285.9427086</v>
      </c>
      <c r="G202" s="20">
        <f>IFERROR(__xludf.DUMMYFUNCTION("""COMPUTED_VALUE"""),742540.0)</f>
        <v>742540</v>
      </c>
      <c r="H202" s="20">
        <f>IFERROR(__xludf.DUMMYFUNCTION("""COMPUTED_VALUE"""),4.0)</f>
        <v>4</v>
      </c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121"/>
      <c r="Z202" s="20"/>
      <c r="AA202" s="20"/>
      <c r="AB202" s="20"/>
    </row>
    <row r="203">
      <c r="A203" s="20"/>
      <c r="B203" s="117">
        <f>IFERROR(__xludf.DUMMYFUNCTION("""COMPUTED_VALUE"""),43221.0)</f>
        <v>43221</v>
      </c>
      <c r="C203" s="20">
        <f>IFERROR(__xludf.DUMMYFUNCTION("""COMPUTED_VALUE"""),2018.0)</f>
        <v>2018</v>
      </c>
      <c r="D203" s="20" t="str">
        <f>IFERROR(__xludf.DUMMYFUNCTION("""COMPUTED_VALUE"""),"Maintenance")</f>
        <v>Maintenance</v>
      </c>
      <c r="E203" s="20" t="str">
        <f>IFERROR(__xludf.DUMMYFUNCTION("""COMPUTED_VALUE"""),"Automobile")</f>
        <v>Automobile</v>
      </c>
      <c r="F203" s="118">
        <f>IFERROR(__xludf.DUMMYFUNCTION("""COMPUTED_VALUE"""),395.1483912309814)</f>
        <v>395.1483912</v>
      </c>
      <c r="G203" s="20">
        <f>IFERROR(__xludf.DUMMYFUNCTION("""COMPUTED_VALUE"""),339915.0)</f>
        <v>339915</v>
      </c>
      <c r="H203" s="20">
        <f>IFERROR(__xludf.DUMMYFUNCTION("""COMPUTED_VALUE"""),5.0)</f>
        <v>5</v>
      </c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121"/>
      <c r="Z203" s="20"/>
      <c r="AA203" s="20"/>
      <c r="AB203" s="20"/>
    </row>
    <row r="204">
      <c r="A204" s="20"/>
      <c r="B204" s="117">
        <f>IFERROR(__xludf.DUMMYFUNCTION("""COMPUTED_VALUE"""),43224.0)</f>
        <v>43224</v>
      </c>
      <c r="C204" s="20">
        <f>IFERROR(__xludf.DUMMYFUNCTION("""COMPUTED_VALUE"""),2018.0)</f>
        <v>2018</v>
      </c>
      <c r="D204" s="20" t="str">
        <f>IFERROR(__xludf.DUMMYFUNCTION("""COMPUTED_VALUE"""),"Federal")</f>
        <v>Federal</v>
      </c>
      <c r="E204" s="20" t="str">
        <f>IFERROR(__xludf.DUMMYFUNCTION("""COMPUTED_VALUE"""),"Taxes")</f>
        <v>Taxes</v>
      </c>
      <c r="F204" s="118">
        <f>IFERROR(__xludf.DUMMYFUNCTION("""COMPUTED_VALUE"""),490.0026342704501)</f>
        <v>490.0026343</v>
      </c>
      <c r="G204" s="20">
        <f>IFERROR(__xludf.DUMMYFUNCTION("""COMPUTED_VALUE"""),338063.0)</f>
        <v>338063</v>
      </c>
      <c r="H204" s="20">
        <f>IFERROR(__xludf.DUMMYFUNCTION("""COMPUTED_VALUE"""),5.0)</f>
        <v>5</v>
      </c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121"/>
      <c r="Z204" s="20"/>
      <c r="AA204" s="20"/>
      <c r="AB204" s="20"/>
    </row>
    <row r="205">
      <c r="A205" s="20"/>
      <c r="B205" s="117">
        <f>IFERROR(__xludf.DUMMYFUNCTION("""COMPUTED_VALUE"""),43225.0)</f>
        <v>43225</v>
      </c>
      <c r="C205" s="20">
        <f>IFERROR(__xludf.DUMMYFUNCTION("""COMPUTED_VALUE"""),2018.0)</f>
        <v>2018</v>
      </c>
      <c r="D205" s="20" t="str">
        <f>IFERROR(__xludf.DUMMYFUNCTION("""COMPUTED_VALUE"""),"Roadside assistance")</f>
        <v>Roadside assistance</v>
      </c>
      <c r="E205" s="20" t="str">
        <f>IFERROR(__xludf.DUMMYFUNCTION("""COMPUTED_VALUE"""),"Insurance")</f>
        <v>Insurance</v>
      </c>
      <c r="F205" s="118">
        <f>IFERROR(__xludf.DUMMYFUNCTION("""COMPUTED_VALUE"""),115.2714057536724)</f>
        <v>115.2714058</v>
      </c>
      <c r="G205" s="20">
        <f>IFERROR(__xludf.DUMMYFUNCTION("""COMPUTED_VALUE"""),886252.0)</f>
        <v>886252</v>
      </c>
      <c r="H205" s="20">
        <f>IFERROR(__xludf.DUMMYFUNCTION("""COMPUTED_VALUE"""),5.0)</f>
        <v>5</v>
      </c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121"/>
      <c r="Z205" s="20"/>
      <c r="AA205" s="20"/>
      <c r="AB205" s="20"/>
    </row>
    <row r="206">
      <c r="A206" s="20"/>
      <c r="B206" s="117">
        <f>IFERROR(__xludf.DUMMYFUNCTION("""COMPUTED_VALUE"""),43229.0)</f>
        <v>43229</v>
      </c>
      <c r="C206" s="20">
        <f>IFERROR(__xludf.DUMMYFUNCTION("""COMPUTED_VALUE"""),2018.0)</f>
        <v>2018</v>
      </c>
      <c r="D206" s="20" t="str">
        <f>IFERROR(__xludf.DUMMYFUNCTION("""COMPUTED_VALUE"""),"Vision")</f>
        <v>Vision</v>
      </c>
      <c r="E206" s="20" t="str">
        <f>IFERROR(__xludf.DUMMYFUNCTION("""COMPUTED_VALUE"""),"Healthcare")</f>
        <v>Healthcare</v>
      </c>
      <c r="F206" s="118">
        <f>IFERROR(__xludf.DUMMYFUNCTION("""COMPUTED_VALUE"""),57.16530839718434)</f>
        <v>57.1653084</v>
      </c>
      <c r="G206" s="20">
        <f>IFERROR(__xludf.DUMMYFUNCTION("""COMPUTED_VALUE"""),962925.0)</f>
        <v>962925</v>
      </c>
      <c r="H206" s="20">
        <f>IFERROR(__xludf.DUMMYFUNCTION("""COMPUTED_VALUE"""),5.0)</f>
        <v>5</v>
      </c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121"/>
      <c r="Z206" s="20"/>
      <c r="AA206" s="20"/>
      <c r="AB206" s="20"/>
    </row>
    <row r="207">
      <c r="A207" s="20"/>
      <c r="B207" s="117">
        <f>IFERROR(__xludf.DUMMYFUNCTION("""COMPUTED_VALUE"""),43233.0)</f>
        <v>43233</v>
      </c>
      <c r="C207" s="20">
        <f>IFERROR(__xludf.DUMMYFUNCTION("""COMPUTED_VALUE"""),2018.0)</f>
        <v>2018</v>
      </c>
      <c r="D207" s="20" t="str">
        <f>IFERROR(__xludf.DUMMYFUNCTION("""COMPUTED_VALUE"""),"Loan Payment")</f>
        <v>Loan Payment</v>
      </c>
      <c r="E207" s="20" t="str">
        <f>IFERROR(__xludf.DUMMYFUNCTION("""COMPUTED_VALUE"""),"Loans")</f>
        <v>Loans</v>
      </c>
      <c r="F207" s="118">
        <f>IFERROR(__xludf.DUMMYFUNCTION("""COMPUTED_VALUE"""),169.80803343236602)</f>
        <v>169.8080334</v>
      </c>
      <c r="G207" s="20">
        <f>IFERROR(__xludf.DUMMYFUNCTION("""COMPUTED_VALUE"""),412294.0)</f>
        <v>412294</v>
      </c>
      <c r="H207" s="20">
        <f>IFERROR(__xludf.DUMMYFUNCTION("""COMPUTED_VALUE"""),5.0)</f>
        <v>5</v>
      </c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121"/>
      <c r="Z207" s="20"/>
      <c r="AA207" s="20"/>
      <c r="AB207" s="20"/>
    </row>
    <row r="208">
      <c r="A208" s="20"/>
      <c r="B208" s="117">
        <f>IFERROR(__xludf.DUMMYFUNCTION("""COMPUTED_VALUE"""),43234.0)</f>
        <v>43234</v>
      </c>
      <c r="C208" s="20">
        <f>IFERROR(__xludf.DUMMYFUNCTION("""COMPUTED_VALUE"""),2018.0)</f>
        <v>2018</v>
      </c>
      <c r="D208" s="20" t="str">
        <f>IFERROR(__xludf.DUMMYFUNCTION("""COMPUTED_VALUE"""),"Day trips")</f>
        <v>Day trips</v>
      </c>
      <c r="E208" s="20" t="str">
        <f>IFERROR(__xludf.DUMMYFUNCTION("""COMPUTED_VALUE"""),"Vacation")</f>
        <v>Vacation</v>
      </c>
      <c r="F208" s="118">
        <f>IFERROR(__xludf.DUMMYFUNCTION("""COMPUTED_VALUE"""),78.50064051024674)</f>
        <v>78.50064051</v>
      </c>
      <c r="G208" s="20">
        <f>IFERROR(__xludf.DUMMYFUNCTION("""COMPUTED_VALUE"""),946349.0)</f>
        <v>946349</v>
      </c>
      <c r="H208" s="20">
        <f>IFERROR(__xludf.DUMMYFUNCTION("""COMPUTED_VALUE"""),5.0)</f>
        <v>5</v>
      </c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121"/>
      <c r="Z208" s="20"/>
      <c r="AA208" s="20"/>
      <c r="AB208" s="20"/>
    </row>
    <row r="209">
      <c r="A209" s="20"/>
      <c r="B209" s="117">
        <f>IFERROR(__xludf.DUMMYFUNCTION("""COMPUTED_VALUE"""),43237.0)</f>
        <v>43237</v>
      </c>
      <c r="C209" s="20">
        <f>IFERROR(__xludf.DUMMYFUNCTION("""COMPUTED_VALUE"""),2018.0)</f>
        <v>2018</v>
      </c>
      <c r="D209" s="20" t="str">
        <f>IFERROR(__xludf.DUMMYFUNCTION("""COMPUTED_VALUE"""),"Entertainment")</f>
        <v>Entertainment</v>
      </c>
      <c r="E209" s="20" t="str">
        <f>IFERROR(__xludf.DUMMYFUNCTION("""COMPUTED_VALUE"""),"Vacation")</f>
        <v>Vacation</v>
      </c>
      <c r="F209" s="118">
        <f>IFERROR(__xludf.DUMMYFUNCTION("""COMPUTED_VALUE"""),285.6621431440514)</f>
        <v>285.6621431</v>
      </c>
      <c r="G209" s="20">
        <f>IFERROR(__xludf.DUMMYFUNCTION("""COMPUTED_VALUE"""),497621.0)</f>
        <v>497621</v>
      </c>
      <c r="H209" s="20">
        <f>IFERROR(__xludf.DUMMYFUNCTION("""COMPUTED_VALUE"""),5.0)</f>
        <v>5</v>
      </c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121"/>
      <c r="Z209" s="20"/>
      <c r="AA209" s="20"/>
      <c r="AB209" s="20"/>
    </row>
    <row r="210">
      <c r="A210" s="20"/>
      <c r="B210" s="117">
        <f>IFERROR(__xludf.DUMMYFUNCTION("""COMPUTED_VALUE"""),43241.0)</f>
        <v>43241</v>
      </c>
      <c r="C210" s="20">
        <f>IFERROR(__xludf.DUMMYFUNCTION("""COMPUTED_VALUE"""),2018.0)</f>
        <v>2018</v>
      </c>
      <c r="D210" s="20" t="str">
        <f>IFERROR(__xludf.DUMMYFUNCTION("""COMPUTED_VALUE"""),"Federal")</f>
        <v>Federal</v>
      </c>
      <c r="E210" s="20" t="str">
        <f>IFERROR(__xludf.DUMMYFUNCTION("""COMPUTED_VALUE"""),"Taxes")</f>
        <v>Taxes</v>
      </c>
      <c r="F210" s="118">
        <f>IFERROR(__xludf.DUMMYFUNCTION("""COMPUTED_VALUE"""),336.1036920774347)</f>
        <v>336.1036921</v>
      </c>
      <c r="G210" s="20">
        <f>IFERROR(__xludf.DUMMYFUNCTION("""COMPUTED_VALUE"""),984722.0)</f>
        <v>984722</v>
      </c>
      <c r="H210" s="20">
        <f>IFERROR(__xludf.DUMMYFUNCTION("""COMPUTED_VALUE"""),5.0)</f>
        <v>5</v>
      </c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121"/>
      <c r="Z210" s="20"/>
      <c r="AA210" s="20"/>
      <c r="AB210" s="20"/>
    </row>
    <row r="211">
      <c r="A211" s="20"/>
      <c r="B211" s="117">
        <f>IFERROR(__xludf.DUMMYFUNCTION("""COMPUTED_VALUE"""),43244.0)</f>
        <v>43244</v>
      </c>
      <c r="C211" s="20">
        <f>IFERROR(__xludf.DUMMYFUNCTION("""COMPUTED_VALUE"""),2018.0)</f>
        <v>2018</v>
      </c>
      <c r="D211" s="20" t="str">
        <f>IFERROR(__xludf.DUMMYFUNCTION("""COMPUTED_VALUE"""),"Cultural events (e.g. parades, carnivals, etc.)")</f>
        <v>Cultural events (e.g. parades, carnivals, etc.)</v>
      </c>
      <c r="E211" s="20" t="str">
        <f>IFERROR(__xludf.DUMMYFUNCTION("""COMPUTED_VALUE"""),"Hobbies")</f>
        <v>Hobbies</v>
      </c>
      <c r="F211" s="118">
        <f>IFERROR(__xludf.DUMMYFUNCTION("""COMPUTED_VALUE"""),20.60397091686184)</f>
        <v>20.60397092</v>
      </c>
      <c r="G211" s="20">
        <f>IFERROR(__xludf.DUMMYFUNCTION("""COMPUTED_VALUE"""),921326.0)</f>
        <v>921326</v>
      </c>
      <c r="H211" s="20">
        <f>IFERROR(__xludf.DUMMYFUNCTION("""COMPUTED_VALUE"""),5.0)</f>
        <v>5</v>
      </c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121"/>
      <c r="Z211" s="20"/>
      <c r="AA211" s="20"/>
      <c r="AB211" s="20"/>
    </row>
    <row r="212">
      <c r="A212" s="20"/>
      <c r="B212" s="117">
        <f>IFERROR(__xludf.DUMMYFUNCTION("""COMPUTED_VALUE"""),43248.0)</f>
        <v>43248</v>
      </c>
      <c r="C212" s="20">
        <f>IFERROR(__xludf.DUMMYFUNCTION("""COMPUTED_VALUE"""),2018.0)</f>
        <v>2018</v>
      </c>
      <c r="D212" s="20" t="str">
        <f>IFERROR(__xludf.DUMMYFUNCTION("""COMPUTED_VALUE"""),"Automobile")</f>
        <v>Automobile</v>
      </c>
      <c r="E212" s="20" t="str">
        <f>IFERROR(__xludf.DUMMYFUNCTION("""COMPUTED_VALUE"""),"Insurance")</f>
        <v>Insurance</v>
      </c>
      <c r="F212" s="118">
        <f>IFERROR(__xludf.DUMMYFUNCTION("""COMPUTED_VALUE"""),480.05525675141854)</f>
        <v>480.0552568</v>
      </c>
      <c r="G212" s="20">
        <f>IFERROR(__xludf.DUMMYFUNCTION("""COMPUTED_VALUE"""),429153.0)</f>
        <v>429153</v>
      </c>
      <c r="H212" s="20">
        <f>IFERROR(__xludf.DUMMYFUNCTION("""COMPUTED_VALUE"""),5.0)</f>
        <v>5</v>
      </c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121"/>
      <c r="Z212" s="20"/>
      <c r="AA212" s="20"/>
      <c r="AB212" s="20"/>
    </row>
    <row r="213">
      <c r="A213" s="20"/>
      <c r="B213" s="117">
        <f>IFERROR(__xludf.DUMMYFUNCTION("""COMPUTED_VALUE"""),43249.0)</f>
        <v>43249</v>
      </c>
      <c r="C213" s="20">
        <f>IFERROR(__xludf.DUMMYFUNCTION("""COMPUTED_VALUE"""),2018.0)</f>
        <v>2018</v>
      </c>
      <c r="D213" s="20" t="str">
        <f>IFERROR(__xludf.DUMMYFUNCTION("""COMPUTED_VALUE"""),"ATM fees")</f>
        <v>ATM fees</v>
      </c>
      <c r="E213" s="20" t="str">
        <f>IFERROR(__xludf.DUMMYFUNCTION("""COMPUTED_VALUE"""),"Bank Charges")</f>
        <v>Bank Charges</v>
      </c>
      <c r="F213" s="118">
        <f>IFERROR(__xludf.DUMMYFUNCTION("""COMPUTED_VALUE"""),389.279084325912)</f>
        <v>389.2790843</v>
      </c>
      <c r="G213" s="20">
        <f>IFERROR(__xludf.DUMMYFUNCTION("""COMPUTED_VALUE"""),202881.0)</f>
        <v>202881</v>
      </c>
      <c r="H213" s="20">
        <f>IFERROR(__xludf.DUMMYFUNCTION("""COMPUTED_VALUE"""),5.0)</f>
        <v>5</v>
      </c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121"/>
      <c r="Z213" s="20"/>
      <c r="AA213" s="20"/>
      <c r="AB213" s="20"/>
    </row>
    <row r="214">
      <c r="A214" s="20"/>
      <c r="B214" s="117">
        <f>IFERROR(__xludf.DUMMYFUNCTION("""COMPUTED_VALUE"""),43252.0)</f>
        <v>43252</v>
      </c>
      <c r="C214" s="20">
        <f>IFERROR(__xludf.DUMMYFUNCTION("""COMPUTED_VALUE"""),2018.0)</f>
        <v>2018</v>
      </c>
      <c r="D214" s="20" t="str">
        <f>IFERROR(__xludf.DUMMYFUNCTION("""COMPUTED_VALUE"""),"Investments")</f>
        <v>Investments</v>
      </c>
      <c r="E214" s="20" t="str">
        <f>IFERROR(__xludf.DUMMYFUNCTION("""COMPUTED_VALUE"""),"Pet Care")</f>
        <v>Pet Care</v>
      </c>
      <c r="F214" s="118">
        <f>IFERROR(__xludf.DUMMYFUNCTION("""COMPUTED_VALUE"""),51.83184725624964)</f>
        <v>51.83184726</v>
      </c>
      <c r="G214" s="20">
        <f>IFERROR(__xludf.DUMMYFUNCTION("""COMPUTED_VALUE"""),355093.0)</f>
        <v>355093</v>
      </c>
      <c r="H214" s="20">
        <f>IFERROR(__xludf.DUMMYFUNCTION("""COMPUTED_VALUE"""),6.0)</f>
        <v>6</v>
      </c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121"/>
      <c r="Z214" s="20"/>
      <c r="AA214" s="20"/>
      <c r="AB214" s="20"/>
    </row>
    <row r="215">
      <c r="A215" s="20"/>
      <c r="B215" s="117">
        <f>IFERROR(__xludf.DUMMYFUNCTION("""COMPUTED_VALUE"""),43256.0)</f>
        <v>43256</v>
      </c>
      <c r="C215" s="20">
        <f>IFERROR(__xludf.DUMMYFUNCTION("""COMPUTED_VALUE"""),2018.0)</f>
        <v>2018</v>
      </c>
      <c r="D215" s="20" t="str">
        <f>IFERROR(__xludf.DUMMYFUNCTION("""COMPUTED_VALUE"""),"Video rental / Pay per view")</f>
        <v>Video rental / Pay per view</v>
      </c>
      <c r="E215" s="20" t="str">
        <f>IFERROR(__xludf.DUMMYFUNCTION("""COMPUTED_VALUE"""),"Leisure (daily / non-vacation)")</f>
        <v>Leisure (daily / non-vacation)</v>
      </c>
      <c r="F215" s="118">
        <f>IFERROR(__xludf.DUMMYFUNCTION("""COMPUTED_VALUE"""),471.1763514173695)</f>
        <v>471.1763514</v>
      </c>
      <c r="G215" s="20">
        <f>IFERROR(__xludf.DUMMYFUNCTION("""COMPUTED_VALUE"""),581009.0)</f>
        <v>581009</v>
      </c>
      <c r="H215" s="20">
        <f>IFERROR(__xludf.DUMMYFUNCTION("""COMPUTED_VALUE"""),6.0)</f>
        <v>6</v>
      </c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121"/>
      <c r="Z215" s="20"/>
      <c r="AA215" s="20"/>
      <c r="AB215" s="20"/>
    </row>
    <row r="216">
      <c r="A216" s="20"/>
      <c r="B216" s="117">
        <f>IFERROR(__xludf.DUMMYFUNCTION("""COMPUTED_VALUE"""),43257.0)</f>
        <v>43257</v>
      </c>
      <c r="C216" s="20">
        <f>IFERROR(__xludf.DUMMYFUNCTION("""COMPUTED_VALUE"""),2018.0)</f>
        <v>2018</v>
      </c>
      <c r="D216" s="20" t="str">
        <f>IFERROR(__xludf.DUMMYFUNCTION("""COMPUTED_VALUE"""),"Insufficient funds fee")</f>
        <v>Insufficient funds fee</v>
      </c>
      <c r="E216" s="20" t="str">
        <f>IFERROR(__xludf.DUMMYFUNCTION("""COMPUTED_VALUE"""),"Bank Charges")</f>
        <v>Bank Charges</v>
      </c>
      <c r="F216" s="118">
        <f>IFERROR(__xludf.DUMMYFUNCTION("""COMPUTED_VALUE"""),448.7558176618873)</f>
        <v>448.7558177</v>
      </c>
      <c r="G216" s="20">
        <f>IFERROR(__xludf.DUMMYFUNCTION("""COMPUTED_VALUE"""),934156.0)</f>
        <v>934156</v>
      </c>
      <c r="H216" s="20">
        <f>IFERROR(__xludf.DUMMYFUNCTION("""COMPUTED_VALUE"""),6.0)</f>
        <v>6</v>
      </c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121"/>
      <c r="Z216" s="20"/>
      <c r="AA216" s="20"/>
      <c r="AB216" s="20"/>
    </row>
    <row r="217">
      <c r="A217" s="20"/>
      <c r="B217" s="117">
        <f>IFERROR(__xludf.DUMMYFUNCTION("""COMPUTED_VALUE"""),43259.0)</f>
        <v>43259</v>
      </c>
      <c r="C217" s="20">
        <f>IFERROR(__xludf.DUMMYFUNCTION("""COMPUTED_VALUE"""),2018.0)</f>
        <v>2018</v>
      </c>
      <c r="D217" s="20" t="str">
        <f>IFERROR(__xludf.DUMMYFUNCTION("""COMPUTED_VALUE"""),"Cash advance fee")</f>
        <v>Cash advance fee</v>
      </c>
      <c r="E217" s="20" t="str">
        <f>IFERROR(__xludf.DUMMYFUNCTION("""COMPUTED_VALUE"""),"Credit Card Fees")</f>
        <v>Credit Card Fees</v>
      </c>
      <c r="F217" s="118">
        <f>IFERROR(__xludf.DUMMYFUNCTION("""COMPUTED_VALUE"""),225.12074030161938)</f>
        <v>225.1207403</v>
      </c>
      <c r="G217" s="20">
        <f>IFERROR(__xludf.DUMMYFUNCTION("""COMPUTED_VALUE"""),498789.0)</f>
        <v>498789</v>
      </c>
      <c r="H217" s="20">
        <f>IFERROR(__xludf.DUMMYFUNCTION("""COMPUTED_VALUE"""),6.0)</f>
        <v>6</v>
      </c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121"/>
      <c r="Z217" s="20"/>
      <c r="AA217" s="20"/>
      <c r="AB217" s="20"/>
    </row>
    <row r="218">
      <c r="A218" s="20"/>
      <c r="B218" s="117">
        <f>IFERROR(__xludf.DUMMYFUNCTION("""COMPUTED_VALUE"""),43260.0)</f>
        <v>43260</v>
      </c>
      <c r="C218" s="20">
        <f>IFERROR(__xludf.DUMMYFUNCTION("""COMPUTED_VALUE"""),2018.0)</f>
        <v>2018</v>
      </c>
      <c r="D218" s="20" t="str">
        <f>IFERROR(__xludf.DUMMYFUNCTION("""COMPUTED_VALUE"""),"Rent / Mortgage payment")</f>
        <v>Rent / Mortgage payment</v>
      </c>
      <c r="E218" s="20" t="str">
        <f>IFERROR(__xludf.DUMMYFUNCTION("""COMPUTED_VALUE"""),"Household")</f>
        <v>Household</v>
      </c>
      <c r="F218" s="118">
        <f>IFERROR(__xludf.DUMMYFUNCTION("""COMPUTED_VALUE"""),61.00310758943745)</f>
        <v>61.00310759</v>
      </c>
      <c r="G218" s="20">
        <f>IFERROR(__xludf.DUMMYFUNCTION("""COMPUTED_VALUE"""),847824.0)</f>
        <v>847824</v>
      </c>
      <c r="H218" s="20">
        <f>IFERROR(__xludf.DUMMYFUNCTION("""COMPUTED_VALUE"""),6.0)</f>
        <v>6</v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121"/>
      <c r="Z218" s="20"/>
      <c r="AA218" s="20"/>
      <c r="AB218" s="20"/>
    </row>
    <row r="219">
      <c r="A219" s="20"/>
      <c r="B219" s="117">
        <f>IFERROR(__xludf.DUMMYFUNCTION("""COMPUTED_VALUE"""),43263.0)</f>
        <v>43263</v>
      </c>
      <c r="C219" s="20">
        <f>IFERROR(__xludf.DUMMYFUNCTION("""COMPUTED_VALUE"""),2018.0)</f>
        <v>2018</v>
      </c>
      <c r="D219" s="20" t="str">
        <f>IFERROR(__xludf.DUMMYFUNCTION("""COMPUTED_VALUE"""),"Health")</f>
        <v>Health</v>
      </c>
      <c r="E219" s="20" t="str">
        <f>IFERROR(__xludf.DUMMYFUNCTION("""COMPUTED_VALUE"""),"Insurance")</f>
        <v>Insurance</v>
      </c>
      <c r="F219" s="118">
        <f>IFERROR(__xludf.DUMMYFUNCTION("""COMPUTED_VALUE"""),429.3616589728541)</f>
        <v>429.361659</v>
      </c>
      <c r="G219" s="20">
        <f>IFERROR(__xludf.DUMMYFUNCTION("""COMPUTED_VALUE"""),357322.0)</f>
        <v>357322</v>
      </c>
      <c r="H219" s="20">
        <f>IFERROR(__xludf.DUMMYFUNCTION("""COMPUTED_VALUE"""),6.0)</f>
        <v>6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121"/>
      <c r="Z219" s="20"/>
      <c r="AA219" s="20"/>
      <c r="AB219" s="20"/>
    </row>
    <row r="220">
      <c r="A220" s="20"/>
      <c r="B220" s="117">
        <f>IFERROR(__xludf.DUMMYFUNCTION("""COMPUTED_VALUE"""),43266.0)</f>
        <v>43266</v>
      </c>
      <c r="C220" s="20">
        <f>IFERROR(__xludf.DUMMYFUNCTION("""COMPUTED_VALUE"""),2018.0)</f>
        <v>2018</v>
      </c>
      <c r="D220" s="20" t="str">
        <f>IFERROR(__xludf.DUMMYFUNCTION("""COMPUTED_VALUE"""),"Home improvement")</f>
        <v>Home improvement</v>
      </c>
      <c r="E220" s="20" t="str">
        <f>IFERROR(__xludf.DUMMYFUNCTION("""COMPUTED_VALUE"""),"Household")</f>
        <v>Household</v>
      </c>
      <c r="F220" s="118">
        <f>IFERROR(__xludf.DUMMYFUNCTION("""COMPUTED_VALUE"""),14.019102788690637)</f>
        <v>14.01910279</v>
      </c>
      <c r="G220" s="20">
        <f>IFERROR(__xludf.DUMMYFUNCTION("""COMPUTED_VALUE"""),223805.0)</f>
        <v>223805</v>
      </c>
      <c r="H220" s="20">
        <f>IFERROR(__xludf.DUMMYFUNCTION("""COMPUTED_VALUE"""),6.0)</f>
        <v>6</v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121"/>
      <c r="Z220" s="20"/>
      <c r="AA220" s="20"/>
      <c r="AB220" s="20"/>
    </row>
    <row r="221">
      <c r="A221" s="20"/>
      <c r="B221" s="117">
        <f>IFERROR(__xludf.DUMMYFUNCTION("""COMPUTED_VALUE"""),43270.0)</f>
        <v>43270</v>
      </c>
      <c r="C221" s="20">
        <f>IFERROR(__xludf.DUMMYFUNCTION("""COMPUTED_VALUE"""),2018.0)</f>
        <v>2018</v>
      </c>
      <c r="D221" s="20" t="str">
        <f>IFERROR(__xludf.DUMMYFUNCTION("""COMPUTED_VALUE"""),"Rewards programs")</f>
        <v>Rewards programs</v>
      </c>
      <c r="E221" s="20" t="str">
        <f>IFERROR(__xludf.DUMMYFUNCTION("""COMPUTED_VALUE"""),"Credit Card Fees")</f>
        <v>Credit Card Fees</v>
      </c>
      <c r="F221" s="118">
        <f>IFERROR(__xludf.DUMMYFUNCTION("""COMPUTED_VALUE"""),260.7386769696388)</f>
        <v>260.738677</v>
      </c>
      <c r="G221" s="20">
        <f>IFERROR(__xludf.DUMMYFUNCTION("""COMPUTED_VALUE"""),101487.0)</f>
        <v>101487</v>
      </c>
      <c r="H221" s="20">
        <f>IFERROR(__xludf.DUMMYFUNCTION("""COMPUTED_VALUE"""),6.0)</f>
        <v>6</v>
      </c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121"/>
      <c r="Z221" s="20"/>
      <c r="AA221" s="20"/>
      <c r="AB221" s="20"/>
    </row>
    <row r="222">
      <c r="A222" s="20"/>
      <c r="B222" s="117">
        <f>IFERROR(__xludf.DUMMYFUNCTION("""COMPUTED_VALUE"""),43272.0)</f>
        <v>43272</v>
      </c>
      <c r="C222" s="20">
        <f>IFERROR(__xludf.DUMMYFUNCTION("""COMPUTED_VALUE"""),2018.0)</f>
        <v>2018</v>
      </c>
      <c r="D222" s="20" t="str">
        <f>IFERROR(__xludf.DUMMYFUNCTION("""COMPUTED_VALUE"""),"Just because")</f>
        <v>Just because</v>
      </c>
      <c r="E222" s="20" t="str">
        <f>IFERROR(__xludf.DUMMYFUNCTION("""COMPUTED_VALUE"""),"Gifts")</f>
        <v>Gifts</v>
      </c>
      <c r="F222" s="118">
        <f>IFERROR(__xludf.DUMMYFUNCTION("""COMPUTED_VALUE"""),251.93236425381923)</f>
        <v>251.9323643</v>
      </c>
      <c r="G222" s="20">
        <f>IFERROR(__xludf.DUMMYFUNCTION("""COMPUTED_VALUE"""),536460.0)</f>
        <v>536460</v>
      </c>
      <c r="H222" s="20">
        <f>IFERROR(__xludf.DUMMYFUNCTION("""COMPUTED_VALUE"""),6.0)</f>
        <v>6</v>
      </c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121"/>
      <c r="Z222" s="20"/>
      <c r="AA222" s="20"/>
      <c r="AB222" s="20"/>
    </row>
    <row r="223">
      <c r="A223" s="20"/>
      <c r="B223" s="117">
        <f>IFERROR(__xludf.DUMMYFUNCTION("""COMPUTED_VALUE"""),43274.0)</f>
        <v>43274</v>
      </c>
      <c r="C223" s="20">
        <f>IFERROR(__xludf.DUMMYFUNCTION("""COMPUTED_VALUE"""),2018.0)</f>
        <v>2018</v>
      </c>
      <c r="D223" s="20" t="str">
        <f>IFERROR(__xludf.DUMMYFUNCTION("""COMPUTED_VALUE"""),"Charity")</f>
        <v>Charity</v>
      </c>
      <c r="E223" s="20" t="str">
        <f>IFERROR(__xludf.DUMMYFUNCTION("""COMPUTED_VALUE"""),"Charity")</f>
        <v>Charity</v>
      </c>
      <c r="F223" s="118">
        <f>IFERROR(__xludf.DUMMYFUNCTION("""COMPUTED_VALUE"""),368.7238543032851)</f>
        <v>368.7238543</v>
      </c>
      <c r="G223" s="20">
        <f>IFERROR(__xludf.DUMMYFUNCTION("""COMPUTED_VALUE"""),164738.0)</f>
        <v>164738</v>
      </c>
      <c r="H223" s="20">
        <f>IFERROR(__xludf.DUMMYFUNCTION("""COMPUTED_VALUE"""),6.0)</f>
        <v>6</v>
      </c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121"/>
      <c r="Z223" s="20"/>
      <c r="AA223" s="20"/>
      <c r="AB223" s="20"/>
    </row>
    <row r="224">
      <c r="A224" s="20"/>
      <c r="B224" s="117">
        <f>IFERROR(__xludf.DUMMYFUNCTION("""COMPUTED_VALUE"""),43277.0)</f>
        <v>43277</v>
      </c>
      <c r="C224" s="20">
        <f>IFERROR(__xludf.DUMMYFUNCTION("""COMPUTED_VALUE"""),2018.0)</f>
        <v>2018</v>
      </c>
      <c r="D224" s="20" t="str">
        <f>IFERROR(__xludf.DUMMYFUNCTION("""COMPUTED_VALUE"""),"Maintenance")</f>
        <v>Maintenance</v>
      </c>
      <c r="E224" s="20" t="str">
        <f>IFERROR(__xludf.DUMMYFUNCTION("""COMPUTED_VALUE"""),"Automobile")</f>
        <v>Automobile</v>
      </c>
      <c r="F224" s="118">
        <f>IFERROR(__xludf.DUMMYFUNCTION("""COMPUTED_VALUE"""),429.7014858013577)</f>
        <v>429.7014858</v>
      </c>
      <c r="G224" s="20">
        <f>IFERROR(__xludf.DUMMYFUNCTION("""COMPUTED_VALUE"""),636437.0)</f>
        <v>636437</v>
      </c>
      <c r="H224" s="20">
        <f>IFERROR(__xludf.DUMMYFUNCTION("""COMPUTED_VALUE"""),6.0)</f>
        <v>6</v>
      </c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121"/>
      <c r="Z224" s="20"/>
      <c r="AA224" s="20"/>
      <c r="AB224" s="20"/>
    </row>
    <row r="225">
      <c r="A225" s="20"/>
      <c r="B225" s="117">
        <f>IFERROR(__xludf.DUMMYFUNCTION("""COMPUTED_VALUE"""),43278.0)</f>
        <v>43278</v>
      </c>
      <c r="C225" s="20">
        <f>IFERROR(__xludf.DUMMYFUNCTION("""COMPUTED_VALUE"""),2018.0)</f>
        <v>2018</v>
      </c>
      <c r="D225" s="20" t="str">
        <f>IFERROR(__xludf.DUMMYFUNCTION("""COMPUTED_VALUE"""),"Day trips")</f>
        <v>Day trips</v>
      </c>
      <c r="E225" s="20" t="str">
        <f>IFERROR(__xludf.DUMMYFUNCTION("""COMPUTED_VALUE"""),"Vacation")</f>
        <v>Vacation</v>
      </c>
      <c r="F225" s="118">
        <f>IFERROR(__xludf.DUMMYFUNCTION("""COMPUTED_VALUE"""),78.36353462492465)</f>
        <v>78.36353462</v>
      </c>
      <c r="G225" s="20">
        <f>IFERROR(__xludf.DUMMYFUNCTION("""COMPUTED_VALUE"""),738525.0)</f>
        <v>738525</v>
      </c>
      <c r="H225" s="20">
        <f>IFERROR(__xludf.DUMMYFUNCTION("""COMPUTED_VALUE"""),6.0)</f>
        <v>6</v>
      </c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121"/>
      <c r="Z225" s="20"/>
      <c r="AA225" s="20"/>
      <c r="AB225" s="20"/>
    </row>
    <row r="226">
      <c r="A226" s="20"/>
      <c r="B226" s="117">
        <f>IFERROR(__xludf.DUMMYFUNCTION("""COMPUTED_VALUE"""),43281.0)</f>
        <v>43281</v>
      </c>
      <c r="C226" s="20">
        <f>IFERROR(__xludf.DUMMYFUNCTION("""COMPUTED_VALUE"""),2018.0)</f>
        <v>2018</v>
      </c>
      <c r="D226" s="20" t="str">
        <f>IFERROR(__xludf.DUMMYFUNCTION("""COMPUTED_VALUE"""),"Annual fee")</f>
        <v>Annual fee</v>
      </c>
      <c r="E226" s="20" t="str">
        <f>IFERROR(__xludf.DUMMYFUNCTION("""COMPUTED_VALUE"""),"Credit Card Fees")</f>
        <v>Credit Card Fees</v>
      </c>
      <c r="F226" s="118">
        <f>IFERROR(__xludf.DUMMYFUNCTION("""COMPUTED_VALUE"""),161.2820982142789)</f>
        <v>161.2820982</v>
      </c>
      <c r="G226" s="20">
        <f>IFERROR(__xludf.DUMMYFUNCTION("""COMPUTED_VALUE"""),675237.0)</f>
        <v>675237</v>
      </c>
      <c r="H226" s="20">
        <f>IFERROR(__xludf.DUMMYFUNCTION("""COMPUTED_VALUE"""),6.0)</f>
        <v>6</v>
      </c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121"/>
      <c r="Z226" s="20"/>
      <c r="AA226" s="20"/>
      <c r="AB226" s="20"/>
    </row>
    <row r="227">
      <c r="A227" s="20"/>
      <c r="B227" s="117">
        <f>IFERROR(__xludf.DUMMYFUNCTION("""COMPUTED_VALUE"""),43282.0)</f>
        <v>43282</v>
      </c>
      <c r="C227" s="20">
        <f>IFERROR(__xludf.DUMMYFUNCTION("""COMPUTED_VALUE"""),2018.0)</f>
        <v>2018</v>
      </c>
      <c r="D227" s="20" t="str">
        <f>IFERROR(__xludf.DUMMYFUNCTION("""COMPUTED_VALUE"""),"Sporting events")</f>
        <v>Sporting events</v>
      </c>
      <c r="E227" s="20" t="str">
        <f>IFERROR(__xludf.DUMMYFUNCTION("""COMPUTED_VALUE"""),"Leisure (daily / non-vacation)")</f>
        <v>Leisure (daily / non-vacation)</v>
      </c>
      <c r="F227" s="118">
        <f>IFERROR(__xludf.DUMMYFUNCTION("""COMPUTED_VALUE"""),67.27234376556848)</f>
        <v>67.27234377</v>
      </c>
      <c r="G227" s="20">
        <f>IFERROR(__xludf.DUMMYFUNCTION("""COMPUTED_VALUE"""),341632.0)</f>
        <v>341632</v>
      </c>
      <c r="H227" s="20">
        <f>IFERROR(__xludf.DUMMYFUNCTION("""COMPUTED_VALUE"""),7.0)</f>
        <v>7</v>
      </c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121"/>
      <c r="Z227" s="20"/>
      <c r="AA227" s="20"/>
      <c r="AB227" s="20"/>
    </row>
    <row r="228">
      <c r="A228" s="20"/>
      <c r="B228" s="117">
        <f>IFERROR(__xludf.DUMMYFUNCTION("""COMPUTED_VALUE"""),43283.0)</f>
        <v>43283</v>
      </c>
      <c r="C228" s="20">
        <f>IFERROR(__xludf.DUMMYFUNCTION("""COMPUTED_VALUE"""),2018.0)</f>
        <v>2018</v>
      </c>
      <c r="D228" s="20" t="str">
        <f>IFERROR(__xludf.DUMMYFUNCTION("""COMPUTED_VALUE"""),"Gasoline")</f>
        <v>Gasoline</v>
      </c>
      <c r="E228" s="20" t="str">
        <f>IFERROR(__xludf.DUMMYFUNCTION("""COMPUTED_VALUE"""),"Automobile")</f>
        <v>Automobile</v>
      </c>
      <c r="F228" s="118">
        <f>IFERROR(__xludf.DUMMYFUNCTION("""COMPUTED_VALUE"""),91.05904512227235)</f>
        <v>91.05904512</v>
      </c>
      <c r="G228" s="20">
        <f>IFERROR(__xludf.DUMMYFUNCTION("""COMPUTED_VALUE"""),776903.0)</f>
        <v>776903</v>
      </c>
      <c r="H228" s="20">
        <f>IFERROR(__xludf.DUMMYFUNCTION("""COMPUTED_VALUE"""),7.0)</f>
        <v>7</v>
      </c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121"/>
      <c r="Z228" s="20"/>
      <c r="AA228" s="20"/>
      <c r="AB228" s="20"/>
    </row>
    <row r="229">
      <c r="A229" s="20"/>
      <c r="B229" s="117">
        <f>IFERROR(__xludf.DUMMYFUNCTION("""COMPUTED_VALUE"""),43285.0)</f>
        <v>43285</v>
      </c>
      <c r="C229" s="20">
        <f>IFERROR(__xludf.DUMMYFUNCTION("""COMPUTED_VALUE"""),2018.0)</f>
        <v>2018</v>
      </c>
      <c r="D229" s="20" t="str">
        <f>IFERROR(__xludf.DUMMYFUNCTION("""COMPUTED_VALUE"""),"Vitamins")</f>
        <v>Vitamins</v>
      </c>
      <c r="E229" s="20" t="str">
        <f>IFERROR(__xludf.DUMMYFUNCTION("""COMPUTED_VALUE"""),"Healthcare")</f>
        <v>Healthcare</v>
      </c>
      <c r="F229" s="118">
        <f>IFERROR(__xludf.DUMMYFUNCTION("""COMPUTED_VALUE"""),358.8682665742938)</f>
        <v>358.8682666</v>
      </c>
      <c r="G229" s="20">
        <f>IFERROR(__xludf.DUMMYFUNCTION("""COMPUTED_VALUE"""),349001.0)</f>
        <v>349001</v>
      </c>
      <c r="H229" s="20">
        <f>IFERROR(__xludf.DUMMYFUNCTION("""COMPUTED_VALUE"""),7.0)</f>
        <v>7</v>
      </c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121"/>
      <c r="Z229" s="20"/>
      <c r="AA229" s="20"/>
      <c r="AB229" s="20"/>
    </row>
    <row r="230">
      <c r="A230" s="20"/>
      <c r="B230" s="117">
        <f>IFERROR(__xludf.DUMMYFUNCTION("""COMPUTED_VALUE"""),43289.0)</f>
        <v>43289</v>
      </c>
      <c r="C230" s="20">
        <f>IFERROR(__xludf.DUMMYFUNCTION("""COMPUTED_VALUE"""),2018.0)</f>
        <v>2018</v>
      </c>
      <c r="D230" s="20" t="str">
        <f>IFERROR(__xludf.DUMMYFUNCTION("""COMPUTED_VALUE"""),"Prescriptions")</f>
        <v>Prescriptions</v>
      </c>
      <c r="E230" s="20" t="str">
        <f>IFERROR(__xludf.DUMMYFUNCTION("""COMPUTED_VALUE"""),"Healthcare")</f>
        <v>Healthcare</v>
      </c>
      <c r="F230" s="118">
        <f>IFERROR(__xludf.DUMMYFUNCTION("""COMPUTED_VALUE"""),232.15301460224757)</f>
        <v>232.1530146</v>
      </c>
      <c r="G230" s="20">
        <f>IFERROR(__xludf.DUMMYFUNCTION("""COMPUTED_VALUE"""),110826.0)</f>
        <v>110826</v>
      </c>
      <c r="H230" s="20">
        <f>IFERROR(__xludf.DUMMYFUNCTION("""COMPUTED_VALUE"""),7.0)</f>
        <v>7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121"/>
      <c r="Z230" s="20"/>
      <c r="AA230" s="20"/>
      <c r="AB230" s="20"/>
    </row>
    <row r="231">
      <c r="A231" s="20"/>
      <c r="B231" s="117">
        <f>IFERROR(__xludf.DUMMYFUNCTION("""COMPUTED_VALUE"""),43293.0)</f>
        <v>43293</v>
      </c>
      <c r="C231" s="20">
        <f>IFERROR(__xludf.DUMMYFUNCTION("""COMPUTED_VALUE"""),2018.0)</f>
        <v>2018</v>
      </c>
      <c r="D231" s="20" t="str">
        <f>IFERROR(__xludf.DUMMYFUNCTION("""COMPUTED_VALUE"""),"Finance charge")</f>
        <v>Finance charge</v>
      </c>
      <c r="E231" s="20" t="str">
        <f>IFERROR(__xludf.DUMMYFUNCTION("""COMPUTED_VALUE"""),"Credit Card Fees")</f>
        <v>Credit Card Fees</v>
      </c>
      <c r="F231" s="118">
        <f>IFERROR(__xludf.DUMMYFUNCTION("""COMPUTED_VALUE"""),414.9800581232984)</f>
        <v>414.9800581</v>
      </c>
      <c r="G231" s="20">
        <f>IFERROR(__xludf.DUMMYFUNCTION("""COMPUTED_VALUE"""),735025.0)</f>
        <v>735025</v>
      </c>
      <c r="H231" s="20">
        <f>IFERROR(__xludf.DUMMYFUNCTION("""COMPUTED_VALUE"""),7.0)</f>
        <v>7</v>
      </c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121"/>
      <c r="Z231" s="20"/>
      <c r="AA231" s="20"/>
      <c r="AB231" s="20"/>
    </row>
    <row r="232">
      <c r="A232" s="20"/>
      <c r="B232" s="117">
        <f>IFERROR(__xludf.DUMMYFUNCTION("""COMPUTED_VALUE"""),43294.0)</f>
        <v>43294</v>
      </c>
      <c r="C232" s="20">
        <f>IFERROR(__xludf.DUMMYFUNCTION("""COMPUTED_VALUE"""),2018.0)</f>
        <v>2018</v>
      </c>
      <c r="D232" s="20" t="str">
        <f>IFERROR(__xludf.DUMMYFUNCTION("""COMPUTED_VALUE"""),"Late fee")</f>
        <v>Late fee</v>
      </c>
      <c r="E232" s="20" t="str">
        <f>IFERROR(__xludf.DUMMYFUNCTION("""COMPUTED_VALUE"""),"Credit Card Fees")</f>
        <v>Credit Card Fees</v>
      </c>
      <c r="F232" s="118">
        <f>IFERROR(__xludf.DUMMYFUNCTION("""COMPUTED_VALUE"""),48.981417289541625)</f>
        <v>48.98141729</v>
      </c>
      <c r="G232" s="20">
        <f>IFERROR(__xludf.DUMMYFUNCTION("""COMPUTED_VALUE"""),711505.0)</f>
        <v>711505</v>
      </c>
      <c r="H232" s="20">
        <f>IFERROR(__xludf.DUMMYFUNCTION("""COMPUTED_VALUE"""),7.0)</f>
        <v>7</v>
      </c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121"/>
      <c r="Z232" s="20"/>
      <c r="AA232" s="20"/>
      <c r="AB232" s="20"/>
    </row>
    <row r="233">
      <c r="A233" s="20"/>
      <c r="B233" s="117">
        <f>IFERROR(__xludf.DUMMYFUNCTION("""COMPUTED_VALUE"""),43296.0)</f>
        <v>43296</v>
      </c>
      <c r="C233" s="20">
        <f>IFERROR(__xludf.DUMMYFUNCTION("""COMPUTED_VALUE"""),2018.0)</f>
        <v>2018</v>
      </c>
      <c r="D233" s="20" t="str">
        <f>IFERROR(__xludf.DUMMYFUNCTION("""COMPUTED_VALUE"""),"Home improvement")</f>
        <v>Home improvement</v>
      </c>
      <c r="E233" s="20" t="str">
        <f>IFERROR(__xludf.DUMMYFUNCTION("""COMPUTED_VALUE"""),"Household")</f>
        <v>Household</v>
      </c>
      <c r="F233" s="118">
        <f>IFERROR(__xludf.DUMMYFUNCTION("""COMPUTED_VALUE"""),50.80687847400278)</f>
        <v>50.80687847</v>
      </c>
      <c r="G233" s="20">
        <f>IFERROR(__xludf.DUMMYFUNCTION("""COMPUTED_VALUE"""),486967.0)</f>
        <v>486967</v>
      </c>
      <c r="H233" s="20">
        <f>IFERROR(__xludf.DUMMYFUNCTION("""COMPUTED_VALUE"""),7.0)</f>
        <v>7</v>
      </c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121"/>
      <c r="Z233" s="20"/>
      <c r="AA233" s="20"/>
      <c r="AB233" s="20"/>
    </row>
    <row r="234">
      <c r="A234" s="20"/>
      <c r="B234" s="117">
        <f>IFERROR(__xludf.DUMMYFUNCTION("""COMPUTED_VALUE"""),43298.0)</f>
        <v>43298</v>
      </c>
      <c r="C234" s="20">
        <f>IFERROR(__xludf.DUMMYFUNCTION("""COMPUTED_VALUE"""),2018.0)</f>
        <v>2018</v>
      </c>
      <c r="D234" s="20" t="str">
        <f>IFERROR(__xludf.DUMMYFUNCTION("""COMPUTED_VALUE"""),"Homeowner’s association dues")</f>
        <v>Homeowner’s association dues</v>
      </c>
      <c r="E234" s="20" t="str">
        <f>IFERROR(__xludf.DUMMYFUNCTION("""COMPUTED_VALUE"""),"Household")</f>
        <v>Household</v>
      </c>
      <c r="F234" s="118">
        <f>IFERROR(__xludf.DUMMYFUNCTION("""COMPUTED_VALUE"""),399.63006037419)</f>
        <v>399.6300604</v>
      </c>
      <c r="G234" s="20">
        <f>IFERROR(__xludf.DUMMYFUNCTION("""COMPUTED_VALUE"""),917912.0)</f>
        <v>917912</v>
      </c>
      <c r="H234" s="20">
        <f>IFERROR(__xludf.DUMMYFUNCTION("""COMPUTED_VALUE"""),7.0)</f>
        <v>7</v>
      </c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121"/>
      <c r="Z234" s="20"/>
      <c r="AA234" s="20"/>
      <c r="AB234" s="20"/>
    </row>
    <row r="235">
      <c r="A235" s="20"/>
      <c r="B235" s="117">
        <f>IFERROR(__xludf.DUMMYFUNCTION("""COMPUTED_VALUE"""),43301.0)</f>
        <v>43301</v>
      </c>
      <c r="C235" s="20">
        <f>IFERROR(__xludf.DUMMYFUNCTION("""COMPUTED_VALUE"""),2018.0)</f>
        <v>2018</v>
      </c>
      <c r="D235" s="20" t="str">
        <f>IFERROR(__xludf.DUMMYFUNCTION("""COMPUTED_VALUE"""),"Emergency fund")</f>
        <v>Emergency fund</v>
      </c>
      <c r="E235" s="20" t="str">
        <f>IFERROR(__xludf.DUMMYFUNCTION("""COMPUTED_VALUE"""),"Pet Care")</f>
        <v>Pet Care</v>
      </c>
      <c r="F235" s="118">
        <f>IFERROR(__xludf.DUMMYFUNCTION("""COMPUTED_VALUE"""),273.96492245629054)</f>
        <v>273.9649225</v>
      </c>
      <c r="G235" s="20">
        <f>IFERROR(__xludf.DUMMYFUNCTION("""COMPUTED_VALUE"""),727186.0)</f>
        <v>727186</v>
      </c>
      <c r="H235" s="20">
        <f>IFERROR(__xludf.DUMMYFUNCTION("""COMPUTED_VALUE"""),7.0)</f>
        <v>7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121"/>
      <c r="Z235" s="20"/>
      <c r="AA235" s="20"/>
      <c r="AB235" s="20"/>
    </row>
    <row r="236">
      <c r="A236" s="20"/>
      <c r="B236" s="117">
        <f>IFERROR(__xludf.DUMMYFUNCTION("""COMPUTED_VALUE"""),43303.0)</f>
        <v>43303</v>
      </c>
      <c r="C236" s="20">
        <f>IFERROR(__xludf.DUMMYFUNCTION("""COMPUTED_VALUE"""),2018.0)</f>
        <v>2018</v>
      </c>
      <c r="D236" s="20" t="str">
        <f>IFERROR(__xludf.DUMMYFUNCTION("""COMPUTED_VALUE"""),"Internet service")</f>
        <v>Internet service</v>
      </c>
      <c r="E236" s="20" t="str">
        <f>IFERROR(__xludf.DUMMYFUNCTION("""COMPUTED_VALUE"""),"Utilities")</f>
        <v>Utilities</v>
      </c>
      <c r="F236" s="118">
        <f>IFERROR(__xludf.DUMMYFUNCTION("""COMPUTED_VALUE"""),415.1751742078986)</f>
        <v>415.1751742</v>
      </c>
      <c r="G236" s="20">
        <f>IFERROR(__xludf.DUMMYFUNCTION("""COMPUTED_VALUE"""),807401.0)</f>
        <v>807401</v>
      </c>
      <c r="H236" s="20">
        <f>IFERROR(__xludf.DUMMYFUNCTION("""COMPUTED_VALUE"""),7.0)</f>
        <v>7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121"/>
      <c r="Z236" s="20"/>
      <c r="AA236" s="20"/>
      <c r="AB236" s="20"/>
    </row>
    <row r="237">
      <c r="A237" s="20"/>
      <c r="B237" s="117">
        <f>IFERROR(__xludf.DUMMYFUNCTION("""COMPUTED_VALUE"""),43307.0)</f>
        <v>43307</v>
      </c>
      <c r="C237" s="20">
        <f>IFERROR(__xludf.DUMMYFUNCTION("""COMPUTED_VALUE"""),2018.0)</f>
        <v>2018</v>
      </c>
      <c r="D237" s="20" t="str">
        <f>IFERROR(__xludf.DUMMYFUNCTION("""COMPUTED_VALUE"""),"Savings")</f>
        <v>Savings</v>
      </c>
      <c r="E237" s="20" t="str">
        <f>IFERROR(__xludf.DUMMYFUNCTION("""COMPUTED_VALUE"""),"Pet Care")</f>
        <v>Pet Care</v>
      </c>
      <c r="F237" s="118">
        <f>IFERROR(__xludf.DUMMYFUNCTION("""COMPUTED_VALUE"""),158.0169491660102)</f>
        <v>158.0169492</v>
      </c>
      <c r="G237" s="20">
        <f>IFERROR(__xludf.DUMMYFUNCTION("""COMPUTED_VALUE"""),733143.0)</f>
        <v>733143</v>
      </c>
      <c r="H237" s="20">
        <f>IFERROR(__xludf.DUMMYFUNCTION("""COMPUTED_VALUE"""),7.0)</f>
        <v>7</v>
      </c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121"/>
      <c r="Z237" s="20"/>
      <c r="AA237" s="20"/>
      <c r="AB237" s="20"/>
    </row>
    <row r="238">
      <c r="A238" s="20"/>
      <c r="B238" s="117">
        <f>IFERROR(__xludf.DUMMYFUNCTION("""COMPUTED_VALUE"""),43310.0)</f>
        <v>43310</v>
      </c>
      <c r="C238" s="20">
        <f>IFERROR(__xludf.DUMMYFUNCTION("""COMPUTED_VALUE"""),2018.0)</f>
        <v>2018</v>
      </c>
      <c r="D238" s="20" t="str">
        <f>IFERROR(__xludf.DUMMYFUNCTION("""COMPUTED_VALUE"""),"Telephone / Cell phone")</f>
        <v>Telephone / Cell phone</v>
      </c>
      <c r="E238" s="20" t="str">
        <f>IFERROR(__xludf.DUMMYFUNCTION("""COMPUTED_VALUE"""),"Utilities")</f>
        <v>Utilities</v>
      </c>
      <c r="F238" s="118">
        <f>IFERROR(__xludf.DUMMYFUNCTION("""COMPUTED_VALUE"""),252.08460640748476)</f>
        <v>252.0846064</v>
      </c>
      <c r="G238" s="20">
        <f>IFERROR(__xludf.DUMMYFUNCTION("""COMPUTED_VALUE"""),637302.0)</f>
        <v>637302</v>
      </c>
      <c r="H238" s="20">
        <f>IFERROR(__xludf.DUMMYFUNCTION("""COMPUTED_VALUE"""),7.0)</f>
        <v>7</v>
      </c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121"/>
      <c r="Z238" s="20"/>
      <c r="AA238" s="20"/>
      <c r="AB238" s="20"/>
    </row>
    <row r="239">
      <c r="A239" s="20"/>
      <c r="B239" s="117">
        <f>IFERROR(__xludf.DUMMYFUNCTION("""COMPUTED_VALUE"""),43312.0)</f>
        <v>43312</v>
      </c>
      <c r="C239" s="20">
        <f>IFERROR(__xludf.DUMMYFUNCTION("""COMPUTED_VALUE"""),2018.0)</f>
        <v>2018</v>
      </c>
      <c r="D239" s="20" t="str">
        <f>IFERROR(__xludf.DUMMYFUNCTION("""COMPUTED_VALUE"""),"Long term care")</f>
        <v>Long term care</v>
      </c>
      <c r="E239" s="20" t="str">
        <f>IFERROR(__xludf.DUMMYFUNCTION("""COMPUTED_VALUE"""),"Insurance")</f>
        <v>Insurance</v>
      </c>
      <c r="F239" s="118">
        <f>IFERROR(__xludf.DUMMYFUNCTION("""COMPUTED_VALUE"""),144.44799846507672)</f>
        <v>144.4479985</v>
      </c>
      <c r="G239" s="20">
        <f>IFERROR(__xludf.DUMMYFUNCTION("""COMPUTED_VALUE"""),679278.0)</f>
        <v>679278</v>
      </c>
      <c r="H239" s="20">
        <f>IFERROR(__xludf.DUMMYFUNCTION("""COMPUTED_VALUE"""),7.0)</f>
        <v>7</v>
      </c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121"/>
      <c r="Z239" s="20"/>
      <c r="AA239" s="20"/>
      <c r="AB239" s="20"/>
    </row>
    <row r="240">
      <c r="A240" s="20"/>
      <c r="B240" s="117">
        <f>IFERROR(__xludf.DUMMYFUNCTION("""COMPUTED_VALUE"""),43313.0)</f>
        <v>43313</v>
      </c>
      <c r="C240" s="20">
        <f>IFERROR(__xludf.DUMMYFUNCTION("""COMPUTED_VALUE"""),2018.0)</f>
        <v>2018</v>
      </c>
      <c r="D240" s="20" t="str">
        <f>IFERROR(__xludf.DUMMYFUNCTION("""COMPUTED_VALUE"""),"Hospital")</f>
        <v>Hospital</v>
      </c>
      <c r="E240" s="20" t="str">
        <f>IFERROR(__xludf.DUMMYFUNCTION("""COMPUTED_VALUE"""),"Healthcare")</f>
        <v>Healthcare</v>
      </c>
      <c r="F240" s="118">
        <f>IFERROR(__xludf.DUMMYFUNCTION("""COMPUTED_VALUE"""),76.22250561080689)</f>
        <v>76.22250561</v>
      </c>
      <c r="G240" s="20">
        <f>IFERROR(__xludf.DUMMYFUNCTION("""COMPUTED_VALUE"""),587593.0)</f>
        <v>587593</v>
      </c>
      <c r="H240" s="20">
        <f>IFERROR(__xludf.DUMMYFUNCTION("""COMPUTED_VALUE"""),8.0)</f>
        <v>8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121"/>
      <c r="Z240" s="20"/>
      <c r="AA240" s="20"/>
      <c r="AB240" s="20"/>
    </row>
    <row r="241">
      <c r="A241" s="20"/>
      <c r="B241" s="117">
        <f>IFERROR(__xludf.DUMMYFUNCTION("""COMPUTED_VALUE"""),43317.0)</f>
        <v>43317</v>
      </c>
      <c r="C241" s="20">
        <f>IFERROR(__xludf.DUMMYFUNCTION("""COMPUTED_VALUE"""),2018.0)</f>
        <v>2018</v>
      </c>
      <c r="D241" s="20" t="str">
        <f>IFERROR(__xludf.DUMMYFUNCTION("""COMPUTED_VALUE"""),"Books")</f>
        <v>Books</v>
      </c>
      <c r="E241" s="20" t="str">
        <f>IFERROR(__xludf.DUMMYFUNCTION("""COMPUTED_VALUE"""),"Education")</f>
        <v>Education</v>
      </c>
      <c r="F241" s="118">
        <f>IFERROR(__xludf.DUMMYFUNCTION("""COMPUTED_VALUE"""),172.5242146722982)</f>
        <v>172.5242147</v>
      </c>
      <c r="G241" s="20">
        <f>IFERROR(__xludf.DUMMYFUNCTION("""COMPUTED_VALUE"""),420415.0)</f>
        <v>420415</v>
      </c>
      <c r="H241" s="20">
        <f>IFERROR(__xludf.DUMMYFUNCTION("""COMPUTED_VALUE"""),8.0)</f>
        <v>8</v>
      </c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121"/>
      <c r="Z241" s="20"/>
      <c r="AA241" s="20"/>
      <c r="AB241" s="20"/>
    </row>
    <row r="242">
      <c r="A242" s="20"/>
      <c r="B242" s="117">
        <f>IFERROR(__xludf.DUMMYFUNCTION("""COMPUTED_VALUE"""),43319.0)</f>
        <v>43319</v>
      </c>
      <c r="C242" s="20">
        <f>IFERROR(__xludf.DUMMYFUNCTION("""COMPUTED_VALUE"""),2018.0)</f>
        <v>2018</v>
      </c>
      <c r="D242" s="20" t="str">
        <f>IFERROR(__xludf.DUMMYFUNCTION("""COMPUTED_VALUE"""),"Water")</f>
        <v>Water</v>
      </c>
      <c r="E242" s="20" t="str">
        <f>IFERROR(__xludf.DUMMYFUNCTION("""COMPUTED_VALUE"""),"Utilities")</f>
        <v>Utilities</v>
      </c>
      <c r="F242" s="118">
        <f>IFERROR(__xludf.DUMMYFUNCTION("""COMPUTED_VALUE"""),170.7835756418496)</f>
        <v>170.7835756</v>
      </c>
      <c r="G242" s="20">
        <f>IFERROR(__xludf.DUMMYFUNCTION("""COMPUTED_VALUE"""),696500.0)</f>
        <v>696500</v>
      </c>
      <c r="H242" s="20">
        <f>IFERROR(__xludf.DUMMYFUNCTION("""COMPUTED_VALUE"""),8.0)</f>
        <v>8</v>
      </c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121"/>
      <c r="Z242" s="20"/>
      <c r="AA242" s="20"/>
      <c r="AB242" s="20"/>
    </row>
    <row r="243">
      <c r="A243" s="20"/>
      <c r="B243" s="117">
        <f>IFERROR(__xludf.DUMMYFUNCTION("""COMPUTED_VALUE"""),43321.0)</f>
        <v>43321</v>
      </c>
      <c r="C243" s="20">
        <f>IFERROR(__xludf.DUMMYFUNCTION("""COMPUTED_VALUE"""),2018.0)</f>
        <v>2018</v>
      </c>
      <c r="D243" s="20" t="str">
        <f>IFERROR(__xludf.DUMMYFUNCTION("""COMPUTED_VALUE"""),"Loan Payment")</f>
        <v>Loan Payment</v>
      </c>
      <c r="E243" s="20" t="str">
        <f>IFERROR(__xludf.DUMMYFUNCTION("""COMPUTED_VALUE"""),"Loans")</f>
        <v>Loans</v>
      </c>
      <c r="F243" s="118">
        <f>IFERROR(__xludf.DUMMYFUNCTION("""COMPUTED_VALUE"""),404.8515803994649)</f>
        <v>404.8515804</v>
      </c>
      <c r="G243" s="20">
        <f>IFERROR(__xludf.DUMMYFUNCTION("""COMPUTED_VALUE"""),750530.0)</f>
        <v>750530</v>
      </c>
      <c r="H243" s="20">
        <f>IFERROR(__xludf.DUMMYFUNCTION("""COMPUTED_VALUE"""),8.0)</f>
        <v>8</v>
      </c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121"/>
      <c r="Z243" s="20"/>
      <c r="AA243" s="20"/>
      <c r="AB243" s="20"/>
    </row>
    <row r="244">
      <c r="A244" s="20"/>
      <c r="B244" s="117">
        <f>IFERROR(__xludf.DUMMYFUNCTION("""COMPUTED_VALUE"""),43323.0)</f>
        <v>43323</v>
      </c>
      <c r="C244" s="20">
        <f>IFERROR(__xludf.DUMMYFUNCTION("""COMPUTED_VALUE"""),2018.0)</f>
        <v>2018</v>
      </c>
      <c r="D244" s="20" t="str">
        <f>IFERROR(__xludf.DUMMYFUNCTION("""COMPUTED_VALUE"""),"Long term care")</f>
        <v>Long term care</v>
      </c>
      <c r="E244" s="20" t="str">
        <f>IFERROR(__xludf.DUMMYFUNCTION("""COMPUTED_VALUE"""),"Insurance")</f>
        <v>Insurance</v>
      </c>
      <c r="F244" s="118">
        <f>IFERROR(__xludf.DUMMYFUNCTION("""COMPUTED_VALUE"""),382.6909878967462)</f>
        <v>382.6909879</v>
      </c>
      <c r="G244" s="20">
        <f>IFERROR(__xludf.DUMMYFUNCTION("""COMPUTED_VALUE"""),869173.0)</f>
        <v>869173</v>
      </c>
      <c r="H244" s="20">
        <f>IFERROR(__xludf.DUMMYFUNCTION("""COMPUTED_VALUE"""),8.0)</f>
        <v>8</v>
      </c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121"/>
      <c r="Z244" s="20"/>
      <c r="AA244" s="20"/>
      <c r="AB244" s="20"/>
    </row>
    <row r="245">
      <c r="A245" s="20"/>
      <c r="B245" s="117">
        <f>IFERROR(__xludf.DUMMYFUNCTION("""COMPUTED_VALUE"""),43327.0)</f>
        <v>43327</v>
      </c>
      <c r="C245" s="20">
        <f>IFERROR(__xludf.DUMMYFUNCTION("""COMPUTED_VALUE"""),2018.0)</f>
        <v>2018</v>
      </c>
      <c r="D245" s="20" t="str">
        <f>IFERROR(__xludf.DUMMYFUNCTION("""COMPUTED_VALUE"""),"Transportation")</f>
        <v>Transportation</v>
      </c>
      <c r="E245" s="20" t="str">
        <f>IFERROR(__xludf.DUMMYFUNCTION("""COMPUTED_VALUE"""),"Vacation")</f>
        <v>Vacation</v>
      </c>
      <c r="F245" s="118">
        <f>IFERROR(__xludf.DUMMYFUNCTION("""COMPUTED_VALUE"""),262.73749633980094)</f>
        <v>262.7374963</v>
      </c>
      <c r="G245" s="20">
        <f>IFERROR(__xludf.DUMMYFUNCTION("""COMPUTED_VALUE"""),469774.0)</f>
        <v>469774</v>
      </c>
      <c r="H245" s="20">
        <f>IFERROR(__xludf.DUMMYFUNCTION("""COMPUTED_VALUE"""),8.0)</f>
        <v>8</v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121"/>
      <c r="Z245" s="20"/>
      <c r="AA245" s="20"/>
      <c r="AB245" s="20"/>
    </row>
    <row r="246">
      <c r="A246" s="20"/>
      <c r="B246" s="117">
        <f>IFERROR(__xludf.DUMMYFUNCTION("""COMPUTED_VALUE"""),43331.0)</f>
        <v>43331</v>
      </c>
      <c r="C246" s="20">
        <f>IFERROR(__xludf.DUMMYFUNCTION("""COMPUTED_VALUE"""),2018.0)</f>
        <v>2018</v>
      </c>
      <c r="D246" s="20" t="str">
        <f>IFERROR(__xludf.DUMMYFUNCTION("""COMPUTED_VALUE"""),"Books")</f>
        <v>Books</v>
      </c>
      <c r="E246" s="20" t="str">
        <f>IFERROR(__xludf.DUMMYFUNCTION("""COMPUTED_VALUE"""),"Education")</f>
        <v>Education</v>
      </c>
      <c r="F246" s="118">
        <f>IFERROR(__xludf.DUMMYFUNCTION("""COMPUTED_VALUE"""),60.60629802882334)</f>
        <v>60.60629803</v>
      </c>
      <c r="G246" s="20">
        <f>IFERROR(__xludf.DUMMYFUNCTION("""COMPUTED_VALUE"""),409583.0)</f>
        <v>409583</v>
      </c>
      <c r="H246" s="20">
        <f>IFERROR(__xludf.DUMMYFUNCTION("""COMPUTED_VALUE"""),8.0)</f>
        <v>8</v>
      </c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121"/>
      <c r="Z246" s="20"/>
      <c r="AA246" s="20"/>
      <c r="AB246" s="20"/>
    </row>
    <row r="247">
      <c r="A247" s="20"/>
      <c r="B247" s="117">
        <f>IFERROR(__xludf.DUMMYFUNCTION("""COMPUTED_VALUE"""),43333.0)</f>
        <v>43333</v>
      </c>
      <c r="C247" s="20">
        <f>IFERROR(__xludf.DUMMYFUNCTION("""COMPUTED_VALUE"""),2018.0)</f>
        <v>2018</v>
      </c>
      <c r="D247" s="20" t="str">
        <f>IFERROR(__xludf.DUMMYFUNCTION("""COMPUTED_VALUE"""),"Home maintenance and repair")</f>
        <v>Home maintenance and repair</v>
      </c>
      <c r="E247" s="20" t="str">
        <f>IFERROR(__xludf.DUMMYFUNCTION("""COMPUTED_VALUE"""),"Household")</f>
        <v>Household</v>
      </c>
      <c r="F247" s="118">
        <f>IFERROR(__xludf.DUMMYFUNCTION("""COMPUTED_VALUE"""),227.65052569498158)</f>
        <v>227.6505257</v>
      </c>
      <c r="G247" s="20">
        <f>IFERROR(__xludf.DUMMYFUNCTION("""COMPUTED_VALUE"""),375347.0)</f>
        <v>375347</v>
      </c>
      <c r="H247" s="20">
        <f>IFERROR(__xludf.DUMMYFUNCTION("""COMPUTED_VALUE"""),8.0)</f>
        <v>8</v>
      </c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121"/>
      <c r="Z247" s="20"/>
      <c r="AA247" s="20"/>
      <c r="AB247" s="20"/>
    </row>
    <row r="248">
      <c r="A248" s="20"/>
      <c r="B248" s="117">
        <f>IFERROR(__xludf.DUMMYFUNCTION("""COMPUTED_VALUE"""),43335.0)</f>
        <v>43335</v>
      </c>
      <c r="C248" s="20">
        <f>IFERROR(__xludf.DUMMYFUNCTION("""COMPUTED_VALUE"""),2018.0)</f>
        <v>2018</v>
      </c>
      <c r="D248" s="20" t="str">
        <f>IFERROR(__xludf.DUMMYFUNCTION("""COMPUTED_VALUE"""),"Babysitting")</f>
        <v>Babysitting</v>
      </c>
      <c r="E248" s="20" t="str">
        <f>IFERROR(__xludf.DUMMYFUNCTION("""COMPUTED_VALUE"""),"Childcare")</f>
        <v>Childcare</v>
      </c>
      <c r="F248" s="118">
        <f>IFERROR(__xludf.DUMMYFUNCTION("""COMPUTED_VALUE"""),431.7202207000989)</f>
        <v>431.7202207</v>
      </c>
      <c r="G248" s="20">
        <f>IFERROR(__xludf.DUMMYFUNCTION("""COMPUTED_VALUE"""),714747.0)</f>
        <v>714747</v>
      </c>
      <c r="H248" s="20">
        <f>IFERROR(__xludf.DUMMYFUNCTION("""COMPUTED_VALUE"""),8.0)</f>
        <v>8</v>
      </c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121"/>
      <c r="Z248" s="20"/>
      <c r="AA248" s="20"/>
      <c r="AB248" s="20"/>
    </row>
    <row r="249">
      <c r="A249" s="20"/>
      <c r="B249" s="117">
        <f>IFERROR(__xludf.DUMMYFUNCTION("""COMPUTED_VALUE"""),43339.0)</f>
        <v>43339</v>
      </c>
      <c r="C249" s="20">
        <f>IFERROR(__xludf.DUMMYFUNCTION("""COMPUTED_VALUE"""),2018.0)</f>
        <v>2018</v>
      </c>
      <c r="D249" s="20" t="str">
        <f>IFERROR(__xludf.DUMMYFUNCTION("""COMPUTED_VALUE"""),"Student loan payment")</f>
        <v>Student loan payment</v>
      </c>
      <c r="E249" s="20" t="str">
        <f>IFERROR(__xludf.DUMMYFUNCTION("""COMPUTED_VALUE"""),"Education")</f>
        <v>Education</v>
      </c>
      <c r="F249" s="118">
        <f>IFERROR(__xludf.DUMMYFUNCTION("""COMPUTED_VALUE"""),433.17225446003835)</f>
        <v>433.1722545</v>
      </c>
      <c r="G249" s="20">
        <f>IFERROR(__xludf.DUMMYFUNCTION("""COMPUTED_VALUE"""),915023.0)</f>
        <v>915023</v>
      </c>
      <c r="H249" s="20">
        <f>IFERROR(__xludf.DUMMYFUNCTION("""COMPUTED_VALUE"""),8.0)</f>
        <v>8</v>
      </c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121"/>
      <c r="Z249" s="20"/>
      <c r="AA249" s="20"/>
      <c r="AB249" s="20"/>
    </row>
    <row r="250">
      <c r="A250" s="20"/>
      <c r="B250" s="117">
        <f>IFERROR(__xludf.DUMMYFUNCTION("""COMPUTED_VALUE"""),43340.0)</f>
        <v>43340</v>
      </c>
      <c r="C250" s="20">
        <f>IFERROR(__xludf.DUMMYFUNCTION("""COMPUTED_VALUE"""),2018.0)</f>
        <v>2018</v>
      </c>
      <c r="D250" s="20" t="str">
        <f>IFERROR(__xludf.DUMMYFUNCTION("""COMPUTED_VALUE"""),"Vision")</f>
        <v>Vision</v>
      </c>
      <c r="E250" s="20" t="str">
        <f>IFERROR(__xludf.DUMMYFUNCTION("""COMPUTED_VALUE"""),"Healthcare")</f>
        <v>Healthcare</v>
      </c>
      <c r="F250" s="118">
        <f>IFERROR(__xludf.DUMMYFUNCTION("""COMPUTED_VALUE"""),257.9198739347081)</f>
        <v>257.9198739</v>
      </c>
      <c r="G250" s="20">
        <f>IFERROR(__xludf.DUMMYFUNCTION("""COMPUTED_VALUE"""),885755.0)</f>
        <v>885755</v>
      </c>
      <c r="H250" s="20">
        <f>IFERROR(__xludf.DUMMYFUNCTION("""COMPUTED_VALUE"""),8.0)</f>
        <v>8</v>
      </c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121"/>
      <c r="Z250" s="20"/>
      <c r="AA250" s="20"/>
      <c r="AB250" s="20"/>
    </row>
    <row r="251">
      <c r="A251" s="20"/>
      <c r="B251" s="117">
        <f>IFERROR(__xludf.DUMMYFUNCTION("""COMPUTED_VALUE"""),43344.0)</f>
        <v>43344</v>
      </c>
      <c r="C251" s="20">
        <f>IFERROR(__xludf.DUMMYFUNCTION("""COMPUTED_VALUE"""),2018.0)</f>
        <v>2018</v>
      </c>
      <c r="D251" s="20" t="str">
        <f>IFERROR(__xludf.DUMMYFUNCTION("""COMPUTED_VALUE"""),"Tuition")</f>
        <v>Tuition</v>
      </c>
      <c r="E251" s="20" t="str">
        <f>IFERROR(__xludf.DUMMYFUNCTION("""COMPUTED_VALUE"""),"Education")</f>
        <v>Education</v>
      </c>
      <c r="F251" s="118">
        <f>IFERROR(__xludf.DUMMYFUNCTION("""COMPUTED_VALUE"""),438.8401020007847)</f>
        <v>438.840102</v>
      </c>
      <c r="G251" s="20">
        <f>IFERROR(__xludf.DUMMYFUNCTION("""COMPUTED_VALUE"""),145334.0)</f>
        <v>145334</v>
      </c>
      <c r="H251" s="20">
        <f>IFERROR(__xludf.DUMMYFUNCTION("""COMPUTED_VALUE"""),9.0)</f>
        <v>9</v>
      </c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121"/>
      <c r="Z251" s="20"/>
      <c r="AA251" s="20"/>
      <c r="AB251" s="20"/>
    </row>
    <row r="252">
      <c r="A252" s="20"/>
      <c r="B252" s="117">
        <f>IFERROR(__xludf.DUMMYFUNCTION("""COMPUTED_VALUE"""),43346.0)</f>
        <v>43346</v>
      </c>
      <c r="C252" s="20">
        <f>IFERROR(__xludf.DUMMYFUNCTION("""COMPUTED_VALUE"""),2018.0)</f>
        <v>2018</v>
      </c>
      <c r="D252" s="20" t="str">
        <f>IFERROR(__xludf.DUMMYFUNCTION("""COMPUTED_VALUE"""),"Transportation")</f>
        <v>Transportation</v>
      </c>
      <c r="E252" s="20" t="str">
        <f>IFERROR(__xludf.DUMMYFUNCTION("""COMPUTED_VALUE"""),"Vacation")</f>
        <v>Vacation</v>
      </c>
      <c r="F252" s="118">
        <f>IFERROR(__xludf.DUMMYFUNCTION("""COMPUTED_VALUE"""),108.76111238196867)</f>
        <v>108.7611124</v>
      </c>
      <c r="G252" s="20">
        <f>IFERROR(__xludf.DUMMYFUNCTION("""COMPUTED_VALUE"""),854747.0)</f>
        <v>854747</v>
      </c>
      <c r="H252" s="20">
        <f>IFERROR(__xludf.DUMMYFUNCTION("""COMPUTED_VALUE"""),9.0)</f>
        <v>9</v>
      </c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121"/>
      <c r="Z252" s="20"/>
      <c r="AA252" s="20"/>
      <c r="AB252" s="20"/>
    </row>
    <row r="253">
      <c r="A253" s="20"/>
      <c r="B253" s="117">
        <f>IFERROR(__xludf.DUMMYFUNCTION("""COMPUTED_VALUE"""),43347.0)</f>
        <v>43347</v>
      </c>
      <c r="C253" s="20">
        <f>IFERROR(__xludf.DUMMYFUNCTION("""COMPUTED_VALUE"""),2018.0)</f>
        <v>2018</v>
      </c>
      <c r="D253" s="20" t="str">
        <f>IFERROR(__xludf.DUMMYFUNCTION("""COMPUTED_VALUE"""),"Magazines")</f>
        <v>Magazines</v>
      </c>
      <c r="E253" s="20" t="str">
        <f>IFERROR(__xludf.DUMMYFUNCTION("""COMPUTED_VALUE"""),"Leisure (daily / non-vacation)")</f>
        <v>Leisure (daily / non-vacation)</v>
      </c>
      <c r="F253" s="118">
        <f>IFERROR(__xludf.DUMMYFUNCTION("""COMPUTED_VALUE"""),193.19104875088317)</f>
        <v>193.1910488</v>
      </c>
      <c r="G253" s="20">
        <f>IFERROR(__xludf.DUMMYFUNCTION("""COMPUTED_VALUE"""),267006.0)</f>
        <v>267006</v>
      </c>
      <c r="H253" s="20">
        <f>IFERROR(__xludf.DUMMYFUNCTION("""COMPUTED_VALUE"""),9.0)</f>
        <v>9</v>
      </c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121"/>
      <c r="Z253" s="20"/>
      <c r="AA253" s="20"/>
      <c r="AB253" s="20"/>
    </row>
    <row r="254">
      <c r="A254" s="20"/>
      <c r="B254" s="117">
        <f>IFERROR(__xludf.DUMMYFUNCTION("""COMPUTED_VALUE"""),43350.0)</f>
        <v>43350</v>
      </c>
      <c r="C254" s="20">
        <f>IFERROR(__xludf.DUMMYFUNCTION("""COMPUTED_VALUE"""),2018.0)</f>
        <v>2018</v>
      </c>
      <c r="D254" s="20" t="str">
        <f>IFERROR(__xludf.DUMMYFUNCTION("""COMPUTED_VALUE"""),"Prescriptions")</f>
        <v>Prescriptions</v>
      </c>
      <c r="E254" s="20" t="str">
        <f>IFERROR(__xludf.DUMMYFUNCTION("""COMPUTED_VALUE"""),"Healthcare")</f>
        <v>Healthcare</v>
      </c>
      <c r="F254" s="118">
        <f>IFERROR(__xludf.DUMMYFUNCTION("""COMPUTED_VALUE"""),474.9138269755507)</f>
        <v>474.913827</v>
      </c>
      <c r="G254" s="20">
        <f>IFERROR(__xludf.DUMMYFUNCTION("""COMPUTED_VALUE"""),824073.0)</f>
        <v>824073</v>
      </c>
      <c r="H254" s="20">
        <f>IFERROR(__xludf.DUMMYFUNCTION("""COMPUTED_VALUE"""),9.0)</f>
        <v>9</v>
      </c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121"/>
      <c r="Z254" s="20"/>
      <c r="AA254" s="20"/>
      <c r="AB254" s="20"/>
    </row>
    <row r="255">
      <c r="A255" s="20"/>
      <c r="B255" s="117">
        <f>IFERROR(__xludf.DUMMYFUNCTION("""COMPUTED_VALUE"""),43351.0)</f>
        <v>43351</v>
      </c>
      <c r="C255" s="20">
        <f>IFERROR(__xludf.DUMMYFUNCTION("""COMPUTED_VALUE"""),2018.0)</f>
        <v>2018</v>
      </c>
      <c r="D255" s="20" t="str">
        <f>IFERROR(__xludf.DUMMYFUNCTION("""COMPUTED_VALUE"""),"Health")</f>
        <v>Health</v>
      </c>
      <c r="E255" s="20" t="str">
        <f>IFERROR(__xludf.DUMMYFUNCTION("""COMPUTED_VALUE"""),"Insurance")</f>
        <v>Insurance</v>
      </c>
      <c r="F255" s="118">
        <f>IFERROR(__xludf.DUMMYFUNCTION("""COMPUTED_VALUE"""),432.1336312581826)</f>
        <v>432.1336313</v>
      </c>
      <c r="G255" s="20">
        <f>IFERROR(__xludf.DUMMYFUNCTION("""COMPUTED_VALUE"""),148356.0)</f>
        <v>148356</v>
      </c>
      <c r="H255" s="20">
        <f>IFERROR(__xludf.DUMMYFUNCTION("""COMPUTED_VALUE"""),9.0)</f>
        <v>9</v>
      </c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121"/>
      <c r="Z255" s="20"/>
      <c r="AA255" s="20"/>
      <c r="AB255" s="20"/>
    </row>
    <row r="256">
      <c r="A256" s="20"/>
      <c r="B256" s="117">
        <f>IFERROR(__xludf.DUMMYFUNCTION("""COMPUTED_VALUE"""),43352.0)</f>
        <v>43352</v>
      </c>
      <c r="C256" s="20">
        <f>IFERROR(__xludf.DUMMYFUNCTION("""COMPUTED_VALUE"""),2018.0)</f>
        <v>2018</v>
      </c>
      <c r="D256" s="20" t="str">
        <f>IFERROR(__xludf.DUMMYFUNCTION("""COMPUTED_VALUE"""),"Lodging")</f>
        <v>Lodging</v>
      </c>
      <c r="E256" s="20" t="str">
        <f>IFERROR(__xludf.DUMMYFUNCTION("""COMPUTED_VALUE"""),"Vacation")</f>
        <v>Vacation</v>
      </c>
      <c r="F256" s="118">
        <f>IFERROR(__xludf.DUMMYFUNCTION("""COMPUTED_VALUE"""),192.39359560018622)</f>
        <v>192.3935956</v>
      </c>
      <c r="G256" s="20">
        <f>IFERROR(__xludf.DUMMYFUNCTION("""COMPUTED_VALUE"""),731833.0)</f>
        <v>731833</v>
      </c>
      <c r="H256" s="20">
        <f>IFERROR(__xludf.DUMMYFUNCTION("""COMPUTED_VALUE"""),9.0)</f>
        <v>9</v>
      </c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121"/>
      <c r="Z256" s="20"/>
      <c r="AA256" s="20"/>
      <c r="AB256" s="20"/>
    </row>
    <row r="257">
      <c r="A257" s="20"/>
      <c r="B257" s="117">
        <f>IFERROR(__xludf.DUMMYFUNCTION("""COMPUTED_VALUE"""),43356.0)</f>
        <v>43356</v>
      </c>
      <c r="C257" s="20">
        <f>IFERROR(__xludf.DUMMYFUNCTION("""COMPUTED_VALUE"""),2018.0)</f>
        <v>2018</v>
      </c>
      <c r="D257" s="20" t="str">
        <f>IFERROR(__xludf.DUMMYFUNCTION("""COMPUTED_VALUE"""),"Rent / Mortgage payment")</f>
        <v>Rent / Mortgage payment</v>
      </c>
      <c r="E257" s="20" t="str">
        <f>IFERROR(__xludf.DUMMYFUNCTION("""COMPUTED_VALUE"""),"Household")</f>
        <v>Household</v>
      </c>
      <c r="F257" s="118">
        <f>IFERROR(__xludf.DUMMYFUNCTION("""COMPUTED_VALUE"""),470.4991866743828)</f>
        <v>470.4991867</v>
      </c>
      <c r="G257" s="20">
        <f>IFERROR(__xludf.DUMMYFUNCTION("""COMPUTED_VALUE"""),531045.0)</f>
        <v>531045</v>
      </c>
      <c r="H257" s="20">
        <f>IFERROR(__xludf.DUMMYFUNCTION("""COMPUTED_VALUE"""),9.0)</f>
        <v>9</v>
      </c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121"/>
      <c r="Z257" s="20"/>
      <c r="AA257" s="20"/>
      <c r="AB257" s="20"/>
    </row>
    <row r="258">
      <c r="A258" s="20"/>
      <c r="B258" s="117">
        <f>IFERROR(__xludf.DUMMYFUNCTION("""COMPUTED_VALUE"""),43358.0)</f>
        <v>43358</v>
      </c>
      <c r="C258" s="20">
        <f>IFERROR(__xludf.DUMMYFUNCTION("""COMPUTED_VALUE"""),2018.0)</f>
        <v>2018</v>
      </c>
      <c r="D258" s="20" t="str">
        <f>IFERROR(__xludf.DUMMYFUNCTION("""COMPUTED_VALUE"""),"Coffee house")</f>
        <v>Coffee house</v>
      </c>
      <c r="E258" s="20" t="str">
        <f>IFERROR(__xludf.DUMMYFUNCTION("""COMPUTED_VALUE"""),"Food")</f>
        <v>Food</v>
      </c>
      <c r="F258" s="118">
        <f>IFERROR(__xludf.DUMMYFUNCTION("""COMPUTED_VALUE"""),134.94482784761027)</f>
        <v>134.9448278</v>
      </c>
      <c r="G258" s="20">
        <f>IFERROR(__xludf.DUMMYFUNCTION("""COMPUTED_VALUE"""),235624.0)</f>
        <v>235624</v>
      </c>
      <c r="H258" s="20">
        <f>IFERROR(__xludf.DUMMYFUNCTION("""COMPUTED_VALUE"""),9.0)</f>
        <v>9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121"/>
      <c r="Z258" s="20"/>
      <c r="AA258" s="20"/>
      <c r="AB258" s="20"/>
    </row>
    <row r="259">
      <c r="A259" s="20"/>
      <c r="B259" s="117">
        <f>IFERROR(__xludf.DUMMYFUNCTION("""COMPUTED_VALUE"""),43362.0)</f>
        <v>43362</v>
      </c>
      <c r="C259" s="20">
        <f>IFERROR(__xludf.DUMMYFUNCTION("""COMPUTED_VALUE"""),2018.0)</f>
        <v>2018</v>
      </c>
      <c r="D259" s="20" t="str">
        <f>IFERROR(__xludf.DUMMYFUNCTION("""COMPUTED_VALUE"""),"Late fee")</f>
        <v>Late fee</v>
      </c>
      <c r="E259" s="20" t="str">
        <f>IFERROR(__xludf.DUMMYFUNCTION("""COMPUTED_VALUE"""),"Credit Card Fees")</f>
        <v>Credit Card Fees</v>
      </c>
      <c r="F259" s="118">
        <f>IFERROR(__xludf.DUMMYFUNCTION("""COMPUTED_VALUE"""),23.25321269961076)</f>
        <v>23.2532127</v>
      </c>
      <c r="G259" s="20">
        <f>IFERROR(__xludf.DUMMYFUNCTION("""COMPUTED_VALUE"""),162580.0)</f>
        <v>162580</v>
      </c>
      <c r="H259" s="20">
        <f>IFERROR(__xludf.DUMMYFUNCTION("""COMPUTED_VALUE"""),9.0)</f>
        <v>9</v>
      </c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121"/>
      <c r="Z259" s="20"/>
      <c r="AA259" s="20"/>
      <c r="AB259" s="20"/>
    </row>
    <row r="260">
      <c r="A260" s="20"/>
      <c r="B260" s="117">
        <f>IFERROR(__xludf.DUMMYFUNCTION("""COMPUTED_VALUE"""),43363.0)</f>
        <v>43363</v>
      </c>
      <c r="C260" s="20">
        <f>IFERROR(__xludf.DUMMYFUNCTION("""COMPUTED_VALUE"""),2018.0)</f>
        <v>2018</v>
      </c>
      <c r="D260" s="20" t="str">
        <f>IFERROR(__xludf.DUMMYFUNCTION("""COMPUTED_VALUE"""),"Service fees")</f>
        <v>Service fees</v>
      </c>
      <c r="E260" s="20" t="str">
        <f>IFERROR(__xludf.DUMMYFUNCTION("""COMPUTED_VALUE"""),"Bank Charges")</f>
        <v>Bank Charges</v>
      </c>
      <c r="F260" s="118">
        <f>IFERROR(__xludf.DUMMYFUNCTION("""COMPUTED_VALUE"""),236.39855444930595)</f>
        <v>236.3985544</v>
      </c>
      <c r="G260" s="20">
        <f>IFERROR(__xludf.DUMMYFUNCTION("""COMPUTED_VALUE"""),777644.0)</f>
        <v>777644</v>
      </c>
      <c r="H260" s="20">
        <f>IFERROR(__xludf.DUMMYFUNCTION("""COMPUTED_VALUE"""),9.0)</f>
        <v>9</v>
      </c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121"/>
      <c r="Z260" s="20"/>
      <c r="AA260" s="20"/>
      <c r="AB260" s="20"/>
    </row>
    <row r="261">
      <c r="A261" s="20"/>
      <c r="B261" s="117">
        <f>IFERROR(__xludf.DUMMYFUNCTION("""COMPUTED_VALUE"""),43366.0)</f>
        <v>43366</v>
      </c>
      <c r="C261" s="20">
        <f>IFERROR(__xludf.DUMMYFUNCTION("""COMPUTED_VALUE"""),2018.0)</f>
        <v>2018</v>
      </c>
      <c r="D261" s="20" t="str">
        <f>IFERROR(__xludf.DUMMYFUNCTION("""COMPUTED_VALUE"""),"Late fee")</f>
        <v>Late fee</v>
      </c>
      <c r="E261" s="20" t="str">
        <f>IFERROR(__xludf.DUMMYFUNCTION("""COMPUTED_VALUE"""),"Credit Card Fees")</f>
        <v>Credit Card Fees</v>
      </c>
      <c r="F261" s="118">
        <f>IFERROR(__xludf.DUMMYFUNCTION("""COMPUTED_VALUE"""),298.38384104511925)</f>
        <v>298.383841</v>
      </c>
      <c r="G261" s="20">
        <f>IFERROR(__xludf.DUMMYFUNCTION("""COMPUTED_VALUE"""),144920.0)</f>
        <v>144920</v>
      </c>
      <c r="H261" s="20">
        <f>IFERROR(__xludf.DUMMYFUNCTION("""COMPUTED_VALUE"""),9.0)</f>
        <v>9</v>
      </c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121"/>
      <c r="Z261" s="20"/>
      <c r="AA261" s="20"/>
      <c r="AB261" s="20"/>
    </row>
    <row r="262">
      <c r="A262" s="20"/>
      <c r="B262" s="117">
        <f>IFERROR(__xludf.DUMMYFUNCTION("""COMPUTED_VALUE"""),43369.0)</f>
        <v>43369</v>
      </c>
      <c r="C262" s="20">
        <f>IFERROR(__xludf.DUMMYFUNCTION("""COMPUTED_VALUE"""),2018.0)</f>
        <v>2018</v>
      </c>
      <c r="D262" s="20" t="str">
        <f>IFERROR(__xludf.DUMMYFUNCTION("""COMPUTED_VALUE"""),"Transportation")</f>
        <v>Transportation</v>
      </c>
      <c r="E262" s="20" t="str">
        <f>IFERROR(__xludf.DUMMYFUNCTION("""COMPUTED_VALUE"""),"Vacation")</f>
        <v>Vacation</v>
      </c>
      <c r="F262" s="118">
        <f>IFERROR(__xludf.DUMMYFUNCTION("""COMPUTED_VALUE"""),147.69226988602145)</f>
        <v>147.6922699</v>
      </c>
      <c r="G262" s="20">
        <f>IFERROR(__xludf.DUMMYFUNCTION("""COMPUTED_VALUE"""),913819.0)</f>
        <v>913819</v>
      </c>
      <c r="H262" s="20">
        <f>IFERROR(__xludf.DUMMYFUNCTION("""COMPUTED_VALUE"""),9.0)</f>
        <v>9</v>
      </c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121"/>
      <c r="Z262" s="20"/>
      <c r="AA262" s="20"/>
      <c r="AB262" s="20"/>
    </row>
    <row r="263">
      <c r="A263" s="20"/>
      <c r="B263" s="117">
        <f>IFERROR(__xludf.DUMMYFUNCTION("""COMPUTED_VALUE"""),43370.0)</f>
        <v>43370</v>
      </c>
      <c r="C263" s="20">
        <f>IFERROR(__xludf.DUMMYFUNCTION("""COMPUTED_VALUE"""),2018.0)</f>
        <v>2018</v>
      </c>
      <c r="D263" s="20" t="str">
        <f>IFERROR(__xludf.DUMMYFUNCTION("""COMPUTED_VALUE"""),"Internet service")</f>
        <v>Internet service</v>
      </c>
      <c r="E263" s="20" t="str">
        <f>IFERROR(__xludf.DUMMYFUNCTION("""COMPUTED_VALUE"""),"Utilities")</f>
        <v>Utilities</v>
      </c>
      <c r="F263" s="118">
        <f>IFERROR(__xludf.DUMMYFUNCTION("""COMPUTED_VALUE"""),52.92680544955303)</f>
        <v>52.92680545</v>
      </c>
      <c r="G263" s="20">
        <f>IFERROR(__xludf.DUMMYFUNCTION("""COMPUTED_VALUE"""),589878.0)</f>
        <v>589878</v>
      </c>
      <c r="H263" s="20">
        <f>IFERROR(__xludf.DUMMYFUNCTION("""COMPUTED_VALUE"""),9.0)</f>
        <v>9</v>
      </c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121"/>
      <c r="Z263" s="20"/>
      <c r="AA263" s="20"/>
      <c r="AB263" s="20"/>
    </row>
    <row r="264">
      <c r="A264" s="20"/>
      <c r="B264" s="117">
        <f>IFERROR(__xludf.DUMMYFUNCTION("""COMPUTED_VALUE"""),43371.0)</f>
        <v>43371</v>
      </c>
      <c r="C264" s="20">
        <f>IFERROR(__xludf.DUMMYFUNCTION("""COMPUTED_VALUE"""),2018.0)</f>
        <v>2018</v>
      </c>
      <c r="D264" s="20" t="str">
        <f>IFERROR(__xludf.DUMMYFUNCTION("""COMPUTED_VALUE"""),"Sporting events")</f>
        <v>Sporting events</v>
      </c>
      <c r="E264" s="20" t="str">
        <f>IFERROR(__xludf.DUMMYFUNCTION("""COMPUTED_VALUE"""),"Leisure (daily / non-vacation)")</f>
        <v>Leisure (daily / non-vacation)</v>
      </c>
      <c r="F264" s="118">
        <f>IFERROR(__xludf.DUMMYFUNCTION("""COMPUTED_VALUE"""),468.50974418828804)</f>
        <v>468.5097442</v>
      </c>
      <c r="G264" s="20">
        <f>IFERROR(__xludf.DUMMYFUNCTION("""COMPUTED_VALUE"""),456876.0)</f>
        <v>456876</v>
      </c>
      <c r="H264" s="20">
        <f>IFERROR(__xludf.DUMMYFUNCTION("""COMPUTED_VALUE"""),9.0)</f>
        <v>9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121"/>
      <c r="Z264" s="20"/>
      <c r="AA264" s="20"/>
      <c r="AB264" s="20"/>
    </row>
    <row r="265">
      <c r="A265" s="20"/>
      <c r="B265" s="117">
        <f>IFERROR(__xludf.DUMMYFUNCTION("""COMPUTED_VALUE"""),43375.0)</f>
        <v>43375</v>
      </c>
      <c r="C265" s="20">
        <f>IFERROR(__xludf.DUMMYFUNCTION("""COMPUTED_VALUE"""),2018.0)</f>
        <v>2018</v>
      </c>
      <c r="D265" s="20" t="str">
        <f>IFERROR(__xludf.DUMMYFUNCTION("""COMPUTED_VALUE"""),"Gasoline")</f>
        <v>Gasoline</v>
      </c>
      <c r="E265" s="20" t="str">
        <f>IFERROR(__xludf.DUMMYFUNCTION("""COMPUTED_VALUE"""),"Automobile")</f>
        <v>Automobile</v>
      </c>
      <c r="F265" s="118">
        <f>IFERROR(__xludf.DUMMYFUNCTION("""COMPUTED_VALUE"""),60.934918253205154)</f>
        <v>60.93491825</v>
      </c>
      <c r="G265" s="20">
        <f>IFERROR(__xludf.DUMMYFUNCTION("""COMPUTED_VALUE"""),948968.0)</f>
        <v>948968</v>
      </c>
      <c r="H265" s="20">
        <f>IFERROR(__xludf.DUMMYFUNCTION("""COMPUTED_VALUE"""),10.0)</f>
        <v>10</v>
      </c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121"/>
      <c r="Z265" s="20"/>
      <c r="AA265" s="20"/>
      <c r="AB265" s="20"/>
    </row>
    <row r="266">
      <c r="A266" s="20"/>
      <c r="B266" s="117">
        <f>IFERROR(__xludf.DUMMYFUNCTION("""COMPUTED_VALUE"""),43376.0)</f>
        <v>43376</v>
      </c>
      <c r="C266" s="20">
        <f>IFERROR(__xludf.DUMMYFUNCTION("""COMPUTED_VALUE"""),2018.0)</f>
        <v>2018</v>
      </c>
      <c r="D266" s="20" t="str">
        <f>IFERROR(__xludf.DUMMYFUNCTION("""COMPUTED_VALUE"""),"Vitamins")</f>
        <v>Vitamins</v>
      </c>
      <c r="E266" s="20" t="str">
        <f>IFERROR(__xludf.DUMMYFUNCTION("""COMPUTED_VALUE"""),"Healthcare")</f>
        <v>Healthcare</v>
      </c>
      <c r="F266" s="118">
        <f>IFERROR(__xludf.DUMMYFUNCTION("""COMPUTED_VALUE"""),385.1754783248832)</f>
        <v>385.1754783</v>
      </c>
      <c r="G266" s="20">
        <f>IFERROR(__xludf.DUMMYFUNCTION("""COMPUTED_VALUE"""),268500.0)</f>
        <v>268500</v>
      </c>
      <c r="H266" s="20">
        <f>IFERROR(__xludf.DUMMYFUNCTION("""COMPUTED_VALUE"""),10.0)</f>
        <v>10</v>
      </c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121"/>
      <c r="Z266" s="20"/>
      <c r="AA266" s="20"/>
      <c r="AB266" s="20"/>
    </row>
    <row r="267">
      <c r="A267" s="20"/>
      <c r="B267" s="117">
        <f>IFERROR(__xludf.DUMMYFUNCTION("""COMPUTED_VALUE"""),43380.0)</f>
        <v>43380</v>
      </c>
      <c r="C267" s="20">
        <f>IFERROR(__xludf.DUMMYFUNCTION("""COMPUTED_VALUE"""),2018.0)</f>
        <v>2018</v>
      </c>
      <c r="D267" s="20" t="str">
        <f>IFERROR(__xludf.DUMMYFUNCTION("""COMPUTED_VALUE"""),"Federal")</f>
        <v>Federal</v>
      </c>
      <c r="E267" s="20" t="str">
        <f>IFERROR(__xludf.DUMMYFUNCTION("""COMPUTED_VALUE"""),"Taxes")</f>
        <v>Taxes</v>
      </c>
      <c r="F267" s="118">
        <f>IFERROR(__xludf.DUMMYFUNCTION("""COMPUTED_VALUE"""),82.45495235139181)</f>
        <v>82.45495235</v>
      </c>
      <c r="G267" s="20">
        <f>IFERROR(__xludf.DUMMYFUNCTION("""COMPUTED_VALUE"""),239983.0)</f>
        <v>239983</v>
      </c>
      <c r="H267" s="20">
        <f>IFERROR(__xludf.DUMMYFUNCTION("""COMPUTED_VALUE"""),10.0)</f>
        <v>10</v>
      </c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121"/>
      <c r="Z267" s="20"/>
      <c r="AA267" s="20"/>
      <c r="AB267" s="20"/>
    </row>
    <row r="268">
      <c r="A268" s="20"/>
      <c r="B268" s="117">
        <f>IFERROR(__xludf.DUMMYFUNCTION("""COMPUTED_VALUE"""),43382.0)</f>
        <v>43382</v>
      </c>
      <c r="C268" s="20">
        <f>IFERROR(__xludf.DUMMYFUNCTION("""COMPUTED_VALUE"""),2018.0)</f>
        <v>2018</v>
      </c>
      <c r="D268" s="20" t="str">
        <f>IFERROR(__xludf.DUMMYFUNCTION("""COMPUTED_VALUE"""),"Child support")</f>
        <v>Child support</v>
      </c>
      <c r="E268" s="20" t="str">
        <f>IFERROR(__xludf.DUMMYFUNCTION("""COMPUTED_VALUE"""),"Childcare")</f>
        <v>Childcare</v>
      </c>
      <c r="F268" s="118">
        <f>IFERROR(__xludf.DUMMYFUNCTION("""COMPUTED_VALUE"""),315.5214848902081)</f>
        <v>315.5214849</v>
      </c>
      <c r="G268" s="20">
        <f>IFERROR(__xludf.DUMMYFUNCTION("""COMPUTED_VALUE"""),604006.0)</f>
        <v>604006</v>
      </c>
      <c r="H268" s="20">
        <f>IFERROR(__xludf.DUMMYFUNCTION("""COMPUTED_VALUE"""),10.0)</f>
        <v>10</v>
      </c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121"/>
      <c r="Z268" s="20"/>
      <c r="AA268" s="20"/>
      <c r="AB268" s="20"/>
    </row>
    <row r="269">
      <c r="A269" s="20"/>
      <c r="B269" s="117">
        <f>IFERROR(__xludf.DUMMYFUNCTION("""COMPUTED_VALUE"""),43386.0)</f>
        <v>43386</v>
      </c>
      <c r="C269" s="20">
        <f>IFERROR(__xludf.DUMMYFUNCTION("""COMPUTED_VALUE"""),2018.0)</f>
        <v>2018</v>
      </c>
      <c r="D269" s="20" t="str">
        <f>IFERROR(__xludf.DUMMYFUNCTION("""COMPUTED_VALUE"""),"Decorating")</f>
        <v>Decorating</v>
      </c>
      <c r="E269" s="20" t="str">
        <f>IFERROR(__xludf.DUMMYFUNCTION("""COMPUTED_VALUE"""),"Household")</f>
        <v>Household</v>
      </c>
      <c r="F269" s="118">
        <f>IFERROR(__xludf.DUMMYFUNCTION("""COMPUTED_VALUE"""),142.7359579380021)</f>
        <v>142.7359579</v>
      </c>
      <c r="G269" s="20">
        <f>IFERROR(__xludf.DUMMYFUNCTION("""COMPUTED_VALUE"""),734699.0)</f>
        <v>734699</v>
      </c>
      <c r="H269" s="20">
        <f>IFERROR(__xludf.DUMMYFUNCTION("""COMPUTED_VALUE"""),10.0)</f>
        <v>10</v>
      </c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121"/>
      <c r="Z269" s="20"/>
      <c r="AA269" s="20"/>
      <c r="AB269" s="20"/>
    </row>
    <row r="270">
      <c r="A270" s="20"/>
      <c r="B270" s="117">
        <f>IFERROR(__xludf.DUMMYFUNCTION("""COMPUTED_VALUE"""),43387.0)</f>
        <v>43387</v>
      </c>
      <c r="C270" s="20">
        <f>IFERROR(__xludf.DUMMYFUNCTION("""COMPUTED_VALUE"""),2018.0)</f>
        <v>2018</v>
      </c>
      <c r="D270" s="20" t="str">
        <f>IFERROR(__xludf.DUMMYFUNCTION("""COMPUTED_VALUE"""),"Reimbursed")</f>
        <v>Reimbursed</v>
      </c>
      <c r="E270" s="20" t="str">
        <f>IFERROR(__xludf.DUMMYFUNCTION("""COMPUTED_VALUE"""),"Job expenses")</f>
        <v>Job expenses</v>
      </c>
      <c r="F270" s="118">
        <f>IFERROR(__xludf.DUMMYFUNCTION("""COMPUTED_VALUE"""),25.933333745612135)</f>
        <v>25.93333375</v>
      </c>
      <c r="G270" s="20">
        <f>IFERROR(__xludf.DUMMYFUNCTION("""COMPUTED_VALUE"""),850188.0)</f>
        <v>850188</v>
      </c>
      <c r="H270" s="20">
        <f>IFERROR(__xludf.DUMMYFUNCTION("""COMPUTED_VALUE"""),10.0)</f>
        <v>10</v>
      </c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121"/>
      <c r="Z270" s="20"/>
      <c r="AA270" s="20"/>
      <c r="AB270" s="20"/>
    </row>
    <row r="271">
      <c r="A271" s="20"/>
      <c r="B271" s="117">
        <f>IFERROR(__xludf.DUMMYFUNCTION("""COMPUTED_VALUE"""),43390.0)</f>
        <v>43390</v>
      </c>
      <c r="C271" s="20">
        <f>IFERROR(__xludf.DUMMYFUNCTION("""COMPUTED_VALUE"""),2018.0)</f>
        <v>2018</v>
      </c>
      <c r="D271" s="20" t="str">
        <f>IFERROR(__xludf.DUMMYFUNCTION("""COMPUTED_VALUE"""),"Savings")</f>
        <v>Savings</v>
      </c>
      <c r="E271" s="20" t="str">
        <f>IFERROR(__xludf.DUMMYFUNCTION("""COMPUTED_VALUE"""),"Pet Care")</f>
        <v>Pet Care</v>
      </c>
      <c r="F271" s="118">
        <f>IFERROR(__xludf.DUMMYFUNCTION("""COMPUTED_VALUE"""),29.960426260465535)</f>
        <v>29.96042626</v>
      </c>
      <c r="G271" s="20">
        <f>IFERROR(__xludf.DUMMYFUNCTION("""COMPUTED_VALUE"""),644517.0)</f>
        <v>644517</v>
      </c>
      <c r="H271" s="20">
        <f>IFERROR(__xludf.DUMMYFUNCTION("""COMPUTED_VALUE"""),10.0)</f>
        <v>10</v>
      </c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121"/>
      <c r="Z271" s="20"/>
      <c r="AA271" s="20"/>
      <c r="AB271" s="20"/>
    </row>
    <row r="272">
      <c r="A272" s="20"/>
      <c r="B272" s="117">
        <f>IFERROR(__xludf.DUMMYFUNCTION("""COMPUTED_VALUE"""),43393.0)</f>
        <v>43393</v>
      </c>
      <c r="C272" s="20">
        <f>IFERROR(__xludf.DUMMYFUNCTION("""COMPUTED_VALUE"""),2018.0)</f>
        <v>2018</v>
      </c>
      <c r="D272" s="20" t="str">
        <f>IFERROR(__xludf.DUMMYFUNCTION("""COMPUTED_VALUE"""),"Books")</f>
        <v>Books</v>
      </c>
      <c r="E272" s="20" t="str">
        <f>IFERROR(__xludf.DUMMYFUNCTION("""COMPUTED_VALUE"""),"Education")</f>
        <v>Education</v>
      </c>
      <c r="F272" s="118">
        <f>IFERROR(__xludf.DUMMYFUNCTION("""COMPUTED_VALUE"""),52.67791030735911)</f>
        <v>52.67791031</v>
      </c>
      <c r="G272" s="20">
        <f>IFERROR(__xludf.DUMMYFUNCTION("""COMPUTED_VALUE"""),933910.0)</f>
        <v>933910</v>
      </c>
      <c r="H272" s="20">
        <f>IFERROR(__xludf.DUMMYFUNCTION("""COMPUTED_VALUE"""),10.0)</f>
        <v>10</v>
      </c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121"/>
      <c r="Z272" s="20"/>
      <c r="AA272" s="20"/>
      <c r="AB272" s="20"/>
    </row>
    <row r="273">
      <c r="A273" s="20"/>
      <c r="B273" s="117">
        <f>IFERROR(__xludf.DUMMYFUNCTION("""COMPUTED_VALUE"""),43395.0)</f>
        <v>43395</v>
      </c>
      <c r="C273" s="20">
        <f>IFERROR(__xludf.DUMMYFUNCTION("""COMPUTED_VALUE"""),2018.0)</f>
        <v>2018</v>
      </c>
      <c r="D273" s="20" t="str">
        <f>IFERROR(__xludf.DUMMYFUNCTION("""COMPUTED_VALUE"""),"Field trips")</f>
        <v>Field trips</v>
      </c>
      <c r="E273" s="20" t="str">
        <f>IFERROR(__xludf.DUMMYFUNCTION("""COMPUTED_VALUE"""),"Education")</f>
        <v>Education</v>
      </c>
      <c r="F273" s="118">
        <f>IFERROR(__xludf.DUMMYFUNCTION("""COMPUTED_VALUE"""),146.76334599545214)</f>
        <v>146.763346</v>
      </c>
      <c r="G273" s="20">
        <f>IFERROR(__xludf.DUMMYFUNCTION("""COMPUTED_VALUE"""),543867.0)</f>
        <v>543867</v>
      </c>
      <c r="H273" s="20">
        <f>IFERROR(__xludf.DUMMYFUNCTION("""COMPUTED_VALUE"""),10.0)</f>
        <v>10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121"/>
      <c r="Z273" s="20"/>
      <c r="AA273" s="20"/>
      <c r="AB273" s="20"/>
    </row>
    <row r="274">
      <c r="A274" s="20"/>
      <c r="B274" s="117">
        <f>IFERROR(__xludf.DUMMYFUNCTION("""COMPUTED_VALUE"""),43399.0)</f>
        <v>43399</v>
      </c>
      <c r="C274" s="20">
        <f>IFERROR(__xludf.DUMMYFUNCTION("""COMPUTED_VALUE"""),2018.0)</f>
        <v>2018</v>
      </c>
      <c r="D274" s="20" t="str">
        <f>IFERROR(__xludf.DUMMYFUNCTION("""COMPUTED_VALUE"""),"Over the limit fee")</f>
        <v>Over the limit fee</v>
      </c>
      <c r="E274" s="20" t="str">
        <f>IFERROR(__xludf.DUMMYFUNCTION("""COMPUTED_VALUE"""),"Credit Card Fees")</f>
        <v>Credit Card Fees</v>
      </c>
      <c r="F274" s="118">
        <f>IFERROR(__xludf.DUMMYFUNCTION("""COMPUTED_VALUE"""),181.91709154523005)</f>
        <v>181.9170915</v>
      </c>
      <c r="G274" s="20">
        <f>IFERROR(__xludf.DUMMYFUNCTION("""COMPUTED_VALUE"""),717076.0)</f>
        <v>717076</v>
      </c>
      <c r="H274" s="20">
        <f>IFERROR(__xludf.DUMMYFUNCTION("""COMPUTED_VALUE"""),10.0)</f>
        <v>10</v>
      </c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121"/>
      <c r="Z274" s="20"/>
      <c r="AA274" s="20"/>
      <c r="AB274" s="20"/>
    </row>
    <row r="275">
      <c r="A275" s="20"/>
      <c r="B275" s="117">
        <f>IFERROR(__xludf.DUMMYFUNCTION("""COMPUTED_VALUE"""),43401.0)</f>
        <v>43401</v>
      </c>
      <c r="C275" s="20">
        <f>IFERROR(__xludf.DUMMYFUNCTION("""COMPUTED_VALUE"""),2018.0)</f>
        <v>2018</v>
      </c>
      <c r="D275" s="20" t="str">
        <f>IFERROR(__xludf.DUMMYFUNCTION("""COMPUTED_VALUE"""),"Vending machines")</f>
        <v>Vending machines</v>
      </c>
      <c r="E275" s="20" t="str">
        <f>IFERROR(__xludf.DUMMYFUNCTION("""COMPUTED_VALUE"""),"Food")</f>
        <v>Food</v>
      </c>
      <c r="F275" s="118">
        <f>IFERROR(__xludf.DUMMYFUNCTION("""COMPUTED_VALUE"""),372.6840797195134)</f>
        <v>372.6840797</v>
      </c>
      <c r="G275" s="20">
        <f>IFERROR(__xludf.DUMMYFUNCTION("""COMPUTED_VALUE"""),688257.0)</f>
        <v>688257</v>
      </c>
      <c r="H275" s="20">
        <f>IFERROR(__xludf.DUMMYFUNCTION("""COMPUTED_VALUE"""),10.0)</f>
        <v>10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121"/>
      <c r="Z275" s="20"/>
      <c r="AA275" s="20"/>
      <c r="AB275" s="20"/>
    </row>
    <row r="276">
      <c r="A276" s="20"/>
      <c r="B276" s="117">
        <f>IFERROR(__xludf.DUMMYFUNCTION("""COMPUTED_VALUE"""),43404.0)</f>
        <v>43404</v>
      </c>
      <c r="C276" s="20">
        <f>IFERROR(__xludf.DUMMYFUNCTION("""COMPUTED_VALUE"""),2018.0)</f>
        <v>2018</v>
      </c>
      <c r="D276" s="20" t="str">
        <f>IFERROR(__xludf.DUMMYFUNCTION("""COMPUTED_VALUE"""),"Home improvement")</f>
        <v>Home improvement</v>
      </c>
      <c r="E276" s="20" t="str">
        <f>IFERROR(__xludf.DUMMYFUNCTION("""COMPUTED_VALUE"""),"Household")</f>
        <v>Household</v>
      </c>
      <c r="F276" s="118">
        <f>IFERROR(__xludf.DUMMYFUNCTION("""COMPUTED_VALUE"""),379.51955314452806)</f>
        <v>379.5195531</v>
      </c>
      <c r="G276" s="20">
        <f>IFERROR(__xludf.DUMMYFUNCTION("""COMPUTED_VALUE"""),529233.0)</f>
        <v>529233</v>
      </c>
      <c r="H276" s="20">
        <f>IFERROR(__xludf.DUMMYFUNCTION("""COMPUTED_VALUE"""),10.0)</f>
        <v>10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121"/>
      <c r="Z276" s="20"/>
      <c r="AA276" s="20"/>
      <c r="AB276" s="20"/>
    </row>
    <row r="277">
      <c r="A277" s="20"/>
      <c r="B277" s="117">
        <f>IFERROR(__xludf.DUMMYFUNCTION("""COMPUTED_VALUE"""),43406.0)</f>
        <v>43406</v>
      </c>
      <c r="C277" s="20">
        <f>IFERROR(__xludf.DUMMYFUNCTION("""COMPUTED_VALUE"""),2018.0)</f>
        <v>2018</v>
      </c>
      <c r="D277" s="20" t="str">
        <f>IFERROR(__xludf.DUMMYFUNCTION("""COMPUTED_VALUE"""),"Roadside assistance")</f>
        <v>Roadside assistance</v>
      </c>
      <c r="E277" s="20" t="str">
        <f>IFERROR(__xludf.DUMMYFUNCTION("""COMPUTED_VALUE"""),"Insurance")</f>
        <v>Insurance</v>
      </c>
      <c r="F277" s="118">
        <f>IFERROR(__xludf.DUMMYFUNCTION("""COMPUTED_VALUE"""),31.482121553943003)</f>
        <v>31.48212155</v>
      </c>
      <c r="G277" s="20">
        <f>IFERROR(__xludf.DUMMYFUNCTION("""COMPUTED_VALUE"""),706019.0)</f>
        <v>706019</v>
      </c>
      <c r="H277" s="20">
        <f>IFERROR(__xludf.DUMMYFUNCTION("""COMPUTED_VALUE"""),11.0)</f>
        <v>11</v>
      </c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121"/>
      <c r="Z277" s="20"/>
      <c r="AA277" s="20"/>
      <c r="AB277" s="20"/>
    </row>
    <row r="278">
      <c r="A278" s="20"/>
      <c r="B278" s="117">
        <f>IFERROR(__xludf.DUMMYFUNCTION("""COMPUTED_VALUE"""),43409.0)</f>
        <v>43409</v>
      </c>
      <c r="C278" s="20">
        <f>IFERROR(__xludf.DUMMYFUNCTION("""COMPUTED_VALUE"""),2018.0)</f>
        <v>2018</v>
      </c>
      <c r="D278" s="20" t="str">
        <f>IFERROR(__xludf.DUMMYFUNCTION("""COMPUTED_VALUE"""),"Emergency fund")</f>
        <v>Emergency fund</v>
      </c>
      <c r="E278" s="20" t="str">
        <f>IFERROR(__xludf.DUMMYFUNCTION("""COMPUTED_VALUE"""),"Pet Care")</f>
        <v>Pet Care</v>
      </c>
      <c r="F278" s="118">
        <f>IFERROR(__xludf.DUMMYFUNCTION("""COMPUTED_VALUE"""),36.897178410613705)</f>
        <v>36.89717841</v>
      </c>
      <c r="G278" s="20">
        <f>IFERROR(__xludf.DUMMYFUNCTION("""COMPUTED_VALUE"""),339265.0)</f>
        <v>339265</v>
      </c>
      <c r="H278" s="20">
        <f>IFERROR(__xludf.DUMMYFUNCTION("""COMPUTED_VALUE"""),11.0)</f>
        <v>11</v>
      </c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121"/>
      <c r="Z278" s="20"/>
      <c r="AA278" s="20"/>
      <c r="AB278" s="20"/>
    </row>
    <row r="279">
      <c r="A279" s="20"/>
      <c r="B279" s="117">
        <f>IFERROR(__xludf.DUMMYFUNCTION("""COMPUTED_VALUE"""),43413.0)</f>
        <v>43413</v>
      </c>
      <c r="C279" s="20">
        <f>IFERROR(__xludf.DUMMYFUNCTION("""COMPUTED_VALUE"""),2018.0)</f>
        <v>2018</v>
      </c>
      <c r="D279" s="20" t="str">
        <f>IFERROR(__xludf.DUMMYFUNCTION("""COMPUTED_VALUE"""),"Over the limit fee")</f>
        <v>Over the limit fee</v>
      </c>
      <c r="E279" s="20" t="str">
        <f>IFERROR(__xludf.DUMMYFUNCTION("""COMPUTED_VALUE"""),"Credit Card Fees")</f>
        <v>Credit Card Fees</v>
      </c>
      <c r="F279" s="118">
        <f>IFERROR(__xludf.DUMMYFUNCTION("""COMPUTED_VALUE"""),176.94017963676592)</f>
        <v>176.9401796</v>
      </c>
      <c r="G279" s="20">
        <f>IFERROR(__xludf.DUMMYFUNCTION("""COMPUTED_VALUE"""),793984.0)</f>
        <v>793984</v>
      </c>
      <c r="H279" s="20">
        <f>IFERROR(__xludf.DUMMYFUNCTION("""COMPUTED_VALUE"""),11.0)</f>
        <v>11</v>
      </c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121"/>
      <c r="Z279" s="20"/>
      <c r="AA279" s="20"/>
      <c r="AB279" s="20"/>
    </row>
    <row r="280">
      <c r="A280" s="20"/>
      <c r="B280" s="117">
        <f>IFERROR(__xludf.DUMMYFUNCTION("""COMPUTED_VALUE"""),43414.0)</f>
        <v>43414</v>
      </c>
      <c r="C280" s="20">
        <f>IFERROR(__xludf.DUMMYFUNCTION("""COMPUTED_VALUE"""),2018.0)</f>
        <v>2018</v>
      </c>
      <c r="D280" s="20" t="str">
        <f>IFERROR(__xludf.DUMMYFUNCTION("""COMPUTED_VALUE"""),"Hospital")</f>
        <v>Hospital</v>
      </c>
      <c r="E280" s="20" t="str">
        <f>IFERROR(__xludf.DUMMYFUNCTION("""COMPUTED_VALUE"""),"Healthcare")</f>
        <v>Healthcare</v>
      </c>
      <c r="F280" s="118">
        <f>IFERROR(__xludf.DUMMYFUNCTION("""COMPUTED_VALUE"""),295.61304804126206)</f>
        <v>295.613048</v>
      </c>
      <c r="G280" s="20">
        <f>IFERROR(__xludf.DUMMYFUNCTION("""COMPUTED_VALUE"""),294567.0)</f>
        <v>294567</v>
      </c>
      <c r="H280" s="20">
        <f>IFERROR(__xludf.DUMMYFUNCTION("""COMPUTED_VALUE"""),11.0)</f>
        <v>11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121"/>
      <c r="Z280" s="20"/>
      <c r="AA280" s="20"/>
      <c r="AB280" s="20"/>
    </row>
    <row r="281">
      <c r="A281" s="20"/>
      <c r="B281" s="117">
        <f>IFERROR(__xludf.DUMMYFUNCTION("""COMPUTED_VALUE"""),43415.0)</f>
        <v>43415</v>
      </c>
      <c r="C281" s="20">
        <f>IFERROR(__xludf.DUMMYFUNCTION("""COMPUTED_VALUE"""),2018.0)</f>
        <v>2018</v>
      </c>
      <c r="D281" s="20" t="str">
        <f>IFERROR(__xludf.DUMMYFUNCTION("""COMPUTED_VALUE"""),"Home improvement")</f>
        <v>Home improvement</v>
      </c>
      <c r="E281" s="20" t="str">
        <f>IFERROR(__xludf.DUMMYFUNCTION("""COMPUTED_VALUE"""),"Household")</f>
        <v>Household</v>
      </c>
      <c r="F281" s="118">
        <f>IFERROR(__xludf.DUMMYFUNCTION("""COMPUTED_VALUE"""),250.37665955572893)</f>
        <v>250.3766596</v>
      </c>
      <c r="G281" s="20">
        <f>IFERROR(__xludf.DUMMYFUNCTION("""COMPUTED_VALUE"""),409284.0)</f>
        <v>409284</v>
      </c>
      <c r="H281" s="20">
        <f>IFERROR(__xludf.DUMMYFUNCTION("""COMPUTED_VALUE"""),11.0)</f>
        <v>11</v>
      </c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121"/>
      <c r="Z281" s="20"/>
      <c r="AA281" s="20"/>
      <c r="AB281" s="20"/>
    </row>
    <row r="282">
      <c r="A282" s="20"/>
      <c r="B282" s="117">
        <f>IFERROR(__xludf.DUMMYFUNCTION("""COMPUTED_VALUE"""),43416.0)</f>
        <v>43416</v>
      </c>
      <c r="C282" s="20">
        <f>IFERROR(__xludf.DUMMYFUNCTION("""COMPUTED_VALUE"""),2018.0)</f>
        <v>2018</v>
      </c>
      <c r="D282" s="20" t="str">
        <f>IFERROR(__xludf.DUMMYFUNCTION("""COMPUTED_VALUE"""),"Magazines")</f>
        <v>Magazines</v>
      </c>
      <c r="E282" s="20" t="str">
        <f>IFERROR(__xludf.DUMMYFUNCTION("""COMPUTED_VALUE"""),"Leisure (daily / non-vacation)")</f>
        <v>Leisure (daily / non-vacation)</v>
      </c>
      <c r="F282" s="118">
        <f>IFERROR(__xludf.DUMMYFUNCTION("""COMPUTED_VALUE"""),365.434747026879)</f>
        <v>365.434747</v>
      </c>
      <c r="G282" s="20">
        <f>IFERROR(__xludf.DUMMYFUNCTION("""COMPUTED_VALUE"""),792262.0)</f>
        <v>792262</v>
      </c>
      <c r="H282" s="20">
        <f>IFERROR(__xludf.DUMMYFUNCTION("""COMPUTED_VALUE"""),11.0)</f>
        <v>11</v>
      </c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121"/>
      <c r="Z282" s="20"/>
      <c r="AA282" s="20"/>
      <c r="AB282" s="20"/>
    </row>
    <row r="283">
      <c r="A283" s="20"/>
      <c r="B283" s="117">
        <f>IFERROR(__xludf.DUMMYFUNCTION("""COMPUTED_VALUE"""),43418.0)</f>
        <v>43418</v>
      </c>
      <c r="C283" s="20">
        <f>IFERROR(__xludf.DUMMYFUNCTION("""COMPUTED_VALUE"""),2018.0)</f>
        <v>2018</v>
      </c>
      <c r="D283" s="20" t="str">
        <f>IFERROR(__xludf.DUMMYFUNCTION("""COMPUTED_VALUE"""),"Prescriptions")</f>
        <v>Prescriptions</v>
      </c>
      <c r="E283" s="20" t="str">
        <f>IFERROR(__xludf.DUMMYFUNCTION("""COMPUTED_VALUE"""),"Healthcare")</f>
        <v>Healthcare</v>
      </c>
      <c r="F283" s="118">
        <f>IFERROR(__xludf.DUMMYFUNCTION("""COMPUTED_VALUE"""),105.59450817343277)</f>
        <v>105.5945082</v>
      </c>
      <c r="G283" s="20">
        <f>IFERROR(__xludf.DUMMYFUNCTION("""COMPUTED_VALUE"""),386771.0)</f>
        <v>386771</v>
      </c>
      <c r="H283" s="20">
        <f>IFERROR(__xludf.DUMMYFUNCTION("""COMPUTED_VALUE"""),11.0)</f>
        <v>11</v>
      </c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121"/>
      <c r="Z283" s="20"/>
      <c r="AA283" s="20"/>
      <c r="AB283" s="20"/>
    </row>
    <row r="284">
      <c r="A284" s="20"/>
      <c r="B284" s="117">
        <f>IFERROR(__xludf.DUMMYFUNCTION("""COMPUTED_VALUE"""),43419.0)</f>
        <v>43419</v>
      </c>
      <c r="C284" s="20">
        <f>IFERROR(__xludf.DUMMYFUNCTION("""COMPUTED_VALUE"""),2018.0)</f>
        <v>2018</v>
      </c>
      <c r="D284" s="20" t="str">
        <f>IFERROR(__xludf.DUMMYFUNCTION("""COMPUTED_VALUE"""),"Service fees")</f>
        <v>Service fees</v>
      </c>
      <c r="E284" s="20" t="str">
        <f>IFERROR(__xludf.DUMMYFUNCTION("""COMPUTED_VALUE"""),"Bank Charges")</f>
        <v>Bank Charges</v>
      </c>
      <c r="F284" s="118">
        <f>IFERROR(__xludf.DUMMYFUNCTION("""COMPUTED_VALUE"""),101.83973335904808)</f>
        <v>101.8397334</v>
      </c>
      <c r="G284" s="20">
        <f>IFERROR(__xludf.DUMMYFUNCTION("""COMPUTED_VALUE"""),620315.0)</f>
        <v>620315</v>
      </c>
      <c r="H284" s="20">
        <f>IFERROR(__xludf.DUMMYFUNCTION("""COMPUTED_VALUE"""),11.0)</f>
        <v>11</v>
      </c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121"/>
      <c r="Z284" s="20"/>
      <c r="AA284" s="20"/>
      <c r="AB284" s="20"/>
    </row>
    <row r="285">
      <c r="A285" s="20"/>
      <c r="B285" s="117">
        <f>IFERROR(__xludf.DUMMYFUNCTION("""COMPUTED_VALUE"""),43420.0)</f>
        <v>43420</v>
      </c>
      <c r="C285" s="20">
        <f>IFERROR(__xludf.DUMMYFUNCTION("""COMPUTED_VALUE"""),2018.0)</f>
        <v>2018</v>
      </c>
      <c r="D285" s="20" t="str">
        <f>IFERROR(__xludf.DUMMYFUNCTION("""COMPUTED_VALUE"""),"Minimum balance fee")</f>
        <v>Minimum balance fee</v>
      </c>
      <c r="E285" s="20" t="str">
        <f>IFERROR(__xludf.DUMMYFUNCTION("""COMPUTED_VALUE"""),"Bank Charges")</f>
        <v>Bank Charges</v>
      </c>
      <c r="F285" s="118">
        <f>IFERROR(__xludf.DUMMYFUNCTION("""COMPUTED_VALUE"""),14.4045100482142)</f>
        <v>14.40451005</v>
      </c>
      <c r="G285" s="20">
        <f>IFERROR(__xludf.DUMMYFUNCTION("""COMPUTED_VALUE"""),296526.0)</f>
        <v>296526</v>
      </c>
      <c r="H285" s="20">
        <f>IFERROR(__xludf.DUMMYFUNCTION("""COMPUTED_VALUE"""),11.0)</f>
        <v>11</v>
      </c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121"/>
      <c r="Z285" s="20"/>
      <c r="AA285" s="20"/>
      <c r="AB285" s="20"/>
    </row>
    <row r="286">
      <c r="A286" s="20"/>
      <c r="B286" s="117">
        <f>IFERROR(__xludf.DUMMYFUNCTION("""COMPUTED_VALUE"""),43424.0)</f>
        <v>43424</v>
      </c>
      <c r="C286" s="20">
        <f>IFERROR(__xludf.DUMMYFUNCTION("""COMPUTED_VALUE"""),2018.0)</f>
        <v>2018</v>
      </c>
      <c r="D286" s="20" t="str">
        <f>IFERROR(__xludf.DUMMYFUNCTION("""COMPUTED_VALUE"""),"Food")</f>
        <v>Food</v>
      </c>
      <c r="E286" s="20" t="str">
        <f>IFERROR(__xludf.DUMMYFUNCTION("""COMPUTED_VALUE"""),"Pet Care")</f>
        <v>Pet Care</v>
      </c>
      <c r="F286" s="118">
        <f>IFERROR(__xludf.DUMMYFUNCTION("""COMPUTED_VALUE"""),39.71877041570965)</f>
        <v>39.71877042</v>
      </c>
      <c r="G286" s="20">
        <f>IFERROR(__xludf.DUMMYFUNCTION("""COMPUTED_VALUE"""),564900.0)</f>
        <v>564900</v>
      </c>
      <c r="H286" s="20">
        <f>IFERROR(__xludf.DUMMYFUNCTION("""COMPUTED_VALUE"""),11.0)</f>
        <v>11</v>
      </c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121"/>
      <c r="Z286" s="20"/>
      <c r="AA286" s="20"/>
      <c r="AB286" s="20"/>
    </row>
    <row r="287">
      <c r="A287" s="20"/>
      <c r="B287" s="117">
        <f>IFERROR(__xludf.DUMMYFUNCTION("""COMPUTED_VALUE"""),43425.0)</f>
        <v>43425</v>
      </c>
      <c r="C287" s="20">
        <f>IFERROR(__xludf.DUMMYFUNCTION("""COMPUTED_VALUE"""),2018.0)</f>
        <v>2018</v>
      </c>
      <c r="D287" s="20" t="str">
        <f>IFERROR(__xludf.DUMMYFUNCTION("""COMPUTED_VALUE"""),"Birthday")</f>
        <v>Birthday</v>
      </c>
      <c r="E287" s="20" t="str">
        <f>IFERROR(__xludf.DUMMYFUNCTION("""COMPUTED_VALUE"""),"Gifts")</f>
        <v>Gifts</v>
      </c>
      <c r="F287" s="118">
        <f>IFERROR(__xludf.DUMMYFUNCTION("""COMPUTED_VALUE"""),67.17851078284474)</f>
        <v>67.17851078</v>
      </c>
      <c r="G287" s="20">
        <f>IFERROR(__xludf.DUMMYFUNCTION("""COMPUTED_VALUE"""),893745.0)</f>
        <v>893745</v>
      </c>
      <c r="H287" s="20">
        <f>IFERROR(__xludf.DUMMYFUNCTION("""COMPUTED_VALUE"""),11.0)</f>
        <v>11</v>
      </c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121"/>
      <c r="Z287" s="20"/>
      <c r="AA287" s="20"/>
      <c r="AB287" s="20"/>
    </row>
    <row r="288">
      <c r="A288" s="20"/>
      <c r="B288" s="117">
        <f>IFERROR(__xludf.DUMMYFUNCTION("""COMPUTED_VALUE"""),43428.0)</f>
        <v>43428</v>
      </c>
      <c r="C288" s="20">
        <f>IFERROR(__xludf.DUMMYFUNCTION("""COMPUTED_VALUE"""),2018.0)</f>
        <v>2018</v>
      </c>
      <c r="D288" s="20" t="str">
        <f>IFERROR(__xludf.DUMMYFUNCTION("""COMPUTED_VALUE"""),"Minimum usage fee")</f>
        <v>Minimum usage fee</v>
      </c>
      <c r="E288" s="20" t="str">
        <f>IFERROR(__xludf.DUMMYFUNCTION("""COMPUTED_VALUE"""),"Credit Card Fees")</f>
        <v>Credit Card Fees</v>
      </c>
      <c r="F288" s="118">
        <f>IFERROR(__xludf.DUMMYFUNCTION("""COMPUTED_VALUE"""),321.168933334993)</f>
        <v>321.1689333</v>
      </c>
      <c r="G288" s="20">
        <f>IFERROR(__xludf.DUMMYFUNCTION("""COMPUTED_VALUE"""),117592.0)</f>
        <v>117592</v>
      </c>
      <c r="H288" s="20">
        <f>IFERROR(__xludf.DUMMYFUNCTION("""COMPUTED_VALUE"""),11.0)</f>
        <v>11</v>
      </c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121"/>
      <c r="Z288" s="20"/>
      <c r="AA288" s="20"/>
      <c r="AB288" s="20"/>
    </row>
    <row r="289">
      <c r="A289" s="20"/>
      <c r="B289" s="117">
        <f>IFERROR(__xludf.DUMMYFUNCTION("""COMPUTED_VALUE"""),43430.0)</f>
        <v>43430</v>
      </c>
      <c r="C289" s="20">
        <f>IFERROR(__xludf.DUMMYFUNCTION("""COMPUTED_VALUE"""),2018.0)</f>
        <v>2018</v>
      </c>
      <c r="D289" s="20" t="str">
        <f>IFERROR(__xludf.DUMMYFUNCTION("""COMPUTED_VALUE"""),"Movie theater")</f>
        <v>Movie theater</v>
      </c>
      <c r="E289" s="20" t="str">
        <f>IFERROR(__xludf.DUMMYFUNCTION("""COMPUTED_VALUE"""),"Leisure (daily / non-vacation)")</f>
        <v>Leisure (daily / non-vacation)</v>
      </c>
      <c r="F289" s="118">
        <f>IFERROR(__xludf.DUMMYFUNCTION("""COMPUTED_VALUE"""),351.11167553154866)</f>
        <v>351.1116755</v>
      </c>
      <c r="G289" s="20">
        <f>IFERROR(__xludf.DUMMYFUNCTION("""COMPUTED_VALUE"""),966999.0)</f>
        <v>966999</v>
      </c>
      <c r="H289" s="20">
        <f>IFERROR(__xludf.DUMMYFUNCTION("""COMPUTED_VALUE"""),11.0)</f>
        <v>11</v>
      </c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121"/>
      <c r="Z289" s="20"/>
      <c r="AA289" s="20"/>
      <c r="AB289" s="20"/>
    </row>
    <row r="290">
      <c r="A290" s="20"/>
      <c r="B290" s="117">
        <f>IFERROR(__xludf.DUMMYFUNCTION("""COMPUTED_VALUE"""),43433.0)</f>
        <v>43433</v>
      </c>
      <c r="C290" s="20">
        <f>IFERROR(__xludf.DUMMYFUNCTION("""COMPUTED_VALUE"""),2018.0)</f>
        <v>2018</v>
      </c>
      <c r="D290" s="20" t="str">
        <f>IFERROR(__xludf.DUMMYFUNCTION("""COMPUTED_VALUE"""),"Rewards programs")</f>
        <v>Rewards programs</v>
      </c>
      <c r="E290" s="20" t="str">
        <f>IFERROR(__xludf.DUMMYFUNCTION("""COMPUTED_VALUE"""),"Credit Card Fees")</f>
        <v>Credit Card Fees</v>
      </c>
      <c r="F290" s="118">
        <f>IFERROR(__xludf.DUMMYFUNCTION("""COMPUTED_VALUE"""),114.81945703494507)</f>
        <v>114.819457</v>
      </c>
      <c r="G290" s="20">
        <f>IFERROR(__xludf.DUMMYFUNCTION("""COMPUTED_VALUE"""),195612.0)</f>
        <v>195612</v>
      </c>
      <c r="H290" s="20">
        <f>IFERROR(__xludf.DUMMYFUNCTION("""COMPUTED_VALUE"""),11.0)</f>
        <v>11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121"/>
      <c r="Z290" s="20"/>
      <c r="AA290" s="20"/>
      <c r="AB290" s="20"/>
    </row>
    <row r="291">
      <c r="A291" s="20"/>
      <c r="B291" s="117">
        <f>IFERROR(__xludf.DUMMYFUNCTION("""COMPUTED_VALUE"""),43437.0)</f>
        <v>43437</v>
      </c>
      <c r="C291" s="20">
        <f>IFERROR(__xludf.DUMMYFUNCTION("""COMPUTED_VALUE"""),2018.0)</f>
        <v>2018</v>
      </c>
      <c r="D291" s="20" t="str">
        <f>IFERROR(__xludf.DUMMYFUNCTION("""COMPUTED_VALUE"""),"Internet service")</f>
        <v>Internet service</v>
      </c>
      <c r="E291" s="20" t="str">
        <f>IFERROR(__xludf.DUMMYFUNCTION("""COMPUTED_VALUE"""),"Utilities")</f>
        <v>Utilities</v>
      </c>
      <c r="F291" s="118">
        <f>IFERROR(__xludf.DUMMYFUNCTION("""COMPUTED_VALUE"""),401.00277292837563)</f>
        <v>401.0027729</v>
      </c>
      <c r="G291" s="20">
        <f>IFERROR(__xludf.DUMMYFUNCTION("""COMPUTED_VALUE"""),306201.0)</f>
        <v>306201</v>
      </c>
      <c r="H291" s="20">
        <f>IFERROR(__xludf.DUMMYFUNCTION("""COMPUTED_VALUE"""),12.0)</f>
        <v>12</v>
      </c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121"/>
      <c r="Z291" s="20"/>
      <c r="AA291" s="20"/>
      <c r="AB291" s="20"/>
    </row>
    <row r="292">
      <c r="A292" s="20"/>
      <c r="B292" s="117">
        <f>IFERROR(__xludf.DUMMYFUNCTION("""COMPUTED_VALUE"""),43440.0)</f>
        <v>43440</v>
      </c>
      <c r="C292" s="20">
        <f>IFERROR(__xludf.DUMMYFUNCTION("""COMPUTED_VALUE"""),2018.0)</f>
        <v>2018</v>
      </c>
      <c r="D292" s="20" t="str">
        <f>IFERROR(__xludf.DUMMYFUNCTION("""COMPUTED_VALUE"""),"ATM fees")</f>
        <v>ATM fees</v>
      </c>
      <c r="E292" s="20" t="str">
        <f>IFERROR(__xludf.DUMMYFUNCTION("""COMPUTED_VALUE"""),"Bank Charges")</f>
        <v>Bank Charges</v>
      </c>
      <c r="F292" s="118">
        <f>IFERROR(__xludf.DUMMYFUNCTION("""COMPUTED_VALUE"""),189.09170149676112)</f>
        <v>189.0917015</v>
      </c>
      <c r="G292" s="20">
        <f>IFERROR(__xludf.DUMMYFUNCTION("""COMPUTED_VALUE"""),769582.0)</f>
        <v>769582</v>
      </c>
      <c r="H292" s="20">
        <f>IFERROR(__xludf.DUMMYFUNCTION("""COMPUTED_VALUE"""),12.0)</f>
        <v>12</v>
      </c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121"/>
      <c r="Z292" s="20"/>
      <c r="AA292" s="20"/>
      <c r="AB292" s="20"/>
    </row>
    <row r="293">
      <c r="A293" s="20"/>
      <c r="B293" s="117">
        <f>IFERROR(__xludf.DUMMYFUNCTION("""COMPUTED_VALUE"""),43442.0)</f>
        <v>43442</v>
      </c>
      <c r="C293" s="20">
        <f>IFERROR(__xludf.DUMMYFUNCTION("""COMPUTED_VALUE"""),2018.0)</f>
        <v>2018</v>
      </c>
      <c r="D293" s="20" t="str">
        <f>IFERROR(__xludf.DUMMYFUNCTION("""COMPUTED_VALUE"""),"Reserve funds (to set aside for planned expenses)")</f>
        <v>Reserve funds (to set aside for planned expenses)</v>
      </c>
      <c r="E293" s="20" t="str">
        <f>IFERROR(__xludf.DUMMYFUNCTION("""COMPUTED_VALUE"""),"Pet Care")</f>
        <v>Pet Care</v>
      </c>
      <c r="F293" s="118">
        <f>IFERROR(__xludf.DUMMYFUNCTION("""COMPUTED_VALUE"""),34.39760747429279)</f>
        <v>34.39760747</v>
      </c>
      <c r="G293" s="20">
        <f>IFERROR(__xludf.DUMMYFUNCTION("""COMPUTED_VALUE"""),442211.0)</f>
        <v>442211</v>
      </c>
      <c r="H293" s="20">
        <f>IFERROR(__xludf.DUMMYFUNCTION("""COMPUTED_VALUE"""),12.0)</f>
        <v>12</v>
      </c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121"/>
      <c r="Z293" s="20"/>
      <c r="AA293" s="20"/>
      <c r="AB293" s="20"/>
    </row>
    <row r="294">
      <c r="A294" s="20"/>
      <c r="B294" s="117">
        <f>IFERROR(__xludf.DUMMYFUNCTION("""COMPUTED_VALUE"""),43445.0)</f>
        <v>43445</v>
      </c>
      <c r="C294" s="20">
        <f>IFERROR(__xludf.DUMMYFUNCTION("""COMPUTED_VALUE"""),2018.0)</f>
        <v>2018</v>
      </c>
      <c r="D294" s="20" t="str">
        <f>IFERROR(__xludf.DUMMYFUNCTION("""COMPUTED_VALUE"""),"Video games")</f>
        <v>Video games</v>
      </c>
      <c r="E294" s="20" t="str">
        <f>IFERROR(__xludf.DUMMYFUNCTION("""COMPUTED_VALUE"""),"Hobbies")</f>
        <v>Hobbies</v>
      </c>
      <c r="F294" s="118">
        <f>IFERROR(__xludf.DUMMYFUNCTION("""COMPUTED_VALUE"""),369.1587679383801)</f>
        <v>369.1587679</v>
      </c>
      <c r="G294" s="20">
        <f>IFERROR(__xludf.DUMMYFUNCTION("""COMPUTED_VALUE"""),555381.0)</f>
        <v>555381</v>
      </c>
      <c r="H294" s="20">
        <f>IFERROR(__xludf.DUMMYFUNCTION("""COMPUTED_VALUE"""),12.0)</f>
        <v>12</v>
      </c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121"/>
      <c r="Z294" s="20"/>
      <c r="AA294" s="20"/>
      <c r="AB294" s="20"/>
    </row>
    <row r="295">
      <c r="A295" s="20"/>
      <c r="B295" s="117">
        <f>IFERROR(__xludf.DUMMYFUNCTION("""COMPUTED_VALUE"""),43446.0)</f>
        <v>43446</v>
      </c>
      <c r="C295" s="20">
        <f>IFERROR(__xludf.DUMMYFUNCTION("""COMPUTED_VALUE"""),2018.0)</f>
        <v>2018</v>
      </c>
      <c r="D295" s="20" t="str">
        <f>IFERROR(__xludf.DUMMYFUNCTION("""COMPUTED_VALUE"""),"Baby shower")</f>
        <v>Baby shower</v>
      </c>
      <c r="E295" s="20" t="str">
        <f>IFERROR(__xludf.DUMMYFUNCTION("""COMPUTED_VALUE"""),"Gifts")</f>
        <v>Gifts</v>
      </c>
      <c r="F295" s="118">
        <f>IFERROR(__xludf.DUMMYFUNCTION("""COMPUTED_VALUE"""),414.8831068619851)</f>
        <v>414.8831069</v>
      </c>
      <c r="G295" s="20">
        <f>IFERROR(__xludf.DUMMYFUNCTION("""COMPUTED_VALUE"""),442307.0)</f>
        <v>442307</v>
      </c>
      <c r="H295" s="20">
        <f>IFERROR(__xludf.DUMMYFUNCTION("""COMPUTED_VALUE"""),12.0)</f>
        <v>12</v>
      </c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121"/>
      <c r="Z295" s="20"/>
      <c r="AA295" s="20"/>
      <c r="AB295" s="20"/>
    </row>
    <row r="296">
      <c r="A296" s="20"/>
      <c r="B296" s="117">
        <f>IFERROR(__xludf.DUMMYFUNCTION("""COMPUTED_VALUE"""),43450.0)</f>
        <v>43450</v>
      </c>
      <c r="C296" s="20">
        <f>IFERROR(__xludf.DUMMYFUNCTION("""COMPUTED_VALUE"""),2018.0)</f>
        <v>2018</v>
      </c>
      <c r="D296" s="20" t="str">
        <f>IFERROR(__xludf.DUMMYFUNCTION("""COMPUTED_VALUE"""),"Finance charge")</f>
        <v>Finance charge</v>
      </c>
      <c r="E296" s="20" t="str">
        <f>IFERROR(__xludf.DUMMYFUNCTION("""COMPUTED_VALUE"""),"Credit Card Fees")</f>
        <v>Credit Card Fees</v>
      </c>
      <c r="F296" s="118">
        <f>IFERROR(__xludf.DUMMYFUNCTION("""COMPUTED_VALUE"""),483.14080681839937)</f>
        <v>483.1408068</v>
      </c>
      <c r="G296" s="20">
        <f>IFERROR(__xludf.DUMMYFUNCTION("""COMPUTED_VALUE"""),394493.0)</f>
        <v>394493</v>
      </c>
      <c r="H296" s="20">
        <f>IFERROR(__xludf.DUMMYFUNCTION("""COMPUTED_VALUE"""),12.0)</f>
        <v>12</v>
      </c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121"/>
      <c r="Z296" s="20"/>
      <c r="AA296" s="20"/>
      <c r="AB296" s="20"/>
    </row>
    <row r="297">
      <c r="A297" s="20"/>
      <c r="B297" s="117">
        <f>IFERROR(__xludf.DUMMYFUNCTION("""COMPUTED_VALUE"""),43451.0)</f>
        <v>43451</v>
      </c>
      <c r="C297" s="20">
        <f>IFERROR(__xludf.DUMMYFUNCTION("""COMPUTED_VALUE"""),2018.0)</f>
        <v>2018</v>
      </c>
      <c r="D297" s="20" t="str">
        <f>IFERROR(__xludf.DUMMYFUNCTION("""COMPUTED_VALUE"""),"Over the counter medication")</f>
        <v>Over the counter medication</v>
      </c>
      <c r="E297" s="20" t="str">
        <f>IFERROR(__xludf.DUMMYFUNCTION("""COMPUTED_VALUE"""),"Healthcare")</f>
        <v>Healthcare</v>
      </c>
      <c r="F297" s="118">
        <f>IFERROR(__xludf.DUMMYFUNCTION("""COMPUTED_VALUE"""),120.16820318713937)</f>
        <v>120.1682032</v>
      </c>
      <c r="G297" s="20">
        <f>IFERROR(__xludf.DUMMYFUNCTION("""COMPUTED_VALUE"""),823984.0)</f>
        <v>823984</v>
      </c>
      <c r="H297" s="20">
        <f>IFERROR(__xludf.DUMMYFUNCTION("""COMPUTED_VALUE"""),12.0)</f>
        <v>12</v>
      </c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121"/>
      <c r="Z297" s="20"/>
      <c r="AA297" s="20"/>
      <c r="AB297" s="20"/>
    </row>
    <row r="298">
      <c r="A298" s="20"/>
      <c r="B298" s="117">
        <f>IFERROR(__xludf.DUMMYFUNCTION("""COMPUTED_VALUE"""),43455.0)</f>
        <v>43455</v>
      </c>
      <c r="C298" s="20">
        <f>IFERROR(__xludf.DUMMYFUNCTION("""COMPUTED_VALUE"""),2018.0)</f>
        <v>2018</v>
      </c>
      <c r="D298" s="20" t="str">
        <f>IFERROR(__xludf.DUMMYFUNCTION("""COMPUTED_VALUE"""),"School supplies")</f>
        <v>School supplies</v>
      </c>
      <c r="E298" s="20" t="str">
        <f>IFERROR(__xludf.DUMMYFUNCTION("""COMPUTED_VALUE"""),"Education")</f>
        <v>Education</v>
      </c>
      <c r="F298" s="118">
        <f>IFERROR(__xludf.DUMMYFUNCTION("""COMPUTED_VALUE"""),199.24881719414628)</f>
        <v>199.2488172</v>
      </c>
      <c r="G298" s="20">
        <f>IFERROR(__xludf.DUMMYFUNCTION("""COMPUTED_VALUE"""),315721.0)</f>
        <v>315721</v>
      </c>
      <c r="H298" s="20">
        <f>IFERROR(__xludf.DUMMYFUNCTION("""COMPUTED_VALUE"""),12.0)</f>
        <v>12</v>
      </c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121"/>
      <c r="Z298" s="20"/>
      <c r="AA298" s="20"/>
      <c r="AB298" s="20"/>
    </row>
    <row r="299">
      <c r="A299" s="20"/>
      <c r="B299" s="117">
        <f>IFERROR(__xludf.DUMMYFUNCTION("""COMPUTED_VALUE"""),43456.0)</f>
        <v>43456</v>
      </c>
      <c r="C299" s="20">
        <f>IFERROR(__xludf.DUMMYFUNCTION("""COMPUTED_VALUE"""),2018.0)</f>
        <v>2018</v>
      </c>
      <c r="D299" s="20" t="str">
        <f>IFERROR(__xludf.DUMMYFUNCTION("""COMPUTED_VALUE"""),"Day trips")</f>
        <v>Day trips</v>
      </c>
      <c r="E299" s="20" t="str">
        <f>IFERROR(__xludf.DUMMYFUNCTION("""COMPUTED_VALUE"""),"Vacation")</f>
        <v>Vacation</v>
      </c>
      <c r="F299" s="118">
        <f>IFERROR(__xludf.DUMMYFUNCTION("""COMPUTED_VALUE"""),478.3425291783951)</f>
        <v>478.3425292</v>
      </c>
      <c r="G299" s="20">
        <f>IFERROR(__xludf.DUMMYFUNCTION("""COMPUTED_VALUE"""),500738.0)</f>
        <v>500738</v>
      </c>
      <c r="H299" s="20">
        <f>IFERROR(__xludf.DUMMYFUNCTION("""COMPUTED_VALUE"""),12.0)</f>
        <v>12</v>
      </c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121"/>
      <c r="Z299" s="20"/>
      <c r="AA299" s="20"/>
      <c r="AB299" s="20"/>
    </row>
    <row r="300">
      <c r="A300" s="20"/>
      <c r="B300" s="117">
        <f>IFERROR(__xludf.DUMMYFUNCTION("""COMPUTED_VALUE"""),43459.0)</f>
        <v>43459</v>
      </c>
      <c r="C300" s="20">
        <f>IFERROR(__xludf.DUMMYFUNCTION("""COMPUTED_VALUE"""),2018.0)</f>
        <v>2018</v>
      </c>
      <c r="D300" s="20" t="str">
        <f>IFERROR(__xludf.DUMMYFUNCTION("""COMPUTED_VALUE"""),"Federal")</f>
        <v>Federal</v>
      </c>
      <c r="E300" s="20" t="str">
        <f>IFERROR(__xludf.DUMMYFUNCTION("""COMPUTED_VALUE"""),"Taxes")</f>
        <v>Taxes</v>
      </c>
      <c r="F300" s="118">
        <f>IFERROR(__xludf.DUMMYFUNCTION("""COMPUTED_VALUE"""),358.1727438172827)</f>
        <v>358.1727438</v>
      </c>
      <c r="G300" s="20">
        <f>IFERROR(__xludf.DUMMYFUNCTION("""COMPUTED_VALUE"""),330560.0)</f>
        <v>330560</v>
      </c>
      <c r="H300" s="20">
        <f>IFERROR(__xludf.DUMMYFUNCTION("""COMPUTED_VALUE"""),12.0)</f>
        <v>12</v>
      </c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121"/>
      <c r="Z300" s="20"/>
      <c r="AA300" s="20"/>
      <c r="AB300" s="20"/>
    </row>
    <row r="301">
      <c r="A301" s="20"/>
      <c r="B301" s="117">
        <f>IFERROR(__xludf.DUMMYFUNCTION("""COMPUTED_VALUE"""),43463.0)</f>
        <v>43463</v>
      </c>
      <c r="C301" s="20">
        <f>IFERROR(__xludf.DUMMYFUNCTION("""COMPUTED_VALUE"""),2018.0)</f>
        <v>2018</v>
      </c>
      <c r="D301" s="20" t="str">
        <f>IFERROR(__xludf.DUMMYFUNCTION("""COMPUTED_VALUE"""),"Moving")</f>
        <v>Moving</v>
      </c>
      <c r="E301" s="20" t="str">
        <f>IFERROR(__xludf.DUMMYFUNCTION("""COMPUTED_VALUE"""),"Events")</f>
        <v>Events</v>
      </c>
      <c r="F301" s="118">
        <f>IFERROR(__xludf.DUMMYFUNCTION("""COMPUTED_VALUE"""),31.365084814650046)</f>
        <v>31.36508481</v>
      </c>
      <c r="G301" s="20">
        <f>IFERROR(__xludf.DUMMYFUNCTION("""COMPUTED_VALUE"""),732534.0)</f>
        <v>732534</v>
      </c>
      <c r="H301" s="20">
        <f>IFERROR(__xludf.DUMMYFUNCTION("""COMPUTED_VALUE"""),12.0)</f>
        <v>12</v>
      </c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121"/>
      <c r="Z301" s="20"/>
      <c r="AA301" s="20"/>
      <c r="AB301" s="20"/>
    </row>
    <row r="302">
      <c r="A302" s="20"/>
      <c r="B302" s="117">
        <f>IFERROR(__xludf.DUMMYFUNCTION("""COMPUTED_VALUE"""),43466.0)</f>
        <v>43466</v>
      </c>
      <c r="C302" s="20">
        <f>IFERROR(__xludf.DUMMYFUNCTION("""COMPUTED_VALUE"""),2019.0)</f>
        <v>2019</v>
      </c>
      <c r="D302" s="20" t="str">
        <f>IFERROR(__xludf.DUMMYFUNCTION("""COMPUTED_VALUE"""),"Day trips")</f>
        <v>Day trips</v>
      </c>
      <c r="E302" s="20" t="str">
        <f>IFERROR(__xludf.DUMMYFUNCTION("""COMPUTED_VALUE"""),"Vacation")</f>
        <v>Vacation</v>
      </c>
      <c r="F302" s="118">
        <f>IFERROR(__xludf.DUMMYFUNCTION("""COMPUTED_VALUE"""),256.99893701708953)</f>
        <v>256.998937</v>
      </c>
      <c r="G302" s="20">
        <f>IFERROR(__xludf.DUMMYFUNCTION("""COMPUTED_VALUE"""),675666.0)</f>
        <v>675666</v>
      </c>
      <c r="H302" s="20">
        <f>IFERROR(__xludf.DUMMYFUNCTION("""COMPUTED_VALUE"""),1.0)</f>
        <v>1</v>
      </c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121"/>
      <c r="Z302" s="20"/>
      <c r="AA302" s="20"/>
      <c r="AB302" s="20"/>
    </row>
    <row r="303">
      <c r="A303" s="20"/>
      <c r="B303" s="117">
        <f>IFERROR(__xludf.DUMMYFUNCTION("""COMPUTED_VALUE"""),43470.0)</f>
        <v>43470</v>
      </c>
      <c r="C303" s="20">
        <f>IFERROR(__xludf.DUMMYFUNCTION("""COMPUTED_VALUE"""),2019.0)</f>
        <v>2019</v>
      </c>
      <c r="D303" s="20" t="str">
        <f>IFERROR(__xludf.DUMMYFUNCTION("""COMPUTED_VALUE"""),"Electricity")</f>
        <v>Electricity</v>
      </c>
      <c r="E303" s="20" t="str">
        <f>IFERROR(__xludf.DUMMYFUNCTION("""COMPUTED_VALUE"""),"Utilities")</f>
        <v>Utilities</v>
      </c>
      <c r="F303" s="118">
        <f>IFERROR(__xludf.DUMMYFUNCTION("""COMPUTED_VALUE"""),268.4024110110296)</f>
        <v>268.402411</v>
      </c>
      <c r="G303" s="20">
        <f>IFERROR(__xludf.DUMMYFUNCTION("""COMPUTED_VALUE"""),288244.0)</f>
        <v>288244</v>
      </c>
      <c r="H303" s="20">
        <f>IFERROR(__xludf.DUMMYFUNCTION("""COMPUTED_VALUE"""),1.0)</f>
        <v>1</v>
      </c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121"/>
      <c r="Z303" s="20"/>
      <c r="AA303" s="20"/>
      <c r="AB303" s="20"/>
    </row>
    <row r="304">
      <c r="A304" s="20"/>
      <c r="B304" s="117">
        <f>IFERROR(__xludf.DUMMYFUNCTION("""COMPUTED_VALUE"""),43471.0)</f>
        <v>43471</v>
      </c>
      <c r="C304" s="20">
        <f>IFERROR(__xludf.DUMMYFUNCTION("""COMPUTED_VALUE"""),2019.0)</f>
        <v>2019</v>
      </c>
      <c r="D304" s="20" t="str">
        <f>IFERROR(__xludf.DUMMYFUNCTION("""COMPUTED_VALUE"""),"Charity")</f>
        <v>Charity</v>
      </c>
      <c r="E304" s="20" t="str">
        <f>IFERROR(__xludf.DUMMYFUNCTION("""COMPUTED_VALUE"""),"Charity")</f>
        <v>Charity</v>
      </c>
      <c r="F304" s="118">
        <f>IFERROR(__xludf.DUMMYFUNCTION("""COMPUTED_VALUE"""),76.33754779613649)</f>
        <v>76.3375478</v>
      </c>
      <c r="G304" s="20">
        <f>IFERROR(__xludf.DUMMYFUNCTION("""COMPUTED_VALUE"""),134530.0)</f>
        <v>134530</v>
      </c>
      <c r="H304" s="20">
        <f>IFERROR(__xludf.DUMMYFUNCTION("""COMPUTED_VALUE"""),1.0)</f>
        <v>1</v>
      </c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121"/>
      <c r="Z304" s="20"/>
      <c r="AA304" s="20"/>
      <c r="AB304" s="20"/>
    </row>
    <row r="305">
      <c r="A305" s="20"/>
      <c r="B305" s="117">
        <f>IFERROR(__xludf.DUMMYFUNCTION("""COMPUTED_VALUE"""),43472.0)</f>
        <v>43472</v>
      </c>
      <c r="C305" s="20">
        <f>IFERROR(__xludf.DUMMYFUNCTION("""COMPUTED_VALUE"""),2019.0)</f>
        <v>2019</v>
      </c>
      <c r="D305" s="20" t="str">
        <f>IFERROR(__xludf.DUMMYFUNCTION("""COMPUTED_VALUE"""),"Home improvement")</f>
        <v>Home improvement</v>
      </c>
      <c r="E305" s="20" t="str">
        <f>IFERROR(__xludf.DUMMYFUNCTION("""COMPUTED_VALUE"""),"Household")</f>
        <v>Household</v>
      </c>
      <c r="F305" s="118">
        <f>IFERROR(__xludf.DUMMYFUNCTION("""COMPUTED_VALUE"""),178.10944091228748)</f>
        <v>178.1094409</v>
      </c>
      <c r="G305" s="20">
        <f>IFERROR(__xludf.DUMMYFUNCTION("""COMPUTED_VALUE"""),762892.0)</f>
        <v>762892</v>
      </c>
      <c r="H305" s="20">
        <f>IFERROR(__xludf.DUMMYFUNCTION("""COMPUTED_VALUE"""),1.0)</f>
        <v>1</v>
      </c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121"/>
      <c r="Z305" s="20"/>
      <c r="AA305" s="20"/>
      <c r="AB305" s="20"/>
    </row>
    <row r="306">
      <c r="A306" s="20"/>
      <c r="B306" s="117">
        <f>IFERROR(__xludf.DUMMYFUNCTION("""COMPUTED_VALUE"""),43475.0)</f>
        <v>43475</v>
      </c>
      <c r="C306" s="20">
        <f>IFERROR(__xludf.DUMMYFUNCTION("""COMPUTED_VALUE"""),2019.0)</f>
        <v>2019</v>
      </c>
      <c r="D306" s="20" t="str">
        <f>IFERROR(__xludf.DUMMYFUNCTION("""COMPUTED_VALUE"""),"Vision")</f>
        <v>Vision</v>
      </c>
      <c r="E306" s="20" t="str">
        <f>IFERROR(__xludf.DUMMYFUNCTION("""COMPUTED_VALUE"""),"Healthcare")</f>
        <v>Healthcare</v>
      </c>
      <c r="F306" s="118">
        <f>IFERROR(__xludf.DUMMYFUNCTION("""COMPUTED_VALUE"""),312.14218841863334)</f>
        <v>312.1421884</v>
      </c>
      <c r="G306" s="20">
        <f>IFERROR(__xludf.DUMMYFUNCTION("""COMPUTED_VALUE"""),873038.0)</f>
        <v>873038</v>
      </c>
      <c r="H306" s="20">
        <f>IFERROR(__xludf.DUMMYFUNCTION("""COMPUTED_VALUE"""),1.0)</f>
        <v>1</v>
      </c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121"/>
      <c r="Z306" s="20"/>
      <c r="AA306" s="20"/>
      <c r="AB306" s="20"/>
    </row>
    <row r="307">
      <c r="A307" s="20"/>
      <c r="B307" s="117">
        <f>IFERROR(__xludf.DUMMYFUNCTION("""COMPUTED_VALUE"""),43479.0)</f>
        <v>43479</v>
      </c>
      <c r="C307" s="20">
        <f>IFERROR(__xludf.DUMMYFUNCTION("""COMPUTED_VALUE"""),2019.0)</f>
        <v>2019</v>
      </c>
      <c r="D307" s="20" t="str">
        <f>IFERROR(__xludf.DUMMYFUNCTION("""COMPUTED_VALUE"""),"Baby shower")</f>
        <v>Baby shower</v>
      </c>
      <c r="E307" s="20" t="str">
        <f>IFERROR(__xludf.DUMMYFUNCTION("""COMPUTED_VALUE"""),"Gifts")</f>
        <v>Gifts</v>
      </c>
      <c r="F307" s="118">
        <f>IFERROR(__xludf.DUMMYFUNCTION("""COMPUTED_VALUE"""),93.32608168158558)</f>
        <v>93.32608168</v>
      </c>
      <c r="G307" s="20">
        <f>IFERROR(__xludf.DUMMYFUNCTION("""COMPUTED_VALUE"""),937434.0)</f>
        <v>937434</v>
      </c>
      <c r="H307" s="20">
        <f>IFERROR(__xludf.DUMMYFUNCTION("""COMPUTED_VALUE"""),1.0)</f>
        <v>1</v>
      </c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121"/>
      <c r="Z307" s="20"/>
      <c r="AA307" s="20"/>
      <c r="AB307" s="20"/>
    </row>
    <row r="308">
      <c r="A308" s="20"/>
      <c r="B308" s="117">
        <f>IFERROR(__xludf.DUMMYFUNCTION("""COMPUTED_VALUE"""),43481.0)</f>
        <v>43481</v>
      </c>
      <c r="C308" s="20">
        <f>IFERROR(__xludf.DUMMYFUNCTION("""COMPUTED_VALUE"""),2019.0)</f>
        <v>2019</v>
      </c>
      <c r="D308" s="20" t="str">
        <f>IFERROR(__xludf.DUMMYFUNCTION("""COMPUTED_VALUE"""),"Over the limit fee")</f>
        <v>Over the limit fee</v>
      </c>
      <c r="E308" s="20" t="str">
        <f>IFERROR(__xludf.DUMMYFUNCTION("""COMPUTED_VALUE"""),"Credit Card Fees")</f>
        <v>Credit Card Fees</v>
      </c>
      <c r="F308" s="118">
        <f>IFERROR(__xludf.DUMMYFUNCTION("""COMPUTED_VALUE"""),35.912196571930565)</f>
        <v>35.91219657</v>
      </c>
      <c r="G308" s="20">
        <f>IFERROR(__xludf.DUMMYFUNCTION("""COMPUTED_VALUE"""),631633.0)</f>
        <v>631633</v>
      </c>
      <c r="H308" s="20">
        <f>IFERROR(__xludf.DUMMYFUNCTION("""COMPUTED_VALUE"""),1.0)</f>
        <v>1</v>
      </c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121"/>
      <c r="Z308" s="20"/>
      <c r="AA308" s="20"/>
      <c r="AB308" s="20"/>
    </row>
    <row r="309">
      <c r="A309" s="20"/>
      <c r="B309" s="117">
        <f>IFERROR(__xludf.DUMMYFUNCTION("""COMPUTED_VALUE"""),43484.0)</f>
        <v>43484</v>
      </c>
      <c r="C309" s="20">
        <f>IFERROR(__xludf.DUMMYFUNCTION("""COMPUTED_VALUE"""),2019.0)</f>
        <v>2019</v>
      </c>
      <c r="D309" s="20" t="str">
        <f>IFERROR(__xludf.DUMMYFUNCTION("""COMPUTED_VALUE"""),"Internet service")</f>
        <v>Internet service</v>
      </c>
      <c r="E309" s="20" t="str">
        <f>IFERROR(__xludf.DUMMYFUNCTION("""COMPUTED_VALUE"""),"Utilities")</f>
        <v>Utilities</v>
      </c>
      <c r="F309" s="118">
        <f>IFERROR(__xludf.DUMMYFUNCTION("""COMPUTED_VALUE"""),203.94871248045965)</f>
        <v>203.9487125</v>
      </c>
      <c r="G309" s="20">
        <f>IFERROR(__xludf.DUMMYFUNCTION("""COMPUTED_VALUE"""),539106.0)</f>
        <v>539106</v>
      </c>
      <c r="H309" s="20">
        <f>IFERROR(__xludf.DUMMYFUNCTION("""COMPUTED_VALUE"""),1.0)</f>
        <v>1</v>
      </c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121"/>
      <c r="Z309" s="20"/>
      <c r="AA309" s="20"/>
      <c r="AB309" s="20"/>
    </row>
    <row r="310">
      <c r="A310" s="20"/>
      <c r="B310" s="117">
        <f>IFERROR(__xludf.DUMMYFUNCTION("""COMPUTED_VALUE"""),43487.0)</f>
        <v>43487</v>
      </c>
      <c r="C310" s="20">
        <f>IFERROR(__xludf.DUMMYFUNCTION("""COMPUTED_VALUE"""),2019.0)</f>
        <v>2019</v>
      </c>
      <c r="D310" s="20" t="str">
        <f>IFERROR(__xludf.DUMMYFUNCTION("""COMPUTED_VALUE"""),"Late fee")</f>
        <v>Late fee</v>
      </c>
      <c r="E310" s="20" t="str">
        <f>IFERROR(__xludf.DUMMYFUNCTION("""COMPUTED_VALUE"""),"Credit Card Fees")</f>
        <v>Credit Card Fees</v>
      </c>
      <c r="F310" s="118">
        <f>IFERROR(__xludf.DUMMYFUNCTION("""COMPUTED_VALUE"""),265.58209920952214)</f>
        <v>265.5820992</v>
      </c>
      <c r="G310" s="20">
        <f>IFERROR(__xludf.DUMMYFUNCTION("""COMPUTED_VALUE"""),972140.0)</f>
        <v>972140</v>
      </c>
      <c r="H310" s="20">
        <f>IFERROR(__xludf.DUMMYFUNCTION("""COMPUTED_VALUE"""),1.0)</f>
        <v>1</v>
      </c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121"/>
      <c r="Z310" s="20"/>
      <c r="AA310" s="20"/>
      <c r="AB310" s="20"/>
    </row>
    <row r="311">
      <c r="A311" s="20"/>
      <c r="B311" s="117">
        <f>IFERROR(__xludf.DUMMYFUNCTION("""COMPUTED_VALUE"""),43489.0)</f>
        <v>43489</v>
      </c>
      <c r="C311" s="20">
        <f>IFERROR(__xludf.DUMMYFUNCTION("""COMPUTED_VALUE"""),2019.0)</f>
        <v>2019</v>
      </c>
      <c r="D311" s="20" t="str">
        <f>IFERROR(__xludf.DUMMYFUNCTION("""COMPUTED_VALUE"""),"Field trips")</f>
        <v>Field trips</v>
      </c>
      <c r="E311" s="20" t="str">
        <f>IFERROR(__xludf.DUMMYFUNCTION("""COMPUTED_VALUE"""),"Education")</f>
        <v>Education</v>
      </c>
      <c r="F311" s="118">
        <f>IFERROR(__xludf.DUMMYFUNCTION("""COMPUTED_VALUE"""),101.9281673340911)</f>
        <v>101.9281673</v>
      </c>
      <c r="G311" s="20">
        <f>IFERROR(__xludf.DUMMYFUNCTION("""COMPUTED_VALUE"""),505017.0)</f>
        <v>505017</v>
      </c>
      <c r="H311" s="20">
        <f>IFERROR(__xludf.DUMMYFUNCTION("""COMPUTED_VALUE"""),1.0)</f>
        <v>1</v>
      </c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121"/>
      <c r="Z311" s="20"/>
      <c r="AA311" s="20"/>
      <c r="AB311" s="20"/>
    </row>
    <row r="312">
      <c r="A312" s="20"/>
      <c r="B312" s="117">
        <f>IFERROR(__xludf.DUMMYFUNCTION("""COMPUTED_VALUE"""),43491.0)</f>
        <v>43491</v>
      </c>
      <c r="C312" s="20">
        <f>IFERROR(__xludf.DUMMYFUNCTION("""COMPUTED_VALUE"""),2019.0)</f>
        <v>2019</v>
      </c>
      <c r="D312" s="20" t="str">
        <f>IFERROR(__xludf.DUMMYFUNCTION("""COMPUTED_VALUE"""),"Dining out")</f>
        <v>Dining out</v>
      </c>
      <c r="E312" s="20" t="str">
        <f>IFERROR(__xludf.DUMMYFUNCTION("""COMPUTED_VALUE"""),"Food")</f>
        <v>Food</v>
      </c>
      <c r="F312" s="118">
        <f>IFERROR(__xludf.DUMMYFUNCTION("""COMPUTED_VALUE"""),358.4233797093374)</f>
        <v>358.4233797</v>
      </c>
      <c r="G312" s="20">
        <f>IFERROR(__xludf.DUMMYFUNCTION("""COMPUTED_VALUE"""),167237.0)</f>
        <v>167237</v>
      </c>
      <c r="H312" s="20">
        <f>IFERROR(__xludf.DUMMYFUNCTION("""COMPUTED_VALUE"""),1.0)</f>
        <v>1</v>
      </c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121"/>
      <c r="Z312" s="20"/>
      <c r="AA312" s="20"/>
      <c r="AB312" s="20"/>
    </row>
    <row r="313">
      <c r="A313" s="20"/>
      <c r="B313" s="117">
        <f>IFERROR(__xludf.DUMMYFUNCTION("""COMPUTED_VALUE"""),43492.0)</f>
        <v>43492</v>
      </c>
      <c r="C313" s="20">
        <f>IFERROR(__xludf.DUMMYFUNCTION("""COMPUTED_VALUE"""),2019.0)</f>
        <v>2019</v>
      </c>
      <c r="D313" s="20" t="str">
        <f>IFERROR(__xludf.DUMMYFUNCTION("""COMPUTED_VALUE"""),"Toys")</f>
        <v>Toys</v>
      </c>
      <c r="E313" s="20" t="str">
        <f>IFERROR(__xludf.DUMMYFUNCTION("""COMPUTED_VALUE"""),"Hobbies")</f>
        <v>Hobbies</v>
      </c>
      <c r="F313" s="118">
        <f>IFERROR(__xludf.DUMMYFUNCTION("""COMPUTED_VALUE"""),214.44440440714556)</f>
        <v>214.4444044</v>
      </c>
      <c r="G313" s="20">
        <f>IFERROR(__xludf.DUMMYFUNCTION("""COMPUTED_VALUE"""),677392.0)</f>
        <v>677392</v>
      </c>
      <c r="H313" s="20">
        <f>IFERROR(__xludf.DUMMYFUNCTION("""COMPUTED_VALUE"""),1.0)</f>
        <v>1</v>
      </c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121"/>
      <c r="Z313" s="20"/>
      <c r="AA313" s="20"/>
      <c r="AB313" s="20"/>
    </row>
    <row r="314">
      <c r="A314" s="20"/>
      <c r="B314" s="117">
        <f>IFERROR(__xludf.DUMMYFUNCTION("""COMPUTED_VALUE"""),43495.0)</f>
        <v>43495</v>
      </c>
      <c r="C314" s="20">
        <f>IFERROR(__xludf.DUMMYFUNCTION("""COMPUTED_VALUE"""),2019.0)</f>
        <v>2019</v>
      </c>
      <c r="D314" s="20" t="str">
        <f>IFERROR(__xludf.DUMMYFUNCTION("""COMPUTED_VALUE"""),"Charity")</f>
        <v>Charity</v>
      </c>
      <c r="E314" s="20" t="str">
        <f>IFERROR(__xludf.DUMMYFUNCTION("""COMPUTED_VALUE"""),"Charity")</f>
        <v>Charity</v>
      </c>
      <c r="F314" s="118">
        <f>IFERROR(__xludf.DUMMYFUNCTION("""COMPUTED_VALUE"""),42.710410017371984)</f>
        <v>42.71041002</v>
      </c>
      <c r="G314" s="20">
        <f>IFERROR(__xludf.DUMMYFUNCTION("""COMPUTED_VALUE"""),102552.0)</f>
        <v>102552</v>
      </c>
      <c r="H314" s="20">
        <f>IFERROR(__xludf.DUMMYFUNCTION("""COMPUTED_VALUE"""),1.0)</f>
        <v>1</v>
      </c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121"/>
      <c r="Z314" s="20"/>
      <c r="AA314" s="20"/>
      <c r="AB314" s="20"/>
    </row>
    <row r="315">
      <c r="A315" s="20"/>
      <c r="B315" s="117">
        <f>IFERROR(__xludf.DUMMYFUNCTION("""COMPUTED_VALUE"""),43499.0)</f>
        <v>43499</v>
      </c>
      <c r="C315" s="20">
        <f>IFERROR(__xludf.DUMMYFUNCTION("""COMPUTED_VALUE"""),2019.0)</f>
        <v>2019</v>
      </c>
      <c r="D315" s="20" t="str">
        <f>IFERROR(__xludf.DUMMYFUNCTION("""COMPUTED_VALUE"""),"Professional dues")</f>
        <v>Professional dues</v>
      </c>
      <c r="E315" s="20" t="str">
        <f>IFERROR(__xludf.DUMMYFUNCTION("""COMPUTED_VALUE"""),"Job expenses")</f>
        <v>Job expenses</v>
      </c>
      <c r="F315" s="118">
        <f>IFERROR(__xludf.DUMMYFUNCTION("""COMPUTED_VALUE"""),141.31294555158235)</f>
        <v>141.3129456</v>
      </c>
      <c r="G315" s="20">
        <f>IFERROR(__xludf.DUMMYFUNCTION("""COMPUTED_VALUE"""),555268.0)</f>
        <v>555268</v>
      </c>
      <c r="H315" s="20">
        <f>IFERROR(__xludf.DUMMYFUNCTION("""COMPUTED_VALUE"""),2.0)</f>
        <v>2</v>
      </c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121"/>
      <c r="Z315" s="20"/>
      <c r="AA315" s="20"/>
      <c r="AB315" s="20"/>
    </row>
    <row r="316">
      <c r="A316" s="20"/>
      <c r="B316" s="117">
        <f>IFERROR(__xludf.DUMMYFUNCTION("""COMPUTED_VALUE"""),43500.0)</f>
        <v>43500</v>
      </c>
      <c r="C316" s="20">
        <f>IFERROR(__xludf.DUMMYFUNCTION("""COMPUTED_VALUE"""),2019.0)</f>
        <v>2019</v>
      </c>
      <c r="D316" s="20" t="str">
        <f>IFERROR(__xludf.DUMMYFUNCTION("""COMPUTED_VALUE"""),"Wedding")</f>
        <v>Wedding</v>
      </c>
      <c r="E316" s="20" t="str">
        <f>IFERROR(__xludf.DUMMYFUNCTION("""COMPUTED_VALUE"""),"Events")</f>
        <v>Events</v>
      </c>
      <c r="F316" s="118">
        <f>IFERROR(__xludf.DUMMYFUNCTION("""COMPUTED_VALUE"""),69.73541693582392)</f>
        <v>69.73541694</v>
      </c>
      <c r="G316" s="20">
        <f>IFERROR(__xludf.DUMMYFUNCTION("""COMPUTED_VALUE"""),288240.0)</f>
        <v>288240</v>
      </c>
      <c r="H316" s="20">
        <f>IFERROR(__xludf.DUMMYFUNCTION("""COMPUTED_VALUE"""),2.0)</f>
        <v>2</v>
      </c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121"/>
      <c r="Z316" s="20"/>
      <c r="AA316" s="20"/>
      <c r="AB316" s="20"/>
    </row>
    <row r="317">
      <c r="A317" s="20"/>
      <c r="B317" s="117">
        <f>IFERROR(__xludf.DUMMYFUNCTION("""COMPUTED_VALUE"""),43503.0)</f>
        <v>43503</v>
      </c>
      <c r="C317" s="20">
        <f>IFERROR(__xludf.DUMMYFUNCTION("""COMPUTED_VALUE"""),2019.0)</f>
        <v>2019</v>
      </c>
      <c r="D317" s="20" t="str">
        <f>IFERROR(__xludf.DUMMYFUNCTION("""COMPUTED_VALUE"""),"Moving")</f>
        <v>Moving</v>
      </c>
      <c r="E317" s="20" t="str">
        <f>IFERROR(__xludf.DUMMYFUNCTION("""COMPUTED_VALUE"""),"Events")</f>
        <v>Events</v>
      </c>
      <c r="F317" s="118">
        <f>IFERROR(__xludf.DUMMYFUNCTION("""COMPUTED_VALUE"""),236.58930372143143)</f>
        <v>236.5893037</v>
      </c>
      <c r="G317" s="20">
        <f>IFERROR(__xludf.DUMMYFUNCTION("""COMPUTED_VALUE"""),691769.0)</f>
        <v>691769</v>
      </c>
      <c r="H317" s="20">
        <f>IFERROR(__xludf.DUMMYFUNCTION("""COMPUTED_VALUE"""),2.0)</f>
        <v>2</v>
      </c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121"/>
      <c r="Z317" s="20"/>
      <c r="AA317" s="20"/>
      <c r="AB317" s="20"/>
    </row>
    <row r="318">
      <c r="A318" s="20"/>
      <c r="B318" s="117">
        <f>IFERROR(__xludf.DUMMYFUNCTION("""COMPUTED_VALUE"""),43506.0)</f>
        <v>43506</v>
      </c>
      <c r="C318" s="20">
        <f>IFERROR(__xludf.DUMMYFUNCTION("""COMPUTED_VALUE"""),2019.0)</f>
        <v>2019</v>
      </c>
      <c r="D318" s="20" t="str">
        <f>IFERROR(__xludf.DUMMYFUNCTION("""COMPUTED_VALUE"""),"Anniversary")</f>
        <v>Anniversary</v>
      </c>
      <c r="E318" s="20" t="str">
        <f>IFERROR(__xludf.DUMMYFUNCTION("""COMPUTED_VALUE"""),"Gifts")</f>
        <v>Gifts</v>
      </c>
      <c r="F318" s="118">
        <f>IFERROR(__xludf.DUMMYFUNCTION("""COMPUTED_VALUE"""),146.99661016187474)</f>
        <v>146.9966102</v>
      </c>
      <c r="G318" s="20">
        <f>IFERROR(__xludf.DUMMYFUNCTION("""COMPUTED_VALUE"""),321845.0)</f>
        <v>321845</v>
      </c>
      <c r="H318" s="20">
        <f>IFERROR(__xludf.DUMMYFUNCTION("""COMPUTED_VALUE"""),2.0)</f>
        <v>2</v>
      </c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121"/>
      <c r="Z318" s="20"/>
      <c r="AA318" s="20"/>
      <c r="AB318" s="20"/>
    </row>
    <row r="319">
      <c r="A319" s="20"/>
      <c r="B319" s="117">
        <f>IFERROR(__xludf.DUMMYFUNCTION("""COMPUTED_VALUE"""),43507.0)</f>
        <v>43507</v>
      </c>
      <c r="C319" s="20">
        <f>IFERROR(__xludf.DUMMYFUNCTION("""COMPUTED_VALUE"""),2019.0)</f>
        <v>2019</v>
      </c>
      <c r="D319" s="20" t="str">
        <f>IFERROR(__xludf.DUMMYFUNCTION("""COMPUTED_VALUE"""),"Minimum usage fee")</f>
        <v>Minimum usage fee</v>
      </c>
      <c r="E319" s="20" t="str">
        <f>IFERROR(__xludf.DUMMYFUNCTION("""COMPUTED_VALUE"""),"Credit Card Fees")</f>
        <v>Credit Card Fees</v>
      </c>
      <c r="F319" s="118">
        <f>IFERROR(__xludf.DUMMYFUNCTION("""COMPUTED_VALUE"""),223.15499746390228)</f>
        <v>223.1549975</v>
      </c>
      <c r="G319" s="20">
        <f>IFERROR(__xludf.DUMMYFUNCTION("""COMPUTED_VALUE"""),188676.0)</f>
        <v>188676</v>
      </c>
      <c r="H319" s="20">
        <f>IFERROR(__xludf.DUMMYFUNCTION("""COMPUTED_VALUE"""),2.0)</f>
        <v>2</v>
      </c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121"/>
      <c r="Z319" s="20"/>
      <c r="AA319" s="20"/>
      <c r="AB319" s="20"/>
    </row>
    <row r="320">
      <c r="A320" s="20"/>
      <c r="B320" s="117">
        <f>IFERROR(__xludf.DUMMYFUNCTION("""COMPUTED_VALUE"""),43508.0)</f>
        <v>43508</v>
      </c>
      <c r="C320" s="20">
        <f>IFERROR(__xludf.DUMMYFUNCTION("""COMPUTED_VALUE"""),2019.0)</f>
        <v>2019</v>
      </c>
      <c r="D320" s="20" t="str">
        <f>IFERROR(__xludf.DUMMYFUNCTION("""COMPUTED_VALUE"""),"Late fee")</f>
        <v>Late fee</v>
      </c>
      <c r="E320" s="20" t="str">
        <f>IFERROR(__xludf.DUMMYFUNCTION("""COMPUTED_VALUE"""),"Credit Card Fees")</f>
        <v>Credit Card Fees</v>
      </c>
      <c r="F320" s="118">
        <f>IFERROR(__xludf.DUMMYFUNCTION("""COMPUTED_VALUE"""),342.0291065549055)</f>
        <v>342.0291066</v>
      </c>
      <c r="G320" s="20">
        <f>IFERROR(__xludf.DUMMYFUNCTION("""COMPUTED_VALUE"""),425698.0)</f>
        <v>425698</v>
      </c>
      <c r="H320" s="20">
        <f>IFERROR(__xludf.DUMMYFUNCTION("""COMPUTED_VALUE"""),2.0)</f>
        <v>2</v>
      </c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121"/>
      <c r="Z320" s="20"/>
      <c r="AA320" s="20"/>
      <c r="AB320" s="20"/>
    </row>
    <row r="321">
      <c r="A321" s="20"/>
      <c r="B321" s="117">
        <f>IFERROR(__xludf.DUMMYFUNCTION("""COMPUTED_VALUE"""),43509.0)</f>
        <v>43509</v>
      </c>
      <c r="C321" s="20">
        <f>IFERROR(__xludf.DUMMYFUNCTION("""COMPUTED_VALUE"""),2019.0)</f>
        <v>2019</v>
      </c>
      <c r="D321" s="20" t="str">
        <f>IFERROR(__xludf.DUMMYFUNCTION("""COMPUTED_VALUE"""),"Decorating")</f>
        <v>Decorating</v>
      </c>
      <c r="E321" s="20" t="str">
        <f>IFERROR(__xludf.DUMMYFUNCTION("""COMPUTED_VALUE"""),"Household")</f>
        <v>Household</v>
      </c>
      <c r="F321" s="118">
        <f>IFERROR(__xludf.DUMMYFUNCTION("""COMPUTED_VALUE"""),107.79238578089074)</f>
        <v>107.7923858</v>
      </c>
      <c r="G321" s="20">
        <f>IFERROR(__xludf.DUMMYFUNCTION("""COMPUTED_VALUE"""),888700.0)</f>
        <v>888700</v>
      </c>
      <c r="H321" s="20">
        <f>IFERROR(__xludf.DUMMYFUNCTION("""COMPUTED_VALUE"""),2.0)</f>
        <v>2</v>
      </c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121"/>
      <c r="Z321" s="20"/>
      <c r="AA321" s="20"/>
      <c r="AB321" s="20"/>
    </row>
    <row r="322">
      <c r="A322" s="20"/>
      <c r="B322" s="117">
        <f>IFERROR(__xludf.DUMMYFUNCTION("""COMPUTED_VALUE"""),43511.0)</f>
        <v>43511</v>
      </c>
      <c r="C322" s="20">
        <f>IFERROR(__xludf.DUMMYFUNCTION("""COMPUTED_VALUE"""),2019.0)</f>
        <v>2019</v>
      </c>
      <c r="D322" s="20" t="str">
        <f>IFERROR(__xludf.DUMMYFUNCTION("""COMPUTED_VALUE"""),"ATM fees")</f>
        <v>ATM fees</v>
      </c>
      <c r="E322" s="20" t="str">
        <f>IFERROR(__xludf.DUMMYFUNCTION("""COMPUTED_VALUE"""),"Bank Charges")</f>
        <v>Bank Charges</v>
      </c>
      <c r="F322" s="118">
        <f>IFERROR(__xludf.DUMMYFUNCTION("""COMPUTED_VALUE"""),307.4000440272313)</f>
        <v>307.400044</v>
      </c>
      <c r="G322" s="20">
        <f>IFERROR(__xludf.DUMMYFUNCTION("""COMPUTED_VALUE"""),488804.0)</f>
        <v>488804</v>
      </c>
      <c r="H322" s="20">
        <f>IFERROR(__xludf.DUMMYFUNCTION("""COMPUTED_VALUE"""),2.0)</f>
        <v>2</v>
      </c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121"/>
      <c r="Z322" s="20"/>
      <c r="AA322" s="20"/>
      <c r="AB322" s="20"/>
    </row>
    <row r="323">
      <c r="A323" s="20"/>
      <c r="B323" s="117">
        <f>IFERROR(__xludf.DUMMYFUNCTION("""COMPUTED_VALUE"""),43514.0)</f>
        <v>43514</v>
      </c>
      <c r="C323" s="20">
        <f>IFERROR(__xludf.DUMMYFUNCTION("""COMPUTED_VALUE"""),2019.0)</f>
        <v>2019</v>
      </c>
      <c r="D323" s="20" t="str">
        <f>IFERROR(__xludf.DUMMYFUNCTION("""COMPUTED_VALUE"""),"Vision")</f>
        <v>Vision</v>
      </c>
      <c r="E323" s="20" t="str">
        <f>IFERROR(__xludf.DUMMYFUNCTION("""COMPUTED_VALUE"""),"Healthcare")</f>
        <v>Healthcare</v>
      </c>
      <c r="F323" s="118">
        <f>IFERROR(__xludf.DUMMYFUNCTION("""COMPUTED_VALUE"""),176.88543835220554)</f>
        <v>176.8854384</v>
      </c>
      <c r="G323" s="20">
        <f>IFERROR(__xludf.DUMMYFUNCTION("""COMPUTED_VALUE"""),871514.0)</f>
        <v>871514</v>
      </c>
      <c r="H323" s="20">
        <f>IFERROR(__xludf.DUMMYFUNCTION("""COMPUTED_VALUE"""),2.0)</f>
        <v>2</v>
      </c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121"/>
      <c r="Z323" s="20"/>
      <c r="AA323" s="20"/>
      <c r="AB323" s="20"/>
    </row>
    <row r="324">
      <c r="A324" s="20"/>
      <c r="B324" s="117">
        <f>IFERROR(__xludf.DUMMYFUNCTION("""COMPUTED_VALUE"""),43517.0)</f>
        <v>43517</v>
      </c>
      <c r="C324" s="20">
        <f>IFERROR(__xludf.DUMMYFUNCTION("""COMPUTED_VALUE"""),2019.0)</f>
        <v>2019</v>
      </c>
      <c r="D324" s="20" t="str">
        <f>IFERROR(__xludf.DUMMYFUNCTION("""COMPUTED_VALUE"""),"Groceries")</f>
        <v>Groceries</v>
      </c>
      <c r="E324" s="20" t="str">
        <f>IFERROR(__xludf.DUMMYFUNCTION("""COMPUTED_VALUE"""),"Food")</f>
        <v>Food</v>
      </c>
      <c r="F324" s="118">
        <f>IFERROR(__xludf.DUMMYFUNCTION("""COMPUTED_VALUE"""),292.84728525895895)</f>
        <v>292.8472853</v>
      </c>
      <c r="G324" s="20">
        <f>IFERROR(__xludf.DUMMYFUNCTION("""COMPUTED_VALUE"""),459271.0)</f>
        <v>459271</v>
      </c>
      <c r="H324" s="20">
        <f>IFERROR(__xludf.DUMMYFUNCTION("""COMPUTED_VALUE"""),2.0)</f>
        <v>2</v>
      </c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121"/>
      <c r="Z324" s="20"/>
      <c r="AA324" s="20"/>
      <c r="AB324" s="20"/>
    </row>
    <row r="325">
      <c r="A325" s="20"/>
      <c r="B325" s="117">
        <f>IFERROR(__xludf.DUMMYFUNCTION("""COMPUTED_VALUE"""),43520.0)</f>
        <v>43520</v>
      </c>
      <c r="C325" s="20">
        <f>IFERROR(__xludf.DUMMYFUNCTION("""COMPUTED_VALUE"""),2019.0)</f>
        <v>2019</v>
      </c>
      <c r="D325" s="20" t="str">
        <f>IFERROR(__xludf.DUMMYFUNCTION("""COMPUTED_VALUE"""),"Life")</f>
        <v>Life</v>
      </c>
      <c r="E325" s="20" t="str">
        <f>IFERROR(__xludf.DUMMYFUNCTION("""COMPUTED_VALUE"""),"Insurance")</f>
        <v>Insurance</v>
      </c>
      <c r="F325" s="118">
        <f>IFERROR(__xludf.DUMMYFUNCTION("""COMPUTED_VALUE"""),172.41968966847688)</f>
        <v>172.4196897</v>
      </c>
      <c r="G325" s="20">
        <f>IFERROR(__xludf.DUMMYFUNCTION("""COMPUTED_VALUE"""),600894.0)</f>
        <v>600894</v>
      </c>
      <c r="H325" s="20">
        <f>IFERROR(__xludf.DUMMYFUNCTION("""COMPUTED_VALUE"""),2.0)</f>
        <v>2</v>
      </c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121"/>
      <c r="Z325" s="20"/>
      <c r="AA325" s="20"/>
      <c r="AB325" s="20"/>
    </row>
    <row r="326">
      <c r="A326" s="20"/>
      <c r="B326" s="117">
        <f>IFERROR(__xludf.DUMMYFUNCTION("""COMPUTED_VALUE"""),43521.0)</f>
        <v>43521</v>
      </c>
      <c r="C326" s="20">
        <f>IFERROR(__xludf.DUMMYFUNCTION("""COMPUTED_VALUE"""),2019.0)</f>
        <v>2019</v>
      </c>
      <c r="D326" s="20" t="str">
        <f>IFERROR(__xludf.DUMMYFUNCTION("""COMPUTED_VALUE"""),"Tools")</f>
        <v>Tools</v>
      </c>
      <c r="E326" s="20" t="str">
        <f>IFERROR(__xludf.DUMMYFUNCTION("""COMPUTED_VALUE"""),"Household")</f>
        <v>Household</v>
      </c>
      <c r="F326" s="118">
        <f>IFERROR(__xludf.DUMMYFUNCTION("""COMPUTED_VALUE"""),222.40536976720827)</f>
        <v>222.4053698</v>
      </c>
      <c r="G326" s="20">
        <f>IFERROR(__xludf.DUMMYFUNCTION("""COMPUTED_VALUE"""),763138.0)</f>
        <v>763138</v>
      </c>
      <c r="H326" s="20">
        <f>IFERROR(__xludf.DUMMYFUNCTION("""COMPUTED_VALUE"""),2.0)</f>
        <v>2</v>
      </c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121"/>
      <c r="Z326" s="20"/>
      <c r="AA326" s="20"/>
      <c r="AB326" s="20"/>
    </row>
    <row r="327">
      <c r="A327" s="20"/>
      <c r="B327" s="117">
        <f>IFERROR(__xludf.DUMMYFUNCTION("""COMPUTED_VALUE"""),43522.0)</f>
        <v>43522</v>
      </c>
      <c r="C327" s="20">
        <f>IFERROR(__xludf.DUMMYFUNCTION("""COMPUTED_VALUE"""),2019.0)</f>
        <v>2019</v>
      </c>
      <c r="D327" s="20" t="str">
        <f>IFERROR(__xludf.DUMMYFUNCTION("""COMPUTED_VALUE"""),"Loan Payment")</f>
        <v>Loan Payment</v>
      </c>
      <c r="E327" s="20" t="str">
        <f>IFERROR(__xludf.DUMMYFUNCTION("""COMPUTED_VALUE"""),"Loans")</f>
        <v>Loans</v>
      </c>
      <c r="F327" s="118">
        <f>IFERROR(__xludf.DUMMYFUNCTION("""COMPUTED_VALUE"""),172.39700816181323)</f>
        <v>172.3970082</v>
      </c>
      <c r="G327" s="20">
        <f>IFERROR(__xludf.DUMMYFUNCTION("""COMPUTED_VALUE"""),658531.0)</f>
        <v>658531</v>
      </c>
      <c r="H327" s="20">
        <f>IFERROR(__xludf.DUMMYFUNCTION("""COMPUTED_VALUE"""),2.0)</f>
        <v>2</v>
      </c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121"/>
      <c r="Z327" s="20"/>
      <c r="AA327" s="20"/>
      <c r="AB327" s="20"/>
    </row>
    <row r="328">
      <c r="A328" s="20"/>
      <c r="B328" s="117">
        <f>IFERROR(__xludf.DUMMYFUNCTION("""COMPUTED_VALUE"""),43524.0)</f>
        <v>43524</v>
      </c>
      <c r="C328" s="20">
        <f>IFERROR(__xludf.DUMMYFUNCTION("""COMPUTED_VALUE"""),2019.0)</f>
        <v>2019</v>
      </c>
      <c r="D328" s="20" t="str">
        <f>IFERROR(__xludf.DUMMYFUNCTION("""COMPUTED_VALUE"""),"Entertainment")</f>
        <v>Entertainment</v>
      </c>
      <c r="E328" s="20" t="str">
        <f>IFERROR(__xludf.DUMMYFUNCTION("""COMPUTED_VALUE"""),"Vacation")</f>
        <v>Vacation</v>
      </c>
      <c r="F328" s="118">
        <f>IFERROR(__xludf.DUMMYFUNCTION("""COMPUTED_VALUE"""),363.63288082122426)</f>
        <v>363.6328808</v>
      </c>
      <c r="G328" s="20">
        <f>IFERROR(__xludf.DUMMYFUNCTION("""COMPUTED_VALUE"""),418763.0)</f>
        <v>418763</v>
      </c>
      <c r="H328" s="20">
        <f>IFERROR(__xludf.DUMMYFUNCTION("""COMPUTED_VALUE"""),2.0)</f>
        <v>2</v>
      </c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121"/>
      <c r="Z328" s="20"/>
      <c r="AA328" s="20"/>
      <c r="AB328" s="20"/>
    </row>
    <row r="329">
      <c r="A329" s="20"/>
      <c r="B329" s="117">
        <f>IFERROR(__xludf.DUMMYFUNCTION("""COMPUTED_VALUE"""),43526.0)</f>
        <v>43526</v>
      </c>
      <c r="C329" s="20">
        <f>IFERROR(__xludf.DUMMYFUNCTION("""COMPUTED_VALUE"""),2019.0)</f>
        <v>2019</v>
      </c>
      <c r="D329" s="20" t="str">
        <f>IFERROR(__xludf.DUMMYFUNCTION("""COMPUTED_VALUE"""),"Reserve funds (to set aside for planned expenses)")</f>
        <v>Reserve funds (to set aside for planned expenses)</v>
      </c>
      <c r="E329" s="20" t="str">
        <f>IFERROR(__xludf.DUMMYFUNCTION("""COMPUTED_VALUE"""),"Pet Care")</f>
        <v>Pet Care</v>
      </c>
      <c r="F329" s="118">
        <f>IFERROR(__xludf.DUMMYFUNCTION("""COMPUTED_VALUE"""),365.1294441230275)</f>
        <v>365.1294441</v>
      </c>
      <c r="G329" s="20">
        <f>IFERROR(__xludf.DUMMYFUNCTION("""COMPUTED_VALUE"""),604608.0)</f>
        <v>604608</v>
      </c>
      <c r="H329" s="20">
        <f>IFERROR(__xludf.DUMMYFUNCTION("""COMPUTED_VALUE"""),3.0)</f>
        <v>3</v>
      </c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121"/>
      <c r="Z329" s="20"/>
      <c r="AA329" s="20"/>
      <c r="AB329" s="20"/>
    </row>
    <row r="330">
      <c r="A330" s="20"/>
      <c r="B330" s="117">
        <f>IFERROR(__xludf.DUMMYFUNCTION("""COMPUTED_VALUE"""),43528.0)</f>
        <v>43528</v>
      </c>
      <c r="C330" s="20">
        <f>IFERROR(__xludf.DUMMYFUNCTION("""COMPUTED_VALUE"""),2019.0)</f>
        <v>2019</v>
      </c>
      <c r="D330" s="20" t="str">
        <f>IFERROR(__xludf.DUMMYFUNCTION("""COMPUTED_VALUE"""),"Misc. fees")</f>
        <v>Misc. fees</v>
      </c>
      <c r="E330" s="20" t="str">
        <f>IFERROR(__xludf.DUMMYFUNCTION("""COMPUTED_VALUE"""),"Education")</f>
        <v>Education</v>
      </c>
      <c r="F330" s="118">
        <f>IFERROR(__xludf.DUMMYFUNCTION("""COMPUTED_VALUE"""),76.73215097494447)</f>
        <v>76.73215097</v>
      </c>
      <c r="G330" s="20">
        <f>IFERROR(__xludf.DUMMYFUNCTION("""COMPUTED_VALUE"""),692679.0)</f>
        <v>692679</v>
      </c>
      <c r="H330" s="20">
        <f>IFERROR(__xludf.DUMMYFUNCTION("""COMPUTED_VALUE"""),3.0)</f>
        <v>3</v>
      </c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121"/>
      <c r="Z330" s="20"/>
      <c r="AA330" s="20"/>
      <c r="AB330" s="20"/>
    </row>
    <row r="331">
      <c r="A331" s="20"/>
      <c r="B331" s="117">
        <f>IFERROR(__xludf.DUMMYFUNCTION("""COMPUTED_VALUE"""),43529.0)</f>
        <v>43529</v>
      </c>
      <c r="C331" s="20">
        <f>IFERROR(__xludf.DUMMYFUNCTION("""COMPUTED_VALUE"""),2019.0)</f>
        <v>2019</v>
      </c>
      <c r="D331" s="20" t="str">
        <f>IFERROR(__xludf.DUMMYFUNCTION("""COMPUTED_VALUE"""),"Sporting goods")</f>
        <v>Sporting goods</v>
      </c>
      <c r="E331" s="20" t="str">
        <f>IFERROR(__xludf.DUMMYFUNCTION("""COMPUTED_VALUE"""),"Leisure (daily / non-vacation)")</f>
        <v>Leisure (daily / non-vacation)</v>
      </c>
      <c r="F331" s="118">
        <f>IFERROR(__xludf.DUMMYFUNCTION("""COMPUTED_VALUE"""),468.1313032493778)</f>
        <v>468.1313032</v>
      </c>
      <c r="G331" s="20">
        <f>IFERROR(__xludf.DUMMYFUNCTION("""COMPUTED_VALUE"""),877973.0)</f>
        <v>877973</v>
      </c>
      <c r="H331" s="20">
        <f>IFERROR(__xludf.DUMMYFUNCTION("""COMPUTED_VALUE"""),3.0)</f>
        <v>3</v>
      </c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121"/>
      <c r="Z331" s="20"/>
      <c r="AA331" s="20"/>
      <c r="AB331" s="20"/>
    </row>
    <row r="332">
      <c r="A332" s="20"/>
      <c r="B332" s="117">
        <f>IFERROR(__xludf.DUMMYFUNCTION("""COMPUTED_VALUE"""),43531.0)</f>
        <v>43531</v>
      </c>
      <c r="C332" s="20">
        <f>IFERROR(__xludf.DUMMYFUNCTION("""COMPUTED_VALUE"""),2019.0)</f>
        <v>2019</v>
      </c>
      <c r="D332" s="20" t="str">
        <f>IFERROR(__xludf.DUMMYFUNCTION("""COMPUTED_VALUE"""),"Magazines")</f>
        <v>Magazines</v>
      </c>
      <c r="E332" s="20" t="str">
        <f>IFERROR(__xludf.DUMMYFUNCTION("""COMPUTED_VALUE"""),"Leisure (daily / non-vacation)")</f>
        <v>Leisure (daily / non-vacation)</v>
      </c>
      <c r="F332" s="118">
        <f>IFERROR(__xludf.DUMMYFUNCTION("""COMPUTED_VALUE"""),53.43523843509459)</f>
        <v>53.43523844</v>
      </c>
      <c r="G332" s="20">
        <f>IFERROR(__xludf.DUMMYFUNCTION("""COMPUTED_VALUE"""),518403.0)</f>
        <v>518403</v>
      </c>
      <c r="H332" s="20">
        <f>IFERROR(__xludf.DUMMYFUNCTION("""COMPUTED_VALUE"""),3.0)</f>
        <v>3</v>
      </c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121"/>
      <c r="Z332" s="20"/>
      <c r="AA332" s="20"/>
      <c r="AB332" s="20"/>
    </row>
    <row r="333">
      <c r="A333" s="20"/>
      <c r="B333" s="117">
        <f>IFERROR(__xludf.DUMMYFUNCTION("""COMPUTED_VALUE"""),43533.0)</f>
        <v>43533</v>
      </c>
      <c r="C333" s="20">
        <f>IFERROR(__xludf.DUMMYFUNCTION("""COMPUTED_VALUE"""),2019.0)</f>
        <v>2019</v>
      </c>
      <c r="D333" s="20" t="str">
        <f>IFERROR(__xludf.DUMMYFUNCTION("""COMPUTED_VALUE"""),"Professional dues")</f>
        <v>Professional dues</v>
      </c>
      <c r="E333" s="20" t="str">
        <f>IFERROR(__xludf.DUMMYFUNCTION("""COMPUTED_VALUE"""),"Job expenses")</f>
        <v>Job expenses</v>
      </c>
      <c r="F333" s="118">
        <f>IFERROR(__xludf.DUMMYFUNCTION("""COMPUTED_VALUE"""),232.48972527159893)</f>
        <v>232.4897253</v>
      </c>
      <c r="G333" s="20">
        <f>IFERROR(__xludf.DUMMYFUNCTION("""COMPUTED_VALUE"""),349735.0)</f>
        <v>349735</v>
      </c>
      <c r="H333" s="20">
        <f>IFERROR(__xludf.DUMMYFUNCTION("""COMPUTED_VALUE"""),3.0)</f>
        <v>3</v>
      </c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121"/>
      <c r="Z333" s="20"/>
      <c r="AA333" s="20"/>
      <c r="AB333" s="20"/>
    </row>
    <row r="334">
      <c r="A334" s="20"/>
      <c r="B334" s="117">
        <f>IFERROR(__xludf.DUMMYFUNCTION("""COMPUTED_VALUE"""),43534.0)</f>
        <v>43534</v>
      </c>
      <c r="C334" s="20">
        <f>IFERROR(__xludf.DUMMYFUNCTION("""COMPUTED_VALUE"""),2019.0)</f>
        <v>2019</v>
      </c>
      <c r="D334" s="20" t="str">
        <f>IFERROR(__xludf.DUMMYFUNCTION("""COMPUTED_VALUE"""),"Emergency fund")</f>
        <v>Emergency fund</v>
      </c>
      <c r="E334" s="20" t="str">
        <f>IFERROR(__xludf.DUMMYFUNCTION("""COMPUTED_VALUE"""),"Pet Care")</f>
        <v>Pet Care</v>
      </c>
      <c r="F334" s="118">
        <f>IFERROR(__xludf.DUMMYFUNCTION("""COMPUTED_VALUE"""),151.01936333916512)</f>
        <v>151.0193633</v>
      </c>
      <c r="G334" s="20">
        <f>IFERROR(__xludf.DUMMYFUNCTION("""COMPUTED_VALUE"""),909724.0)</f>
        <v>909724</v>
      </c>
      <c r="H334" s="20">
        <f>IFERROR(__xludf.DUMMYFUNCTION("""COMPUTED_VALUE"""),3.0)</f>
        <v>3</v>
      </c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121"/>
      <c r="Z334" s="20"/>
      <c r="AA334" s="20"/>
      <c r="AB334" s="20"/>
    </row>
    <row r="335">
      <c r="A335" s="20"/>
      <c r="B335" s="117">
        <f>IFERROR(__xludf.DUMMYFUNCTION("""COMPUTED_VALUE"""),43537.0)</f>
        <v>43537</v>
      </c>
      <c r="C335" s="20">
        <f>IFERROR(__xludf.DUMMYFUNCTION("""COMPUTED_VALUE"""),2019.0)</f>
        <v>2019</v>
      </c>
      <c r="D335" s="20" t="str">
        <f>IFERROR(__xludf.DUMMYFUNCTION("""COMPUTED_VALUE"""),"Clothing")</f>
        <v>Clothing</v>
      </c>
      <c r="E335" s="20" t="str">
        <f>IFERROR(__xludf.DUMMYFUNCTION("""COMPUTED_VALUE"""),"Clothing")</f>
        <v>Clothing</v>
      </c>
      <c r="F335" s="118">
        <f>IFERROR(__xludf.DUMMYFUNCTION("""COMPUTED_VALUE"""),310.6614302172076)</f>
        <v>310.6614302</v>
      </c>
      <c r="G335" s="20">
        <f>IFERROR(__xludf.DUMMYFUNCTION("""COMPUTED_VALUE"""),265850.0)</f>
        <v>265850</v>
      </c>
      <c r="H335" s="20">
        <f>IFERROR(__xludf.DUMMYFUNCTION("""COMPUTED_VALUE"""),3.0)</f>
        <v>3</v>
      </c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121"/>
      <c r="Z335" s="20"/>
      <c r="AA335" s="20"/>
      <c r="AB335" s="20"/>
    </row>
    <row r="336">
      <c r="A336" s="20"/>
      <c r="B336" s="117">
        <f>IFERROR(__xludf.DUMMYFUNCTION("""COMPUTED_VALUE"""),43539.0)</f>
        <v>43539</v>
      </c>
      <c r="C336" s="20">
        <f>IFERROR(__xludf.DUMMYFUNCTION("""COMPUTED_VALUE"""),2019.0)</f>
        <v>2019</v>
      </c>
      <c r="D336" s="20" t="str">
        <f>IFERROR(__xludf.DUMMYFUNCTION("""COMPUTED_VALUE"""),"Misc. fees")</f>
        <v>Misc. fees</v>
      </c>
      <c r="E336" s="20" t="str">
        <f>IFERROR(__xludf.DUMMYFUNCTION("""COMPUTED_VALUE"""),"Education")</f>
        <v>Education</v>
      </c>
      <c r="F336" s="118">
        <f>IFERROR(__xludf.DUMMYFUNCTION("""COMPUTED_VALUE"""),376.71050248579644)</f>
        <v>376.7105025</v>
      </c>
      <c r="G336" s="20">
        <f>IFERROR(__xludf.DUMMYFUNCTION("""COMPUTED_VALUE"""),125413.0)</f>
        <v>125413</v>
      </c>
      <c r="H336" s="20">
        <f>IFERROR(__xludf.DUMMYFUNCTION("""COMPUTED_VALUE"""),3.0)</f>
        <v>3</v>
      </c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121"/>
      <c r="Z336" s="20"/>
      <c r="AA336" s="20"/>
      <c r="AB336" s="20"/>
    </row>
    <row r="337">
      <c r="A337" s="20"/>
      <c r="B337" s="117">
        <f>IFERROR(__xludf.DUMMYFUNCTION("""COMPUTED_VALUE"""),43540.0)</f>
        <v>43540</v>
      </c>
      <c r="C337" s="20">
        <f>IFERROR(__xludf.DUMMYFUNCTION("""COMPUTED_VALUE"""),2019.0)</f>
        <v>2019</v>
      </c>
      <c r="D337" s="20" t="str">
        <f>IFERROR(__xludf.DUMMYFUNCTION("""COMPUTED_VALUE"""),"Annual fee")</f>
        <v>Annual fee</v>
      </c>
      <c r="E337" s="20" t="str">
        <f>IFERROR(__xludf.DUMMYFUNCTION("""COMPUTED_VALUE"""),"Credit Card Fees")</f>
        <v>Credit Card Fees</v>
      </c>
      <c r="F337" s="118">
        <f>IFERROR(__xludf.DUMMYFUNCTION("""COMPUTED_VALUE"""),171.61692716735485)</f>
        <v>171.6169272</v>
      </c>
      <c r="G337" s="20">
        <f>IFERROR(__xludf.DUMMYFUNCTION("""COMPUTED_VALUE"""),907359.0)</f>
        <v>907359</v>
      </c>
      <c r="H337" s="20">
        <f>IFERROR(__xludf.DUMMYFUNCTION("""COMPUTED_VALUE"""),3.0)</f>
        <v>3</v>
      </c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121"/>
      <c r="Z337" s="20"/>
      <c r="AA337" s="20"/>
      <c r="AB337" s="20"/>
    </row>
    <row r="338">
      <c r="A338" s="20"/>
      <c r="B338" s="117">
        <f>IFERROR(__xludf.DUMMYFUNCTION("""COMPUTED_VALUE"""),43543.0)</f>
        <v>43543</v>
      </c>
      <c r="C338" s="20">
        <f>IFERROR(__xludf.DUMMYFUNCTION("""COMPUTED_VALUE"""),2019.0)</f>
        <v>2019</v>
      </c>
      <c r="D338" s="20" t="str">
        <f>IFERROR(__xludf.DUMMYFUNCTION("""COMPUTED_VALUE"""),"Rent / Mortgage payment")</f>
        <v>Rent / Mortgage payment</v>
      </c>
      <c r="E338" s="20" t="str">
        <f>IFERROR(__xludf.DUMMYFUNCTION("""COMPUTED_VALUE"""),"Household")</f>
        <v>Household</v>
      </c>
      <c r="F338" s="118">
        <f>IFERROR(__xludf.DUMMYFUNCTION("""COMPUTED_VALUE"""),431.03559664325894)</f>
        <v>431.0355966</v>
      </c>
      <c r="G338" s="20">
        <f>IFERROR(__xludf.DUMMYFUNCTION("""COMPUTED_VALUE"""),434423.0)</f>
        <v>434423</v>
      </c>
      <c r="H338" s="20">
        <f>IFERROR(__xludf.DUMMYFUNCTION("""COMPUTED_VALUE"""),3.0)</f>
        <v>3</v>
      </c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121"/>
      <c r="Z338" s="20"/>
      <c r="AA338" s="20"/>
      <c r="AB338" s="20"/>
    </row>
    <row r="339">
      <c r="A339" s="20"/>
      <c r="B339" s="117">
        <f>IFERROR(__xludf.DUMMYFUNCTION("""COMPUTED_VALUE"""),43545.0)</f>
        <v>43545</v>
      </c>
      <c r="C339" s="20">
        <f>IFERROR(__xludf.DUMMYFUNCTION("""COMPUTED_VALUE"""),2019.0)</f>
        <v>2019</v>
      </c>
      <c r="D339" s="20" t="str">
        <f>IFERROR(__xludf.DUMMYFUNCTION("""COMPUTED_VALUE"""),"Clothing")</f>
        <v>Clothing</v>
      </c>
      <c r="E339" s="20" t="str">
        <f>IFERROR(__xludf.DUMMYFUNCTION("""COMPUTED_VALUE"""),"Clothing")</f>
        <v>Clothing</v>
      </c>
      <c r="F339" s="118">
        <f>IFERROR(__xludf.DUMMYFUNCTION("""COMPUTED_VALUE"""),497.13336370460456)</f>
        <v>497.1333637</v>
      </c>
      <c r="G339" s="20">
        <f>IFERROR(__xludf.DUMMYFUNCTION("""COMPUTED_VALUE"""),794661.0)</f>
        <v>794661</v>
      </c>
      <c r="H339" s="20">
        <f>IFERROR(__xludf.DUMMYFUNCTION("""COMPUTED_VALUE"""),3.0)</f>
        <v>3</v>
      </c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121"/>
      <c r="Z339" s="20"/>
      <c r="AA339" s="20"/>
      <c r="AB339" s="20"/>
    </row>
    <row r="340">
      <c r="A340" s="20"/>
      <c r="B340" s="117">
        <f>IFERROR(__xludf.DUMMYFUNCTION("""COMPUTED_VALUE"""),43549.0)</f>
        <v>43549</v>
      </c>
      <c r="C340" s="20">
        <f>IFERROR(__xludf.DUMMYFUNCTION("""COMPUTED_VALUE"""),2019.0)</f>
        <v>2019</v>
      </c>
      <c r="D340" s="20" t="str">
        <f>IFERROR(__xludf.DUMMYFUNCTION("""COMPUTED_VALUE"""),"Reserve funds (to set aside for planned expenses)")</f>
        <v>Reserve funds (to set aside for planned expenses)</v>
      </c>
      <c r="E340" s="20" t="str">
        <f>IFERROR(__xludf.DUMMYFUNCTION("""COMPUTED_VALUE"""),"Pet Care")</f>
        <v>Pet Care</v>
      </c>
      <c r="F340" s="118">
        <f>IFERROR(__xludf.DUMMYFUNCTION("""COMPUTED_VALUE"""),490.3918346045156)</f>
        <v>490.3918346</v>
      </c>
      <c r="G340" s="20">
        <f>IFERROR(__xludf.DUMMYFUNCTION("""COMPUTED_VALUE"""),836052.0)</f>
        <v>836052</v>
      </c>
      <c r="H340" s="20">
        <f>IFERROR(__xludf.DUMMYFUNCTION("""COMPUTED_VALUE"""),3.0)</f>
        <v>3</v>
      </c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121"/>
      <c r="Z340" s="20"/>
      <c r="AA340" s="20"/>
      <c r="AB340" s="20"/>
    </row>
    <row r="341">
      <c r="A341" s="20"/>
      <c r="B341" s="117">
        <f>IFERROR(__xludf.DUMMYFUNCTION("""COMPUTED_VALUE"""),43552.0)</f>
        <v>43552</v>
      </c>
      <c r="C341" s="20">
        <f>IFERROR(__xludf.DUMMYFUNCTION("""COMPUTED_VALUE"""),2019.0)</f>
        <v>2019</v>
      </c>
      <c r="D341" s="20" t="str">
        <f>IFERROR(__xludf.DUMMYFUNCTION("""COMPUTED_VALUE"""),"School supplies")</f>
        <v>School supplies</v>
      </c>
      <c r="E341" s="20" t="str">
        <f>IFERROR(__xludf.DUMMYFUNCTION("""COMPUTED_VALUE"""),"Education")</f>
        <v>Education</v>
      </c>
      <c r="F341" s="118">
        <f>IFERROR(__xludf.DUMMYFUNCTION("""COMPUTED_VALUE"""),332.82332679610784)</f>
        <v>332.8233268</v>
      </c>
      <c r="G341" s="20">
        <f>IFERROR(__xludf.DUMMYFUNCTION("""COMPUTED_VALUE"""),405655.0)</f>
        <v>405655</v>
      </c>
      <c r="H341" s="20">
        <f>IFERROR(__xludf.DUMMYFUNCTION("""COMPUTED_VALUE"""),3.0)</f>
        <v>3</v>
      </c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121"/>
      <c r="Z341" s="20"/>
      <c r="AA341" s="20"/>
      <c r="AB341" s="20"/>
    </row>
    <row r="342">
      <c r="A342" s="20"/>
      <c r="B342" s="117">
        <f>IFERROR(__xludf.DUMMYFUNCTION("""COMPUTED_VALUE"""),43553.0)</f>
        <v>43553</v>
      </c>
      <c r="C342" s="20">
        <f>IFERROR(__xludf.DUMMYFUNCTION("""COMPUTED_VALUE"""),2019.0)</f>
        <v>2019</v>
      </c>
      <c r="D342" s="20" t="str">
        <f>IFERROR(__xludf.DUMMYFUNCTION("""COMPUTED_VALUE"""),"Finance charge")</f>
        <v>Finance charge</v>
      </c>
      <c r="E342" s="20" t="str">
        <f>IFERROR(__xludf.DUMMYFUNCTION("""COMPUTED_VALUE"""),"Credit Card Fees")</f>
        <v>Credit Card Fees</v>
      </c>
      <c r="F342" s="118">
        <f>IFERROR(__xludf.DUMMYFUNCTION("""COMPUTED_VALUE"""),234.21573419593176)</f>
        <v>234.2157342</v>
      </c>
      <c r="G342" s="20">
        <f>IFERROR(__xludf.DUMMYFUNCTION("""COMPUTED_VALUE"""),375032.0)</f>
        <v>375032</v>
      </c>
      <c r="H342" s="20">
        <f>IFERROR(__xludf.DUMMYFUNCTION("""COMPUTED_VALUE"""),3.0)</f>
        <v>3</v>
      </c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121"/>
      <c r="Z342" s="20"/>
      <c r="AA342" s="20"/>
      <c r="AB342" s="20"/>
    </row>
    <row r="343">
      <c r="A343" s="20"/>
      <c r="B343" s="117">
        <f>IFERROR(__xludf.DUMMYFUNCTION("""COMPUTED_VALUE"""),43557.0)</f>
        <v>43557</v>
      </c>
      <c r="C343" s="20">
        <f>IFERROR(__xludf.DUMMYFUNCTION("""COMPUTED_VALUE"""),2019.0)</f>
        <v>2019</v>
      </c>
      <c r="D343" s="20" t="str">
        <f>IFERROR(__xludf.DUMMYFUNCTION("""COMPUTED_VALUE"""),"Water")</f>
        <v>Water</v>
      </c>
      <c r="E343" s="20" t="str">
        <f>IFERROR(__xludf.DUMMYFUNCTION("""COMPUTED_VALUE"""),"Utilities")</f>
        <v>Utilities</v>
      </c>
      <c r="F343" s="118">
        <f>IFERROR(__xludf.DUMMYFUNCTION("""COMPUTED_VALUE"""),463.17928869849095)</f>
        <v>463.1792887</v>
      </c>
      <c r="G343" s="20">
        <f>IFERROR(__xludf.DUMMYFUNCTION("""COMPUTED_VALUE"""),740681.0)</f>
        <v>740681</v>
      </c>
      <c r="H343" s="20">
        <f>IFERROR(__xludf.DUMMYFUNCTION("""COMPUTED_VALUE"""),4.0)</f>
        <v>4</v>
      </c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121"/>
      <c r="Z343" s="20"/>
      <c r="AA343" s="20"/>
      <c r="AB343" s="20"/>
    </row>
    <row r="344">
      <c r="A344" s="20"/>
      <c r="B344" s="117">
        <f>IFERROR(__xludf.DUMMYFUNCTION("""COMPUTED_VALUE"""),43561.0)</f>
        <v>43561</v>
      </c>
      <c r="C344" s="20">
        <f>IFERROR(__xludf.DUMMYFUNCTION("""COMPUTED_VALUE"""),2019.0)</f>
        <v>2019</v>
      </c>
      <c r="D344" s="20" t="str">
        <f>IFERROR(__xludf.DUMMYFUNCTION("""COMPUTED_VALUE"""),"Late fee")</f>
        <v>Late fee</v>
      </c>
      <c r="E344" s="20" t="str">
        <f>IFERROR(__xludf.DUMMYFUNCTION("""COMPUTED_VALUE"""),"Credit Card Fees")</f>
        <v>Credit Card Fees</v>
      </c>
      <c r="F344" s="118">
        <f>IFERROR(__xludf.DUMMYFUNCTION("""COMPUTED_VALUE"""),129.65524942499366)</f>
        <v>129.6552494</v>
      </c>
      <c r="G344" s="20">
        <f>IFERROR(__xludf.DUMMYFUNCTION("""COMPUTED_VALUE"""),569480.0)</f>
        <v>569480</v>
      </c>
      <c r="H344" s="20">
        <f>IFERROR(__xludf.DUMMYFUNCTION("""COMPUTED_VALUE"""),4.0)</f>
        <v>4</v>
      </c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121"/>
      <c r="Z344" s="20"/>
      <c r="AA344" s="20"/>
      <c r="AB344" s="20"/>
    </row>
    <row r="345">
      <c r="A345" s="20"/>
      <c r="B345" s="117">
        <f>IFERROR(__xludf.DUMMYFUNCTION("""COMPUTED_VALUE"""),43564.0)</f>
        <v>43564</v>
      </c>
      <c r="C345" s="20">
        <f>IFERROR(__xludf.DUMMYFUNCTION("""COMPUTED_VALUE"""),2019.0)</f>
        <v>2019</v>
      </c>
      <c r="D345" s="20" t="str">
        <f>IFERROR(__xludf.DUMMYFUNCTION("""COMPUTED_VALUE"""),"Local")</f>
        <v>Local</v>
      </c>
      <c r="E345" s="20" t="str">
        <f>IFERROR(__xludf.DUMMYFUNCTION("""COMPUTED_VALUE"""),"Taxes")</f>
        <v>Taxes</v>
      </c>
      <c r="F345" s="118">
        <f>IFERROR(__xludf.DUMMYFUNCTION("""COMPUTED_VALUE"""),137.51202432427033)</f>
        <v>137.5120243</v>
      </c>
      <c r="G345" s="20">
        <f>IFERROR(__xludf.DUMMYFUNCTION("""COMPUTED_VALUE"""),981688.0)</f>
        <v>981688</v>
      </c>
      <c r="H345" s="20">
        <f>IFERROR(__xludf.DUMMYFUNCTION("""COMPUTED_VALUE"""),4.0)</f>
        <v>4</v>
      </c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121"/>
      <c r="Z345" s="20"/>
      <c r="AA345" s="20"/>
      <c r="AB345" s="20"/>
    </row>
    <row r="346">
      <c r="A346" s="20"/>
      <c r="B346" s="117">
        <f>IFERROR(__xludf.DUMMYFUNCTION("""COMPUTED_VALUE"""),43567.0)</f>
        <v>43567</v>
      </c>
      <c r="C346" s="20">
        <f>IFERROR(__xludf.DUMMYFUNCTION("""COMPUTED_VALUE"""),2019.0)</f>
        <v>2019</v>
      </c>
      <c r="D346" s="20" t="str">
        <f>IFERROR(__xludf.DUMMYFUNCTION("""COMPUTED_VALUE"""),"Rewards programs")</f>
        <v>Rewards programs</v>
      </c>
      <c r="E346" s="20" t="str">
        <f>IFERROR(__xludf.DUMMYFUNCTION("""COMPUTED_VALUE"""),"Credit Card Fees")</f>
        <v>Credit Card Fees</v>
      </c>
      <c r="F346" s="118">
        <f>IFERROR(__xludf.DUMMYFUNCTION("""COMPUTED_VALUE"""),488.5748902659579)</f>
        <v>488.5748903</v>
      </c>
      <c r="G346" s="20">
        <f>IFERROR(__xludf.DUMMYFUNCTION("""COMPUTED_VALUE"""),322358.0)</f>
        <v>322358</v>
      </c>
      <c r="H346" s="20">
        <f>IFERROR(__xludf.DUMMYFUNCTION("""COMPUTED_VALUE"""),4.0)</f>
        <v>4</v>
      </c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121"/>
      <c r="Z346" s="20"/>
      <c r="AA346" s="20"/>
      <c r="AB346" s="20"/>
    </row>
    <row r="347">
      <c r="A347" s="20"/>
      <c r="B347" s="117">
        <f>IFERROR(__xludf.DUMMYFUNCTION("""COMPUTED_VALUE"""),43570.0)</f>
        <v>43570</v>
      </c>
      <c r="C347" s="20">
        <f>IFERROR(__xludf.DUMMYFUNCTION("""COMPUTED_VALUE"""),2019.0)</f>
        <v>2019</v>
      </c>
      <c r="D347" s="20" t="str">
        <f>IFERROR(__xludf.DUMMYFUNCTION("""COMPUTED_VALUE"""),"Vision")</f>
        <v>Vision</v>
      </c>
      <c r="E347" s="20" t="str">
        <f>IFERROR(__xludf.DUMMYFUNCTION("""COMPUTED_VALUE"""),"Healthcare")</f>
        <v>Healthcare</v>
      </c>
      <c r="F347" s="118">
        <f>IFERROR(__xludf.DUMMYFUNCTION("""COMPUTED_VALUE"""),15.166209210827425)</f>
        <v>15.16620921</v>
      </c>
      <c r="G347" s="20">
        <f>IFERROR(__xludf.DUMMYFUNCTION("""COMPUTED_VALUE"""),973534.0)</f>
        <v>973534</v>
      </c>
      <c r="H347" s="20">
        <f>IFERROR(__xludf.DUMMYFUNCTION("""COMPUTED_VALUE"""),4.0)</f>
        <v>4</v>
      </c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121"/>
      <c r="Z347" s="20"/>
      <c r="AA347" s="20"/>
      <c r="AB347" s="20"/>
    </row>
    <row r="348">
      <c r="A348" s="20"/>
      <c r="B348" s="117">
        <f>IFERROR(__xludf.DUMMYFUNCTION("""COMPUTED_VALUE"""),43571.0)</f>
        <v>43571</v>
      </c>
      <c r="C348" s="20">
        <f>IFERROR(__xludf.DUMMYFUNCTION("""COMPUTED_VALUE"""),2019.0)</f>
        <v>2019</v>
      </c>
      <c r="D348" s="20" t="str">
        <f>IFERROR(__xludf.DUMMYFUNCTION("""COMPUTED_VALUE"""),"Late fee")</f>
        <v>Late fee</v>
      </c>
      <c r="E348" s="20" t="str">
        <f>IFERROR(__xludf.DUMMYFUNCTION("""COMPUTED_VALUE"""),"Credit Card Fees")</f>
        <v>Credit Card Fees</v>
      </c>
      <c r="F348" s="118">
        <f>IFERROR(__xludf.DUMMYFUNCTION("""COMPUTED_VALUE"""),452.0568492279259)</f>
        <v>452.0568492</v>
      </c>
      <c r="G348" s="20">
        <f>IFERROR(__xludf.DUMMYFUNCTION("""COMPUTED_VALUE"""),792659.0)</f>
        <v>792659</v>
      </c>
      <c r="H348" s="20">
        <f>IFERROR(__xludf.DUMMYFUNCTION("""COMPUTED_VALUE"""),4.0)</f>
        <v>4</v>
      </c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121"/>
      <c r="Z348" s="20"/>
      <c r="AA348" s="20"/>
      <c r="AB348" s="20"/>
    </row>
    <row r="349">
      <c r="A349" s="20"/>
      <c r="B349" s="117">
        <f>IFERROR(__xludf.DUMMYFUNCTION("""COMPUTED_VALUE"""),43574.0)</f>
        <v>43574</v>
      </c>
      <c r="C349" s="20">
        <f>IFERROR(__xludf.DUMMYFUNCTION("""COMPUTED_VALUE"""),2019.0)</f>
        <v>2019</v>
      </c>
      <c r="D349" s="20" t="str">
        <f>IFERROR(__xludf.DUMMYFUNCTION("""COMPUTED_VALUE"""),"Television (e.g. cable, satellite, etc.)")</f>
        <v>Television (e.g. cable, satellite, etc.)</v>
      </c>
      <c r="E349" s="20" t="str">
        <f>IFERROR(__xludf.DUMMYFUNCTION("""COMPUTED_VALUE"""),"Utilities")</f>
        <v>Utilities</v>
      </c>
      <c r="F349" s="118">
        <f>IFERROR(__xludf.DUMMYFUNCTION("""COMPUTED_VALUE"""),14.807540318369297)</f>
        <v>14.80754032</v>
      </c>
      <c r="G349" s="20">
        <f>IFERROR(__xludf.DUMMYFUNCTION("""COMPUTED_VALUE"""),824063.0)</f>
        <v>824063</v>
      </c>
      <c r="H349" s="20">
        <f>IFERROR(__xludf.DUMMYFUNCTION("""COMPUTED_VALUE"""),4.0)</f>
        <v>4</v>
      </c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121"/>
      <c r="Z349" s="20"/>
      <c r="AA349" s="20"/>
      <c r="AB349" s="20"/>
    </row>
    <row r="350">
      <c r="A350" s="20"/>
      <c r="B350" s="117">
        <f>IFERROR(__xludf.DUMMYFUNCTION("""COMPUTED_VALUE"""),43576.0)</f>
        <v>43576</v>
      </c>
      <c r="C350" s="20">
        <f>IFERROR(__xludf.DUMMYFUNCTION("""COMPUTED_VALUE"""),2019.0)</f>
        <v>2019</v>
      </c>
      <c r="D350" s="20" t="str">
        <f>IFERROR(__xludf.DUMMYFUNCTION("""COMPUTED_VALUE"""),"Tools")</f>
        <v>Tools</v>
      </c>
      <c r="E350" s="20" t="str">
        <f>IFERROR(__xludf.DUMMYFUNCTION("""COMPUTED_VALUE"""),"Household")</f>
        <v>Household</v>
      </c>
      <c r="F350" s="118">
        <f>IFERROR(__xludf.DUMMYFUNCTION("""COMPUTED_VALUE"""),110.30038730426956)</f>
        <v>110.3003873</v>
      </c>
      <c r="G350" s="20">
        <f>IFERROR(__xludf.DUMMYFUNCTION("""COMPUTED_VALUE"""),458868.0)</f>
        <v>458868</v>
      </c>
      <c r="H350" s="20">
        <f>IFERROR(__xludf.DUMMYFUNCTION("""COMPUTED_VALUE"""),4.0)</f>
        <v>4</v>
      </c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121"/>
      <c r="Z350" s="20"/>
      <c r="AA350" s="20"/>
      <c r="AB350" s="20"/>
    </row>
    <row r="351">
      <c r="A351" s="20"/>
      <c r="B351" s="117">
        <f>IFERROR(__xludf.DUMMYFUNCTION("""COMPUTED_VALUE"""),43577.0)</f>
        <v>43577</v>
      </c>
      <c r="C351" s="20">
        <f>IFERROR(__xludf.DUMMYFUNCTION("""COMPUTED_VALUE"""),2019.0)</f>
        <v>2019</v>
      </c>
      <c r="D351" s="20" t="str">
        <f>IFERROR(__xludf.DUMMYFUNCTION("""COMPUTED_VALUE"""),"Auto loan payment")</f>
        <v>Auto loan payment</v>
      </c>
      <c r="E351" s="20" t="str">
        <f>IFERROR(__xludf.DUMMYFUNCTION("""COMPUTED_VALUE"""),"Automobile")</f>
        <v>Automobile</v>
      </c>
      <c r="F351" s="118">
        <f>IFERROR(__xludf.DUMMYFUNCTION("""COMPUTED_VALUE"""),278.8931042501773)</f>
        <v>278.8931043</v>
      </c>
      <c r="G351" s="20">
        <f>IFERROR(__xludf.DUMMYFUNCTION("""COMPUTED_VALUE"""),231867.0)</f>
        <v>231867</v>
      </c>
      <c r="H351" s="20">
        <f>IFERROR(__xludf.DUMMYFUNCTION("""COMPUTED_VALUE"""),4.0)</f>
        <v>4</v>
      </c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121"/>
      <c r="Z351" s="20"/>
      <c r="AA351" s="20"/>
      <c r="AB351" s="20"/>
    </row>
    <row r="352">
      <c r="A352" s="20"/>
      <c r="B352" s="117">
        <f>IFERROR(__xludf.DUMMYFUNCTION("""COMPUTED_VALUE"""),43581.0)</f>
        <v>43581</v>
      </c>
      <c r="C352" s="20">
        <f>IFERROR(__xludf.DUMMYFUNCTION("""COMPUTED_VALUE"""),2019.0)</f>
        <v>2019</v>
      </c>
      <c r="D352" s="20" t="str">
        <f>IFERROR(__xludf.DUMMYFUNCTION("""COMPUTED_VALUE"""),"Moving")</f>
        <v>Moving</v>
      </c>
      <c r="E352" s="20" t="str">
        <f>IFERROR(__xludf.DUMMYFUNCTION("""COMPUTED_VALUE"""),"Events")</f>
        <v>Events</v>
      </c>
      <c r="F352" s="118">
        <f>IFERROR(__xludf.DUMMYFUNCTION("""COMPUTED_VALUE"""),465.9672389006365)</f>
        <v>465.9672389</v>
      </c>
      <c r="G352" s="20">
        <f>IFERROR(__xludf.DUMMYFUNCTION("""COMPUTED_VALUE"""),857927.0)</f>
        <v>857927</v>
      </c>
      <c r="H352" s="20">
        <f>IFERROR(__xludf.DUMMYFUNCTION("""COMPUTED_VALUE"""),4.0)</f>
        <v>4</v>
      </c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121"/>
      <c r="Z352" s="20"/>
      <c r="AA352" s="20"/>
      <c r="AB352" s="20"/>
    </row>
    <row r="353">
      <c r="A353" s="20"/>
      <c r="B353" s="117">
        <f>IFERROR(__xludf.DUMMYFUNCTION("""COMPUTED_VALUE"""),43582.0)</f>
        <v>43582</v>
      </c>
      <c r="C353" s="20">
        <f>IFERROR(__xludf.DUMMYFUNCTION("""COMPUTED_VALUE"""),2019.0)</f>
        <v>2019</v>
      </c>
      <c r="D353" s="20" t="str">
        <f>IFERROR(__xludf.DUMMYFUNCTION("""COMPUTED_VALUE"""),"Long term care")</f>
        <v>Long term care</v>
      </c>
      <c r="E353" s="20" t="str">
        <f>IFERROR(__xludf.DUMMYFUNCTION("""COMPUTED_VALUE"""),"Insurance")</f>
        <v>Insurance</v>
      </c>
      <c r="F353" s="118">
        <f>IFERROR(__xludf.DUMMYFUNCTION("""COMPUTED_VALUE"""),217.66035082063902)</f>
        <v>217.6603508</v>
      </c>
      <c r="G353" s="20">
        <f>IFERROR(__xludf.DUMMYFUNCTION("""COMPUTED_VALUE"""),819359.0)</f>
        <v>819359</v>
      </c>
      <c r="H353" s="20">
        <f>IFERROR(__xludf.DUMMYFUNCTION("""COMPUTED_VALUE"""),4.0)</f>
        <v>4</v>
      </c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121"/>
      <c r="Z353" s="20"/>
      <c r="AA353" s="20"/>
      <c r="AB353" s="20"/>
    </row>
    <row r="354">
      <c r="A354" s="20"/>
      <c r="B354" s="117">
        <f>IFERROR(__xludf.DUMMYFUNCTION("""COMPUTED_VALUE"""),43586.0)</f>
        <v>43586</v>
      </c>
      <c r="C354" s="20">
        <f>IFERROR(__xludf.DUMMYFUNCTION("""COMPUTED_VALUE"""),2019.0)</f>
        <v>2019</v>
      </c>
      <c r="D354" s="20" t="str">
        <f>IFERROR(__xludf.DUMMYFUNCTION("""COMPUTED_VALUE"""),"Holiday")</f>
        <v>Holiday</v>
      </c>
      <c r="E354" s="20" t="str">
        <f>IFERROR(__xludf.DUMMYFUNCTION("""COMPUTED_VALUE"""),"Gifts")</f>
        <v>Gifts</v>
      </c>
      <c r="F354" s="118">
        <f>IFERROR(__xludf.DUMMYFUNCTION("""COMPUTED_VALUE"""),145.5725538462806)</f>
        <v>145.5725538</v>
      </c>
      <c r="G354" s="20">
        <f>IFERROR(__xludf.DUMMYFUNCTION("""COMPUTED_VALUE"""),441717.0)</f>
        <v>441717</v>
      </c>
      <c r="H354" s="20">
        <f>IFERROR(__xludf.DUMMYFUNCTION("""COMPUTED_VALUE"""),5.0)</f>
        <v>5</v>
      </c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121"/>
      <c r="Z354" s="20"/>
      <c r="AA354" s="20"/>
      <c r="AB354" s="20"/>
    </row>
    <row r="355">
      <c r="A355" s="20"/>
      <c r="B355" s="117">
        <f>IFERROR(__xludf.DUMMYFUNCTION("""COMPUTED_VALUE"""),43589.0)</f>
        <v>43589</v>
      </c>
      <c r="C355" s="20">
        <f>IFERROR(__xludf.DUMMYFUNCTION("""COMPUTED_VALUE"""),2019.0)</f>
        <v>2019</v>
      </c>
      <c r="D355" s="20" t="str">
        <f>IFERROR(__xludf.DUMMYFUNCTION("""COMPUTED_VALUE"""),"Baby shower")</f>
        <v>Baby shower</v>
      </c>
      <c r="E355" s="20" t="str">
        <f>IFERROR(__xludf.DUMMYFUNCTION("""COMPUTED_VALUE"""),"Gifts")</f>
        <v>Gifts</v>
      </c>
      <c r="F355" s="118">
        <f>IFERROR(__xludf.DUMMYFUNCTION("""COMPUTED_VALUE"""),474.09991230161876)</f>
        <v>474.0999123</v>
      </c>
      <c r="G355" s="20">
        <f>IFERROR(__xludf.DUMMYFUNCTION("""COMPUTED_VALUE"""),469814.0)</f>
        <v>469814</v>
      </c>
      <c r="H355" s="20">
        <f>IFERROR(__xludf.DUMMYFUNCTION("""COMPUTED_VALUE"""),5.0)</f>
        <v>5</v>
      </c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121"/>
      <c r="Z355" s="20"/>
      <c r="AA355" s="20"/>
      <c r="AB355" s="20"/>
    </row>
    <row r="356">
      <c r="A356" s="20"/>
      <c r="B356" s="117">
        <f>IFERROR(__xludf.DUMMYFUNCTION("""COMPUTED_VALUE"""),43593.0)</f>
        <v>43593</v>
      </c>
      <c r="C356" s="20">
        <f>IFERROR(__xludf.DUMMYFUNCTION("""COMPUTED_VALUE"""),2019.0)</f>
        <v>2019</v>
      </c>
      <c r="D356" s="20" t="str">
        <f>IFERROR(__xludf.DUMMYFUNCTION("""COMPUTED_VALUE"""),"Late fee")</f>
        <v>Late fee</v>
      </c>
      <c r="E356" s="20" t="str">
        <f>IFERROR(__xludf.DUMMYFUNCTION("""COMPUTED_VALUE"""),"Credit Card Fees")</f>
        <v>Credit Card Fees</v>
      </c>
      <c r="F356" s="118">
        <f>IFERROR(__xludf.DUMMYFUNCTION("""COMPUTED_VALUE"""),48.47890212168973)</f>
        <v>48.47890212</v>
      </c>
      <c r="G356" s="20">
        <f>IFERROR(__xludf.DUMMYFUNCTION("""COMPUTED_VALUE"""),169008.0)</f>
        <v>169008</v>
      </c>
      <c r="H356" s="20">
        <f>IFERROR(__xludf.DUMMYFUNCTION("""COMPUTED_VALUE"""),5.0)</f>
        <v>5</v>
      </c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121"/>
      <c r="Z356" s="20"/>
      <c r="AA356" s="20"/>
      <c r="AB356" s="20"/>
    </row>
    <row r="357">
      <c r="A357" s="20"/>
      <c r="B357" s="117">
        <f>IFERROR(__xludf.DUMMYFUNCTION("""COMPUTED_VALUE"""),43594.0)</f>
        <v>43594</v>
      </c>
      <c r="C357" s="20">
        <f>IFERROR(__xludf.DUMMYFUNCTION("""COMPUTED_VALUE"""),2019.0)</f>
        <v>2019</v>
      </c>
      <c r="D357" s="20" t="str">
        <f>IFERROR(__xludf.DUMMYFUNCTION("""COMPUTED_VALUE"""),"Investments")</f>
        <v>Investments</v>
      </c>
      <c r="E357" s="20" t="str">
        <f>IFERROR(__xludf.DUMMYFUNCTION("""COMPUTED_VALUE"""),"Pet Care")</f>
        <v>Pet Care</v>
      </c>
      <c r="F357" s="118">
        <f>IFERROR(__xludf.DUMMYFUNCTION("""COMPUTED_VALUE"""),34.413641675570645)</f>
        <v>34.41364168</v>
      </c>
      <c r="G357" s="20">
        <f>IFERROR(__xludf.DUMMYFUNCTION("""COMPUTED_VALUE"""),243881.0)</f>
        <v>243881</v>
      </c>
      <c r="H357" s="20">
        <f>IFERROR(__xludf.DUMMYFUNCTION("""COMPUTED_VALUE"""),5.0)</f>
        <v>5</v>
      </c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121"/>
      <c r="Z357" s="20"/>
      <c r="AA357" s="20"/>
      <c r="AB357" s="20"/>
    </row>
    <row r="358">
      <c r="A358" s="20"/>
      <c r="B358" s="117">
        <f>IFERROR(__xludf.DUMMYFUNCTION("""COMPUTED_VALUE"""),43596.0)</f>
        <v>43596</v>
      </c>
      <c r="C358" s="20">
        <f>IFERROR(__xludf.DUMMYFUNCTION("""COMPUTED_VALUE"""),2019.0)</f>
        <v>2019</v>
      </c>
      <c r="D358" s="20" t="str">
        <f>IFERROR(__xludf.DUMMYFUNCTION("""COMPUTED_VALUE"""),"Hospital")</f>
        <v>Hospital</v>
      </c>
      <c r="E358" s="20" t="str">
        <f>IFERROR(__xludf.DUMMYFUNCTION("""COMPUTED_VALUE"""),"Healthcare")</f>
        <v>Healthcare</v>
      </c>
      <c r="F358" s="118">
        <f>IFERROR(__xludf.DUMMYFUNCTION("""COMPUTED_VALUE"""),481.4151244381)</f>
        <v>481.4151244</v>
      </c>
      <c r="G358" s="20">
        <f>IFERROR(__xludf.DUMMYFUNCTION("""COMPUTED_VALUE"""),973312.0)</f>
        <v>973312</v>
      </c>
      <c r="H358" s="20">
        <f>IFERROR(__xludf.DUMMYFUNCTION("""COMPUTED_VALUE"""),5.0)</f>
        <v>5</v>
      </c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121"/>
      <c r="Z358" s="20"/>
      <c r="AA358" s="20"/>
      <c r="AB358" s="20"/>
    </row>
    <row r="359">
      <c r="A359" s="20"/>
      <c r="B359" s="117">
        <f>IFERROR(__xludf.DUMMYFUNCTION("""COMPUTED_VALUE"""),43597.0)</f>
        <v>43597</v>
      </c>
      <c r="C359" s="20">
        <f>IFERROR(__xludf.DUMMYFUNCTION("""COMPUTED_VALUE"""),2019.0)</f>
        <v>2019</v>
      </c>
      <c r="D359" s="20" t="str">
        <f>IFERROR(__xludf.DUMMYFUNCTION("""COMPUTED_VALUE"""),"Holiday")</f>
        <v>Holiday</v>
      </c>
      <c r="E359" s="20" t="str">
        <f>IFERROR(__xludf.DUMMYFUNCTION("""COMPUTED_VALUE"""),"Gifts")</f>
        <v>Gifts</v>
      </c>
      <c r="F359" s="118">
        <f>IFERROR(__xludf.DUMMYFUNCTION("""COMPUTED_VALUE"""),65.40162586075836)</f>
        <v>65.40162586</v>
      </c>
      <c r="G359" s="20">
        <f>IFERROR(__xludf.DUMMYFUNCTION("""COMPUTED_VALUE"""),620329.0)</f>
        <v>620329</v>
      </c>
      <c r="H359" s="20">
        <f>IFERROR(__xludf.DUMMYFUNCTION("""COMPUTED_VALUE"""),5.0)</f>
        <v>5</v>
      </c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121"/>
      <c r="Z359" s="20"/>
      <c r="AA359" s="20"/>
      <c r="AB359" s="20"/>
    </row>
    <row r="360">
      <c r="A360" s="20"/>
      <c r="B360" s="117">
        <f>IFERROR(__xludf.DUMMYFUNCTION("""COMPUTED_VALUE"""),43598.0)</f>
        <v>43598</v>
      </c>
      <c r="C360" s="20">
        <f>IFERROR(__xludf.DUMMYFUNCTION("""COMPUTED_VALUE"""),2019.0)</f>
        <v>2019</v>
      </c>
      <c r="D360" s="20" t="str">
        <f>IFERROR(__xludf.DUMMYFUNCTION("""COMPUTED_VALUE"""),"Registration fees")</f>
        <v>Registration fees</v>
      </c>
      <c r="E360" s="20" t="str">
        <f>IFERROR(__xludf.DUMMYFUNCTION("""COMPUTED_VALUE"""),"Automobile")</f>
        <v>Automobile</v>
      </c>
      <c r="F360" s="118">
        <f>IFERROR(__xludf.DUMMYFUNCTION("""COMPUTED_VALUE"""),102.21232041398036)</f>
        <v>102.2123204</v>
      </c>
      <c r="G360" s="20">
        <f>IFERROR(__xludf.DUMMYFUNCTION("""COMPUTED_VALUE"""),390877.0)</f>
        <v>390877</v>
      </c>
      <c r="H360" s="20">
        <f>IFERROR(__xludf.DUMMYFUNCTION("""COMPUTED_VALUE"""),5.0)</f>
        <v>5</v>
      </c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121"/>
      <c r="Z360" s="20"/>
      <c r="AA360" s="20"/>
      <c r="AB360" s="20"/>
    </row>
    <row r="361">
      <c r="A361" s="20"/>
      <c r="B361" s="117">
        <f>IFERROR(__xludf.DUMMYFUNCTION("""COMPUTED_VALUE"""),43602.0)</f>
        <v>43602</v>
      </c>
      <c r="C361" s="20">
        <f>IFERROR(__xludf.DUMMYFUNCTION("""COMPUTED_VALUE"""),2019.0)</f>
        <v>2019</v>
      </c>
      <c r="D361" s="20" t="str">
        <f>IFERROR(__xludf.DUMMYFUNCTION("""COMPUTED_VALUE"""),"Check orders")</f>
        <v>Check orders</v>
      </c>
      <c r="E361" s="20" t="str">
        <f>IFERROR(__xludf.DUMMYFUNCTION("""COMPUTED_VALUE"""),"Bank Charges")</f>
        <v>Bank Charges</v>
      </c>
      <c r="F361" s="118">
        <f>IFERROR(__xludf.DUMMYFUNCTION("""COMPUTED_VALUE"""),365.0705633123077)</f>
        <v>365.0705633</v>
      </c>
      <c r="G361" s="20">
        <f>IFERROR(__xludf.DUMMYFUNCTION("""COMPUTED_VALUE"""),461523.0)</f>
        <v>461523</v>
      </c>
      <c r="H361" s="20">
        <f>IFERROR(__xludf.DUMMYFUNCTION("""COMPUTED_VALUE"""),5.0)</f>
        <v>5</v>
      </c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121"/>
      <c r="Z361" s="20"/>
      <c r="AA361" s="20"/>
      <c r="AB361" s="20"/>
    </row>
    <row r="362">
      <c r="A362" s="20"/>
      <c r="B362" s="117">
        <f>IFERROR(__xludf.DUMMYFUNCTION("""COMPUTED_VALUE"""),43606.0)</f>
        <v>43606</v>
      </c>
      <c r="C362" s="20">
        <f>IFERROR(__xludf.DUMMYFUNCTION("""COMPUTED_VALUE"""),2019.0)</f>
        <v>2019</v>
      </c>
      <c r="D362" s="20" t="str">
        <f>IFERROR(__xludf.DUMMYFUNCTION("""COMPUTED_VALUE"""),"Decorating")</f>
        <v>Decorating</v>
      </c>
      <c r="E362" s="20" t="str">
        <f>IFERROR(__xludf.DUMMYFUNCTION("""COMPUTED_VALUE"""),"Household")</f>
        <v>Household</v>
      </c>
      <c r="F362" s="118">
        <f>IFERROR(__xludf.DUMMYFUNCTION("""COMPUTED_VALUE"""),113.6260229340174)</f>
        <v>113.6260229</v>
      </c>
      <c r="G362" s="20">
        <f>IFERROR(__xludf.DUMMYFUNCTION("""COMPUTED_VALUE"""),843090.0)</f>
        <v>843090</v>
      </c>
      <c r="H362" s="20">
        <f>IFERROR(__xludf.DUMMYFUNCTION("""COMPUTED_VALUE"""),5.0)</f>
        <v>5</v>
      </c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121"/>
      <c r="Z362" s="20"/>
      <c r="AA362" s="20"/>
      <c r="AB362" s="20"/>
    </row>
    <row r="363">
      <c r="A363" s="20"/>
      <c r="B363" s="117">
        <f>IFERROR(__xludf.DUMMYFUNCTION("""COMPUTED_VALUE"""),43609.0)</f>
        <v>43609</v>
      </c>
      <c r="C363" s="20">
        <f>IFERROR(__xludf.DUMMYFUNCTION("""COMPUTED_VALUE"""),2019.0)</f>
        <v>2019</v>
      </c>
      <c r="D363" s="20" t="str">
        <f>IFERROR(__xludf.DUMMYFUNCTION("""COMPUTED_VALUE"""),"Clothing")</f>
        <v>Clothing</v>
      </c>
      <c r="E363" s="20" t="str">
        <f>IFERROR(__xludf.DUMMYFUNCTION("""COMPUTED_VALUE"""),"Clothing")</f>
        <v>Clothing</v>
      </c>
      <c r="F363" s="118">
        <f>IFERROR(__xludf.DUMMYFUNCTION("""COMPUTED_VALUE"""),188.51077688587173)</f>
        <v>188.5107769</v>
      </c>
      <c r="G363" s="20">
        <f>IFERROR(__xludf.DUMMYFUNCTION("""COMPUTED_VALUE"""),923504.0)</f>
        <v>923504</v>
      </c>
      <c r="H363" s="20">
        <f>IFERROR(__xludf.DUMMYFUNCTION("""COMPUTED_VALUE"""),5.0)</f>
        <v>5</v>
      </c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121"/>
      <c r="Z363" s="20"/>
      <c r="AA363" s="20"/>
      <c r="AB363" s="20"/>
    </row>
    <row r="364">
      <c r="A364" s="20"/>
      <c r="B364" s="117">
        <f>IFERROR(__xludf.DUMMYFUNCTION("""COMPUTED_VALUE"""),43611.0)</f>
        <v>43611</v>
      </c>
      <c r="C364" s="20">
        <f>IFERROR(__xludf.DUMMYFUNCTION("""COMPUTED_VALUE"""),2019.0)</f>
        <v>2019</v>
      </c>
      <c r="D364" s="20" t="str">
        <f>IFERROR(__xludf.DUMMYFUNCTION("""COMPUTED_VALUE"""),"Decorating")</f>
        <v>Decorating</v>
      </c>
      <c r="E364" s="20" t="str">
        <f>IFERROR(__xludf.DUMMYFUNCTION("""COMPUTED_VALUE"""),"Household")</f>
        <v>Household</v>
      </c>
      <c r="F364" s="118">
        <f>IFERROR(__xludf.DUMMYFUNCTION("""COMPUTED_VALUE"""),301.69661596851154)</f>
        <v>301.696616</v>
      </c>
      <c r="G364" s="20">
        <f>IFERROR(__xludf.DUMMYFUNCTION("""COMPUTED_VALUE"""),584277.0)</f>
        <v>584277</v>
      </c>
      <c r="H364" s="20">
        <f>IFERROR(__xludf.DUMMYFUNCTION("""COMPUTED_VALUE"""),5.0)</f>
        <v>5</v>
      </c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121"/>
      <c r="Z364" s="20"/>
      <c r="AA364" s="20"/>
      <c r="AB364" s="20"/>
    </row>
    <row r="365">
      <c r="A365" s="20"/>
      <c r="B365" s="117">
        <f>IFERROR(__xludf.DUMMYFUNCTION("""COMPUTED_VALUE"""),43612.0)</f>
        <v>43612</v>
      </c>
      <c r="C365" s="20">
        <f>IFERROR(__xludf.DUMMYFUNCTION("""COMPUTED_VALUE"""),2019.0)</f>
        <v>2019</v>
      </c>
      <c r="D365" s="20" t="str">
        <f>IFERROR(__xludf.DUMMYFUNCTION("""COMPUTED_VALUE"""),"Toys")</f>
        <v>Toys</v>
      </c>
      <c r="E365" s="20" t="str">
        <f>IFERROR(__xludf.DUMMYFUNCTION("""COMPUTED_VALUE"""),"Hobbies")</f>
        <v>Hobbies</v>
      </c>
      <c r="F365" s="118">
        <f>IFERROR(__xludf.DUMMYFUNCTION("""COMPUTED_VALUE"""),444.7502674299205)</f>
        <v>444.7502674</v>
      </c>
      <c r="G365" s="20">
        <f>IFERROR(__xludf.DUMMYFUNCTION("""COMPUTED_VALUE"""),598378.0)</f>
        <v>598378</v>
      </c>
      <c r="H365" s="20">
        <f>IFERROR(__xludf.DUMMYFUNCTION("""COMPUTED_VALUE"""),5.0)</f>
        <v>5</v>
      </c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121"/>
      <c r="Z365" s="20"/>
      <c r="AA365" s="20"/>
      <c r="AB365" s="20"/>
    </row>
    <row r="366">
      <c r="A366" s="20"/>
      <c r="B366" s="117">
        <f>IFERROR(__xludf.DUMMYFUNCTION("""COMPUTED_VALUE"""),43613.0)</f>
        <v>43613</v>
      </c>
      <c r="C366" s="20">
        <f>IFERROR(__xludf.DUMMYFUNCTION("""COMPUTED_VALUE"""),2019.0)</f>
        <v>2019</v>
      </c>
      <c r="D366" s="20" t="str">
        <f>IFERROR(__xludf.DUMMYFUNCTION("""COMPUTED_VALUE"""),"Cultural events (e.g. parades, carnivals, etc.)")</f>
        <v>Cultural events (e.g. parades, carnivals, etc.)</v>
      </c>
      <c r="E366" s="20" t="str">
        <f>IFERROR(__xludf.DUMMYFUNCTION("""COMPUTED_VALUE"""),"Hobbies")</f>
        <v>Hobbies</v>
      </c>
      <c r="F366" s="118">
        <f>IFERROR(__xludf.DUMMYFUNCTION("""COMPUTED_VALUE"""),258.0893103077507)</f>
        <v>258.0893103</v>
      </c>
      <c r="G366" s="20">
        <f>IFERROR(__xludf.DUMMYFUNCTION("""COMPUTED_VALUE"""),509806.0)</f>
        <v>509806</v>
      </c>
      <c r="H366" s="20">
        <f>IFERROR(__xludf.DUMMYFUNCTION("""COMPUTED_VALUE"""),5.0)</f>
        <v>5</v>
      </c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121"/>
      <c r="Z366" s="20"/>
      <c r="AA366" s="20"/>
      <c r="AB366" s="20"/>
    </row>
    <row r="367">
      <c r="A367" s="20"/>
      <c r="B367" s="117">
        <f>IFERROR(__xludf.DUMMYFUNCTION("""COMPUTED_VALUE"""),43614.0)</f>
        <v>43614</v>
      </c>
      <c r="C367" s="20">
        <f>IFERROR(__xludf.DUMMYFUNCTION("""COMPUTED_VALUE"""),2019.0)</f>
        <v>2019</v>
      </c>
      <c r="D367" s="20" t="str">
        <f>IFERROR(__xludf.DUMMYFUNCTION("""COMPUTED_VALUE"""),"Retirement")</f>
        <v>Retirement</v>
      </c>
      <c r="E367" s="20" t="str">
        <f>IFERROR(__xludf.DUMMYFUNCTION("""COMPUTED_VALUE"""),"Pet Care")</f>
        <v>Pet Care</v>
      </c>
      <c r="F367" s="118">
        <f>IFERROR(__xludf.DUMMYFUNCTION("""COMPUTED_VALUE"""),404.8615947362747)</f>
        <v>404.8615947</v>
      </c>
      <c r="G367" s="20">
        <f>IFERROR(__xludf.DUMMYFUNCTION("""COMPUTED_VALUE"""),210712.0)</f>
        <v>210712</v>
      </c>
      <c r="H367" s="20">
        <f>IFERROR(__xludf.DUMMYFUNCTION("""COMPUTED_VALUE"""),5.0)</f>
        <v>5</v>
      </c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121"/>
      <c r="Z367" s="20"/>
      <c r="AA367" s="20"/>
      <c r="AB367" s="20"/>
    </row>
    <row r="368">
      <c r="A368" s="20"/>
      <c r="B368" s="117">
        <f>IFERROR(__xludf.DUMMYFUNCTION("""COMPUTED_VALUE"""),43617.0)</f>
        <v>43617</v>
      </c>
      <c r="C368" s="20">
        <f>IFERROR(__xludf.DUMMYFUNCTION("""COMPUTED_VALUE"""),2019.0)</f>
        <v>2019</v>
      </c>
      <c r="D368" s="20" t="str">
        <f>IFERROR(__xludf.DUMMYFUNCTION("""COMPUTED_VALUE"""),"Service fees")</f>
        <v>Service fees</v>
      </c>
      <c r="E368" s="20" t="str">
        <f>IFERROR(__xludf.DUMMYFUNCTION("""COMPUTED_VALUE"""),"Bank Charges")</f>
        <v>Bank Charges</v>
      </c>
      <c r="F368" s="118">
        <f>IFERROR(__xludf.DUMMYFUNCTION("""COMPUTED_VALUE"""),425.2504997706438)</f>
        <v>425.2504998</v>
      </c>
      <c r="G368" s="20">
        <f>IFERROR(__xludf.DUMMYFUNCTION("""COMPUTED_VALUE"""),776611.0)</f>
        <v>776611</v>
      </c>
      <c r="H368" s="20">
        <f>IFERROR(__xludf.DUMMYFUNCTION("""COMPUTED_VALUE"""),6.0)</f>
        <v>6</v>
      </c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121"/>
      <c r="Z368" s="20"/>
      <c r="AA368" s="20"/>
      <c r="AB368" s="20"/>
    </row>
    <row r="369">
      <c r="A369" s="20"/>
      <c r="B369" s="117">
        <f>IFERROR(__xludf.DUMMYFUNCTION("""COMPUTED_VALUE"""),43620.0)</f>
        <v>43620</v>
      </c>
      <c r="C369" s="20">
        <f>IFERROR(__xludf.DUMMYFUNCTION("""COMPUTED_VALUE"""),2019.0)</f>
        <v>2019</v>
      </c>
      <c r="D369" s="20" t="str">
        <f>IFERROR(__xludf.DUMMYFUNCTION("""COMPUTED_VALUE"""),"Food")</f>
        <v>Food</v>
      </c>
      <c r="E369" s="20" t="str">
        <f>IFERROR(__xludf.DUMMYFUNCTION("""COMPUTED_VALUE"""),"Pet Care")</f>
        <v>Pet Care</v>
      </c>
      <c r="F369" s="118">
        <f>IFERROR(__xludf.DUMMYFUNCTION("""COMPUTED_VALUE"""),278.07100645517244)</f>
        <v>278.0710065</v>
      </c>
      <c r="G369" s="20">
        <f>IFERROR(__xludf.DUMMYFUNCTION("""COMPUTED_VALUE"""),465231.0)</f>
        <v>465231</v>
      </c>
      <c r="H369" s="20">
        <f>IFERROR(__xludf.DUMMYFUNCTION("""COMPUTED_VALUE"""),6.0)</f>
        <v>6</v>
      </c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121"/>
      <c r="Z369" s="20"/>
      <c r="AA369" s="20"/>
      <c r="AB369" s="20"/>
    </row>
    <row r="370">
      <c r="A370" s="20"/>
      <c r="B370" s="117">
        <f>IFERROR(__xludf.DUMMYFUNCTION("""COMPUTED_VALUE"""),43622.0)</f>
        <v>43622</v>
      </c>
      <c r="C370" s="20">
        <f>IFERROR(__xludf.DUMMYFUNCTION("""COMPUTED_VALUE"""),2019.0)</f>
        <v>2019</v>
      </c>
      <c r="D370" s="20" t="str">
        <f>IFERROR(__xludf.DUMMYFUNCTION("""COMPUTED_VALUE"""),"Baby shower")</f>
        <v>Baby shower</v>
      </c>
      <c r="E370" s="20" t="str">
        <f>IFERROR(__xludf.DUMMYFUNCTION("""COMPUTED_VALUE"""),"Gifts")</f>
        <v>Gifts</v>
      </c>
      <c r="F370" s="118">
        <f>IFERROR(__xludf.DUMMYFUNCTION("""COMPUTED_VALUE"""),416.0190783173862)</f>
        <v>416.0190783</v>
      </c>
      <c r="G370" s="20">
        <f>IFERROR(__xludf.DUMMYFUNCTION("""COMPUTED_VALUE"""),994895.0)</f>
        <v>994895</v>
      </c>
      <c r="H370" s="20">
        <f>IFERROR(__xludf.DUMMYFUNCTION("""COMPUTED_VALUE"""),6.0)</f>
        <v>6</v>
      </c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121"/>
      <c r="Z370" s="20"/>
      <c r="AA370" s="20"/>
      <c r="AB370" s="20"/>
    </row>
    <row r="371">
      <c r="A371" s="20"/>
      <c r="B371" s="117">
        <f>IFERROR(__xludf.DUMMYFUNCTION("""COMPUTED_VALUE"""),43624.0)</f>
        <v>43624</v>
      </c>
      <c r="C371" s="20">
        <f>IFERROR(__xludf.DUMMYFUNCTION("""COMPUTED_VALUE"""),2019.0)</f>
        <v>2019</v>
      </c>
      <c r="D371" s="20" t="str">
        <f>IFERROR(__xludf.DUMMYFUNCTION("""COMPUTED_VALUE"""),"Transportation")</f>
        <v>Transportation</v>
      </c>
      <c r="E371" s="20" t="str">
        <f>IFERROR(__xludf.DUMMYFUNCTION("""COMPUTED_VALUE"""),"Vacation")</f>
        <v>Vacation</v>
      </c>
      <c r="F371" s="118">
        <f>IFERROR(__xludf.DUMMYFUNCTION("""COMPUTED_VALUE"""),165.99911770682021)</f>
        <v>165.9991177</v>
      </c>
      <c r="G371" s="20">
        <f>IFERROR(__xludf.DUMMYFUNCTION("""COMPUTED_VALUE"""),918666.0)</f>
        <v>918666</v>
      </c>
      <c r="H371" s="20">
        <f>IFERROR(__xludf.DUMMYFUNCTION("""COMPUTED_VALUE"""),6.0)</f>
        <v>6</v>
      </c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121"/>
      <c r="Z371" s="20"/>
      <c r="AA371" s="20"/>
      <c r="AB371" s="20"/>
    </row>
    <row r="372">
      <c r="A372" s="20"/>
      <c r="B372" s="117">
        <f>IFERROR(__xludf.DUMMYFUNCTION("""COMPUTED_VALUE"""),43627.0)</f>
        <v>43627</v>
      </c>
      <c r="C372" s="20">
        <f>IFERROR(__xludf.DUMMYFUNCTION("""COMPUTED_VALUE"""),2019.0)</f>
        <v>2019</v>
      </c>
      <c r="D372" s="20" t="str">
        <f>IFERROR(__xludf.DUMMYFUNCTION("""COMPUTED_VALUE"""),"Rent / Mortgage payment")</f>
        <v>Rent / Mortgage payment</v>
      </c>
      <c r="E372" s="20" t="str">
        <f>IFERROR(__xludf.DUMMYFUNCTION("""COMPUTED_VALUE"""),"Household")</f>
        <v>Household</v>
      </c>
      <c r="F372" s="118">
        <f>IFERROR(__xludf.DUMMYFUNCTION("""COMPUTED_VALUE"""),119.53930605768467)</f>
        <v>119.5393061</v>
      </c>
      <c r="G372" s="20">
        <f>IFERROR(__xludf.DUMMYFUNCTION("""COMPUTED_VALUE"""),277530.0)</f>
        <v>277530</v>
      </c>
      <c r="H372" s="20">
        <f>IFERROR(__xludf.DUMMYFUNCTION("""COMPUTED_VALUE"""),6.0)</f>
        <v>6</v>
      </c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121"/>
      <c r="Z372" s="20"/>
      <c r="AA372" s="20"/>
      <c r="AB372" s="20"/>
    </row>
    <row r="373">
      <c r="A373" s="20"/>
      <c r="B373" s="117">
        <f>IFERROR(__xludf.DUMMYFUNCTION("""COMPUTED_VALUE"""),43629.0)</f>
        <v>43629</v>
      </c>
      <c r="C373" s="20">
        <f>IFERROR(__xludf.DUMMYFUNCTION("""COMPUTED_VALUE"""),2019.0)</f>
        <v>2019</v>
      </c>
      <c r="D373" s="20" t="str">
        <f>IFERROR(__xludf.DUMMYFUNCTION("""COMPUTED_VALUE"""),"Just because")</f>
        <v>Just because</v>
      </c>
      <c r="E373" s="20" t="str">
        <f>IFERROR(__xludf.DUMMYFUNCTION("""COMPUTED_VALUE"""),"Gifts")</f>
        <v>Gifts</v>
      </c>
      <c r="F373" s="118">
        <f>IFERROR(__xludf.DUMMYFUNCTION("""COMPUTED_VALUE"""),327.44857737627314)</f>
        <v>327.4485774</v>
      </c>
      <c r="G373" s="20">
        <f>IFERROR(__xludf.DUMMYFUNCTION("""COMPUTED_VALUE"""),290190.0)</f>
        <v>290190</v>
      </c>
      <c r="H373" s="20">
        <f>IFERROR(__xludf.DUMMYFUNCTION("""COMPUTED_VALUE"""),6.0)</f>
        <v>6</v>
      </c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121"/>
      <c r="Z373" s="20"/>
      <c r="AA373" s="20"/>
      <c r="AB373" s="20"/>
    </row>
    <row r="374">
      <c r="A374" s="20"/>
      <c r="B374" s="117">
        <f>IFERROR(__xludf.DUMMYFUNCTION("""COMPUTED_VALUE"""),43633.0)</f>
        <v>43633</v>
      </c>
      <c r="C374" s="20">
        <f>IFERROR(__xludf.DUMMYFUNCTION("""COMPUTED_VALUE"""),2019.0)</f>
        <v>2019</v>
      </c>
      <c r="D374" s="20" t="str">
        <f>IFERROR(__xludf.DUMMYFUNCTION("""COMPUTED_VALUE"""),"Supplies")</f>
        <v>Supplies</v>
      </c>
      <c r="E374" s="20" t="str">
        <f>IFERROR(__xludf.DUMMYFUNCTION("""COMPUTED_VALUE"""),"Household")</f>
        <v>Household</v>
      </c>
      <c r="F374" s="118">
        <f>IFERROR(__xludf.DUMMYFUNCTION("""COMPUTED_VALUE"""),182.93607015905218)</f>
        <v>182.9360702</v>
      </c>
      <c r="G374" s="20">
        <f>IFERROR(__xludf.DUMMYFUNCTION("""COMPUTED_VALUE"""),474390.0)</f>
        <v>474390</v>
      </c>
      <c r="H374" s="20">
        <f>IFERROR(__xludf.DUMMYFUNCTION("""COMPUTED_VALUE"""),6.0)</f>
        <v>6</v>
      </c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121"/>
      <c r="Z374" s="20"/>
      <c r="AA374" s="20"/>
      <c r="AB374" s="20"/>
    </row>
    <row r="375">
      <c r="A375" s="20"/>
      <c r="B375" s="117">
        <f>IFERROR(__xludf.DUMMYFUNCTION("""COMPUTED_VALUE"""),43634.0)</f>
        <v>43634</v>
      </c>
      <c r="C375" s="20">
        <f>IFERROR(__xludf.DUMMYFUNCTION("""COMPUTED_VALUE"""),2019.0)</f>
        <v>2019</v>
      </c>
      <c r="D375" s="20" t="str">
        <f>IFERROR(__xludf.DUMMYFUNCTION("""COMPUTED_VALUE"""),"Moving")</f>
        <v>Moving</v>
      </c>
      <c r="E375" s="20" t="str">
        <f>IFERROR(__xludf.DUMMYFUNCTION("""COMPUTED_VALUE"""),"Events")</f>
        <v>Events</v>
      </c>
      <c r="F375" s="118">
        <f>IFERROR(__xludf.DUMMYFUNCTION("""COMPUTED_VALUE"""),273.3465394360532)</f>
        <v>273.3465394</v>
      </c>
      <c r="G375" s="20">
        <f>IFERROR(__xludf.DUMMYFUNCTION("""COMPUTED_VALUE"""),731443.0)</f>
        <v>731443</v>
      </c>
      <c r="H375" s="20">
        <f>IFERROR(__xludf.DUMMYFUNCTION("""COMPUTED_VALUE"""),6.0)</f>
        <v>6</v>
      </c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121"/>
      <c r="Z375" s="20"/>
      <c r="AA375" s="20"/>
      <c r="AB375" s="20"/>
    </row>
    <row r="376">
      <c r="A376" s="20"/>
      <c r="B376" s="117">
        <f>IFERROR(__xludf.DUMMYFUNCTION("""COMPUTED_VALUE"""),43636.0)</f>
        <v>43636</v>
      </c>
      <c r="C376" s="20">
        <f>IFERROR(__xludf.DUMMYFUNCTION("""COMPUTED_VALUE"""),2019.0)</f>
        <v>2019</v>
      </c>
      <c r="D376" s="20" t="str">
        <f>IFERROR(__xludf.DUMMYFUNCTION("""COMPUTED_VALUE"""),"Disability")</f>
        <v>Disability</v>
      </c>
      <c r="E376" s="20" t="str">
        <f>IFERROR(__xludf.DUMMYFUNCTION("""COMPUTED_VALUE"""),"Insurance")</f>
        <v>Insurance</v>
      </c>
      <c r="F376" s="118">
        <f>IFERROR(__xludf.DUMMYFUNCTION("""COMPUTED_VALUE"""),350.23389445333686)</f>
        <v>350.2338945</v>
      </c>
      <c r="G376" s="20">
        <f>IFERROR(__xludf.DUMMYFUNCTION("""COMPUTED_VALUE"""),409734.0)</f>
        <v>409734</v>
      </c>
      <c r="H376" s="20">
        <f>IFERROR(__xludf.DUMMYFUNCTION("""COMPUTED_VALUE"""),6.0)</f>
        <v>6</v>
      </c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121"/>
      <c r="Z376" s="20"/>
      <c r="AA376" s="20"/>
      <c r="AB376" s="20"/>
    </row>
    <row r="377">
      <c r="A377" s="20"/>
      <c r="B377" s="117">
        <f>IFERROR(__xludf.DUMMYFUNCTION("""COMPUTED_VALUE"""),43640.0)</f>
        <v>43640</v>
      </c>
      <c r="C377" s="20">
        <f>IFERROR(__xludf.DUMMYFUNCTION("""COMPUTED_VALUE"""),2019.0)</f>
        <v>2019</v>
      </c>
      <c r="D377" s="20" t="str">
        <f>IFERROR(__xludf.DUMMYFUNCTION("""COMPUTED_VALUE"""),"Vending machines")</f>
        <v>Vending machines</v>
      </c>
      <c r="E377" s="20" t="str">
        <f>IFERROR(__xludf.DUMMYFUNCTION("""COMPUTED_VALUE"""),"Food")</f>
        <v>Food</v>
      </c>
      <c r="F377" s="118">
        <f>IFERROR(__xludf.DUMMYFUNCTION("""COMPUTED_VALUE"""),409.5483910233971)</f>
        <v>409.548391</v>
      </c>
      <c r="G377" s="20">
        <f>IFERROR(__xludf.DUMMYFUNCTION("""COMPUTED_VALUE"""),405423.0)</f>
        <v>405423</v>
      </c>
      <c r="H377" s="20">
        <f>IFERROR(__xludf.DUMMYFUNCTION("""COMPUTED_VALUE"""),6.0)</f>
        <v>6</v>
      </c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121"/>
      <c r="Z377" s="20"/>
      <c r="AA377" s="20"/>
      <c r="AB377" s="20"/>
    </row>
    <row r="378">
      <c r="A378" s="20"/>
      <c r="B378" s="117">
        <f>IFERROR(__xludf.DUMMYFUNCTION("""COMPUTED_VALUE"""),43642.0)</f>
        <v>43642</v>
      </c>
      <c r="C378" s="20">
        <f>IFERROR(__xludf.DUMMYFUNCTION("""COMPUTED_VALUE"""),2019.0)</f>
        <v>2019</v>
      </c>
      <c r="D378" s="20" t="str">
        <f>IFERROR(__xludf.DUMMYFUNCTION("""COMPUTED_VALUE"""),"School supplies")</f>
        <v>School supplies</v>
      </c>
      <c r="E378" s="20" t="str">
        <f>IFERROR(__xludf.DUMMYFUNCTION("""COMPUTED_VALUE"""),"Education")</f>
        <v>Education</v>
      </c>
      <c r="F378" s="118">
        <f>IFERROR(__xludf.DUMMYFUNCTION("""COMPUTED_VALUE"""),101.427809367299)</f>
        <v>101.4278094</v>
      </c>
      <c r="G378" s="20">
        <f>IFERROR(__xludf.DUMMYFUNCTION("""COMPUTED_VALUE"""),889362.0)</f>
        <v>889362</v>
      </c>
      <c r="H378" s="20">
        <f>IFERROR(__xludf.DUMMYFUNCTION("""COMPUTED_VALUE"""),6.0)</f>
        <v>6</v>
      </c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121"/>
      <c r="Z378" s="20"/>
      <c r="AA378" s="20"/>
      <c r="AB378" s="20"/>
    </row>
    <row r="379">
      <c r="A379" s="20"/>
      <c r="B379" s="117">
        <f>IFERROR(__xludf.DUMMYFUNCTION("""COMPUTED_VALUE"""),43645.0)</f>
        <v>43645</v>
      </c>
      <c r="C379" s="20">
        <f>IFERROR(__xludf.DUMMYFUNCTION("""COMPUTED_VALUE"""),2019.0)</f>
        <v>2019</v>
      </c>
      <c r="D379" s="20" t="str">
        <f>IFERROR(__xludf.DUMMYFUNCTION("""COMPUTED_VALUE"""),"Late fee")</f>
        <v>Late fee</v>
      </c>
      <c r="E379" s="20" t="str">
        <f>IFERROR(__xludf.DUMMYFUNCTION("""COMPUTED_VALUE"""),"Credit Card Fees")</f>
        <v>Credit Card Fees</v>
      </c>
      <c r="F379" s="118">
        <f>IFERROR(__xludf.DUMMYFUNCTION("""COMPUTED_VALUE"""),239.2140712904662)</f>
        <v>239.2140713</v>
      </c>
      <c r="G379" s="20">
        <f>IFERROR(__xludf.DUMMYFUNCTION("""COMPUTED_VALUE"""),413049.0)</f>
        <v>413049</v>
      </c>
      <c r="H379" s="20">
        <f>IFERROR(__xludf.DUMMYFUNCTION("""COMPUTED_VALUE"""),6.0)</f>
        <v>6</v>
      </c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121"/>
      <c r="Z379" s="20"/>
      <c r="AA379" s="20"/>
      <c r="AB379" s="20"/>
    </row>
    <row r="380">
      <c r="A380" s="20"/>
      <c r="B380" s="117">
        <f>IFERROR(__xludf.DUMMYFUNCTION("""COMPUTED_VALUE"""),43648.0)</f>
        <v>43648</v>
      </c>
      <c r="C380" s="20">
        <f>IFERROR(__xludf.DUMMYFUNCTION("""COMPUTED_VALUE"""),2019.0)</f>
        <v>2019</v>
      </c>
      <c r="D380" s="20" t="str">
        <f>IFERROR(__xludf.DUMMYFUNCTION("""COMPUTED_VALUE"""),"Birthday")</f>
        <v>Birthday</v>
      </c>
      <c r="E380" s="20" t="str">
        <f>IFERROR(__xludf.DUMMYFUNCTION("""COMPUTED_VALUE"""),"Gifts")</f>
        <v>Gifts</v>
      </c>
      <c r="F380" s="118">
        <f>IFERROR(__xludf.DUMMYFUNCTION("""COMPUTED_VALUE"""),171.44720117295307)</f>
        <v>171.4472012</v>
      </c>
      <c r="G380" s="20">
        <f>IFERROR(__xludf.DUMMYFUNCTION("""COMPUTED_VALUE"""),953352.0)</f>
        <v>953352</v>
      </c>
      <c r="H380" s="20">
        <f>IFERROR(__xludf.DUMMYFUNCTION("""COMPUTED_VALUE"""),7.0)</f>
        <v>7</v>
      </c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121"/>
      <c r="Z380" s="20"/>
      <c r="AA380" s="20"/>
      <c r="AB380" s="20"/>
    </row>
    <row r="381">
      <c r="A381" s="20"/>
      <c r="B381" s="117">
        <f>IFERROR(__xludf.DUMMYFUNCTION("""COMPUTED_VALUE"""),43651.0)</f>
        <v>43651</v>
      </c>
      <c r="C381" s="20">
        <f>IFERROR(__xludf.DUMMYFUNCTION("""COMPUTED_VALUE"""),2019.0)</f>
        <v>2019</v>
      </c>
      <c r="D381" s="20" t="str">
        <f>IFERROR(__xludf.DUMMYFUNCTION("""COMPUTED_VALUE"""),"Internet service")</f>
        <v>Internet service</v>
      </c>
      <c r="E381" s="20" t="str">
        <f>IFERROR(__xludf.DUMMYFUNCTION("""COMPUTED_VALUE"""),"Utilities")</f>
        <v>Utilities</v>
      </c>
      <c r="F381" s="118">
        <f>IFERROR(__xludf.DUMMYFUNCTION("""COMPUTED_VALUE"""),407.37944807908804)</f>
        <v>407.3794481</v>
      </c>
      <c r="G381" s="20">
        <f>IFERROR(__xludf.DUMMYFUNCTION("""COMPUTED_VALUE"""),204365.0)</f>
        <v>204365</v>
      </c>
      <c r="H381" s="20">
        <f>IFERROR(__xludf.DUMMYFUNCTION("""COMPUTED_VALUE"""),7.0)</f>
        <v>7</v>
      </c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121"/>
      <c r="Z381" s="20"/>
      <c r="AA381" s="20"/>
      <c r="AB381" s="20"/>
    </row>
    <row r="382">
      <c r="A382" s="20"/>
      <c r="B382" s="117">
        <f>IFERROR(__xludf.DUMMYFUNCTION("""COMPUTED_VALUE"""),43655.0)</f>
        <v>43655</v>
      </c>
      <c r="C382" s="20">
        <f>IFERROR(__xludf.DUMMYFUNCTION("""COMPUTED_VALUE"""),2019.0)</f>
        <v>2019</v>
      </c>
      <c r="D382" s="20" t="str">
        <f>IFERROR(__xludf.DUMMYFUNCTION("""COMPUTED_VALUE"""),"Food")</f>
        <v>Food</v>
      </c>
      <c r="E382" s="20" t="str">
        <f>IFERROR(__xludf.DUMMYFUNCTION("""COMPUTED_VALUE"""),"Pet Care")</f>
        <v>Pet Care</v>
      </c>
      <c r="F382" s="118">
        <f>IFERROR(__xludf.DUMMYFUNCTION("""COMPUTED_VALUE"""),384.9930184623054)</f>
        <v>384.9930185</v>
      </c>
      <c r="G382" s="20">
        <f>IFERROR(__xludf.DUMMYFUNCTION("""COMPUTED_VALUE"""),843034.0)</f>
        <v>843034</v>
      </c>
      <c r="H382" s="20">
        <f>IFERROR(__xludf.DUMMYFUNCTION("""COMPUTED_VALUE"""),7.0)</f>
        <v>7</v>
      </c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121"/>
      <c r="Z382" s="20"/>
      <c r="AA382" s="20"/>
      <c r="AB382" s="20"/>
    </row>
    <row r="383">
      <c r="A383" s="20"/>
      <c r="B383" s="117">
        <f>IFERROR(__xludf.DUMMYFUNCTION("""COMPUTED_VALUE"""),43656.0)</f>
        <v>43656</v>
      </c>
      <c r="C383" s="20">
        <f>IFERROR(__xludf.DUMMYFUNCTION("""COMPUTED_VALUE"""),2019.0)</f>
        <v>2019</v>
      </c>
      <c r="D383" s="20" t="str">
        <f>IFERROR(__xludf.DUMMYFUNCTION("""COMPUTED_VALUE"""),"Toys")</f>
        <v>Toys</v>
      </c>
      <c r="E383" s="20" t="str">
        <f>IFERROR(__xludf.DUMMYFUNCTION("""COMPUTED_VALUE"""),"Hobbies")</f>
        <v>Hobbies</v>
      </c>
      <c r="F383" s="118">
        <f>IFERROR(__xludf.DUMMYFUNCTION("""COMPUTED_VALUE"""),326.16260235256607)</f>
        <v>326.1626024</v>
      </c>
      <c r="G383" s="20">
        <f>IFERROR(__xludf.DUMMYFUNCTION("""COMPUTED_VALUE"""),198310.0)</f>
        <v>198310</v>
      </c>
      <c r="H383" s="20">
        <f>IFERROR(__xludf.DUMMYFUNCTION("""COMPUTED_VALUE"""),7.0)</f>
        <v>7</v>
      </c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121"/>
      <c r="Z383" s="20"/>
      <c r="AA383" s="20"/>
      <c r="AB383" s="20"/>
    </row>
    <row r="384">
      <c r="A384" s="20"/>
      <c r="B384" s="117">
        <f>IFERROR(__xludf.DUMMYFUNCTION("""COMPUTED_VALUE"""),43657.0)</f>
        <v>43657</v>
      </c>
      <c r="C384" s="20">
        <f>IFERROR(__xludf.DUMMYFUNCTION("""COMPUTED_VALUE"""),2019.0)</f>
        <v>2019</v>
      </c>
      <c r="D384" s="20" t="str">
        <f>IFERROR(__xludf.DUMMYFUNCTION("""COMPUTED_VALUE"""),"Reimbursed")</f>
        <v>Reimbursed</v>
      </c>
      <c r="E384" s="20" t="str">
        <f>IFERROR(__xludf.DUMMYFUNCTION("""COMPUTED_VALUE"""),"Job expenses")</f>
        <v>Job expenses</v>
      </c>
      <c r="F384" s="118">
        <f>IFERROR(__xludf.DUMMYFUNCTION("""COMPUTED_VALUE"""),184.87422013102648)</f>
        <v>184.8742201</v>
      </c>
      <c r="G384" s="20">
        <f>IFERROR(__xludf.DUMMYFUNCTION("""COMPUTED_VALUE"""),995702.0)</f>
        <v>995702</v>
      </c>
      <c r="H384" s="20">
        <f>IFERROR(__xludf.DUMMYFUNCTION("""COMPUTED_VALUE"""),7.0)</f>
        <v>7</v>
      </c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121"/>
      <c r="Z384" s="20"/>
      <c r="AA384" s="20"/>
      <c r="AB384" s="20"/>
    </row>
    <row r="385">
      <c r="A385" s="20"/>
      <c r="B385" s="117">
        <f>IFERROR(__xludf.DUMMYFUNCTION("""COMPUTED_VALUE"""),43658.0)</f>
        <v>43658</v>
      </c>
      <c r="C385" s="20">
        <f>IFERROR(__xludf.DUMMYFUNCTION("""COMPUTED_VALUE"""),2019.0)</f>
        <v>2019</v>
      </c>
      <c r="D385" s="20" t="str">
        <f>IFERROR(__xludf.DUMMYFUNCTION("""COMPUTED_VALUE"""),"Electricity")</f>
        <v>Electricity</v>
      </c>
      <c r="E385" s="20" t="str">
        <f>IFERROR(__xludf.DUMMYFUNCTION("""COMPUTED_VALUE"""),"Utilities")</f>
        <v>Utilities</v>
      </c>
      <c r="F385" s="118">
        <f>IFERROR(__xludf.DUMMYFUNCTION("""COMPUTED_VALUE"""),99.7685030755923)</f>
        <v>99.76850308</v>
      </c>
      <c r="G385" s="20">
        <f>IFERROR(__xludf.DUMMYFUNCTION("""COMPUTED_VALUE"""),548728.0)</f>
        <v>548728</v>
      </c>
      <c r="H385" s="20">
        <f>IFERROR(__xludf.DUMMYFUNCTION("""COMPUTED_VALUE"""),7.0)</f>
        <v>7</v>
      </c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121"/>
      <c r="Z385" s="20"/>
      <c r="AA385" s="20"/>
      <c r="AB385" s="20"/>
    </row>
    <row r="386">
      <c r="A386" s="20"/>
      <c r="B386" s="117">
        <f>IFERROR(__xludf.DUMMYFUNCTION("""COMPUTED_VALUE"""),43660.0)</f>
        <v>43660</v>
      </c>
      <c r="C386" s="20">
        <f>IFERROR(__xludf.DUMMYFUNCTION("""COMPUTED_VALUE"""),2019.0)</f>
        <v>2019</v>
      </c>
      <c r="D386" s="20" t="str">
        <f>IFERROR(__xludf.DUMMYFUNCTION("""COMPUTED_VALUE"""),"Maintenance")</f>
        <v>Maintenance</v>
      </c>
      <c r="E386" s="20" t="str">
        <f>IFERROR(__xludf.DUMMYFUNCTION("""COMPUTED_VALUE"""),"Automobile")</f>
        <v>Automobile</v>
      </c>
      <c r="F386" s="118">
        <f>IFERROR(__xludf.DUMMYFUNCTION("""COMPUTED_VALUE"""),333.5211082070034)</f>
        <v>333.5211082</v>
      </c>
      <c r="G386" s="20">
        <f>IFERROR(__xludf.DUMMYFUNCTION("""COMPUTED_VALUE"""),416455.0)</f>
        <v>416455</v>
      </c>
      <c r="H386" s="20">
        <f>IFERROR(__xludf.DUMMYFUNCTION("""COMPUTED_VALUE"""),7.0)</f>
        <v>7</v>
      </c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121"/>
      <c r="Z386" s="20"/>
      <c r="AA386" s="20"/>
      <c r="AB386" s="20"/>
    </row>
    <row r="387">
      <c r="A387" s="20"/>
      <c r="B387" s="117">
        <f>IFERROR(__xludf.DUMMYFUNCTION("""COMPUTED_VALUE"""),43662.0)</f>
        <v>43662</v>
      </c>
      <c r="C387" s="20">
        <f>IFERROR(__xludf.DUMMYFUNCTION("""COMPUTED_VALUE"""),2019.0)</f>
        <v>2019</v>
      </c>
      <c r="D387" s="20" t="str">
        <f>IFERROR(__xludf.DUMMYFUNCTION("""COMPUTED_VALUE"""),"Monthly payment")</f>
        <v>Monthly payment</v>
      </c>
      <c r="E387" s="20" t="str">
        <f>IFERROR(__xludf.DUMMYFUNCTION("""COMPUTED_VALUE"""),"Credit Card Fees")</f>
        <v>Credit Card Fees</v>
      </c>
      <c r="F387" s="118">
        <f>IFERROR(__xludf.DUMMYFUNCTION("""COMPUTED_VALUE"""),477.08543780972127)</f>
        <v>477.0854378</v>
      </c>
      <c r="G387" s="20">
        <f>IFERROR(__xludf.DUMMYFUNCTION("""COMPUTED_VALUE"""),855629.0)</f>
        <v>855629</v>
      </c>
      <c r="H387" s="20">
        <f>IFERROR(__xludf.DUMMYFUNCTION("""COMPUTED_VALUE"""),7.0)</f>
        <v>7</v>
      </c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121"/>
      <c r="Z387" s="20"/>
      <c r="AA387" s="20"/>
      <c r="AB387" s="20"/>
    </row>
    <row r="388">
      <c r="A388" s="20"/>
      <c r="B388" s="117">
        <f>IFERROR(__xludf.DUMMYFUNCTION("""COMPUTED_VALUE"""),43664.0)</f>
        <v>43664</v>
      </c>
      <c r="C388" s="20">
        <f>IFERROR(__xludf.DUMMYFUNCTION("""COMPUTED_VALUE"""),2019.0)</f>
        <v>2019</v>
      </c>
      <c r="D388" s="20" t="str">
        <f>IFERROR(__xludf.DUMMYFUNCTION("""COMPUTED_VALUE"""),"Reserve funds (to set aside for planned expenses)")</f>
        <v>Reserve funds (to set aside for planned expenses)</v>
      </c>
      <c r="E388" s="20" t="str">
        <f>IFERROR(__xludf.DUMMYFUNCTION("""COMPUTED_VALUE"""),"Pet Care")</f>
        <v>Pet Care</v>
      </c>
      <c r="F388" s="118">
        <f>IFERROR(__xludf.DUMMYFUNCTION("""COMPUTED_VALUE"""),156.8111957993487)</f>
        <v>156.8111958</v>
      </c>
      <c r="G388" s="20">
        <f>IFERROR(__xludf.DUMMYFUNCTION("""COMPUTED_VALUE"""),637327.0)</f>
        <v>637327</v>
      </c>
      <c r="H388" s="20">
        <f>IFERROR(__xludf.DUMMYFUNCTION("""COMPUTED_VALUE"""),7.0)</f>
        <v>7</v>
      </c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121"/>
      <c r="Z388" s="20"/>
      <c r="AA388" s="20"/>
      <c r="AB388" s="20"/>
    </row>
    <row r="389">
      <c r="A389" s="20"/>
      <c r="B389" s="117">
        <f>IFERROR(__xludf.DUMMYFUNCTION("""COMPUTED_VALUE"""),43668.0)</f>
        <v>43668</v>
      </c>
      <c r="C389" s="20">
        <f>IFERROR(__xludf.DUMMYFUNCTION("""COMPUTED_VALUE"""),2019.0)</f>
        <v>2019</v>
      </c>
      <c r="D389" s="20" t="str">
        <f>IFERROR(__xludf.DUMMYFUNCTION("""COMPUTED_VALUE"""),"Savings")</f>
        <v>Savings</v>
      </c>
      <c r="E389" s="20" t="str">
        <f>IFERROR(__xludf.DUMMYFUNCTION("""COMPUTED_VALUE"""),"Pet Care")</f>
        <v>Pet Care</v>
      </c>
      <c r="F389" s="118">
        <f>IFERROR(__xludf.DUMMYFUNCTION("""COMPUTED_VALUE"""),440.2026976696916)</f>
        <v>440.2026977</v>
      </c>
      <c r="G389" s="20">
        <f>IFERROR(__xludf.DUMMYFUNCTION("""COMPUTED_VALUE"""),358250.0)</f>
        <v>358250</v>
      </c>
      <c r="H389" s="20">
        <f>IFERROR(__xludf.DUMMYFUNCTION("""COMPUTED_VALUE"""),7.0)</f>
        <v>7</v>
      </c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121"/>
      <c r="Z389" s="20"/>
      <c r="AA389" s="20"/>
      <c r="AB389" s="20"/>
    </row>
    <row r="390">
      <c r="A390" s="20"/>
      <c r="B390" s="117">
        <f>IFERROR(__xludf.DUMMYFUNCTION("""COMPUTED_VALUE"""),43670.0)</f>
        <v>43670</v>
      </c>
      <c r="C390" s="20">
        <f>IFERROR(__xludf.DUMMYFUNCTION("""COMPUTED_VALUE"""),2019.0)</f>
        <v>2019</v>
      </c>
      <c r="D390" s="20" t="str">
        <f>IFERROR(__xludf.DUMMYFUNCTION("""COMPUTED_VALUE"""),"Registration fees")</f>
        <v>Registration fees</v>
      </c>
      <c r="E390" s="20" t="str">
        <f>IFERROR(__xludf.DUMMYFUNCTION("""COMPUTED_VALUE"""),"Automobile")</f>
        <v>Automobile</v>
      </c>
      <c r="F390" s="118">
        <f>IFERROR(__xludf.DUMMYFUNCTION("""COMPUTED_VALUE"""),498.20751896679093)</f>
        <v>498.207519</v>
      </c>
      <c r="G390" s="20">
        <f>IFERROR(__xludf.DUMMYFUNCTION("""COMPUTED_VALUE"""),114027.0)</f>
        <v>114027</v>
      </c>
      <c r="H390" s="20">
        <f>IFERROR(__xludf.DUMMYFUNCTION("""COMPUTED_VALUE"""),7.0)</f>
        <v>7</v>
      </c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121"/>
      <c r="Z390" s="20"/>
      <c r="AA390" s="20"/>
      <c r="AB390" s="20"/>
    </row>
    <row r="391">
      <c r="A391" s="20"/>
      <c r="B391" s="117">
        <f>IFERROR(__xludf.DUMMYFUNCTION("""COMPUTED_VALUE"""),43674.0)</f>
        <v>43674</v>
      </c>
      <c r="C391" s="20">
        <f>IFERROR(__xludf.DUMMYFUNCTION("""COMPUTED_VALUE"""),2019.0)</f>
        <v>2019</v>
      </c>
      <c r="D391" s="20" t="str">
        <f>IFERROR(__xludf.DUMMYFUNCTION("""COMPUTED_VALUE"""),"Roadside assistance")</f>
        <v>Roadside assistance</v>
      </c>
      <c r="E391" s="20" t="str">
        <f>IFERROR(__xludf.DUMMYFUNCTION("""COMPUTED_VALUE"""),"Insurance")</f>
        <v>Insurance</v>
      </c>
      <c r="F391" s="118">
        <f>IFERROR(__xludf.DUMMYFUNCTION("""COMPUTED_VALUE"""),277.621397349147)</f>
        <v>277.6213973</v>
      </c>
      <c r="G391" s="20">
        <f>IFERROR(__xludf.DUMMYFUNCTION("""COMPUTED_VALUE"""),121621.0)</f>
        <v>121621</v>
      </c>
      <c r="H391" s="20">
        <f>IFERROR(__xludf.DUMMYFUNCTION("""COMPUTED_VALUE"""),7.0)</f>
        <v>7</v>
      </c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121"/>
      <c r="Z391" s="20"/>
      <c r="AA391" s="20"/>
      <c r="AB391" s="20"/>
    </row>
    <row r="392">
      <c r="A392" s="20"/>
      <c r="B392" s="117">
        <f>IFERROR(__xludf.DUMMYFUNCTION("""COMPUTED_VALUE"""),43677.0)</f>
        <v>43677</v>
      </c>
      <c r="C392" s="20">
        <f>IFERROR(__xludf.DUMMYFUNCTION("""COMPUTED_VALUE"""),2019.0)</f>
        <v>2019</v>
      </c>
      <c r="D392" s="20" t="str">
        <f>IFERROR(__xludf.DUMMYFUNCTION("""COMPUTED_VALUE"""),"Decorating")</f>
        <v>Decorating</v>
      </c>
      <c r="E392" s="20" t="str">
        <f>IFERROR(__xludf.DUMMYFUNCTION("""COMPUTED_VALUE"""),"Household")</f>
        <v>Household</v>
      </c>
      <c r="F392" s="118">
        <f>IFERROR(__xludf.DUMMYFUNCTION("""COMPUTED_VALUE"""),471.4798084759021)</f>
        <v>471.4798085</v>
      </c>
      <c r="G392" s="20">
        <f>IFERROR(__xludf.DUMMYFUNCTION("""COMPUTED_VALUE"""),529922.0)</f>
        <v>529922</v>
      </c>
      <c r="H392" s="20">
        <f>IFERROR(__xludf.DUMMYFUNCTION("""COMPUTED_VALUE"""),7.0)</f>
        <v>7</v>
      </c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121"/>
      <c r="Z392" s="20"/>
      <c r="AA392" s="20"/>
      <c r="AB392" s="20"/>
    </row>
    <row r="393">
      <c r="A393" s="20"/>
      <c r="B393" s="117">
        <f>IFERROR(__xludf.DUMMYFUNCTION("""COMPUTED_VALUE"""),43680.0)</f>
        <v>43680</v>
      </c>
      <c r="C393" s="20">
        <f>IFERROR(__xludf.DUMMYFUNCTION("""COMPUTED_VALUE"""),2019.0)</f>
        <v>2019</v>
      </c>
      <c r="D393" s="20" t="str">
        <f>IFERROR(__xludf.DUMMYFUNCTION("""COMPUTED_VALUE"""),"Physician")</f>
        <v>Physician</v>
      </c>
      <c r="E393" s="20" t="str">
        <f>IFERROR(__xludf.DUMMYFUNCTION("""COMPUTED_VALUE"""),"Healthcare")</f>
        <v>Healthcare</v>
      </c>
      <c r="F393" s="118">
        <f>IFERROR(__xludf.DUMMYFUNCTION("""COMPUTED_VALUE"""),428.27894441482545)</f>
        <v>428.2789444</v>
      </c>
      <c r="G393" s="20">
        <f>IFERROR(__xludf.DUMMYFUNCTION("""COMPUTED_VALUE"""),360399.0)</f>
        <v>360399</v>
      </c>
      <c r="H393" s="20">
        <f>IFERROR(__xludf.DUMMYFUNCTION("""COMPUTED_VALUE"""),8.0)</f>
        <v>8</v>
      </c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121"/>
      <c r="Z393" s="20"/>
      <c r="AA393" s="20"/>
      <c r="AB393" s="20"/>
    </row>
    <row r="394">
      <c r="A394" s="20"/>
      <c r="B394" s="117">
        <f>IFERROR(__xludf.DUMMYFUNCTION("""COMPUTED_VALUE"""),43683.0)</f>
        <v>43683</v>
      </c>
      <c r="C394" s="20">
        <f>IFERROR(__xludf.DUMMYFUNCTION("""COMPUTED_VALUE"""),2019.0)</f>
        <v>2019</v>
      </c>
      <c r="D394" s="20" t="str">
        <f>IFERROR(__xludf.DUMMYFUNCTION("""COMPUTED_VALUE"""),"Home maintenance and repair")</f>
        <v>Home maintenance and repair</v>
      </c>
      <c r="E394" s="20" t="str">
        <f>IFERROR(__xludf.DUMMYFUNCTION("""COMPUTED_VALUE"""),"Household")</f>
        <v>Household</v>
      </c>
      <c r="F394" s="118">
        <f>IFERROR(__xludf.DUMMYFUNCTION("""COMPUTED_VALUE"""),346.9556955043111)</f>
        <v>346.9556955</v>
      </c>
      <c r="G394" s="20">
        <f>IFERROR(__xludf.DUMMYFUNCTION("""COMPUTED_VALUE"""),145210.0)</f>
        <v>145210</v>
      </c>
      <c r="H394" s="20">
        <f>IFERROR(__xludf.DUMMYFUNCTION("""COMPUTED_VALUE"""),8.0)</f>
        <v>8</v>
      </c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121"/>
      <c r="Z394" s="20"/>
      <c r="AA394" s="20"/>
      <c r="AB394" s="20"/>
    </row>
    <row r="395">
      <c r="A395" s="20"/>
      <c r="B395" s="117">
        <f>IFERROR(__xludf.DUMMYFUNCTION("""COMPUTED_VALUE"""),43684.0)</f>
        <v>43684</v>
      </c>
      <c r="C395" s="20">
        <f>IFERROR(__xludf.DUMMYFUNCTION("""COMPUTED_VALUE"""),2019.0)</f>
        <v>2019</v>
      </c>
      <c r="D395" s="20" t="str">
        <f>IFERROR(__xludf.DUMMYFUNCTION("""COMPUTED_VALUE"""),"Cash advance fee")</f>
        <v>Cash advance fee</v>
      </c>
      <c r="E395" s="20" t="str">
        <f>IFERROR(__xludf.DUMMYFUNCTION("""COMPUTED_VALUE"""),"Credit Card Fees")</f>
        <v>Credit Card Fees</v>
      </c>
      <c r="F395" s="118">
        <f>IFERROR(__xludf.DUMMYFUNCTION("""COMPUTED_VALUE"""),238.76255451246152)</f>
        <v>238.7625545</v>
      </c>
      <c r="G395" s="20">
        <f>IFERROR(__xludf.DUMMYFUNCTION("""COMPUTED_VALUE"""),334654.0)</f>
        <v>334654</v>
      </c>
      <c r="H395" s="20">
        <f>IFERROR(__xludf.DUMMYFUNCTION("""COMPUTED_VALUE"""),8.0)</f>
        <v>8</v>
      </c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121"/>
      <c r="Z395" s="20"/>
      <c r="AA395" s="20"/>
      <c r="AB395" s="20"/>
    </row>
    <row r="396">
      <c r="A396" s="20"/>
      <c r="B396" s="117">
        <f>IFERROR(__xludf.DUMMYFUNCTION("""COMPUTED_VALUE"""),43686.0)</f>
        <v>43686</v>
      </c>
      <c r="C396" s="20">
        <f>IFERROR(__xludf.DUMMYFUNCTION("""COMPUTED_VALUE"""),2019.0)</f>
        <v>2019</v>
      </c>
      <c r="D396" s="20" t="str">
        <f>IFERROR(__xludf.DUMMYFUNCTION("""COMPUTED_VALUE"""),"Clothing")</f>
        <v>Clothing</v>
      </c>
      <c r="E396" s="20" t="str">
        <f>IFERROR(__xludf.DUMMYFUNCTION("""COMPUTED_VALUE"""),"Clothing")</f>
        <v>Clothing</v>
      </c>
      <c r="F396" s="118">
        <f>IFERROR(__xludf.DUMMYFUNCTION("""COMPUTED_VALUE"""),25.332133596851143)</f>
        <v>25.3321336</v>
      </c>
      <c r="G396" s="20">
        <f>IFERROR(__xludf.DUMMYFUNCTION("""COMPUTED_VALUE"""),712061.0)</f>
        <v>712061</v>
      </c>
      <c r="H396" s="20">
        <f>IFERROR(__xludf.DUMMYFUNCTION("""COMPUTED_VALUE"""),8.0)</f>
        <v>8</v>
      </c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121"/>
      <c r="Z396" s="20"/>
      <c r="AA396" s="20"/>
      <c r="AB396" s="20"/>
    </row>
    <row r="397">
      <c r="A397" s="20"/>
      <c r="B397" s="117">
        <f>IFERROR(__xludf.DUMMYFUNCTION("""COMPUTED_VALUE"""),43690.0)</f>
        <v>43690</v>
      </c>
      <c r="C397" s="20">
        <f>IFERROR(__xludf.DUMMYFUNCTION("""COMPUTED_VALUE"""),2019.0)</f>
        <v>2019</v>
      </c>
      <c r="D397" s="20" t="str">
        <f>IFERROR(__xludf.DUMMYFUNCTION("""COMPUTED_VALUE"""),"Over the counter medication")</f>
        <v>Over the counter medication</v>
      </c>
      <c r="E397" s="20" t="str">
        <f>IFERROR(__xludf.DUMMYFUNCTION("""COMPUTED_VALUE"""),"Healthcare")</f>
        <v>Healthcare</v>
      </c>
      <c r="F397" s="118">
        <f>IFERROR(__xludf.DUMMYFUNCTION("""COMPUTED_VALUE"""),469.2483420901065)</f>
        <v>469.2483421</v>
      </c>
      <c r="G397" s="20">
        <f>IFERROR(__xludf.DUMMYFUNCTION("""COMPUTED_VALUE"""),312051.0)</f>
        <v>312051</v>
      </c>
      <c r="H397" s="20">
        <f>IFERROR(__xludf.DUMMYFUNCTION("""COMPUTED_VALUE"""),8.0)</f>
        <v>8</v>
      </c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121"/>
      <c r="Z397" s="20"/>
      <c r="AA397" s="20"/>
      <c r="AB397" s="20"/>
    </row>
    <row r="398">
      <c r="A398" s="20"/>
      <c r="B398" s="117">
        <f>IFERROR(__xludf.DUMMYFUNCTION("""COMPUTED_VALUE"""),43693.0)</f>
        <v>43693</v>
      </c>
      <c r="C398" s="20">
        <f>IFERROR(__xludf.DUMMYFUNCTION("""COMPUTED_VALUE"""),2019.0)</f>
        <v>2019</v>
      </c>
      <c r="D398" s="20" t="str">
        <f>IFERROR(__xludf.DUMMYFUNCTION("""COMPUTED_VALUE"""),"Coffee house")</f>
        <v>Coffee house</v>
      </c>
      <c r="E398" s="20" t="str">
        <f>IFERROR(__xludf.DUMMYFUNCTION("""COMPUTED_VALUE"""),"Food")</f>
        <v>Food</v>
      </c>
      <c r="F398" s="118">
        <f>IFERROR(__xludf.DUMMYFUNCTION("""COMPUTED_VALUE"""),95.56647599416142)</f>
        <v>95.56647599</v>
      </c>
      <c r="G398" s="20">
        <f>IFERROR(__xludf.DUMMYFUNCTION("""COMPUTED_VALUE"""),459360.0)</f>
        <v>459360</v>
      </c>
      <c r="H398" s="20">
        <f>IFERROR(__xludf.DUMMYFUNCTION("""COMPUTED_VALUE"""),8.0)</f>
        <v>8</v>
      </c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121"/>
      <c r="Z398" s="20"/>
      <c r="AA398" s="20"/>
      <c r="AB398" s="20"/>
    </row>
    <row r="399">
      <c r="A399" s="20"/>
      <c r="B399" s="117"/>
      <c r="C399" s="20"/>
      <c r="D399" s="20"/>
      <c r="E399" s="20"/>
      <c r="F399" s="118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121"/>
      <c r="Z399" s="20"/>
      <c r="AA399" s="20"/>
      <c r="AB399" s="20"/>
    </row>
    <row r="400">
      <c r="A400" s="20"/>
      <c r="B400" s="117"/>
      <c r="C400" s="20"/>
      <c r="D400" s="20"/>
      <c r="E400" s="20"/>
      <c r="F400" s="118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121"/>
      <c r="Z400" s="20"/>
      <c r="AA400" s="20"/>
      <c r="AB400" s="20"/>
    </row>
    <row r="401">
      <c r="A401" s="20"/>
      <c r="B401" s="117"/>
      <c r="C401" s="20"/>
      <c r="D401" s="20"/>
      <c r="E401" s="20"/>
      <c r="F401" s="118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121"/>
      <c r="Z401" s="20"/>
      <c r="AA401" s="20"/>
      <c r="AB401" s="20"/>
    </row>
    <row r="402">
      <c r="A402" s="20"/>
      <c r="B402" s="117"/>
      <c r="C402" s="20"/>
      <c r="D402" s="20"/>
      <c r="E402" s="20"/>
      <c r="F402" s="118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121"/>
      <c r="Z402" s="20"/>
      <c r="AA402" s="20"/>
      <c r="AB402" s="20"/>
    </row>
    <row r="403">
      <c r="A403" s="20"/>
      <c r="B403" s="117"/>
      <c r="C403" s="20"/>
      <c r="D403" s="20"/>
      <c r="E403" s="20"/>
      <c r="F403" s="118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121"/>
      <c r="Z403" s="20"/>
      <c r="AA403" s="20"/>
      <c r="AB403" s="20"/>
    </row>
    <row r="404">
      <c r="A404" s="20"/>
      <c r="B404" s="117"/>
      <c r="C404" s="20"/>
      <c r="D404" s="20"/>
      <c r="E404" s="20"/>
      <c r="F404" s="118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121"/>
      <c r="Z404" s="20"/>
      <c r="AA404" s="20"/>
      <c r="AB404" s="20"/>
    </row>
    <row r="405">
      <c r="A405" s="20"/>
      <c r="B405" s="117"/>
      <c r="C405" s="20"/>
      <c r="D405" s="20"/>
      <c r="E405" s="20"/>
      <c r="F405" s="118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121"/>
      <c r="Z405" s="20"/>
      <c r="AA405" s="20"/>
      <c r="AB405" s="20"/>
    </row>
    <row r="406">
      <c r="A406" s="20"/>
      <c r="B406" s="117"/>
      <c r="C406" s="20"/>
      <c r="D406" s="20"/>
      <c r="E406" s="20"/>
      <c r="F406" s="118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121"/>
      <c r="Z406" s="20"/>
      <c r="AA406" s="20"/>
      <c r="AB406" s="20"/>
    </row>
    <row r="407">
      <c r="A407" s="20"/>
      <c r="B407" s="117"/>
      <c r="C407" s="20"/>
      <c r="D407" s="20"/>
      <c r="E407" s="20"/>
      <c r="F407" s="118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121"/>
      <c r="Z407" s="20"/>
      <c r="AA407" s="20"/>
      <c r="AB407" s="20"/>
    </row>
    <row r="408">
      <c r="A408" s="20"/>
      <c r="B408" s="117"/>
      <c r="C408" s="20"/>
      <c r="D408" s="20"/>
      <c r="E408" s="20"/>
      <c r="F408" s="118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121"/>
      <c r="Z408" s="20"/>
      <c r="AA408" s="20"/>
      <c r="AB408" s="20"/>
    </row>
    <row r="409">
      <c r="A409" s="20"/>
      <c r="B409" s="117"/>
      <c r="C409" s="20"/>
      <c r="D409" s="20"/>
      <c r="E409" s="20"/>
      <c r="F409" s="118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121"/>
      <c r="Z409" s="20"/>
      <c r="AA409" s="20"/>
      <c r="AB409" s="20"/>
    </row>
    <row r="410">
      <c r="A410" s="20"/>
      <c r="B410" s="117"/>
      <c r="C410" s="20"/>
      <c r="D410" s="20"/>
      <c r="E410" s="20"/>
      <c r="F410" s="118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121"/>
      <c r="Z410" s="20"/>
      <c r="AA410" s="20"/>
      <c r="AB410" s="20"/>
    </row>
    <row r="411">
      <c r="A411" s="20"/>
      <c r="B411" s="117"/>
      <c r="C411" s="20"/>
      <c r="D411" s="20"/>
      <c r="E411" s="20"/>
      <c r="F411" s="118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121"/>
      <c r="Z411" s="20"/>
      <c r="AA411" s="20"/>
      <c r="AB411" s="20"/>
    </row>
    <row r="412">
      <c r="A412" s="20"/>
      <c r="B412" s="117"/>
      <c r="C412" s="20"/>
      <c r="D412" s="20"/>
      <c r="E412" s="20"/>
      <c r="F412" s="118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121"/>
      <c r="Z412" s="20"/>
      <c r="AA412" s="20"/>
      <c r="AB412" s="20"/>
    </row>
    <row r="413">
      <c r="A413" s="20"/>
      <c r="B413" s="117"/>
      <c r="C413" s="20"/>
      <c r="D413" s="20"/>
      <c r="E413" s="20"/>
      <c r="F413" s="118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121"/>
      <c r="Z413" s="20"/>
      <c r="AA413" s="20"/>
      <c r="AB413" s="20"/>
    </row>
    <row r="414">
      <c r="A414" s="20"/>
      <c r="B414" s="117"/>
      <c r="C414" s="20"/>
      <c r="D414" s="20"/>
      <c r="E414" s="20"/>
      <c r="F414" s="118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121"/>
      <c r="Z414" s="20"/>
      <c r="AA414" s="20"/>
      <c r="AB414" s="20"/>
    </row>
    <row r="415">
      <c r="A415" s="20"/>
      <c r="B415" s="117"/>
      <c r="C415" s="20"/>
      <c r="D415" s="20"/>
      <c r="E415" s="20"/>
      <c r="F415" s="118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121"/>
      <c r="Z415" s="20"/>
      <c r="AA415" s="20"/>
      <c r="AB415" s="20"/>
    </row>
    <row r="416">
      <c r="A416" s="20"/>
      <c r="B416" s="117"/>
      <c r="C416" s="20"/>
      <c r="D416" s="20"/>
      <c r="E416" s="20"/>
      <c r="F416" s="118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121"/>
      <c r="Z416" s="20"/>
      <c r="AA416" s="20"/>
      <c r="AB416" s="20"/>
    </row>
    <row r="417">
      <c r="A417" s="20"/>
      <c r="B417" s="117"/>
      <c r="C417" s="20"/>
      <c r="D417" s="20"/>
      <c r="E417" s="20"/>
      <c r="F417" s="118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121"/>
      <c r="Z417" s="20"/>
      <c r="AA417" s="20"/>
      <c r="AB417" s="20"/>
    </row>
    <row r="418">
      <c r="A418" s="20"/>
      <c r="B418" s="117"/>
      <c r="C418" s="20"/>
      <c r="D418" s="20"/>
      <c r="E418" s="20"/>
      <c r="F418" s="118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121"/>
      <c r="Z418" s="20"/>
      <c r="AA418" s="20"/>
      <c r="AB418" s="20"/>
    </row>
    <row r="419">
      <c r="A419" s="20"/>
      <c r="B419" s="117"/>
      <c r="C419" s="20"/>
      <c r="D419" s="20"/>
      <c r="E419" s="20"/>
      <c r="F419" s="118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121"/>
      <c r="Z419" s="20"/>
      <c r="AA419" s="20"/>
      <c r="AB419" s="20"/>
    </row>
    <row r="420">
      <c r="A420" s="20"/>
      <c r="B420" s="117"/>
      <c r="C420" s="20"/>
      <c r="D420" s="20"/>
      <c r="E420" s="20"/>
      <c r="F420" s="118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121"/>
      <c r="Z420" s="20"/>
      <c r="AA420" s="20"/>
      <c r="AB420" s="20"/>
    </row>
    <row r="421">
      <c r="A421" s="20"/>
      <c r="B421" s="117"/>
      <c r="C421" s="20"/>
      <c r="D421" s="20"/>
      <c r="E421" s="20"/>
      <c r="F421" s="118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121"/>
      <c r="Z421" s="20"/>
      <c r="AA421" s="20"/>
      <c r="AB421" s="20"/>
    </row>
    <row r="422">
      <c r="A422" s="20"/>
      <c r="B422" s="117"/>
      <c r="C422" s="20"/>
      <c r="D422" s="20"/>
      <c r="E422" s="20"/>
      <c r="F422" s="118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121"/>
      <c r="Z422" s="20"/>
      <c r="AA422" s="20"/>
      <c r="AB422" s="20"/>
    </row>
    <row r="423">
      <c r="A423" s="20"/>
      <c r="B423" s="117"/>
      <c r="C423" s="20"/>
      <c r="D423" s="20"/>
      <c r="E423" s="20"/>
      <c r="F423" s="118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121"/>
      <c r="Z423" s="20"/>
      <c r="AA423" s="20"/>
      <c r="AB423" s="20"/>
    </row>
    <row r="424">
      <c r="A424" s="20"/>
      <c r="B424" s="117"/>
      <c r="C424" s="20"/>
      <c r="D424" s="20"/>
      <c r="E424" s="20"/>
      <c r="F424" s="118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121"/>
      <c r="Z424" s="20"/>
      <c r="AA424" s="20"/>
      <c r="AB424" s="20"/>
    </row>
    <row r="425">
      <c r="A425" s="20"/>
      <c r="B425" s="117"/>
      <c r="C425" s="20"/>
      <c r="D425" s="20"/>
      <c r="E425" s="20"/>
      <c r="F425" s="118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121"/>
      <c r="Z425" s="20"/>
      <c r="AA425" s="20"/>
      <c r="AB425" s="20"/>
    </row>
    <row r="426">
      <c r="A426" s="20"/>
      <c r="B426" s="117"/>
      <c r="C426" s="20"/>
      <c r="D426" s="20"/>
      <c r="E426" s="20"/>
      <c r="F426" s="118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121"/>
      <c r="Z426" s="20"/>
      <c r="AA426" s="20"/>
      <c r="AB426" s="20"/>
    </row>
    <row r="427">
      <c r="A427" s="20"/>
      <c r="B427" s="117"/>
      <c r="C427" s="20"/>
      <c r="D427" s="20"/>
      <c r="E427" s="20"/>
      <c r="F427" s="118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121"/>
      <c r="Z427" s="20"/>
      <c r="AA427" s="20"/>
      <c r="AB427" s="20"/>
    </row>
    <row r="428">
      <c r="A428" s="20"/>
      <c r="B428" s="117"/>
      <c r="C428" s="20"/>
      <c r="D428" s="20"/>
      <c r="E428" s="20"/>
      <c r="F428" s="118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121"/>
      <c r="Z428" s="20"/>
      <c r="AA428" s="20"/>
      <c r="AB428" s="20"/>
    </row>
    <row r="429">
      <c r="A429" s="20"/>
      <c r="B429" s="117"/>
      <c r="C429" s="20"/>
      <c r="D429" s="20"/>
      <c r="E429" s="20"/>
      <c r="F429" s="118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121"/>
      <c r="Z429" s="20"/>
      <c r="AA429" s="20"/>
      <c r="AB429" s="20"/>
    </row>
    <row r="430">
      <c r="A430" s="20"/>
      <c r="B430" s="117"/>
      <c r="C430" s="20"/>
      <c r="D430" s="20"/>
      <c r="E430" s="20"/>
      <c r="F430" s="118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121"/>
      <c r="Z430" s="20"/>
      <c r="AA430" s="20"/>
      <c r="AB430" s="20"/>
    </row>
    <row r="431">
      <c r="A431" s="20"/>
      <c r="B431" s="117"/>
      <c r="C431" s="20"/>
      <c r="D431" s="20"/>
      <c r="E431" s="20"/>
      <c r="F431" s="118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121"/>
      <c r="Z431" s="20"/>
      <c r="AA431" s="20"/>
      <c r="AB431" s="20"/>
    </row>
    <row r="432">
      <c r="A432" s="20"/>
      <c r="B432" s="117"/>
      <c r="C432" s="20"/>
      <c r="D432" s="20"/>
      <c r="E432" s="20"/>
      <c r="F432" s="118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121"/>
      <c r="Z432" s="20"/>
      <c r="AA432" s="20"/>
      <c r="AB432" s="20"/>
    </row>
    <row r="433">
      <c r="A433" s="20"/>
      <c r="B433" s="117"/>
      <c r="C433" s="20"/>
      <c r="D433" s="20"/>
      <c r="E433" s="20"/>
      <c r="F433" s="118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121"/>
      <c r="Z433" s="20"/>
      <c r="AA433" s="20"/>
      <c r="AB433" s="20"/>
    </row>
    <row r="434">
      <c r="A434" s="20"/>
      <c r="B434" s="117"/>
      <c r="C434" s="20"/>
      <c r="D434" s="20"/>
      <c r="E434" s="20"/>
      <c r="F434" s="118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121"/>
      <c r="Z434" s="20"/>
      <c r="AA434" s="20"/>
      <c r="AB434" s="20"/>
    </row>
    <row r="435">
      <c r="A435" s="20"/>
      <c r="B435" s="117"/>
      <c r="C435" s="20"/>
      <c r="D435" s="20"/>
      <c r="E435" s="20"/>
      <c r="F435" s="118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121"/>
      <c r="Z435" s="20"/>
      <c r="AA435" s="20"/>
      <c r="AB435" s="20"/>
    </row>
    <row r="436">
      <c r="A436" s="20"/>
      <c r="B436" s="117"/>
      <c r="C436" s="20"/>
      <c r="D436" s="20"/>
      <c r="E436" s="20"/>
      <c r="F436" s="118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121"/>
      <c r="Z436" s="20"/>
      <c r="AA436" s="20"/>
      <c r="AB436" s="20"/>
    </row>
    <row r="437">
      <c r="A437" s="20"/>
      <c r="B437" s="117"/>
      <c r="C437" s="20"/>
      <c r="D437" s="20"/>
      <c r="E437" s="20"/>
      <c r="F437" s="118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121"/>
      <c r="Z437" s="20"/>
      <c r="AA437" s="20"/>
      <c r="AB437" s="20"/>
    </row>
    <row r="438">
      <c r="A438" s="20"/>
      <c r="B438" s="117"/>
      <c r="C438" s="20"/>
      <c r="D438" s="20"/>
      <c r="E438" s="20"/>
      <c r="F438" s="118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121"/>
      <c r="Z438" s="20"/>
      <c r="AA438" s="20"/>
      <c r="AB438" s="20"/>
    </row>
    <row r="439">
      <c r="A439" s="20"/>
      <c r="B439" s="117"/>
      <c r="C439" s="20"/>
      <c r="D439" s="20"/>
      <c r="E439" s="20"/>
      <c r="F439" s="118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121"/>
      <c r="Z439" s="20"/>
      <c r="AA439" s="20"/>
      <c r="AB439" s="20"/>
    </row>
    <row r="440">
      <c r="A440" s="20"/>
      <c r="B440" s="117"/>
      <c r="C440" s="20"/>
      <c r="D440" s="20"/>
      <c r="E440" s="20"/>
      <c r="F440" s="118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121"/>
      <c r="Z440" s="20"/>
      <c r="AA440" s="20"/>
      <c r="AB440" s="20"/>
    </row>
    <row r="441">
      <c r="A441" s="20"/>
      <c r="B441" s="117"/>
      <c r="C441" s="20"/>
      <c r="D441" s="20"/>
      <c r="E441" s="20"/>
      <c r="F441" s="118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121"/>
      <c r="Z441" s="20"/>
      <c r="AA441" s="20"/>
      <c r="AB441" s="20"/>
    </row>
    <row r="442">
      <c r="A442" s="20"/>
      <c r="B442" s="117"/>
      <c r="C442" s="20"/>
      <c r="D442" s="20"/>
      <c r="E442" s="20"/>
      <c r="F442" s="118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121"/>
      <c r="Z442" s="20"/>
      <c r="AA442" s="20"/>
      <c r="AB442" s="20"/>
    </row>
    <row r="443">
      <c r="A443" s="20"/>
      <c r="B443" s="117"/>
      <c r="C443" s="20"/>
      <c r="D443" s="20"/>
      <c r="E443" s="20"/>
      <c r="F443" s="118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121"/>
      <c r="Z443" s="20"/>
      <c r="AA443" s="20"/>
      <c r="AB443" s="20"/>
    </row>
    <row r="444">
      <c r="A444" s="20"/>
      <c r="B444" s="117"/>
      <c r="C444" s="20"/>
      <c r="D444" s="20"/>
      <c r="E444" s="20"/>
      <c r="F444" s="118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121"/>
      <c r="Z444" s="20"/>
      <c r="AA444" s="20"/>
      <c r="AB444" s="20"/>
    </row>
    <row r="445">
      <c r="A445" s="20"/>
      <c r="B445" s="117"/>
      <c r="C445" s="20"/>
      <c r="D445" s="20"/>
      <c r="E445" s="20"/>
      <c r="F445" s="118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121"/>
      <c r="Z445" s="20"/>
      <c r="AA445" s="20"/>
      <c r="AB445" s="20"/>
    </row>
    <row r="446">
      <c r="A446" s="20"/>
      <c r="B446" s="117"/>
      <c r="C446" s="20"/>
      <c r="D446" s="20"/>
      <c r="E446" s="20"/>
      <c r="F446" s="118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121"/>
      <c r="Z446" s="20"/>
      <c r="AA446" s="20"/>
      <c r="AB446" s="20"/>
    </row>
    <row r="447">
      <c r="A447" s="20"/>
      <c r="B447" s="117"/>
      <c r="C447" s="20"/>
      <c r="D447" s="20"/>
      <c r="E447" s="20"/>
      <c r="F447" s="118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121"/>
      <c r="Z447" s="20"/>
      <c r="AA447" s="20"/>
      <c r="AB447" s="20"/>
    </row>
    <row r="448">
      <c r="A448" s="20"/>
      <c r="B448" s="117"/>
      <c r="C448" s="20"/>
      <c r="D448" s="20"/>
      <c r="E448" s="20"/>
      <c r="F448" s="118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121"/>
      <c r="Z448" s="20"/>
      <c r="AA448" s="20"/>
      <c r="AB448" s="20"/>
    </row>
    <row r="449">
      <c r="A449" s="20"/>
      <c r="B449" s="117"/>
      <c r="C449" s="20"/>
      <c r="D449" s="20"/>
      <c r="E449" s="20"/>
      <c r="F449" s="118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121"/>
      <c r="Z449" s="20"/>
      <c r="AA449" s="20"/>
      <c r="AB449" s="20"/>
    </row>
    <row r="450">
      <c r="A450" s="20"/>
      <c r="B450" s="117"/>
      <c r="C450" s="20"/>
      <c r="D450" s="20"/>
      <c r="E450" s="20"/>
      <c r="F450" s="118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121"/>
      <c r="Z450" s="20"/>
      <c r="AA450" s="20"/>
      <c r="AB450" s="20"/>
    </row>
    <row r="451">
      <c r="A451" s="20"/>
      <c r="B451" s="117"/>
      <c r="C451" s="20"/>
      <c r="D451" s="20"/>
      <c r="E451" s="20"/>
      <c r="F451" s="118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121"/>
      <c r="Z451" s="20"/>
      <c r="AA451" s="20"/>
      <c r="AB451" s="20"/>
    </row>
    <row r="452">
      <c r="A452" s="20"/>
      <c r="B452" s="117"/>
      <c r="C452" s="20"/>
      <c r="D452" s="20"/>
      <c r="E452" s="20"/>
      <c r="F452" s="118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121"/>
      <c r="Z452" s="20"/>
      <c r="AA452" s="20"/>
      <c r="AB452" s="20"/>
    </row>
    <row r="453">
      <c r="A453" s="20"/>
      <c r="B453" s="117"/>
      <c r="C453" s="20"/>
      <c r="D453" s="20"/>
      <c r="E453" s="20"/>
      <c r="F453" s="118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121"/>
      <c r="Z453" s="20"/>
      <c r="AA453" s="20"/>
      <c r="AB453" s="20"/>
    </row>
    <row r="454">
      <c r="A454" s="20"/>
      <c r="B454" s="117"/>
      <c r="C454" s="20"/>
      <c r="D454" s="20"/>
      <c r="E454" s="20"/>
      <c r="F454" s="118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121"/>
      <c r="Z454" s="20"/>
      <c r="AA454" s="20"/>
      <c r="AB454" s="20"/>
    </row>
    <row r="455">
      <c r="A455" s="20"/>
      <c r="B455" s="117"/>
      <c r="C455" s="20"/>
      <c r="D455" s="20"/>
      <c r="E455" s="20"/>
      <c r="F455" s="118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121"/>
      <c r="Z455" s="20"/>
      <c r="AA455" s="20"/>
      <c r="AB455" s="20"/>
    </row>
    <row r="456">
      <c r="A456" s="20"/>
      <c r="B456" s="117"/>
      <c r="C456" s="20"/>
      <c r="D456" s="20"/>
      <c r="E456" s="20"/>
      <c r="F456" s="118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121"/>
      <c r="Z456" s="20"/>
      <c r="AA456" s="20"/>
      <c r="AB456" s="20"/>
    </row>
    <row r="457">
      <c r="A457" s="20"/>
      <c r="B457" s="117"/>
      <c r="C457" s="20"/>
      <c r="D457" s="20"/>
      <c r="E457" s="20"/>
      <c r="F457" s="118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121"/>
      <c r="Z457" s="20"/>
      <c r="AA457" s="20"/>
      <c r="AB457" s="20"/>
    </row>
    <row r="458">
      <c r="A458" s="20"/>
      <c r="B458" s="117"/>
      <c r="C458" s="20"/>
      <c r="D458" s="20"/>
      <c r="E458" s="20"/>
      <c r="F458" s="118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121"/>
      <c r="Z458" s="20"/>
      <c r="AA458" s="20"/>
      <c r="AB458" s="20"/>
    </row>
    <row r="459">
      <c r="A459" s="20"/>
      <c r="B459" s="117"/>
      <c r="C459" s="20"/>
      <c r="D459" s="20"/>
      <c r="E459" s="20"/>
      <c r="F459" s="118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121"/>
      <c r="Z459" s="20"/>
      <c r="AA459" s="20"/>
      <c r="AB459" s="20"/>
    </row>
    <row r="460">
      <c r="A460" s="20"/>
      <c r="B460" s="117"/>
      <c r="C460" s="20"/>
      <c r="D460" s="20"/>
      <c r="E460" s="20"/>
      <c r="F460" s="118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121"/>
      <c r="Z460" s="20"/>
      <c r="AA460" s="20"/>
      <c r="AB460" s="20"/>
    </row>
    <row r="461">
      <c r="A461" s="20"/>
      <c r="B461" s="117"/>
      <c r="C461" s="20"/>
      <c r="D461" s="20"/>
      <c r="E461" s="20"/>
      <c r="F461" s="118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121"/>
      <c r="Z461" s="20"/>
      <c r="AA461" s="20"/>
      <c r="AB461" s="20"/>
    </row>
    <row r="462">
      <c r="A462" s="20"/>
      <c r="B462" s="117"/>
      <c r="C462" s="20"/>
      <c r="D462" s="20"/>
      <c r="E462" s="20"/>
      <c r="F462" s="118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121"/>
      <c r="Z462" s="20"/>
      <c r="AA462" s="20"/>
      <c r="AB462" s="20"/>
    </row>
    <row r="463">
      <c r="A463" s="20"/>
      <c r="B463" s="117"/>
      <c r="C463" s="20"/>
      <c r="D463" s="20"/>
      <c r="E463" s="20"/>
      <c r="F463" s="118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121"/>
      <c r="Z463" s="20"/>
      <c r="AA463" s="20"/>
      <c r="AB463" s="20"/>
    </row>
    <row r="464">
      <c r="A464" s="20"/>
      <c r="B464" s="117"/>
      <c r="C464" s="20"/>
      <c r="D464" s="20"/>
      <c r="E464" s="20"/>
      <c r="F464" s="118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121"/>
      <c r="Z464" s="20"/>
      <c r="AA464" s="20"/>
      <c r="AB464" s="20"/>
    </row>
    <row r="465">
      <c r="A465" s="20"/>
      <c r="B465" s="117"/>
      <c r="C465" s="20"/>
      <c r="D465" s="20"/>
      <c r="E465" s="20"/>
      <c r="F465" s="118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121"/>
      <c r="Z465" s="20"/>
      <c r="AA465" s="20"/>
      <c r="AB465" s="20"/>
    </row>
    <row r="466">
      <c r="A466" s="20"/>
      <c r="B466" s="117"/>
      <c r="C466" s="20"/>
      <c r="D466" s="20"/>
      <c r="E466" s="20"/>
      <c r="F466" s="118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121"/>
      <c r="Z466" s="20"/>
      <c r="AA466" s="20"/>
      <c r="AB466" s="20"/>
    </row>
    <row r="467">
      <c r="A467" s="20"/>
      <c r="B467" s="117"/>
      <c r="C467" s="20"/>
      <c r="D467" s="20"/>
      <c r="E467" s="20"/>
      <c r="F467" s="118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121"/>
      <c r="Z467" s="20"/>
      <c r="AA467" s="20"/>
      <c r="AB467" s="20"/>
    </row>
    <row r="468">
      <c r="A468" s="20"/>
      <c r="B468" s="117"/>
      <c r="C468" s="20"/>
      <c r="D468" s="20"/>
      <c r="E468" s="20"/>
      <c r="F468" s="1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121"/>
      <c r="Z468" s="20"/>
      <c r="AA468" s="20"/>
      <c r="AB468" s="20"/>
    </row>
    <row r="469">
      <c r="A469" s="20"/>
      <c r="B469" s="117"/>
      <c r="C469" s="20"/>
      <c r="D469" s="20"/>
      <c r="E469" s="20"/>
      <c r="F469" s="1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121"/>
      <c r="Z469" s="20"/>
      <c r="AA469" s="20"/>
      <c r="AB469" s="20"/>
    </row>
    <row r="470">
      <c r="A470" s="20"/>
      <c r="B470" s="117"/>
      <c r="C470" s="20"/>
      <c r="D470" s="20"/>
      <c r="E470" s="20"/>
      <c r="F470" s="1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121"/>
      <c r="Z470" s="20"/>
      <c r="AA470" s="20"/>
      <c r="AB470" s="20"/>
    </row>
    <row r="471">
      <c r="A471" s="20"/>
      <c r="B471" s="117"/>
      <c r="C471" s="20"/>
      <c r="D471" s="20"/>
      <c r="E471" s="20"/>
      <c r="F471" s="1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121"/>
      <c r="Z471" s="20"/>
      <c r="AA471" s="20"/>
      <c r="AB471" s="20"/>
    </row>
    <row r="472">
      <c r="A472" s="20"/>
      <c r="B472" s="117"/>
      <c r="C472" s="20"/>
      <c r="D472" s="20"/>
      <c r="E472" s="20"/>
      <c r="F472" s="1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121"/>
      <c r="Z472" s="20"/>
      <c r="AA472" s="20"/>
      <c r="AB472" s="20"/>
    </row>
    <row r="473">
      <c r="A473" s="20"/>
      <c r="B473" s="117"/>
      <c r="C473" s="20"/>
      <c r="D473" s="20"/>
      <c r="E473" s="20"/>
      <c r="F473" s="1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121"/>
      <c r="Z473" s="20"/>
      <c r="AA473" s="20"/>
      <c r="AB473" s="20"/>
    </row>
    <row r="474">
      <c r="A474" s="20"/>
      <c r="B474" s="117"/>
      <c r="C474" s="20"/>
      <c r="D474" s="20"/>
      <c r="E474" s="20"/>
      <c r="F474" s="1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121"/>
      <c r="Z474" s="20"/>
      <c r="AA474" s="20"/>
      <c r="AB474" s="20"/>
    </row>
    <row r="475">
      <c r="A475" s="20"/>
      <c r="B475" s="117"/>
      <c r="C475" s="20"/>
      <c r="D475" s="20"/>
      <c r="E475" s="20"/>
      <c r="F475" s="1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121"/>
      <c r="Z475" s="20"/>
      <c r="AA475" s="20"/>
      <c r="AB475" s="20"/>
    </row>
    <row r="476">
      <c r="A476" s="20"/>
      <c r="B476" s="117"/>
      <c r="C476" s="20"/>
      <c r="D476" s="20"/>
      <c r="E476" s="20"/>
      <c r="F476" s="1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121"/>
      <c r="Z476" s="20"/>
      <c r="AA476" s="20"/>
      <c r="AB476" s="20"/>
    </row>
    <row r="477">
      <c r="A477" s="20"/>
      <c r="B477" s="117"/>
      <c r="C477" s="20"/>
      <c r="D477" s="20"/>
      <c r="E477" s="20"/>
      <c r="F477" s="1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121"/>
      <c r="Z477" s="20"/>
      <c r="AA477" s="20"/>
      <c r="AB477" s="20"/>
    </row>
    <row r="478">
      <c r="A478" s="20"/>
      <c r="B478" s="117"/>
      <c r="C478" s="20"/>
      <c r="D478" s="20"/>
      <c r="E478" s="20"/>
      <c r="F478" s="1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121"/>
      <c r="Z478" s="20"/>
      <c r="AA478" s="20"/>
      <c r="AB478" s="20"/>
    </row>
    <row r="479">
      <c r="A479" s="20"/>
      <c r="B479" s="117"/>
      <c r="C479" s="20"/>
      <c r="D479" s="20"/>
      <c r="E479" s="20"/>
      <c r="F479" s="1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121"/>
      <c r="Z479" s="20"/>
      <c r="AA479" s="20"/>
      <c r="AB479" s="20"/>
    </row>
    <row r="480">
      <c r="A480" s="20"/>
      <c r="B480" s="117"/>
      <c r="C480" s="20"/>
      <c r="D480" s="20"/>
      <c r="E480" s="20"/>
      <c r="F480" s="1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121"/>
      <c r="Z480" s="20"/>
      <c r="AA480" s="20"/>
      <c r="AB480" s="20"/>
    </row>
    <row r="481">
      <c r="A481" s="20"/>
      <c r="B481" s="117"/>
      <c r="C481" s="20"/>
      <c r="D481" s="20"/>
      <c r="E481" s="20"/>
      <c r="F481" s="1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121"/>
      <c r="Z481" s="20"/>
      <c r="AA481" s="20"/>
      <c r="AB481" s="20"/>
    </row>
    <row r="482">
      <c r="A482" s="20"/>
      <c r="B482" s="117"/>
      <c r="C482" s="20"/>
      <c r="D482" s="20"/>
      <c r="E482" s="20"/>
      <c r="F482" s="1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121"/>
      <c r="Z482" s="20"/>
      <c r="AA482" s="20"/>
      <c r="AB482" s="20"/>
    </row>
    <row r="483">
      <c r="A483" s="20"/>
      <c r="B483" s="117"/>
      <c r="C483" s="20"/>
      <c r="D483" s="20"/>
      <c r="E483" s="20"/>
      <c r="F483" s="1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121"/>
      <c r="Z483" s="20"/>
      <c r="AA483" s="20"/>
      <c r="AB483" s="20"/>
    </row>
    <row r="484">
      <c r="A484" s="20"/>
      <c r="B484" s="117"/>
      <c r="C484" s="20"/>
      <c r="D484" s="20"/>
      <c r="E484" s="20"/>
      <c r="F484" s="1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121"/>
      <c r="Z484" s="20"/>
      <c r="AA484" s="20"/>
      <c r="AB484" s="20"/>
    </row>
    <row r="485">
      <c r="A485" s="20"/>
      <c r="B485" s="117"/>
      <c r="C485" s="20"/>
      <c r="D485" s="20"/>
      <c r="E485" s="20"/>
      <c r="F485" s="1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121"/>
      <c r="Z485" s="20"/>
      <c r="AA485" s="20"/>
      <c r="AB485" s="20"/>
    </row>
    <row r="486">
      <c r="A486" s="20"/>
      <c r="B486" s="117"/>
      <c r="C486" s="20"/>
      <c r="D486" s="20"/>
      <c r="E486" s="20"/>
      <c r="F486" s="1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121"/>
      <c r="Z486" s="20"/>
      <c r="AA486" s="20"/>
      <c r="AB486" s="20"/>
    </row>
    <row r="487">
      <c r="A487" s="20"/>
      <c r="B487" s="117"/>
      <c r="C487" s="20"/>
      <c r="D487" s="20"/>
      <c r="E487" s="20"/>
      <c r="F487" s="1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121"/>
      <c r="Z487" s="20"/>
      <c r="AA487" s="20"/>
      <c r="AB487" s="20"/>
    </row>
    <row r="488">
      <c r="A488" s="20"/>
      <c r="B488" s="117"/>
      <c r="C488" s="20"/>
      <c r="D488" s="20"/>
      <c r="E488" s="20"/>
      <c r="F488" s="1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121"/>
      <c r="Z488" s="20"/>
      <c r="AA488" s="20"/>
      <c r="AB488" s="20"/>
    </row>
    <row r="489">
      <c r="A489" s="20"/>
      <c r="B489" s="117"/>
      <c r="C489" s="20"/>
      <c r="D489" s="20"/>
      <c r="E489" s="20"/>
      <c r="F489" s="1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121"/>
      <c r="Z489" s="20"/>
      <c r="AA489" s="20"/>
      <c r="AB489" s="20"/>
    </row>
    <row r="490">
      <c r="A490" s="20"/>
      <c r="B490" s="117"/>
      <c r="C490" s="20"/>
      <c r="D490" s="20"/>
      <c r="E490" s="20"/>
      <c r="F490" s="1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121"/>
      <c r="Z490" s="20"/>
      <c r="AA490" s="20"/>
      <c r="AB490" s="20"/>
    </row>
    <row r="491">
      <c r="A491" s="20"/>
      <c r="B491" s="117"/>
      <c r="C491" s="20"/>
      <c r="D491" s="20"/>
      <c r="E491" s="20"/>
      <c r="F491" s="1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121"/>
      <c r="Z491" s="20"/>
      <c r="AA491" s="20"/>
      <c r="AB491" s="20"/>
    </row>
    <row r="492">
      <c r="A492" s="20"/>
      <c r="B492" s="117"/>
      <c r="C492" s="20"/>
      <c r="D492" s="20"/>
      <c r="E492" s="20"/>
      <c r="F492" s="1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121"/>
      <c r="Z492" s="20"/>
      <c r="AA492" s="20"/>
      <c r="AB492" s="20"/>
    </row>
    <row r="493">
      <c r="A493" s="20"/>
      <c r="B493" s="117"/>
      <c r="C493" s="20"/>
      <c r="D493" s="20"/>
      <c r="E493" s="20"/>
      <c r="F493" s="1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121"/>
      <c r="Z493" s="20"/>
      <c r="AA493" s="20"/>
      <c r="AB493" s="20"/>
    </row>
    <row r="494">
      <c r="A494" s="20"/>
      <c r="B494" s="117"/>
      <c r="C494" s="20"/>
      <c r="D494" s="20"/>
      <c r="E494" s="20"/>
      <c r="F494" s="1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121"/>
      <c r="Z494" s="20"/>
      <c r="AA494" s="20"/>
      <c r="AB494" s="20"/>
    </row>
    <row r="495">
      <c r="A495" s="20"/>
      <c r="B495" s="117"/>
      <c r="C495" s="20"/>
      <c r="D495" s="20"/>
      <c r="E495" s="20"/>
      <c r="F495" s="1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121"/>
      <c r="Z495" s="20"/>
      <c r="AA495" s="20"/>
      <c r="AB495" s="20"/>
    </row>
    <row r="496">
      <c r="A496" s="20"/>
      <c r="B496" s="117"/>
      <c r="C496" s="20"/>
      <c r="D496" s="20"/>
      <c r="E496" s="20"/>
      <c r="F496" s="1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121"/>
      <c r="Z496" s="20"/>
      <c r="AA496" s="20"/>
      <c r="AB496" s="20"/>
    </row>
    <row r="497">
      <c r="A497" s="20"/>
      <c r="B497" s="117"/>
      <c r="C497" s="20"/>
      <c r="D497" s="20"/>
      <c r="E497" s="20"/>
      <c r="F497" s="1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121"/>
      <c r="Z497" s="20"/>
      <c r="AA497" s="20"/>
      <c r="AB497" s="20"/>
    </row>
    <row r="498">
      <c r="A498" s="20"/>
      <c r="B498" s="117"/>
      <c r="C498" s="20"/>
      <c r="D498" s="20"/>
      <c r="E498" s="20"/>
      <c r="F498" s="1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121"/>
      <c r="Z498" s="20"/>
      <c r="AA498" s="20"/>
      <c r="AB498" s="20"/>
    </row>
    <row r="499">
      <c r="A499" s="20"/>
      <c r="B499" s="117"/>
      <c r="C499" s="20"/>
      <c r="D499" s="20"/>
      <c r="E499" s="20"/>
      <c r="F499" s="1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121"/>
      <c r="Z499" s="20"/>
      <c r="AA499" s="20"/>
      <c r="AB499" s="20"/>
    </row>
    <row r="500">
      <c r="A500" s="20"/>
      <c r="B500" s="117"/>
      <c r="C500" s="20"/>
      <c r="D500" s="20"/>
      <c r="E500" s="20"/>
      <c r="F500" s="1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121"/>
      <c r="Z500" s="20"/>
      <c r="AA500" s="20"/>
      <c r="AB500" s="20"/>
    </row>
    <row r="501">
      <c r="A501" s="20"/>
      <c r="B501" s="117"/>
      <c r="C501" s="20"/>
      <c r="D501" s="20"/>
      <c r="E501" s="20"/>
      <c r="F501" s="1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121"/>
      <c r="Z501" s="20"/>
      <c r="AA501" s="20"/>
      <c r="AB501" s="20"/>
    </row>
    <row r="502">
      <c r="A502" s="20"/>
      <c r="B502" s="117"/>
      <c r="C502" s="20"/>
      <c r="D502" s="20"/>
      <c r="E502" s="20"/>
      <c r="F502" s="1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121"/>
      <c r="Z502" s="20"/>
      <c r="AA502" s="20"/>
      <c r="AB502" s="20"/>
    </row>
    <row r="503">
      <c r="A503" s="20"/>
      <c r="B503" s="117"/>
      <c r="C503" s="20"/>
      <c r="D503" s="20"/>
      <c r="E503" s="20"/>
      <c r="F503" s="1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121"/>
      <c r="Z503" s="20"/>
      <c r="AA503" s="20"/>
      <c r="AB503" s="20"/>
    </row>
    <row r="504">
      <c r="A504" s="20"/>
      <c r="B504" s="117"/>
      <c r="C504" s="20"/>
      <c r="D504" s="20"/>
      <c r="E504" s="20"/>
      <c r="F504" s="1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121"/>
      <c r="Z504" s="20"/>
      <c r="AA504" s="20"/>
      <c r="AB504" s="20"/>
    </row>
    <row r="505">
      <c r="A505" s="20"/>
      <c r="B505" s="117"/>
      <c r="C505" s="20"/>
      <c r="D505" s="20"/>
      <c r="E505" s="20"/>
      <c r="F505" s="1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121"/>
      <c r="Z505" s="20"/>
      <c r="AA505" s="20"/>
      <c r="AB505" s="20"/>
    </row>
    <row r="506">
      <c r="A506" s="20"/>
      <c r="B506" s="117"/>
      <c r="C506" s="20"/>
      <c r="D506" s="20"/>
      <c r="E506" s="20"/>
      <c r="F506" s="1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121"/>
      <c r="Z506" s="20"/>
      <c r="AA506" s="20"/>
      <c r="AB506" s="20"/>
    </row>
    <row r="507">
      <c r="A507" s="20"/>
      <c r="B507" s="117"/>
      <c r="C507" s="20"/>
      <c r="D507" s="20"/>
      <c r="E507" s="20"/>
      <c r="F507" s="1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121"/>
      <c r="Z507" s="20"/>
      <c r="AA507" s="20"/>
      <c r="AB507" s="20"/>
    </row>
    <row r="508">
      <c r="A508" s="20"/>
      <c r="B508" s="117"/>
      <c r="C508" s="20"/>
      <c r="D508" s="20"/>
      <c r="E508" s="20"/>
      <c r="F508" s="1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121"/>
      <c r="Z508" s="20"/>
      <c r="AA508" s="20"/>
      <c r="AB508" s="20"/>
    </row>
    <row r="509">
      <c r="A509" s="20"/>
      <c r="B509" s="117"/>
      <c r="C509" s="20"/>
      <c r="D509" s="20"/>
      <c r="E509" s="20"/>
      <c r="F509" s="1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121"/>
      <c r="Z509" s="20"/>
      <c r="AA509" s="20"/>
      <c r="AB509" s="20"/>
    </row>
    <row r="510">
      <c r="A510" s="20"/>
      <c r="B510" s="117"/>
      <c r="C510" s="20"/>
      <c r="D510" s="20"/>
      <c r="E510" s="20"/>
      <c r="F510" s="1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121"/>
      <c r="Z510" s="20"/>
      <c r="AA510" s="20"/>
      <c r="AB510" s="20"/>
    </row>
    <row r="511">
      <c r="A511" s="20"/>
      <c r="B511" s="117"/>
      <c r="C511" s="20"/>
      <c r="D511" s="20"/>
      <c r="E511" s="20"/>
      <c r="F511" s="1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121"/>
      <c r="Z511" s="20"/>
      <c r="AA511" s="20"/>
      <c r="AB511" s="20"/>
    </row>
    <row r="512">
      <c r="A512" s="20"/>
      <c r="B512" s="117"/>
      <c r="C512" s="20"/>
      <c r="D512" s="20"/>
      <c r="E512" s="20"/>
      <c r="F512" s="1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121"/>
      <c r="Z512" s="20"/>
      <c r="AA512" s="20"/>
      <c r="AB512" s="20"/>
    </row>
    <row r="513">
      <c r="A513" s="20"/>
      <c r="B513" s="117"/>
      <c r="C513" s="20"/>
      <c r="D513" s="20"/>
      <c r="E513" s="20"/>
      <c r="F513" s="1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121"/>
      <c r="Z513" s="20"/>
      <c r="AA513" s="20"/>
      <c r="AB513" s="20"/>
    </row>
    <row r="514">
      <c r="A514" s="20"/>
      <c r="B514" s="117"/>
      <c r="C514" s="20"/>
      <c r="D514" s="20"/>
      <c r="E514" s="20"/>
      <c r="F514" s="1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121"/>
      <c r="Z514" s="20"/>
      <c r="AA514" s="20"/>
      <c r="AB514" s="20"/>
    </row>
    <row r="515">
      <c r="A515" s="20"/>
      <c r="B515" s="117"/>
      <c r="C515" s="20"/>
      <c r="D515" s="20"/>
      <c r="E515" s="20"/>
      <c r="F515" s="1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121"/>
      <c r="Z515" s="20"/>
      <c r="AA515" s="20"/>
      <c r="AB515" s="20"/>
    </row>
    <row r="516">
      <c r="A516" s="20"/>
      <c r="B516" s="117"/>
      <c r="C516" s="20"/>
      <c r="D516" s="20"/>
      <c r="E516" s="20"/>
      <c r="F516" s="1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121"/>
      <c r="Z516" s="20"/>
      <c r="AA516" s="20"/>
      <c r="AB516" s="20"/>
    </row>
    <row r="517">
      <c r="A517" s="20"/>
      <c r="B517" s="117"/>
      <c r="C517" s="20"/>
      <c r="D517" s="20"/>
      <c r="E517" s="20"/>
      <c r="F517" s="1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121"/>
      <c r="Z517" s="20"/>
      <c r="AA517" s="20"/>
      <c r="AB517" s="20"/>
    </row>
    <row r="518">
      <c r="A518" s="20"/>
      <c r="B518" s="117"/>
      <c r="C518" s="20"/>
      <c r="D518" s="20"/>
      <c r="E518" s="20"/>
      <c r="F518" s="1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121"/>
      <c r="Z518" s="20"/>
      <c r="AA518" s="20"/>
      <c r="AB518" s="20"/>
    </row>
    <row r="519">
      <c r="A519" s="20"/>
      <c r="B519" s="117"/>
      <c r="C519" s="20"/>
      <c r="D519" s="20"/>
      <c r="E519" s="20"/>
      <c r="F519" s="1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121"/>
      <c r="Z519" s="20"/>
      <c r="AA519" s="20"/>
      <c r="AB519" s="20"/>
    </row>
    <row r="520">
      <c r="A520" s="20"/>
      <c r="B520" s="117"/>
      <c r="C520" s="20"/>
      <c r="D520" s="20"/>
      <c r="E520" s="20"/>
      <c r="F520" s="1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121"/>
      <c r="Z520" s="20"/>
      <c r="AA520" s="20"/>
      <c r="AB520" s="20"/>
    </row>
    <row r="521">
      <c r="A521" s="20"/>
      <c r="B521" s="117"/>
      <c r="C521" s="20"/>
      <c r="D521" s="20"/>
      <c r="E521" s="20"/>
      <c r="F521" s="1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121"/>
      <c r="Z521" s="20"/>
      <c r="AA521" s="20"/>
      <c r="AB521" s="20"/>
    </row>
    <row r="522">
      <c r="A522" s="20"/>
      <c r="B522" s="117"/>
      <c r="C522" s="20"/>
      <c r="D522" s="20"/>
      <c r="E522" s="20"/>
      <c r="F522" s="1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121"/>
      <c r="Z522" s="20"/>
      <c r="AA522" s="20"/>
      <c r="AB522" s="20"/>
    </row>
    <row r="523">
      <c r="A523" s="20"/>
      <c r="B523" s="117"/>
      <c r="C523" s="20"/>
      <c r="D523" s="20"/>
      <c r="E523" s="20"/>
      <c r="F523" s="1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121"/>
      <c r="Z523" s="20"/>
      <c r="AA523" s="20"/>
      <c r="AB523" s="20"/>
    </row>
    <row r="524">
      <c r="A524" s="20"/>
      <c r="B524" s="117"/>
      <c r="C524" s="20"/>
      <c r="D524" s="20"/>
      <c r="E524" s="20"/>
      <c r="F524" s="1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121"/>
      <c r="Z524" s="20"/>
      <c r="AA524" s="20"/>
      <c r="AB524" s="20"/>
    </row>
    <row r="525">
      <c r="A525" s="20"/>
      <c r="B525" s="117"/>
      <c r="C525" s="20"/>
      <c r="D525" s="20"/>
      <c r="E525" s="20"/>
      <c r="F525" s="1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121"/>
      <c r="Z525" s="20"/>
      <c r="AA525" s="20"/>
      <c r="AB525" s="20"/>
    </row>
    <row r="526">
      <c r="A526" s="20"/>
      <c r="B526" s="117"/>
      <c r="C526" s="20"/>
      <c r="D526" s="20"/>
      <c r="E526" s="20"/>
      <c r="F526" s="1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121"/>
      <c r="Z526" s="20"/>
      <c r="AA526" s="20"/>
      <c r="AB526" s="20"/>
    </row>
    <row r="527">
      <c r="A527" s="20"/>
      <c r="B527" s="117"/>
      <c r="C527" s="20"/>
      <c r="D527" s="20"/>
      <c r="E527" s="20"/>
      <c r="F527" s="1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121"/>
      <c r="Z527" s="20"/>
      <c r="AA527" s="20"/>
      <c r="AB527" s="20"/>
    </row>
    <row r="528">
      <c r="A528" s="20"/>
      <c r="B528" s="117"/>
      <c r="C528" s="20"/>
      <c r="D528" s="20"/>
      <c r="E528" s="20"/>
      <c r="F528" s="1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121"/>
      <c r="Z528" s="20"/>
      <c r="AA528" s="20"/>
      <c r="AB528" s="20"/>
    </row>
    <row r="529">
      <c r="A529" s="20"/>
      <c r="B529" s="117"/>
      <c r="C529" s="20"/>
      <c r="D529" s="20"/>
      <c r="E529" s="20"/>
      <c r="F529" s="1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121"/>
      <c r="Z529" s="20"/>
      <c r="AA529" s="20"/>
      <c r="AB529" s="20"/>
    </row>
    <row r="530">
      <c r="A530" s="20"/>
      <c r="B530" s="117"/>
      <c r="C530" s="20"/>
      <c r="D530" s="20"/>
      <c r="E530" s="20"/>
      <c r="F530" s="1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121"/>
      <c r="Z530" s="20"/>
      <c r="AA530" s="20"/>
      <c r="AB530" s="20"/>
    </row>
    <row r="531">
      <c r="A531" s="20"/>
      <c r="B531" s="117"/>
      <c r="C531" s="20"/>
      <c r="D531" s="20"/>
      <c r="E531" s="20"/>
      <c r="F531" s="1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121"/>
      <c r="Z531" s="20"/>
      <c r="AA531" s="20"/>
      <c r="AB531" s="20"/>
    </row>
    <row r="532">
      <c r="A532" s="20"/>
      <c r="B532" s="117"/>
      <c r="C532" s="20"/>
      <c r="D532" s="20"/>
      <c r="E532" s="20"/>
      <c r="F532" s="1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121"/>
      <c r="Z532" s="20"/>
      <c r="AA532" s="20"/>
      <c r="AB532" s="20"/>
    </row>
    <row r="533">
      <c r="A533" s="20"/>
      <c r="B533" s="117"/>
      <c r="C533" s="20"/>
      <c r="D533" s="20"/>
      <c r="E533" s="20"/>
      <c r="F533" s="1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121"/>
      <c r="Z533" s="20"/>
      <c r="AA533" s="20"/>
      <c r="AB533" s="20"/>
    </row>
    <row r="534">
      <c r="A534" s="20"/>
      <c r="B534" s="117"/>
      <c r="C534" s="20"/>
      <c r="D534" s="20"/>
      <c r="E534" s="20"/>
      <c r="F534" s="1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121"/>
      <c r="Z534" s="20"/>
      <c r="AA534" s="20"/>
      <c r="AB534" s="20"/>
    </row>
    <row r="535">
      <c r="A535" s="20"/>
      <c r="B535" s="117"/>
      <c r="C535" s="20"/>
      <c r="D535" s="20"/>
      <c r="E535" s="20"/>
      <c r="F535" s="1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121"/>
      <c r="Z535" s="20"/>
      <c r="AA535" s="20"/>
      <c r="AB535" s="20"/>
    </row>
    <row r="536">
      <c r="A536" s="20"/>
      <c r="B536" s="117"/>
      <c r="C536" s="20"/>
      <c r="D536" s="20"/>
      <c r="E536" s="20"/>
      <c r="F536" s="1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121"/>
      <c r="Z536" s="20"/>
      <c r="AA536" s="20"/>
      <c r="AB536" s="20"/>
    </row>
    <row r="537">
      <c r="A537" s="20"/>
      <c r="B537" s="117"/>
      <c r="C537" s="20"/>
      <c r="D537" s="20"/>
      <c r="E537" s="20"/>
      <c r="F537" s="1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121"/>
      <c r="Z537" s="20"/>
      <c r="AA537" s="20"/>
      <c r="AB537" s="20"/>
    </row>
    <row r="538">
      <c r="A538" s="20"/>
      <c r="B538" s="117"/>
      <c r="C538" s="20"/>
      <c r="D538" s="20"/>
      <c r="E538" s="20"/>
      <c r="F538" s="1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121"/>
      <c r="Z538" s="20"/>
      <c r="AA538" s="20"/>
      <c r="AB538" s="20"/>
    </row>
    <row r="539">
      <c r="A539" s="20"/>
      <c r="B539" s="117"/>
      <c r="C539" s="20"/>
      <c r="D539" s="20"/>
      <c r="E539" s="20"/>
      <c r="F539" s="1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121"/>
      <c r="Z539" s="20"/>
      <c r="AA539" s="20"/>
      <c r="AB539" s="20"/>
    </row>
    <row r="540">
      <c r="A540" s="20"/>
      <c r="B540" s="117"/>
      <c r="C540" s="20"/>
      <c r="D540" s="20"/>
      <c r="E540" s="20"/>
      <c r="F540" s="1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121"/>
      <c r="Z540" s="20"/>
      <c r="AA540" s="20"/>
      <c r="AB540" s="20"/>
    </row>
    <row r="541">
      <c r="A541" s="20"/>
      <c r="B541" s="117"/>
      <c r="C541" s="20"/>
      <c r="D541" s="20"/>
      <c r="E541" s="20"/>
      <c r="F541" s="1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121"/>
      <c r="Z541" s="20"/>
      <c r="AA541" s="20"/>
      <c r="AB541" s="20"/>
    </row>
    <row r="542">
      <c r="A542" s="20"/>
      <c r="B542" s="117"/>
      <c r="C542" s="20"/>
      <c r="D542" s="20"/>
      <c r="E542" s="20"/>
      <c r="F542" s="1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121"/>
      <c r="Z542" s="20"/>
      <c r="AA542" s="20"/>
      <c r="AB542" s="20"/>
    </row>
    <row r="543">
      <c r="A543" s="20"/>
      <c r="B543" s="117"/>
      <c r="C543" s="20"/>
      <c r="D543" s="20"/>
      <c r="E543" s="20"/>
      <c r="F543" s="1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121"/>
      <c r="Z543" s="20"/>
      <c r="AA543" s="20"/>
      <c r="AB543" s="20"/>
    </row>
    <row r="544">
      <c r="A544" s="20"/>
      <c r="B544" s="117"/>
      <c r="C544" s="20"/>
      <c r="D544" s="20"/>
      <c r="E544" s="20"/>
      <c r="F544" s="1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121"/>
      <c r="Z544" s="20"/>
      <c r="AA544" s="20"/>
      <c r="AB544" s="20"/>
    </row>
    <row r="545">
      <c r="A545" s="20"/>
      <c r="B545" s="117"/>
      <c r="C545" s="20"/>
      <c r="D545" s="20"/>
      <c r="E545" s="20"/>
      <c r="F545" s="1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121"/>
      <c r="Z545" s="20"/>
      <c r="AA545" s="20"/>
      <c r="AB545" s="20"/>
    </row>
    <row r="546">
      <c r="A546" s="20"/>
      <c r="B546" s="117"/>
      <c r="C546" s="20"/>
      <c r="D546" s="20"/>
      <c r="E546" s="20"/>
      <c r="F546" s="1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121"/>
      <c r="Z546" s="20"/>
      <c r="AA546" s="20"/>
      <c r="AB546" s="20"/>
    </row>
    <row r="547">
      <c r="A547" s="20"/>
      <c r="B547" s="117"/>
      <c r="C547" s="20"/>
      <c r="D547" s="20"/>
      <c r="E547" s="20"/>
      <c r="F547" s="1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121"/>
      <c r="Z547" s="20"/>
      <c r="AA547" s="20"/>
      <c r="AB547" s="20"/>
    </row>
    <row r="548">
      <c r="A548" s="20"/>
      <c r="B548" s="117"/>
      <c r="C548" s="20"/>
      <c r="D548" s="20"/>
      <c r="E548" s="20"/>
      <c r="F548" s="1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121"/>
      <c r="Z548" s="20"/>
      <c r="AA548" s="20"/>
      <c r="AB548" s="20"/>
    </row>
    <row r="549">
      <c r="A549" s="20"/>
      <c r="B549" s="117"/>
      <c r="C549" s="20"/>
      <c r="D549" s="20"/>
      <c r="E549" s="20"/>
      <c r="F549" s="1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121"/>
      <c r="Z549" s="20"/>
      <c r="AA549" s="20"/>
      <c r="AB549" s="20"/>
    </row>
    <row r="550">
      <c r="A550" s="20"/>
      <c r="B550" s="117"/>
      <c r="C550" s="20"/>
      <c r="D550" s="20"/>
      <c r="E550" s="20"/>
      <c r="F550" s="1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121"/>
      <c r="Z550" s="20"/>
      <c r="AA550" s="20"/>
      <c r="AB550" s="20"/>
    </row>
    <row r="551">
      <c r="A551" s="20"/>
      <c r="B551" s="117"/>
      <c r="C551" s="20"/>
      <c r="D551" s="20"/>
      <c r="E551" s="20"/>
      <c r="F551" s="1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121"/>
      <c r="Z551" s="20"/>
      <c r="AA551" s="20"/>
      <c r="AB551" s="20"/>
    </row>
    <row r="552">
      <c r="A552" s="20"/>
      <c r="B552" s="117"/>
      <c r="C552" s="20"/>
      <c r="D552" s="20"/>
      <c r="E552" s="20"/>
      <c r="F552" s="1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121"/>
      <c r="Z552" s="20"/>
      <c r="AA552" s="20"/>
      <c r="AB552" s="20"/>
    </row>
    <row r="553">
      <c r="A553" s="20"/>
      <c r="B553" s="117"/>
      <c r="C553" s="20"/>
      <c r="D553" s="20"/>
      <c r="E553" s="20"/>
      <c r="F553" s="1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121"/>
      <c r="Z553" s="20"/>
      <c r="AA553" s="20"/>
      <c r="AB553" s="20"/>
    </row>
    <row r="554">
      <c r="A554" s="20"/>
      <c r="B554" s="117"/>
      <c r="C554" s="20"/>
      <c r="D554" s="20"/>
      <c r="E554" s="20"/>
      <c r="F554" s="1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121"/>
      <c r="Z554" s="20"/>
      <c r="AA554" s="20"/>
      <c r="AB554" s="20"/>
    </row>
    <row r="555">
      <c r="A555" s="20"/>
      <c r="B555" s="117"/>
      <c r="C555" s="20"/>
      <c r="D555" s="20"/>
      <c r="E555" s="20"/>
      <c r="F555" s="1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121"/>
      <c r="Z555" s="20"/>
      <c r="AA555" s="20"/>
      <c r="AB555" s="20"/>
    </row>
    <row r="556">
      <c r="A556" s="20"/>
      <c r="B556" s="117"/>
      <c r="C556" s="20"/>
      <c r="D556" s="20"/>
      <c r="E556" s="20"/>
      <c r="F556" s="1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121"/>
      <c r="Z556" s="20"/>
      <c r="AA556" s="20"/>
      <c r="AB556" s="20"/>
    </row>
    <row r="557">
      <c r="A557" s="20"/>
      <c r="B557" s="117"/>
      <c r="C557" s="20"/>
      <c r="D557" s="20"/>
      <c r="E557" s="20"/>
      <c r="F557" s="1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121"/>
      <c r="Z557" s="20"/>
      <c r="AA557" s="20"/>
      <c r="AB557" s="20"/>
    </row>
    <row r="558">
      <c r="A558" s="20"/>
      <c r="B558" s="117"/>
      <c r="C558" s="20"/>
      <c r="D558" s="20"/>
      <c r="E558" s="20"/>
      <c r="F558" s="1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121"/>
      <c r="Z558" s="20"/>
      <c r="AA558" s="20"/>
      <c r="AB558" s="20"/>
    </row>
    <row r="559">
      <c r="A559" s="20"/>
      <c r="B559" s="117"/>
      <c r="C559" s="20"/>
      <c r="D559" s="20"/>
      <c r="E559" s="20"/>
      <c r="F559" s="1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121"/>
      <c r="Z559" s="20"/>
      <c r="AA559" s="20"/>
      <c r="AB559" s="20"/>
    </row>
    <row r="560">
      <c r="A560" s="20"/>
      <c r="B560" s="117"/>
      <c r="C560" s="20"/>
      <c r="D560" s="20"/>
      <c r="E560" s="20"/>
      <c r="F560" s="1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121"/>
      <c r="Z560" s="20"/>
      <c r="AA560" s="20"/>
      <c r="AB560" s="20"/>
    </row>
    <row r="561">
      <c r="A561" s="20"/>
      <c r="B561" s="117"/>
      <c r="C561" s="20"/>
      <c r="D561" s="20"/>
      <c r="E561" s="20"/>
      <c r="F561" s="1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121"/>
      <c r="Z561" s="20"/>
      <c r="AA561" s="20"/>
      <c r="AB561" s="20"/>
    </row>
    <row r="562">
      <c r="A562" s="20"/>
      <c r="B562" s="117"/>
      <c r="C562" s="20"/>
      <c r="D562" s="20"/>
      <c r="E562" s="20"/>
      <c r="F562" s="1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121"/>
      <c r="Z562" s="20"/>
      <c r="AA562" s="20"/>
      <c r="AB562" s="20"/>
    </row>
    <row r="563">
      <c r="A563" s="20"/>
      <c r="B563" s="117"/>
      <c r="C563" s="20"/>
      <c r="D563" s="20"/>
      <c r="E563" s="20"/>
      <c r="F563" s="1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121"/>
      <c r="Z563" s="20"/>
      <c r="AA563" s="20"/>
      <c r="AB563" s="20"/>
    </row>
    <row r="564">
      <c r="A564" s="20"/>
      <c r="B564" s="117"/>
      <c r="C564" s="20"/>
      <c r="D564" s="20"/>
      <c r="E564" s="20"/>
      <c r="F564" s="1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121"/>
      <c r="Z564" s="20"/>
      <c r="AA564" s="20"/>
      <c r="AB564" s="20"/>
    </row>
    <row r="565">
      <c r="A565" s="20"/>
      <c r="B565" s="117"/>
      <c r="C565" s="20"/>
      <c r="D565" s="20"/>
      <c r="E565" s="20"/>
      <c r="F565" s="1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121"/>
      <c r="Z565" s="20"/>
      <c r="AA565" s="20"/>
      <c r="AB565" s="20"/>
    </row>
    <row r="566">
      <c r="A566" s="20"/>
      <c r="B566" s="117"/>
      <c r="C566" s="20"/>
      <c r="D566" s="20"/>
      <c r="E566" s="20"/>
      <c r="F566" s="1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121"/>
      <c r="Z566" s="20"/>
      <c r="AA566" s="20"/>
      <c r="AB566" s="20"/>
    </row>
    <row r="567">
      <c r="A567" s="20"/>
      <c r="B567" s="117"/>
      <c r="C567" s="20"/>
      <c r="D567" s="20"/>
      <c r="E567" s="20"/>
      <c r="F567" s="1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121"/>
      <c r="Z567" s="20"/>
      <c r="AA567" s="20"/>
      <c r="AB567" s="20"/>
    </row>
    <row r="568">
      <c r="A568" s="20"/>
      <c r="B568" s="117"/>
      <c r="C568" s="20"/>
      <c r="D568" s="20"/>
      <c r="E568" s="20"/>
      <c r="F568" s="1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121"/>
      <c r="Z568" s="20"/>
      <c r="AA568" s="20"/>
      <c r="AB568" s="20"/>
    </row>
    <row r="569">
      <c r="A569" s="20"/>
      <c r="B569" s="117"/>
      <c r="C569" s="20"/>
      <c r="D569" s="20"/>
      <c r="E569" s="20"/>
      <c r="F569" s="1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121"/>
      <c r="Z569" s="20"/>
      <c r="AA569" s="20"/>
      <c r="AB569" s="20"/>
    </row>
    <row r="570">
      <c r="A570" s="20"/>
      <c r="B570" s="117"/>
      <c r="C570" s="20"/>
      <c r="D570" s="20"/>
      <c r="E570" s="20"/>
      <c r="F570" s="1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121"/>
      <c r="Z570" s="20"/>
      <c r="AA570" s="20"/>
      <c r="AB570" s="20"/>
    </row>
    <row r="571">
      <c r="A571" s="20"/>
      <c r="B571" s="117"/>
      <c r="C571" s="20"/>
      <c r="D571" s="20"/>
      <c r="E571" s="20"/>
      <c r="F571" s="1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121"/>
      <c r="Z571" s="20"/>
      <c r="AA571" s="20"/>
      <c r="AB571" s="20"/>
    </row>
    <row r="572">
      <c r="A572" s="20"/>
      <c r="B572" s="117"/>
      <c r="C572" s="20"/>
      <c r="D572" s="20"/>
      <c r="E572" s="20"/>
      <c r="F572" s="1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121"/>
      <c r="Z572" s="20"/>
      <c r="AA572" s="20"/>
      <c r="AB572" s="20"/>
    </row>
    <row r="573">
      <c r="A573" s="20"/>
      <c r="B573" s="117"/>
      <c r="C573" s="20"/>
      <c r="D573" s="20"/>
      <c r="E573" s="20"/>
      <c r="F573" s="1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121"/>
      <c r="Z573" s="20"/>
      <c r="AA573" s="20"/>
      <c r="AB573" s="20"/>
    </row>
    <row r="574">
      <c r="A574" s="20"/>
      <c r="B574" s="117"/>
      <c r="C574" s="20"/>
      <c r="D574" s="20"/>
      <c r="E574" s="20"/>
      <c r="F574" s="1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121"/>
      <c r="Z574" s="20"/>
      <c r="AA574" s="20"/>
      <c r="AB574" s="20"/>
    </row>
    <row r="575">
      <c r="A575" s="20"/>
      <c r="B575" s="117"/>
      <c r="C575" s="20"/>
      <c r="D575" s="20"/>
      <c r="E575" s="20"/>
      <c r="F575" s="1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121"/>
      <c r="Z575" s="20"/>
      <c r="AA575" s="20"/>
      <c r="AB575" s="20"/>
    </row>
    <row r="576">
      <c r="A576" s="20"/>
      <c r="B576" s="117"/>
      <c r="C576" s="20"/>
      <c r="D576" s="20"/>
      <c r="E576" s="20"/>
      <c r="F576" s="1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121"/>
      <c r="Z576" s="20"/>
      <c r="AA576" s="20"/>
      <c r="AB576" s="20"/>
    </row>
    <row r="577">
      <c r="A577" s="20"/>
      <c r="B577" s="117"/>
      <c r="C577" s="20"/>
      <c r="D577" s="20"/>
      <c r="E577" s="20"/>
      <c r="F577" s="1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121"/>
      <c r="Z577" s="20"/>
      <c r="AA577" s="20"/>
      <c r="AB577" s="20"/>
    </row>
    <row r="578">
      <c r="A578" s="20"/>
      <c r="B578" s="117"/>
      <c r="C578" s="20"/>
      <c r="D578" s="20"/>
      <c r="E578" s="20"/>
      <c r="F578" s="1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121"/>
      <c r="Z578" s="20"/>
      <c r="AA578" s="20"/>
      <c r="AB578" s="20"/>
    </row>
    <row r="579">
      <c r="A579" s="20"/>
      <c r="B579" s="117"/>
      <c r="C579" s="20"/>
      <c r="D579" s="20"/>
      <c r="E579" s="20"/>
      <c r="F579" s="1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121"/>
      <c r="Z579" s="20"/>
      <c r="AA579" s="20"/>
      <c r="AB579" s="20"/>
    </row>
    <row r="580">
      <c r="A580" s="20"/>
      <c r="B580" s="117"/>
      <c r="C580" s="20"/>
      <c r="D580" s="20"/>
      <c r="E580" s="20"/>
      <c r="F580" s="1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121"/>
      <c r="Z580" s="20"/>
      <c r="AA580" s="20"/>
      <c r="AB580" s="20"/>
    </row>
    <row r="581">
      <c r="A581" s="20"/>
      <c r="B581" s="117"/>
      <c r="C581" s="20"/>
      <c r="D581" s="20"/>
      <c r="E581" s="20"/>
      <c r="F581" s="1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121"/>
      <c r="Z581" s="20"/>
      <c r="AA581" s="20"/>
      <c r="AB581" s="20"/>
    </row>
    <row r="582">
      <c r="A582" s="20"/>
      <c r="B582" s="117"/>
      <c r="C582" s="20"/>
      <c r="D582" s="20"/>
      <c r="E582" s="20"/>
      <c r="F582" s="1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121"/>
      <c r="Z582" s="20"/>
      <c r="AA582" s="20"/>
      <c r="AB582" s="20"/>
    </row>
    <row r="583">
      <c r="A583" s="20"/>
      <c r="B583" s="117"/>
      <c r="C583" s="20"/>
      <c r="D583" s="20"/>
      <c r="E583" s="20"/>
      <c r="F583" s="1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121"/>
      <c r="Z583" s="20"/>
      <c r="AA583" s="20"/>
      <c r="AB583" s="20"/>
    </row>
    <row r="584">
      <c r="A584" s="20"/>
      <c r="B584" s="117"/>
      <c r="C584" s="20"/>
      <c r="D584" s="20"/>
      <c r="E584" s="20"/>
      <c r="F584" s="1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121"/>
      <c r="Z584" s="20"/>
      <c r="AA584" s="20"/>
      <c r="AB584" s="20"/>
    </row>
    <row r="585">
      <c r="A585" s="20"/>
      <c r="B585" s="117"/>
      <c r="C585" s="20"/>
      <c r="D585" s="20"/>
      <c r="E585" s="20"/>
      <c r="F585" s="1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121"/>
      <c r="Z585" s="20"/>
      <c r="AA585" s="20"/>
      <c r="AB585" s="20"/>
    </row>
    <row r="586">
      <c r="A586" s="20"/>
      <c r="B586" s="117"/>
      <c r="C586" s="20"/>
      <c r="D586" s="20"/>
      <c r="E586" s="20"/>
      <c r="F586" s="1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121"/>
      <c r="Z586" s="20"/>
      <c r="AA586" s="20"/>
      <c r="AB586" s="20"/>
    </row>
    <row r="587">
      <c r="A587" s="20"/>
      <c r="B587" s="117"/>
      <c r="C587" s="20"/>
      <c r="D587" s="20"/>
      <c r="E587" s="20"/>
      <c r="F587" s="1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121"/>
      <c r="Z587" s="20"/>
      <c r="AA587" s="20"/>
      <c r="AB587" s="20"/>
    </row>
    <row r="588">
      <c r="A588" s="20"/>
      <c r="B588" s="117"/>
      <c r="C588" s="20"/>
      <c r="D588" s="20"/>
      <c r="E588" s="20"/>
      <c r="F588" s="1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121"/>
      <c r="Z588" s="20"/>
      <c r="AA588" s="20"/>
      <c r="AB588" s="20"/>
    </row>
    <row r="589">
      <c r="A589" s="20"/>
      <c r="B589" s="117"/>
      <c r="C589" s="20"/>
      <c r="D589" s="20"/>
      <c r="E589" s="20"/>
      <c r="F589" s="1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121"/>
      <c r="Z589" s="20"/>
      <c r="AA589" s="20"/>
      <c r="AB589" s="20"/>
    </row>
    <row r="590">
      <c r="A590" s="20"/>
      <c r="B590" s="117"/>
      <c r="C590" s="20"/>
      <c r="D590" s="20"/>
      <c r="E590" s="20"/>
      <c r="F590" s="1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121"/>
      <c r="Z590" s="20"/>
      <c r="AA590" s="20"/>
      <c r="AB590" s="20"/>
    </row>
    <row r="591">
      <c r="A591" s="20"/>
      <c r="B591" s="117"/>
      <c r="C591" s="20"/>
      <c r="D591" s="20"/>
      <c r="E591" s="20"/>
      <c r="F591" s="1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121"/>
      <c r="Z591" s="20"/>
      <c r="AA591" s="20"/>
      <c r="AB591" s="20"/>
    </row>
    <row r="592">
      <c r="A592" s="20"/>
      <c r="B592" s="117"/>
      <c r="C592" s="20"/>
      <c r="D592" s="20"/>
      <c r="E592" s="20"/>
      <c r="F592" s="1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121"/>
      <c r="Z592" s="20"/>
      <c r="AA592" s="20"/>
      <c r="AB592" s="20"/>
    </row>
    <row r="593">
      <c r="A593" s="20"/>
      <c r="B593" s="117"/>
      <c r="C593" s="20"/>
      <c r="D593" s="20"/>
      <c r="E593" s="20"/>
      <c r="F593" s="1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121"/>
      <c r="Z593" s="20"/>
      <c r="AA593" s="20"/>
      <c r="AB593" s="20"/>
    </row>
    <row r="594">
      <c r="A594" s="20"/>
      <c r="B594" s="117"/>
      <c r="C594" s="20"/>
      <c r="D594" s="20"/>
      <c r="E594" s="20"/>
      <c r="F594" s="1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121"/>
      <c r="Z594" s="20"/>
      <c r="AA594" s="20"/>
      <c r="AB594" s="20"/>
    </row>
    <row r="595">
      <c r="A595" s="20"/>
      <c r="B595" s="117"/>
      <c r="C595" s="20"/>
      <c r="D595" s="20"/>
      <c r="E595" s="20"/>
      <c r="F595" s="1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121"/>
      <c r="Z595" s="20"/>
      <c r="AA595" s="20"/>
      <c r="AB595" s="20"/>
    </row>
    <row r="596">
      <c r="A596" s="20"/>
      <c r="B596" s="117"/>
      <c r="C596" s="20"/>
      <c r="D596" s="20"/>
      <c r="E596" s="20"/>
      <c r="F596" s="1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121"/>
      <c r="Z596" s="20"/>
      <c r="AA596" s="20"/>
      <c r="AB596" s="20"/>
    </row>
    <row r="597">
      <c r="A597" s="20"/>
      <c r="B597" s="117"/>
      <c r="C597" s="20"/>
      <c r="D597" s="20"/>
      <c r="E597" s="20"/>
      <c r="F597" s="1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121"/>
      <c r="Z597" s="20"/>
      <c r="AA597" s="20"/>
      <c r="AB597" s="20"/>
    </row>
    <row r="598">
      <c r="A598" s="20"/>
      <c r="B598" s="117"/>
      <c r="C598" s="20"/>
      <c r="D598" s="20"/>
      <c r="E598" s="20"/>
      <c r="F598" s="1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121"/>
      <c r="Z598" s="20"/>
      <c r="AA598" s="20"/>
      <c r="AB598" s="20"/>
    </row>
    <row r="599">
      <c r="A599" s="20"/>
      <c r="B599" s="117"/>
      <c r="C599" s="20"/>
      <c r="D599" s="20"/>
      <c r="E599" s="20"/>
      <c r="F599" s="1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121"/>
      <c r="Z599" s="20"/>
      <c r="AA599" s="20"/>
      <c r="AB599" s="20"/>
    </row>
    <row r="600">
      <c r="A600" s="20"/>
      <c r="B600" s="117"/>
      <c r="C600" s="20"/>
      <c r="D600" s="20"/>
      <c r="E600" s="20"/>
      <c r="F600" s="1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121"/>
      <c r="Z600" s="20"/>
      <c r="AA600" s="20"/>
      <c r="AB600" s="20"/>
    </row>
    <row r="601">
      <c r="A601" s="20"/>
      <c r="B601" s="117"/>
      <c r="C601" s="20"/>
      <c r="D601" s="20"/>
      <c r="E601" s="20"/>
      <c r="F601" s="1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121"/>
      <c r="Z601" s="20"/>
      <c r="AA601" s="20"/>
      <c r="AB601" s="20"/>
    </row>
    <row r="602">
      <c r="A602" s="20"/>
      <c r="B602" s="117"/>
      <c r="C602" s="20"/>
      <c r="D602" s="20"/>
      <c r="E602" s="20"/>
      <c r="F602" s="1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121"/>
      <c r="Z602" s="20"/>
      <c r="AA602" s="20"/>
      <c r="AB602" s="20"/>
    </row>
    <row r="603">
      <c r="A603" s="20"/>
      <c r="B603" s="117"/>
      <c r="C603" s="20"/>
      <c r="D603" s="20"/>
      <c r="E603" s="20"/>
      <c r="F603" s="1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121"/>
      <c r="Z603" s="20"/>
      <c r="AA603" s="20"/>
      <c r="AB603" s="20"/>
    </row>
    <row r="604">
      <c r="A604" s="20"/>
      <c r="B604" s="117"/>
      <c r="C604" s="20"/>
      <c r="D604" s="20"/>
      <c r="E604" s="20"/>
      <c r="F604" s="1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121"/>
      <c r="Z604" s="20"/>
      <c r="AA604" s="20"/>
      <c r="AB604" s="20"/>
    </row>
    <row r="605">
      <c r="A605" s="20"/>
      <c r="B605" s="117"/>
      <c r="C605" s="20"/>
      <c r="D605" s="20"/>
      <c r="E605" s="20"/>
      <c r="F605" s="1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121"/>
      <c r="Z605" s="20"/>
      <c r="AA605" s="20"/>
      <c r="AB605" s="20"/>
    </row>
    <row r="606">
      <c r="A606" s="20"/>
      <c r="B606" s="117"/>
      <c r="C606" s="20"/>
      <c r="D606" s="20"/>
      <c r="E606" s="20"/>
      <c r="F606" s="1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121"/>
      <c r="Z606" s="20"/>
      <c r="AA606" s="20"/>
      <c r="AB606" s="20"/>
    </row>
    <row r="607">
      <c r="A607" s="20"/>
      <c r="B607" s="117"/>
      <c r="C607" s="20"/>
      <c r="D607" s="20"/>
      <c r="E607" s="20"/>
      <c r="F607" s="1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121"/>
      <c r="Z607" s="20"/>
      <c r="AA607" s="20"/>
      <c r="AB607" s="20"/>
    </row>
    <row r="608">
      <c r="A608" s="20"/>
      <c r="B608" s="117"/>
      <c r="C608" s="20"/>
      <c r="D608" s="20"/>
      <c r="E608" s="20"/>
      <c r="F608" s="1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121"/>
      <c r="Z608" s="20"/>
      <c r="AA608" s="20"/>
      <c r="AB608" s="20"/>
    </row>
    <row r="609">
      <c r="A609" s="20"/>
      <c r="B609" s="117"/>
      <c r="C609" s="20"/>
      <c r="D609" s="20"/>
      <c r="E609" s="20"/>
      <c r="F609" s="1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121"/>
      <c r="Z609" s="20"/>
      <c r="AA609" s="20"/>
      <c r="AB609" s="20"/>
    </row>
    <row r="610">
      <c r="A610" s="20"/>
      <c r="B610" s="117"/>
      <c r="C610" s="20"/>
      <c r="D610" s="20"/>
      <c r="E610" s="20"/>
      <c r="F610" s="1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121"/>
      <c r="Z610" s="20"/>
      <c r="AA610" s="20"/>
      <c r="AB610" s="20"/>
    </row>
    <row r="611">
      <c r="A611" s="20"/>
      <c r="B611" s="117"/>
      <c r="C611" s="20"/>
      <c r="D611" s="20"/>
      <c r="E611" s="20"/>
      <c r="F611" s="1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121"/>
      <c r="Z611" s="20"/>
      <c r="AA611" s="20"/>
      <c r="AB611" s="20"/>
    </row>
    <row r="612">
      <c r="A612" s="20"/>
      <c r="B612" s="117"/>
      <c r="C612" s="20"/>
      <c r="D612" s="20"/>
      <c r="E612" s="20"/>
      <c r="F612" s="1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121"/>
      <c r="Z612" s="20"/>
      <c r="AA612" s="20"/>
      <c r="AB612" s="20"/>
    </row>
    <row r="613">
      <c r="A613" s="20"/>
      <c r="B613" s="117"/>
      <c r="C613" s="20"/>
      <c r="D613" s="20"/>
      <c r="E613" s="20"/>
      <c r="F613" s="1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121"/>
      <c r="Z613" s="20"/>
      <c r="AA613" s="20"/>
      <c r="AB613" s="20"/>
    </row>
    <row r="614">
      <c r="A614" s="20"/>
      <c r="B614" s="117"/>
      <c r="C614" s="20"/>
      <c r="D614" s="20"/>
      <c r="E614" s="20"/>
      <c r="F614" s="1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121"/>
      <c r="Z614" s="20"/>
      <c r="AA614" s="20"/>
      <c r="AB614" s="20"/>
    </row>
    <row r="615">
      <c r="A615" s="20"/>
      <c r="B615" s="117"/>
      <c r="C615" s="20"/>
      <c r="D615" s="20"/>
      <c r="E615" s="20"/>
      <c r="F615" s="1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121"/>
      <c r="Z615" s="20"/>
      <c r="AA615" s="20"/>
      <c r="AB615" s="20"/>
    </row>
    <row r="616">
      <c r="A616" s="20"/>
      <c r="B616" s="117"/>
      <c r="C616" s="20"/>
      <c r="D616" s="20"/>
      <c r="E616" s="20"/>
      <c r="F616" s="1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121"/>
      <c r="Z616" s="20"/>
      <c r="AA616" s="20"/>
      <c r="AB616" s="20"/>
    </row>
    <row r="617">
      <c r="A617" s="20"/>
      <c r="B617" s="117"/>
      <c r="C617" s="20"/>
      <c r="D617" s="20"/>
      <c r="E617" s="20"/>
      <c r="F617" s="1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121"/>
      <c r="Z617" s="20"/>
      <c r="AA617" s="20"/>
      <c r="AB617" s="20"/>
    </row>
    <row r="618">
      <c r="A618" s="20"/>
      <c r="B618" s="117"/>
      <c r="C618" s="20"/>
      <c r="D618" s="20"/>
      <c r="E618" s="20"/>
      <c r="F618" s="1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121"/>
      <c r="Z618" s="20"/>
      <c r="AA618" s="20"/>
      <c r="AB618" s="20"/>
    </row>
    <row r="619">
      <c r="A619" s="20"/>
      <c r="B619" s="117"/>
      <c r="C619" s="20"/>
      <c r="D619" s="20"/>
      <c r="E619" s="20"/>
      <c r="F619" s="1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121"/>
      <c r="Z619" s="20"/>
      <c r="AA619" s="20"/>
      <c r="AB619" s="20"/>
    </row>
    <row r="620">
      <c r="A620" s="20"/>
      <c r="B620" s="117"/>
      <c r="C620" s="20"/>
      <c r="D620" s="20"/>
      <c r="E620" s="20"/>
      <c r="F620" s="1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121"/>
      <c r="Z620" s="20"/>
      <c r="AA620" s="20"/>
      <c r="AB620" s="20"/>
    </row>
    <row r="621">
      <c r="A621" s="20"/>
      <c r="B621" s="117"/>
      <c r="C621" s="20"/>
      <c r="D621" s="20"/>
      <c r="E621" s="20"/>
      <c r="F621" s="1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121"/>
      <c r="Z621" s="20"/>
      <c r="AA621" s="20"/>
      <c r="AB621" s="20"/>
    </row>
    <row r="622">
      <c r="A622" s="20"/>
      <c r="B622" s="117"/>
      <c r="C622" s="20"/>
      <c r="D622" s="20"/>
      <c r="E622" s="20"/>
      <c r="F622" s="1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121"/>
      <c r="Z622" s="20"/>
      <c r="AA622" s="20"/>
      <c r="AB622" s="20"/>
    </row>
    <row r="623">
      <c r="A623" s="20"/>
      <c r="B623" s="117"/>
      <c r="C623" s="20"/>
      <c r="D623" s="20"/>
      <c r="E623" s="20"/>
      <c r="F623" s="1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121"/>
      <c r="Z623" s="20"/>
      <c r="AA623" s="20"/>
      <c r="AB623" s="20"/>
    </row>
    <row r="624">
      <c r="A624" s="20"/>
      <c r="B624" s="117"/>
      <c r="C624" s="20"/>
      <c r="D624" s="20"/>
      <c r="E624" s="20"/>
      <c r="F624" s="1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121"/>
      <c r="Z624" s="20"/>
      <c r="AA624" s="20"/>
      <c r="AB624" s="20"/>
    </row>
    <row r="625">
      <c r="A625" s="20"/>
      <c r="B625" s="117"/>
      <c r="C625" s="20"/>
      <c r="D625" s="20"/>
      <c r="E625" s="20"/>
      <c r="F625" s="1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121"/>
      <c r="Z625" s="20"/>
      <c r="AA625" s="20"/>
      <c r="AB625" s="20"/>
    </row>
    <row r="626">
      <c r="A626" s="20"/>
      <c r="B626" s="117"/>
      <c r="C626" s="20"/>
      <c r="D626" s="20"/>
      <c r="E626" s="20"/>
      <c r="F626" s="1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121"/>
      <c r="Z626" s="20"/>
      <c r="AA626" s="20"/>
      <c r="AB626" s="20"/>
    </row>
    <row r="627">
      <c r="A627" s="20"/>
      <c r="B627" s="117"/>
      <c r="C627" s="20"/>
      <c r="D627" s="20"/>
      <c r="E627" s="20"/>
      <c r="F627" s="1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121"/>
      <c r="Z627" s="20"/>
      <c r="AA627" s="20"/>
      <c r="AB627" s="20"/>
    </row>
    <row r="628">
      <c r="A628" s="20"/>
      <c r="B628" s="117"/>
      <c r="C628" s="20"/>
      <c r="D628" s="20"/>
      <c r="E628" s="20"/>
      <c r="F628" s="1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121"/>
      <c r="Z628" s="20"/>
      <c r="AA628" s="20"/>
      <c r="AB628" s="20"/>
    </row>
    <row r="629">
      <c r="A629" s="20"/>
      <c r="B629" s="117"/>
      <c r="C629" s="20"/>
      <c r="D629" s="20"/>
      <c r="E629" s="20"/>
      <c r="F629" s="1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121"/>
      <c r="Z629" s="20"/>
      <c r="AA629" s="20"/>
      <c r="AB629" s="20"/>
    </row>
    <row r="630">
      <c r="A630" s="20"/>
      <c r="B630" s="117"/>
      <c r="C630" s="20"/>
      <c r="D630" s="20"/>
      <c r="E630" s="20"/>
      <c r="F630" s="1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121"/>
      <c r="Z630" s="20"/>
      <c r="AA630" s="20"/>
      <c r="AB630" s="20"/>
    </row>
    <row r="631">
      <c r="A631" s="20"/>
      <c r="B631" s="117"/>
      <c r="C631" s="20"/>
      <c r="D631" s="20"/>
      <c r="E631" s="20"/>
      <c r="F631" s="1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121"/>
      <c r="Z631" s="20"/>
      <c r="AA631" s="20"/>
      <c r="AB631" s="20"/>
    </row>
    <row r="632">
      <c r="A632" s="20"/>
      <c r="B632" s="117"/>
      <c r="C632" s="20"/>
      <c r="D632" s="20"/>
      <c r="E632" s="20"/>
      <c r="F632" s="1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121"/>
      <c r="Z632" s="20"/>
      <c r="AA632" s="20"/>
      <c r="AB632" s="20"/>
    </row>
    <row r="633">
      <c r="A633" s="20"/>
      <c r="B633" s="117"/>
      <c r="C633" s="20"/>
      <c r="D633" s="20"/>
      <c r="E633" s="20"/>
      <c r="F633" s="1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121"/>
      <c r="Z633" s="20"/>
      <c r="AA633" s="20"/>
      <c r="AB633" s="20"/>
    </row>
    <row r="634">
      <c r="A634" s="20"/>
      <c r="B634" s="117"/>
      <c r="C634" s="20"/>
      <c r="D634" s="20"/>
      <c r="E634" s="20"/>
      <c r="F634" s="1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121"/>
      <c r="Z634" s="20"/>
      <c r="AA634" s="20"/>
      <c r="AB634" s="20"/>
    </row>
    <row r="635">
      <c r="A635" s="20"/>
      <c r="B635" s="117"/>
      <c r="C635" s="20"/>
      <c r="D635" s="20"/>
      <c r="E635" s="20"/>
      <c r="F635" s="1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121"/>
      <c r="Z635" s="20"/>
      <c r="AA635" s="20"/>
      <c r="AB635" s="20"/>
    </row>
    <row r="636">
      <c r="A636" s="20"/>
      <c r="B636" s="117"/>
      <c r="C636" s="20"/>
      <c r="D636" s="20"/>
      <c r="E636" s="20"/>
      <c r="F636" s="1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121"/>
      <c r="Z636" s="20"/>
      <c r="AA636" s="20"/>
      <c r="AB636" s="20"/>
    </row>
    <row r="637">
      <c r="A637" s="20"/>
      <c r="B637" s="117"/>
      <c r="C637" s="20"/>
      <c r="D637" s="20"/>
      <c r="E637" s="20"/>
      <c r="F637" s="1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121"/>
      <c r="Z637" s="20"/>
      <c r="AA637" s="20"/>
      <c r="AB637" s="20"/>
    </row>
    <row r="638">
      <c r="A638" s="20"/>
      <c r="B638" s="117"/>
      <c r="C638" s="20"/>
      <c r="D638" s="20"/>
      <c r="E638" s="20"/>
      <c r="F638" s="1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121"/>
      <c r="Z638" s="20"/>
      <c r="AA638" s="20"/>
      <c r="AB638" s="20"/>
    </row>
    <row r="639">
      <c r="A639" s="20"/>
      <c r="B639" s="117"/>
      <c r="C639" s="20"/>
      <c r="D639" s="20"/>
      <c r="E639" s="20"/>
      <c r="F639" s="1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121"/>
      <c r="Z639" s="20"/>
      <c r="AA639" s="20"/>
      <c r="AB639" s="20"/>
    </row>
    <row r="640">
      <c r="A640" s="20"/>
      <c r="B640" s="117"/>
      <c r="C640" s="20"/>
      <c r="D640" s="20"/>
      <c r="E640" s="20"/>
      <c r="F640" s="1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121"/>
      <c r="Z640" s="20"/>
      <c r="AA640" s="20"/>
      <c r="AB640" s="20"/>
    </row>
    <row r="641">
      <c r="A641" s="20"/>
      <c r="B641" s="117"/>
      <c r="C641" s="20"/>
      <c r="D641" s="20"/>
      <c r="E641" s="20"/>
      <c r="F641" s="1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121"/>
      <c r="Z641" s="20"/>
      <c r="AA641" s="20"/>
      <c r="AB641" s="20"/>
    </row>
    <row r="642">
      <c r="A642" s="20"/>
      <c r="B642" s="117"/>
      <c r="C642" s="20"/>
      <c r="D642" s="20"/>
      <c r="E642" s="20"/>
      <c r="F642" s="1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121"/>
      <c r="Z642" s="20"/>
      <c r="AA642" s="20"/>
      <c r="AB642" s="20"/>
    </row>
    <row r="643">
      <c r="A643" s="20"/>
      <c r="B643" s="117"/>
      <c r="C643" s="20"/>
      <c r="D643" s="20"/>
      <c r="E643" s="20"/>
      <c r="F643" s="1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121"/>
      <c r="Z643" s="20"/>
      <c r="AA643" s="20"/>
      <c r="AB643" s="20"/>
    </row>
    <row r="644">
      <c r="A644" s="20"/>
      <c r="B644" s="117"/>
      <c r="C644" s="20"/>
      <c r="D644" s="20"/>
      <c r="E644" s="20"/>
      <c r="F644" s="1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121"/>
      <c r="Z644" s="20"/>
      <c r="AA644" s="20"/>
      <c r="AB644" s="20"/>
    </row>
    <row r="645">
      <c r="A645" s="20"/>
      <c r="B645" s="117"/>
      <c r="C645" s="20"/>
      <c r="D645" s="20"/>
      <c r="E645" s="20"/>
      <c r="F645" s="1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121"/>
      <c r="Z645" s="20"/>
      <c r="AA645" s="20"/>
      <c r="AB645" s="20"/>
    </row>
    <row r="646">
      <c r="A646" s="20"/>
      <c r="B646" s="117"/>
      <c r="C646" s="20"/>
      <c r="D646" s="20"/>
      <c r="E646" s="20"/>
      <c r="F646" s="1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121"/>
      <c r="Z646" s="20"/>
      <c r="AA646" s="20"/>
      <c r="AB646" s="20"/>
    </row>
    <row r="647">
      <c r="A647" s="20"/>
      <c r="B647" s="117"/>
      <c r="C647" s="20"/>
      <c r="D647" s="20"/>
      <c r="E647" s="20"/>
      <c r="F647" s="1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121"/>
      <c r="Z647" s="20"/>
      <c r="AA647" s="20"/>
      <c r="AB647" s="20"/>
    </row>
    <row r="648">
      <c r="A648" s="20"/>
      <c r="B648" s="117"/>
      <c r="C648" s="20"/>
      <c r="D648" s="20"/>
      <c r="E648" s="20"/>
      <c r="F648" s="1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121"/>
      <c r="Z648" s="20"/>
      <c r="AA648" s="20"/>
      <c r="AB648" s="20"/>
    </row>
    <row r="649">
      <c r="A649" s="20"/>
      <c r="B649" s="117"/>
      <c r="C649" s="20"/>
      <c r="D649" s="20"/>
      <c r="E649" s="20"/>
      <c r="F649" s="1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121"/>
      <c r="Z649" s="20"/>
      <c r="AA649" s="20"/>
      <c r="AB649" s="20"/>
    </row>
    <row r="650">
      <c r="A650" s="20"/>
      <c r="B650" s="117"/>
      <c r="C650" s="20"/>
      <c r="D650" s="20"/>
      <c r="E650" s="20"/>
      <c r="F650" s="1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121"/>
      <c r="Z650" s="20"/>
      <c r="AA650" s="20"/>
      <c r="AB650" s="20"/>
    </row>
    <row r="651">
      <c r="A651" s="20"/>
      <c r="B651" s="117"/>
      <c r="C651" s="20"/>
      <c r="D651" s="20"/>
      <c r="E651" s="20"/>
      <c r="F651" s="1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121"/>
      <c r="Z651" s="20"/>
      <c r="AA651" s="20"/>
      <c r="AB651" s="20"/>
    </row>
    <row r="652">
      <c r="A652" s="20"/>
      <c r="B652" s="117"/>
      <c r="C652" s="20"/>
      <c r="D652" s="20"/>
      <c r="E652" s="20"/>
      <c r="F652" s="1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121"/>
      <c r="Z652" s="20"/>
      <c r="AA652" s="20"/>
      <c r="AB652" s="20"/>
    </row>
    <row r="653">
      <c r="A653" s="20"/>
      <c r="B653" s="117"/>
      <c r="C653" s="20"/>
      <c r="D653" s="20"/>
      <c r="E653" s="20"/>
      <c r="F653" s="1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121"/>
      <c r="Z653" s="20"/>
      <c r="AA653" s="20"/>
      <c r="AB653" s="20"/>
    </row>
    <row r="654">
      <c r="A654" s="20"/>
      <c r="B654" s="117"/>
      <c r="C654" s="20"/>
      <c r="D654" s="20"/>
      <c r="E654" s="20"/>
      <c r="F654" s="1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121"/>
      <c r="Z654" s="20"/>
      <c r="AA654" s="20"/>
      <c r="AB654" s="20"/>
    </row>
    <row r="655">
      <c r="A655" s="20"/>
      <c r="B655" s="117"/>
      <c r="C655" s="20"/>
      <c r="D655" s="20"/>
      <c r="E655" s="20"/>
      <c r="F655" s="1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121"/>
      <c r="Z655" s="20"/>
      <c r="AA655" s="20"/>
      <c r="AB655" s="20"/>
    </row>
    <row r="656">
      <c r="A656" s="20"/>
      <c r="B656" s="117"/>
      <c r="C656" s="20"/>
      <c r="D656" s="20"/>
      <c r="E656" s="20"/>
      <c r="F656" s="1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121"/>
      <c r="Z656" s="20"/>
      <c r="AA656" s="20"/>
      <c r="AB656" s="20"/>
    </row>
    <row r="657">
      <c r="A657" s="20"/>
      <c r="B657" s="117"/>
      <c r="C657" s="20"/>
      <c r="D657" s="20"/>
      <c r="E657" s="20"/>
      <c r="F657" s="1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121"/>
      <c r="Z657" s="20"/>
      <c r="AA657" s="20"/>
      <c r="AB657" s="20"/>
    </row>
    <row r="658">
      <c r="A658" s="20"/>
      <c r="B658" s="117"/>
      <c r="C658" s="20"/>
      <c r="D658" s="20"/>
      <c r="E658" s="20"/>
      <c r="F658" s="1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121"/>
      <c r="Z658" s="20"/>
      <c r="AA658" s="20"/>
      <c r="AB658" s="20"/>
    </row>
    <row r="659">
      <c r="A659" s="20"/>
      <c r="B659" s="117"/>
      <c r="C659" s="20"/>
      <c r="D659" s="20"/>
      <c r="E659" s="20"/>
      <c r="F659" s="1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121"/>
      <c r="Z659" s="20"/>
      <c r="AA659" s="20"/>
      <c r="AB659" s="20"/>
    </row>
    <row r="660">
      <c r="A660" s="20"/>
      <c r="B660" s="117"/>
      <c r="C660" s="20"/>
      <c r="D660" s="20"/>
      <c r="E660" s="20"/>
      <c r="F660" s="1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121"/>
      <c r="Z660" s="20"/>
      <c r="AA660" s="20"/>
      <c r="AB660" s="20"/>
    </row>
    <row r="661">
      <c r="A661" s="20"/>
      <c r="B661" s="117"/>
      <c r="C661" s="20"/>
      <c r="D661" s="20"/>
      <c r="E661" s="20"/>
      <c r="F661" s="1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121"/>
      <c r="Z661" s="20"/>
      <c r="AA661" s="20"/>
      <c r="AB661" s="20"/>
    </row>
    <row r="662">
      <c r="A662" s="20"/>
      <c r="B662" s="117"/>
      <c r="C662" s="20"/>
      <c r="D662" s="20"/>
      <c r="E662" s="20"/>
      <c r="F662" s="1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121"/>
      <c r="Z662" s="20"/>
      <c r="AA662" s="20"/>
      <c r="AB662" s="20"/>
    </row>
    <row r="663">
      <c r="A663" s="20"/>
      <c r="B663" s="117"/>
      <c r="C663" s="20"/>
      <c r="D663" s="20"/>
      <c r="E663" s="20"/>
      <c r="F663" s="1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121"/>
      <c r="Z663" s="20"/>
      <c r="AA663" s="20"/>
      <c r="AB663" s="20"/>
    </row>
    <row r="664">
      <c r="A664" s="20"/>
      <c r="B664" s="117"/>
      <c r="C664" s="20"/>
      <c r="D664" s="20"/>
      <c r="E664" s="20"/>
      <c r="F664" s="1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121"/>
      <c r="Z664" s="20"/>
      <c r="AA664" s="20"/>
      <c r="AB664" s="20"/>
    </row>
    <row r="665">
      <c r="A665" s="20"/>
      <c r="B665" s="117"/>
      <c r="C665" s="20"/>
      <c r="D665" s="20"/>
      <c r="E665" s="20"/>
      <c r="F665" s="1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121"/>
      <c r="Z665" s="20"/>
      <c r="AA665" s="20"/>
      <c r="AB665" s="20"/>
    </row>
    <row r="666">
      <c r="A666" s="20"/>
      <c r="B666" s="117"/>
      <c r="C666" s="20"/>
      <c r="D666" s="20"/>
      <c r="E666" s="20"/>
      <c r="F666" s="1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121"/>
      <c r="Z666" s="20"/>
      <c r="AA666" s="20"/>
      <c r="AB666" s="20"/>
    </row>
    <row r="667">
      <c r="A667" s="20"/>
      <c r="B667" s="117"/>
      <c r="C667" s="20"/>
      <c r="D667" s="20"/>
      <c r="E667" s="20"/>
      <c r="F667" s="1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121"/>
      <c r="Z667" s="20"/>
      <c r="AA667" s="20"/>
      <c r="AB667" s="20"/>
    </row>
    <row r="668">
      <c r="A668" s="20"/>
      <c r="B668" s="117"/>
      <c r="C668" s="20"/>
      <c r="D668" s="20"/>
      <c r="E668" s="20"/>
      <c r="F668" s="1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121"/>
      <c r="Z668" s="20"/>
      <c r="AA668" s="20"/>
      <c r="AB668" s="20"/>
    </row>
    <row r="669">
      <c r="A669" s="20"/>
      <c r="B669" s="117"/>
      <c r="C669" s="20"/>
      <c r="D669" s="20"/>
      <c r="E669" s="20"/>
      <c r="F669" s="1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121"/>
      <c r="Z669" s="20"/>
      <c r="AA669" s="20"/>
      <c r="AB669" s="20"/>
    </row>
    <row r="670">
      <c r="A670" s="20"/>
      <c r="B670" s="117"/>
      <c r="C670" s="20"/>
      <c r="D670" s="20"/>
      <c r="E670" s="20"/>
      <c r="F670" s="1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121"/>
      <c r="Z670" s="20"/>
      <c r="AA670" s="20"/>
      <c r="AB670" s="20"/>
    </row>
    <row r="671">
      <c r="A671" s="20"/>
      <c r="B671" s="117"/>
      <c r="C671" s="20"/>
      <c r="D671" s="20"/>
      <c r="E671" s="20"/>
      <c r="F671" s="1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121"/>
      <c r="Z671" s="20"/>
      <c r="AA671" s="20"/>
      <c r="AB671" s="20"/>
    </row>
    <row r="672">
      <c r="A672" s="20"/>
      <c r="B672" s="117"/>
      <c r="C672" s="20"/>
      <c r="D672" s="20"/>
      <c r="E672" s="20"/>
      <c r="F672" s="1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121"/>
      <c r="Z672" s="20"/>
      <c r="AA672" s="20"/>
      <c r="AB672" s="20"/>
    </row>
    <row r="673">
      <c r="A673" s="20"/>
      <c r="B673" s="117"/>
      <c r="C673" s="20"/>
      <c r="D673" s="20"/>
      <c r="E673" s="20"/>
      <c r="F673" s="1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121"/>
      <c r="Z673" s="20"/>
      <c r="AA673" s="20"/>
      <c r="AB673" s="20"/>
    </row>
    <row r="674">
      <c r="A674" s="20"/>
      <c r="B674" s="117"/>
      <c r="C674" s="20"/>
      <c r="D674" s="20"/>
      <c r="E674" s="20"/>
      <c r="F674" s="1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121"/>
      <c r="Z674" s="20"/>
      <c r="AA674" s="20"/>
      <c r="AB674" s="20"/>
    </row>
    <row r="675">
      <c r="A675" s="20"/>
      <c r="B675" s="117"/>
      <c r="C675" s="20"/>
      <c r="D675" s="20"/>
      <c r="E675" s="20"/>
      <c r="F675" s="1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121"/>
      <c r="Z675" s="20"/>
      <c r="AA675" s="20"/>
      <c r="AB675" s="20"/>
    </row>
    <row r="676">
      <c r="A676" s="20"/>
      <c r="B676" s="117"/>
      <c r="C676" s="20"/>
      <c r="D676" s="20"/>
      <c r="E676" s="20"/>
      <c r="F676" s="1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121"/>
      <c r="Z676" s="20"/>
      <c r="AA676" s="20"/>
      <c r="AB676" s="20"/>
    </row>
    <row r="677">
      <c r="A677" s="20"/>
      <c r="B677" s="117"/>
      <c r="C677" s="20"/>
      <c r="D677" s="20"/>
      <c r="E677" s="20"/>
      <c r="F677" s="1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121"/>
      <c r="Z677" s="20"/>
      <c r="AA677" s="20"/>
      <c r="AB677" s="20"/>
    </row>
    <row r="678">
      <c r="A678" s="20"/>
      <c r="B678" s="117"/>
      <c r="C678" s="20"/>
      <c r="D678" s="20"/>
      <c r="E678" s="20"/>
      <c r="F678" s="1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121"/>
      <c r="Z678" s="20"/>
      <c r="AA678" s="20"/>
      <c r="AB678" s="20"/>
    </row>
    <row r="679">
      <c r="A679" s="20"/>
      <c r="B679" s="117"/>
      <c r="C679" s="20"/>
      <c r="D679" s="20"/>
      <c r="E679" s="20"/>
      <c r="F679" s="1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121"/>
      <c r="Z679" s="20"/>
      <c r="AA679" s="20"/>
      <c r="AB679" s="20"/>
    </row>
    <row r="680">
      <c r="A680" s="20"/>
      <c r="B680" s="117"/>
      <c r="C680" s="20"/>
      <c r="D680" s="20"/>
      <c r="E680" s="20"/>
      <c r="F680" s="1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121"/>
      <c r="Z680" s="20"/>
      <c r="AA680" s="20"/>
      <c r="AB680" s="20"/>
    </row>
    <row r="681">
      <c r="A681" s="20"/>
      <c r="B681" s="117"/>
      <c r="C681" s="20"/>
      <c r="D681" s="20"/>
      <c r="E681" s="20"/>
      <c r="F681" s="1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121"/>
      <c r="Z681" s="20"/>
      <c r="AA681" s="20"/>
      <c r="AB681" s="20"/>
    </row>
    <row r="682">
      <c r="A682" s="20"/>
      <c r="B682" s="117"/>
      <c r="C682" s="20"/>
      <c r="D682" s="20"/>
      <c r="E682" s="20"/>
      <c r="F682" s="1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121"/>
      <c r="Z682" s="20"/>
      <c r="AA682" s="20"/>
      <c r="AB682" s="20"/>
    </row>
    <row r="683">
      <c r="A683" s="20"/>
      <c r="B683" s="117"/>
      <c r="C683" s="20"/>
      <c r="D683" s="20"/>
      <c r="E683" s="20"/>
      <c r="F683" s="1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121"/>
      <c r="Z683" s="20"/>
      <c r="AA683" s="20"/>
      <c r="AB683" s="20"/>
    </row>
    <row r="684">
      <c r="A684" s="20"/>
      <c r="B684" s="117"/>
      <c r="C684" s="20"/>
      <c r="D684" s="20"/>
      <c r="E684" s="20"/>
      <c r="F684" s="1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121"/>
      <c r="Z684" s="20"/>
      <c r="AA684" s="20"/>
      <c r="AB684" s="20"/>
    </row>
    <row r="685">
      <c r="A685" s="20"/>
      <c r="B685" s="117"/>
      <c r="C685" s="20"/>
      <c r="D685" s="20"/>
      <c r="E685" s="20"/>
      <c r="F685" s="1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121"/>
      <c r="Z685" s="20"/>
      <c r="AA685" s="20"/>
      <c r="AB685" s="20"/>
    </row>
    <row r="686">
      <c r="A686" s="20"/>
      <c r="B686" s="117"/>
      <c r="C686" s="20"/>
      <c r="D686" s="20"/>
      <c r="E686" s="20"/>
      <c r="F686" s="1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121"/>
      <c r="Z686" s="20"/>
      <c r="AA686" s="20"/>
      <c r="AB686" s="20"/>
    </row>
    <row r="687">
      <c r="A687" s="20"/>
      <c r="B687" s="117"/>
      <c r="C687" s="20"/>
      <c r="D687" s="20"/>
      <c r="E687" s="20"/>
      <c r="F687" s="1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121"/>
      <c r="Z687" s="20"/>
      <c r="AA687" s="20"/>
      <c r="AB687" s="20"/>
    </row>
    <row r="688">
      <c r="A688" s="20"/>
      <c r="B688" s="117"/>
      <c r="C688" s="20"/>
      <c r="D688" s="20"/>
      <c r="E688" s="20"/>
      <c r="F688" s="1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121"/>
      <c r="Z688" s="20"/>
      <c r="AA688" s="20"/>
      <c r="AB688" s="20"/>
    </row>
    <row r="689">
      <c r="A689" s="20"/>
      <c r="B689" s="117"/>
      <c r="C689" s="20"/>
      <c r="D689" s="20"/>
      <c r="E689" s="20"/>
      <c r="F689" s="1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121"/>
      <c r="Z689" s="20"/>
      <c r="AA689" s="20"/>
      <c r="AB689" s="20"/>
    </row>
    <row r="690">
      <c r="A690" s="20"/>
      <c r="B690" s="117"/>
      <c r="C690" s="20"/>
      <c r="D690" s="20"/>
      <c r="E690" s="20"/>
      <c r="F690" s="1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121"/>
      <c r="Z690" s="20"/>
      <c r="AA690" s="20"/>
      <c r="AB690" s="20"/>
    </row>
    <row r="691">
      <c r="A691" s="20"/>
      <c r="B691" s="117"/>
      <c r="C691" s="20"/>
      <c r="D691" s="20"/>
      <c r="E691" s="20"/>
      <c r="F691" s="1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121"/>
      <c r="Z691" s="20"/>
      <c r="AA691" s="20"/>
      <c r="AB691" s="20"/>
    </row>
    <row r="692">
      <c r="A692" s="20"/>
      <c r="B692" s="117"/>
      <c r="C692" s="20"/>
      <c r="D692" s="20"/>
      <c r="E692" s="20"/>
      <c r="F692" s="1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121"/>
      <c r="Z692" s="20"/>
      <c r="AA692" s="20"/>
      <c r="AB692" s="20"/>
    </row>
    <row r="693">
      <c r="A693" s="20"/>
      <c r="B693" s="117"/>
      <c r="C693" s="20"/>
      <c r="D693" s="20"/>
      <c r="E693" s="20"/>
      <c r="F693" s="1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121"/>
      <c r="Z693" s="20"/>
      <c r="AA693" s="20"/>
      <c r="AB693" s="20"/>
    </row>
    <row r="694">
      <c r="A694" s="20"/>
      <c r="B694" s="117"/>
      <c r="C694" s="20"/>
      <c r="D694" s="20"/>
      <c r="E694" s="20"/>
      <c r="F694" s="1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121"/>
      <c r="Z694" s="20"/>
      <c r="AA694" s="20"/>
      <c r="AB694" s="20"/>
    </row>
    <row r="695">
      <c r="A695" s="20"/>
      <c r="B695" s="117"/>
      <c r="C695" s="20"/>
      <c r="D695" s="20"/>
      <c r="E695" s="20"/>
      <c r="F695" s="1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121"/>
      <c r="Z695" s="20"/>
      <c r="AA695" s="20"/>
      <c r="AB695" s="20"/>
    </row>
    <row r="696">
      <c r="A696" s="20"/>
      <c r="B696" s="117"/>
      <c r="C696" s="20"/>
      <c r="D696" s="20"/>
      <c r="E696" s="20"/>
      <c r="F696" s="1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121"/>
      <c r="Z696" s="20"/>
      <c r="AA696" s="20"/>
      <c r="AB696" s="20"/>
    </row>
    <row r="697">
      <c r="A697" s="20"/>
      <c r="B697" s="117"/>
      <c r="C697" s="20"/>
      <c r="D697" s="20"/>
      <c r="E697" s="20"/>
      <c r="F697" s="1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121"/>
      <c r="Z697" s="20"/>
      <c r="AA697" s="20"/>
      <c r="AB697" s="20"/>
    </row>
    <row r="698">
      <c r="A698" s="20"/>
      <c r="B698" s="117"/>
      <c r="C698" s="20"/>
      <c r="D698" s="20"/>
      <c r="E698" s="20"/>
      <c r="F698" s="1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121"/>
      <c r="Z698" s="20"/>
      <c r="AA698" s="20"/>
      <c r="AB698" s="20"/>
    </row>
    <row r="699">
      <c r="A699" s="20"/>
      <c r="B699" s="117"/>
      <c r="C699" s="20"/>
      <c r="D699" s="20"/>
      <c r="E699" s="20"/>
      <c r="F699" s="1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121"/>
      <c r="Z699" s="20"/>
      <c r="AA699" s="20"/>
      <c r="AB699" s="20"/>
    </row>
    <row r="700">
      <c r="A700" s="20"/>
      <c r="B700" s="117"/>
      <c r="C700" s="20"/>
      <c r="D700" s="20"/>
      <c r="E700" s="20"/>
      <c r="F700" s="1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121"/>
      <c r="Z700" s="20"/>
      <c r="AA700" s="20"/>
      <c r="AB700" s="20"/>
    </row>
    <row r="701">
      <c r="A701" s="20"/>
      <c r="B701" s="117"/>
      <c r="C701" s="20"/>
      <c r="D701" s="20"/>
      <c r="E701" s="20"/>
      <c r="F701" s="1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121"/>
      <c r="Z701" s="20"/>
      <c r="AA701" s="20"/>
      <c r="AB701" s="20"/>
    </row>
    <row r="702">
      <c r="A702" s="20"/>
      <c r="B702" s="117"/>
      <c r="C702" s="20"/>
      <c r="D702" s="20"/>
      <c r="E702" s="20"/>
      <c r="F702" s="1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121"/>
      <c r="Z702" s="20"/>
      <c r="AA702" s="20"/>
      <c r="AB702" s="20"/>
    </row>
    <row r="703">
      <c r="A703" s="20"/>
      <c r="B703" s="117"/>
      <c r="C703" s="20"/>
      <c r="D703" s="20"/>
      <c r="E703" s="20"/>
      <c r="F703" s="1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121"/>
      <c r="Z703" s="20"/>
      <c r="AA703" s="20"/>
      <c r="AB703" s="20"/>
    </row>
    <row r="704">
      <c r="A704" s="20"/>
      <c r="B704" s="117"/>
      <c r="C704" s="20"/>
      <c r="D704" s="20"/>
      <c r="E704" s="20"/>
      <c r="F704" s="1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121"/>
      <c r="Z704" s="20"/>
      <c r="AA704" s="20"/>
      <c r="AB704" s="20"/>
    </row>
    <row r="705">
      <c r="A705" s="20"/>
      <c r="B705" s="117"/>
      <c r="C705" s="20"/>
      <c r="D705" s="20"/>
      <c r="E705" s="20"/>
      <c r="F705" s="1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121"/>
      <c r="Z705" s="20"/>
      <c r="AA705" s="20"/>
      <c r="AB705" s="20"/>
    </row>
    <row r="706">
      <c r="A706" s="20"/>
      <c r="B706" s="117"/>
      <c r="C706" s="20"/>
      <c r="D706" s="20"/>
      <c r="E706" s="20"/>
      <c r="F706" s="1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121"/>
      <c r="Z706" s="20"/>
      <c r="AA706" s="20"/>
      <c r="AB706" s="20"/>
    </row>
    <row r="707">
      <c r="A707" s="20"/>
      <c r="B707" s="117"/>
      <c r="C707" s="20"/>
      <c r="D707" s="20"/>
      <c r="E707" s="20"/>
      <c r="F707" s="1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121"/>
      <c r="Z707" s="20"/>
      <c r="AA707" s="20"/>
      <c r="AB707" s="20"/>
    </row>
    <row r="708">
      <c r="A708" s="20"/>
      <c r="B708" s="117"/>
      <c r="C708" s="20"/>
      <c r="D708" s="20"/>
      <c r="E708" s="20"/>
      <c r="F708" s="1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121"/>
      <c r="Z708" s="20"/>
      <c r="AA708" s="20"/>
      <c r="AB708" s="20"/>
    </row>
    <row r="709">
      <c r="A709" s="20"/>
      <c r="B709" s="117"/>
      <c r="C709" s="20"/>
      <c r="D709" s="20"/>
      <c r="E709" s="20"/>
      <c r="F709" s="1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121"/>
      <c r="Z709" s="20"/>
      <c r="AA709" s="20"/>
      <c r="AB709" s="20"/>
    </row>
    <row r="710">
      <c r="A710" s="20"/>
      <c r="B710" s="117"/>
      <c r="C710" s="20"/>
      <c r="D710" s="20"/>
      <c r="E710" s="20"/>
      <c r="F710" s="1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121"/>
      <c r="Z710" s="20"/>
      <c r="AA710" s="20"/>
      <c r="AB710" s="20"/>
    </row>
    <row r="711">
      <c r="A711" s="20"/>
      <c r="B711" s="117"/>
      <c r="C711" s="20"/>
      <c r="D711" s="20"/>
      <c r="E711" s="20"/>
      <c r="F711" s="1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121"/>
      <c r="Z711" s="20"/>
      <c r="AA711" s="20"/>
      <c r="AB711" s="20"/>
    </row>
    <row r="712">
      <c r="A712" s="20"/>
      <c r="B712" s="117"/>
      <c r="C712" s="20"/>
      <c r="D712" s="20"/>
      <c r="E712" s="20"/>
      <c r="F712" s="1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121"/>
      <c r="Z712" s="20"/>
      <c r="AA712" s="20"/>
      <c r="AB712" s="20"/>
    </row>
    <row r="713">
      <c r="A713" s="20"/>
      <c r="B713" s="117"/>
      <c r="C713" s="20"/>
      <c r="D713" s="20"/>
      <c r="E713" s="20"/>
      <c r="F713" s="1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121"/>
      <c r="Z713" s="20"/>
      <c r="AA713" s="20"/>
      <c r="AB713" s="20"/>
    </row>
    <row r="714">
      <c r="A714" s="20"/>
      <c r="B714" s="117"/>
      <c r="C714" s="20"/>
      <c r="D714" s="20"/>
      <c r="E714" s="20"/>
      <c r="F714" s="1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121"/>
      <c r="Z714" s="20"/>
      <c r="AA714" s="20"/>
      <c r="AB714" s="20"/>
    </row>
    <row r="715">
      <c r="A715" s="20"/>
      <c r="B715" s="117"/>
      <c r="C715" s="20"/>
      <c r="D715" s="20"/>
      <c r="E715" s="20"/>
      <c r="F715" s="1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121"/>
      <c r="Z715" s="20"/>
      <c r="AA715" s="20"/>
      <c r="AB715" s="20"/>
    </row>
    <row r="716">
      <c r="A716" s="20"/>
      <c r="B716" s="117"/>
      <c r="C716" s="20"/>
      <c r="D716" s="20"/>
      <c r="E716" s="20"/>
      <c r="F716" s="1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121"/>
      <c r="Z716" s="20"/>
      <c r="AA716" s="20"/>
      <c r="AB716" s="20"/>
    </row>
    <row r="717">
      <c r="A717" s="20"/>
      <c r="B717" s="117"/>
      <c r="C717" s="20"/>
      <c r="D717" s="20"/>
      <c r="E717" s="20"/>
      <c r="F717" s="1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121"/>
      <c r="Z717" s="20"/>
      <c r="AA717" s="20"/>
      <c r="AB717" s="20"/>
    </row>
    <row r="718">
      <c r="A718" s="20"/>
      <c r="B718" s="117"/>
      <c r="C718" s="20"/>
      <c r="D718" s="20"/>
      <c r="E718" s="20"/>
      <c r="F718" s="1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121"/>
      <c r="Z718" s="20"/>
      <c r="AA718" s="20"/>
      <c r="AB718" s="20"/>
    </row>
    <row r="719">
      <c r="A719" s="20"/>
      <c r="B719" s="117"/>
      <c r="C719" s="20"/>
      <c r="D719" s="20"/>
      <c r="E719" s="20"/>
      <c r="F719" s="1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121"/>
      <c r="Z719" s="20"/>
      <c r="AA719" s="20"/>
      <c r="AB719" s="20"/>
    </row>
    <row r="720">
      <c r="A720" s="20"/>
      <c r="B720" s="117"/>
      <c r="C720" s="20"/>
      <c r="D720" s="20"/>
      <c r="E720" s="20"/>
      <c r="F720" s="1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121"/>
      <c r="Z720" s="20"/>
      <c r="AA720" s="20"/>
      <c r="AB720" s="20"/>
    </row>
    <row r="721">
      <c r="A721" s="20"/>
      <c r="B721" s="117"/>
      <c r="C721" s="20"/>
      <c r="D721" s="20"/>
      <c r="E721" s="20"/>
      <c r="F721" s="1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121"/>
      <c r="Z721" s="20"/>
      <c r="AA721" s="20"/>
      <c r="AB721" s="20"/>
    </row>
    <row r="722">
      <c r="A722" s="20"/>
      <c r="B722" s="117"/>
      <c r="C722" s="20"/>
      <c r="D722" s="20"/>
      <c r="E722" s="20"/>
      <c r="F722" s="1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121"/>
      <c r="Z722" s="20"/>
      <c r="AA722" s="20"/>
      <c r="AB722" s="20"/>
    </row>
    <row r="723">
      <c r="A723" s="20"/>
      <c r="B723" s="117"/>
      <c r="C723" s="20"/>
      <c r="D723" s="20"/>
      <c r="E723" s="20"/>
      <c r="F723" s="1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121"/>
      <c r="Z723" s="20"/>
      <c r="AA723" s="20"/>
      <c r="AB723" s="20"/>
    </row>
    <row r="724">
      <c r="A724" s="20"/>
      <c r="B724" s="117"/>
      <c r="C724" s="20"/>
      <c r="D724" s="20"/>
      <c r="E724" s="20"/>
      <c r="F724" s="1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121"/>
      <c r="Z724" s="20"/>
      <c r="AA724" s="20"/>
      <c r="AB724" s="20"/>
    </row>
    <row r="725">
      <c r="A725" s="20"/>
      <c r="B725" s="117"/>
      <c r="C725" s="20"/>
      <c r="D725" s="20"/>
      <c r="E725" s="20"/>
      <c r="F725" s="1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121"/>
      <c r="Z725" s="20"/>
      <c r="AA725" s="20"/>
      <c r="AB725" s="20"/>
    </row>
    <row r="726">
      <c r="A726" s="20"/>
      <c r="B726" s="117"/>
      <c r="C726" s="20"/>
      <c r="D726" s="20"/>
      <c r="E726" s="20"/>
      <c r="F726" s="1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121"/>
      <c r="Z726" s="20"/>
      <c r="AA726" s="20"/>
      <c r="AB726" s="20"/>
    </row>
    <row r="727">
      <c r="A727" s="20"/>
      <c r="B727" s="117"/>
      <c r="C727" s="20"/>
      <c r="D727" s="20"/>
      <c r="E727" s="20"/>
      <c r="F727" s="1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121"/>
      <c r="Z727" s="20"/>
      <c r="AA727" s="20"/>
      <c r="AB727" s="20"/>
    </row>
    <row r="728">
      <c r="A728" s="20"/>
      <c r="B728" s="117"/>
      <c r="C728" s="20"/>
      <c r="D728" s="20"/>
      <c r="E728" s="20"/>
      <c r="F728" s="1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121"/>
      <c r="Z728" s="20"/>
      <c r="AA728" s="20"/>
      <c r="AB728" s="20"/>
    </row>
    <row r="729">
      <c r="A729" s="20"/>
      <c r="B729" s="117"/>
      <c r="C729" s="20"/>
      <c r="D729" s="20"/>
      <c r="E729" s="20"/>
      <c r="F729" s="1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121"/>
      <c r="Z729" s="20"/>
      <c r="AA729" s="20"/>
      <c r="AB729" s="20"/>
    </row>
    <row r="730">
      <c r="A730" s="20"/>
      <c r="B730" s="117"/>
      <c r="C730" s="20"/>
      <c r="D730" s="20"/>
      <c r="E730" s="20"/>
      <c r="F730" s="1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121"/>
      <c r="Z730" s="20"/>
      <c r="AA730" s="20"/>
      <c r="AB730" s="20"/>
    </row>
    <row r="731">
      <c r="A731" s="20"/>
      <c r="B731" s="117"/>
      <c r="C731" s="20"/>
      <c r="D731" s="20"/>
      <c r="E731" s="20"/>
      <c r="F731" s="1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121"/>
      <c r="Z731" s="20"/>
      <c r="AA731" s="20"/>
      <c r="AB731" s="20"/>
    </row>
    <row r="732">
      <c r="A732" s="20"/>
      <c r="B732" s="117"/>
      <c r="C732" s="20"/>
      <c r="D732" s="20"/>
      <c r="E732" s="20"/>
      <c r="F732" s="1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121"/>
      <c r="Z732" s="20"/>
      <c r="AA732" s="20"/>
      <c r="AB732" s="20"/>
    </row>
    <row r="733">
      <c r="A733" s="20"/>
      <c r="B733" s="117"/>
      <c r="C733" s="20"/>
      <c r="D733" s="20"/>
      <c r="E733" s="20"/>
      <c r="F733" s="1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121"/>
      <c r="Z733" s="20"/>
      <c r="AA733" s="20"/>
      <c r="AB733" s="20"/>
    </row>
    <row r="734">
      <c r="A734" s="20"/>
      <c r="B734" s="117"/>
      <c r="C734" s="20"/>
      <c r="D734" s="20"/>
      <c r="E734" s="20"/>
      <c r="F734" s="1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121"/>
      <c r="Z734" s="20"/>
      <c r="AA734" s="20"/>
      <c r="AB734" s="20"/>
    </row>
    <row r="735">
      <c r="A735" s="20"/>
      <c r="B735" s="117"/>
      <c r="C735" s="20"/>
      <c r="D735" s="20"/>
      <c r="E735" s="20"/>
      <c r="F735" s="1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121"/>
      <c r="Z735" s="20"/>
      <c r="AA735" s="20"/>
      <c r="AB735" s="20"/>
    </row>
    <row r="736">
      <c r="A736" s="20"/>
      <c r="B736" s="117"/>
      <c r="C736" s="20"/>
      <c r="D736" s="20"/>
      <c r="E736" s="20"/>
      <c r="F736" s="1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121"/>
      <c r="Z736" s="20"/>
      <c r="AA736" s="20"/>
      <c r="AB736" s="20"/>
    </row>
    <row r="737">
      <c r="A737" s="20"/>
      <c r="B737" s="117"/>
      <c r="C737" s="20"/>
      <c r="D737" s="20"/>
      <c r="E737" s="20"/>
      <c r="F737" s="1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121"/>
      <c r="Z737" s="20"/>
      <c r="AA737" s="20"/>
      <c r="AB737" s="20"/>
    </row>
    <row r="738">
      <c r="A738" s="20"/>
      <c r="B738" s="117"/>
      <c r="C738" s="20"/>
      <c r="D738" s="20"/>
      <c r="E738" s="20"/>
      <c r="F738" s="1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121"/>
      <c r="Z738" s="20"/>
      <c r="AA738" s="20"/>
      <c r="AB738" s="20"/>
    </row>
    <row r="739">
      <c r="A739" s="20"/>
      <c r="B739" s="117"/>
      <c r="C739" s="20"/>
      <c r="D739" s="20"/>
      <c r="E739" s="20"/>
      <c r="F739" s="1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121"/>
      <c r="Z739" s="20"/>
      <c r="AA739" s="20"/>
      <c r="AB739" s="20"/>
    </row>
    <row r="740">
      <c r="A740" s="20"/>
      <c r="B740" s="117"/>
      <c r="C740" s="20"/>
      <c r="D740" s="20"/>
      <c r="E740" s="20"/>
      <c r="F740" s="1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121"/>
      <c r="Z740" s="20"/>
      <c r="AA740" s="20"/>
      <c r="AB740" s="20"/>
    </row>
    <row r="741">
      <c r="A741" s="20"/>
      <c r="B741" s="117"/>
      <c r="C741" s="20"/>
      <c r="D741" s="20"/>
      <c r="E741" s="20"/>
      <c r="F741" s="1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121"/>
      <c r="Z741" s="20"/>
      <c r="AA741" s="20"/>
      <c r="AB741" s="20"/>
    </row>
    <row r="742">
      <c r="A742" s="20"/>
      <c r="B742" s="117"/>
      <c r="C742" s="20"/>
      <c r="D742" s="20"/>
      <c r="E742" s="20"/>
      <c r="F742" s="1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121"/>
      <c r="Z742" s="20"/>
      <c r="AA742" s="20"/>
      <c r="AB742" s="20"/>
    </row>
    <row r="743">
      <c r="A743" s="20"/>
      <c r="B743" s="117"/>
      <c r="C743" s="20"/>
      <c r="D743" s="20"/>
      <c r="E743" s="20"/>
      <c r="F743" s="1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121"/>
      <c r="Z743" s="20"/>
      <c r="AA743" s="20"/>
      <c r="AB743" s="20"/>
    </row>
    <row r="744">
      <c r="A744" s="20"/>
      <c r="B744" s="117"/>
      <c r="C744" s="20"/>
      <c r="D744" s="20"/>
      <c r="E744" s="20"/>
      <c r="F744" s="1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121"/>
      <c r="Z744" s="20"/>
      <c r="AA744" s="20"/>
      <c r="AB744" s="20"/>
    </row>
    <row r="745">
      <c r="A745" s="20"/>
      <c r="B745" s="117"/>
      <c r="C745" s="20"/>
      <c r="D745" s="20"/>
      <c r="E745" s="20"/>
      <c r="F745" s="1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121"/>
      <c r="Z745" s="20"/>
      <c r="AA745" s="20"/>
      <c r="AB745" s="20"/>
    </row>
    <row r="746">
      <c r="A746" s="20"/>
      <c r="B746" s="117"/>
      <c r="C746" s="20"/>
      <c r="D746" s="20"/>
      <c r="E746" s="20"/>
      <c r="F746" s="1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121"/>
      <c r="Z746" s="20"/>
      <c r="AA746" s="20"/>
      <c r="AB746" s="20"/>
    </row>
    <row r="747">
      <c r="A747" s="20"/>
      <c r="B747" s="117"/>
      <c r="C747" s="20"/>
      <c r="D747" s="20"/>
      <c r="E747" s="20"/>
      <c r="F747" s="1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121"/>
      <c r="Z747" s="20"/>
      <c r="AA747" s="20"/>
      <c r="AB747" s="20"/>
    </row>
    <row r="748">
      <c r="A748" s="20"/>
      <c r="B748" s="117"/>
      <c r="C748" s="20"/>
      <c r="D748" s="20"/>
      <c r="E748" s="20"/>
      <c r="F748" s="1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121"/>
      <c r="Z748" s="20"/>
      <c r="AA748" s="20"/>
      <c r="AB748" s="20"/>
    </row>
    <row r="749">
      <c r="A749" s="20"/>
      <c r="B749" s="117"/>
      <c r="C749" s="20"/>
      <c r="D749" s="20"/>
      <c r="E749" s="20"/>
      <c r="F749" s="1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121"/>
      <c r="Z749" s="20"/>
      <c r="AA749" s="20"/>
      <c r="AB749" s="20"/>
    </row>
    <row r="750">
      <c r="A750" s="20"/>
      <c r="B750" s="117"/>
      <c r="C750" s="20"/>
      <c r="D750" s="20"/>
      <c r="E750" s="20"/>
      <c r="F750" s="1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121"/>
      <c r="Z750" s="20"/>
      <c r="AA750" s="20"/>
      <c r="AB750" s="20"/>
    </row>
    <row r="751">
      <c r="A751" s="20"/>
      <c r="B751" s="117"/>
      <c r="C751" s="20"/>
      <c r="D751" s="20"/>
      <c r="E751" s="20"/>
      <c r="F751" s="1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121"/>
      <c r="Z751" s="20"/>
      <c r="AA751" s="20"/>
      <c r="AB751" s="20"/>
    </row>
    <row r="752">
      <c r="A752" s="20"/>
      <c r="B752" s="117"/>
      <c r="C752" s="20"/>
      <c r="D752" s="20"/>
      <c r="E752" s="20"/>
      <c r="F752" s="1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121"/>
      <c r="Z752" s="20"/>
      <c r="AA752" s="20"/>
      <c r="AB752" s="20"/>
    </row>
    <row r="753">
      <c r="A753" s="20"/>
      <c r="B753" s="117"/>
      <c r="C753" s="20"/>
      <c r="D753" s="20"/>
      <c r="E753" s="20"/>
      <c r="F753" s="1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121"/>
      <c r="Z753" s="20"/>
      <c r="AA753" s="20"/>
      <c r="AB753" s="20"/>
    </row>
    <row r="754">
      <c r="A754" s="20"/>
      <c r="B754" s="117"/>
      <c r="C754" s="20"/>
      <c r="D754" s="20"/>
      <c r="E754" s="20"/>
      <c r="F754" s="1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121"/>
      <c r="Z754" s="20"/>
      <c r="AA754" s="20"/>
      <c r="AB754" s="20"/>
    </row>
    <row r="755">
      <c r="A755" s="20"/>
      <c r="B755" s="117"/>
      <c r="C755" s="20"/>
      <c r="D755" s="20"/>
      <c r="E755" s="20"/>
      <c r="F755" s="1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121"/>
      <c r="Z755" s="20"/>
      <c r="AA755" s="20"/>
      <c r="AB755" s="20"/>
    </row>
    <row r="756">
      <c r="A756" s="20"/>
      <c r="B756" s="117"/>
      <c r="C756" s="20"/>
      <c r="D756" s="20"/>
      <c r="E756" s="20"/>
      <c r="F756" s="1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121"/>
      <c r="Z756" s="20"/>
      <c r="AA756" s="20"/>
      <c r="AB756" s="20"/>
    </row>
    <row r="757">
      <c r="A757" s="20"/>
      <c r="B757" s="117"/>
      <c r="C757" s="20"/>
      <c r="D757" s="20"/>
      <c r="E757" s="20"/>
      <c r="F757" s="1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121"/>
      <c r="Z757" s="20"/>
      <c r="AA757" s="20"/>
      <c r="AB757" s="20"/>
    </row>
    <row r="758">
      <c r="A758" s="20"/>
      <c r="B758" s="117"/>
      <c r="C758" s="20"/>
      <c r="D758" s="20"/>
      <c r="E758" s="20"/>
      <c r="F758" s="1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121"/>
      <c r="Z758" s="20"/>
      <c r="AA758" s="20"/>
      <c r="AB758" s="20"/>
    </row>
    <row r="759">
      <c r="A759" s="20"/>
      <c r="B759" s="117"/>
      <c r="C759" s="20"/>
      <c r="D759" s="20"/>
      <c r="E759" s="20"/>
      <c r="F759" s="1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121"/>
      <c r="Z759" s="20"/>
      <c r="AA759" s="20"/>
      <c r="AB759" s="20"/>
    </row>
    <row r="760">
      <c r="A760" s="20"/>
      <c r="B760" s="117"/>
      <c r="C760" s="20"/>
      <c r="D760" s="20"/>
      <c r="E760" s="20"/>
      <c r="F760" s="1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121"/>
      <c r="Z760" s="20"/>
      <c r="AA760" s="20"/>
      <c r="AB760" s="20"/>
    </row>
    <row r="761">
      <c r="A761" s="20"/>
      <c r="B761" s="117"/>
      <c r="C761" s="20"/>
      <c r="D761" s="20"/>
      <c r="E761" s="20"/>
      <c r="F761" s="1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121"/>
      <c r="Z761" s="20"/>
      <c r="AA761" s="20"/>
      <c r="AB761" s="20"/>
    </row>
    <row r="762">
      <c r="A762" s="20"/>
      <c r="B762" s="117"/>
      <c r="C762" s="20"/>
      <c r="D762" s="20"/>
      <c r="E762" s="20"/>
      <c r="F762" s="1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121"/>
      <c r="Z762" s="20"/>
      <c r="AA762" s="20"/>
      <c r="AB762" s="20"/>
    </row>
    <row r="763">
      <c r="A763" s="20"/>
      <c r="B763" s="117"/>
      <c r="C763" s="20"/>
      <c r="D763" s="20"/>
      <c r="E763" s="20"/>
      <c r="F763" s="1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121"/>
      <c r="Z763" s="20"/>
      <c r="AA763" s="20"/>
      <c r="AB763" s="20"/>
    </row>
    <row r="764">
      <c r="A764" s="20"/>
      <c r="B764" s="117"/>
      <c r="C764" s="20"/>
      <c r="D764" s="20"/>
      <c r="E764" s="20"/>
      <c r="F764" s="1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121"/>
      <c r="Z764" s="20"/>
      <c r="AA764" s="20"/>
      <c r="AB764" s="20"/>
    </row>
    <row r="765">
      <c r="A765" s="20"/>
      <c r="B765" s="117"/>
      <c r="C765" s="20"/>
      <c r="D765" s="20"/>
      <c r="E765" s="20"/>
      <c r="F765" s="1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121"/>
      <c r="Z765" s="20"/>
      <c r="AA765" s="20"/>
      <c r="AB765" s="20"/>
    </row>
    <row r="766">
      <c r="A766" s="20"/>
      <c r="B766" s="117"/>
      <c r="C766" s="20"/>
      <c r="D766" s="20"/>
      <c r="E766" s="20"/>
      <c r="F766" s="1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121"/>
      <c r="Z766" s="20"/>
      <c r="AA766" s="20"/>
      <c r="AB766" s="20"/>
    </row>
    <row r="767">
      <c r="A767" s="20"/>
      <c r="B767" s="117"/>
      <c r="C767" s="20"/>
      <c r="D767" s="20"/>
      <c r="E767" s="20"/>
      <c r="F767" s="1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121"/>
      <c r="Z767" s="20"/>
      <c r="AA767" s="20"/>
      <c r="AB767" s="20"/>
    </row>
    <row r="768">
      <c r="A768" s="20"/>
      <c r="B768" s="117"/>
      <c r="C768" s="20"/>
      <c r="D768" s="20"/>
      <c r="E768" s="20"/>
      <c r="F768" s="1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121"/>
      <c r="Z768" s="20"/>
      <c r="AA768" s="20"/>
      <c r="AB768" s="20"/>
    </row>
    <row r="769">
      <c r="A769" s="20"/>
      <c r="B769" s="117"/>
      <c r="C769" s="20"/>
      <c r="D769" s="20"/>
      <c r="E769" s="20"/>
      <c r="F769" s="1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121"/>
      <c r="Z769" s="20"/>
      <c r="AA769" s="20"/>
      <c r="AB769" s="20"/>
    </row>
    <row r="770">
      <c r="A770" s="20"/>
      <c r="B770" s="117"/>
      <c r="C770" s="20"/>
      <c r="D770" s="20"/>
      <c r="E770" s="20"/>
      <c r="F770" s="1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121"/>
      <c r="Z770" s="20"/>
      <c r="AA770" s="20"/>
      <c r="AB770" s="20"/>
    </row>
    <row r="771">
      <c r="A771" s="20"/>
      <c r="B771" s="117"/>
      <c r="C771" s="20"/>
      <c r="D771" s="20"/>
      <c r="E771" s="20"/>
      <c r="F771" s="1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121"/>
      <c r="Z771" s="20"/>
      <c r="AA771" s="20"/>
      <c r="AB771" s="20"/>
    </row>
    <row r="772">
      <c r="A772" s="20"/>
      <c r="B772" s="117"/>
      <c r="C772" s="20"/>
      <c r="D772" s="20"/>
      <c r="E772" s="20"/>
      <c r="F772" s="1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121"/>
      <c r="Z772" s="20"/>
      <c r="AA772" s="20"/>
      <c r="AB772" s="20"/>
    </row>
    <row r="773">
      <c r="A773" s="20"/>
      <c r="B773" s="117"/>
      <c r="C773" s="20"/>
      <c r="D773" s="20"/>
      <c r="E773" s="20"/>
      <c r="F773" s="1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121"/>
      <c r="Z773" s="20"/>
      <c r="AA773" s="20"/>
      <c r="AB773" s="20"/>
    </row>
    <row r="774">
      <c r="A774" s="20"/>
      <c r="B774" s="117"/>
      <c r="C774" s="20"/>
      <c r="D774" s="20"/>
      <c r="E774" s="20"/>
      <c r="F774" s="1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121"/>
      <c r="Z774" s="20"/>
      <c r="AA774" s="20"/>
      <c r="AB774" s="20"/>
    </row>
    <row r="775">
      <c r="A775" s="20"/>
      <c r="B775" s="117"/>
      <c r="C775" s="20"/>
      <c r="D775" s="20"/>
      <c r="E775" s="20"/>
      <c r="F775" s="1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121"/>
      <c r="Z775" s="20"/>
      <c r="AA775" s="20"/>
      <c r="AB775" s="20"/>
    </row>
    <row r="776">
      <c r="A776" s="20"/>
      <c r="B776" s="117"/>
      <c r="C776" s="20"/>
      <c r="D776" s="20"/>
      <c r="E776" s="20"/>
      <c r="F776" s="1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121"/>
      <c r="Z776" s="20"/>
      <c r="AA776" s="20"/>
      <c r="AB776" s="20"/>
    </row>
    <row r="777">
      <c r="A777" s="20"/>
      <c r="B777" s="117"/>
      <c r="C777" s="20"/>
      <c r="D777" s="20"/>
      <c r="E777" s="20"/>
      <c r="F777" s="1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121"/>
      <c r="Z777" s="20"/>
      <c r="AA777" s="20"/>
      <c r="AB777" s="20"/>
    </row>
    <row r="778">
      <c r="A778" s="20"/>
      <c r="B778" s="117"/>
      <c r="C778" s="20"/>
      <c r="D778" s="20"/>
      <c r="E778" s="20"/>
      <c r="F778" s="1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121"/>
      <c r="Z778" s="20"/>
      <c r="AA778" s="20"/>
      <c r="AB778" s="20"/>
    </row>
    <row r="779">
      <c r="A779" s="20"/>
      <c r="B779" s="117"/>
      <c r="C779" s="20"/>
      <c r="D779" s="20"/>
      <c r="E779" s="20"/>
      <c r="F779" s="1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121"/>
      <c r="Z779" s="20"/>
      <c r="AA779" s="20"/>
      <c r="AB779" s="20"/>
    </row>
    <row r="780">
      <c r="A780" s="20"/>
      <c r="B780" s="117"/>
      <c r="C780" s="20"/>
      <c r="D780" s="20"/>
      <c r="E780" s="20"/>
      <c r="F780" s="1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121"/>
      <c r="Z780" s="20"/>
      <c r="AA780" s="20"/>
      <c r="AB780" s="20"/>
    </row>
    <row r="781">
      <c r="A781" s="20"/>
      <c r="B781" s="117"/>
      <c r="C781" s="20"/>
      <c r="D781" s="20"/>
      <c r="E781" s="20"/>
      <c r="F781" s="1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121"/>
      <c r="Z781" s="20"/>
      <c r="AA781" s="20"/>
      <c r="AB781" s="20"/>
    </row>
    <row r="782">
      <c r="A782" s="20"/>
      <c r="B782" s="117"/>
      <c r="C782" s="20"/>
      <c r="D782" s="20"/>
      <c r="E782" s="20"/>
      <c r="F782" s="1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121"/>
      <c r="Z782" s="20"/>
      <c r="AA782" s="20"/>
      <c r="AB782" s="20"/>
    </row>
    <row r="783">
      <c r="A783" s="20"/>
      <c r="B783" s="117"/>
      <c r="C783" s="20"/>
      <c r="D783" s="20"/>
      <c r="E783" s="20"/>
      <c r="F783" s="1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121"/>
      <c r="Z783" s="20"/>
      <c r="AA783" s="20"/>
      <c r="AB783" s="20"/>
    </row>
    <row r="784">
      <c r="A784" s="20"/>
      <c r="B784" s="117"/>
      <c r="C784" s="20"/>
      <c r="D784" s="20"/>
      <c r="E784" s="20"/>
      <c r="F784" s="1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121"/>
      <c r="Z784" s="20"/>
      <c r="AA784" s="20"/>
      <c r="AB784" s="20"/>
    </row>
    <row r="785">
      <c r="A785" s="20"/>
      <c r="B785" s="117"/>
      <c r="C785" s="20"/>
      <c r="D785" s="20"/>
      <c r="E785" s="20"/>
      <c r="F785" s="1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121"/>
      <c r="Z785" s="20"/>
      <c r="AA785" s="20"/>
      <c r="AB785" s="20"/>
    </row>
    <row r="786">
      <c r="A786" s="20"/>
      <c r="B786" s="117"/>
      <c r="C786" s="20"/>
      <c r="D786" s="20"/>
      <c r="E786" s="20"/>
      <c r="F786" s="1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121"/>
      <c r="Z786" s="20"/>
      <c r="AA786" s="20"/>
      <c r="AB786" s="20"/>
    </row>
    <row r="787">
      <c r="A787" s="20"/>
      <c r="B787" s="117"/>
      <c r="C787" s="20"/>
      <c r="D787" s="20"/>
      <c r="E787" s="20"/>
      <c r="F787" s="1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121"/>
      <c r="Z787" s="20"/>
      <c r="AA787" s="20"/>
      <c r="AB787" s="20"/>
    </row>
    <row r="788">
      <c r="A788" s="20"/>
      <c r="B788" s="117"/>
      <c r="C788" s="20"/>
      <c r="D788" s="20"/>
      <c r="E788" s="20"/>
      <c r="F788" s="1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121"/>
      <c r="Z788" s="20"/>
      <c r="AA788" s="20"/>
      <c r="AB788" s="20"/>
    </row>
    <row r="789">
      <c r="A789" s="20"/>
      <c r="B789" s="117"/>
      <c r="C789" s="20"/>
      <c r="D789" s="20"/>
      <c r="E789" s="20"/>
      <c r="F789" s="1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121"/>
      <c r="Z789" s="20"/>
      <c r="AA789" s="20"/>
      <c r="AB789" s="20"/>
    </row>
    <row r="790">
      <c r="A790" s="20"/>
      <c r="B790" s="117"/>
      <c r="C790" s="20"/>
      <c r="D790" s="20"/>
      <c r="E790" s="20"/>
      <c r="F790" s="1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121"/>
      <c r="Z790" s="20"/>
      <c r="AA790" s="20"/>
      <c r="AB790" s="20"/>
    </row>
    <row r="791">
      <c r="A791" s="20"/>
      <c r="B791" s="117"/>
      <c r="C791" s="20"/>
      <c r="D791" s="20"/>
      <c r="E791" s="20"/>
      <c r="F791" s="1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121"/>
      <c r="Z791" s="20"/>
      <c r="AA791" s="20"/>
      <c r="AB791" s="20"/>
    </row>
    <row r="792">
      <c r="A792" s="20"/>
      <c r="B792" s="117"/>
      <c r="C792" s="20"/>
      <c r="D792" s="20"/>
      <c r="E792" s="20"/>
      <c r="F792" s="1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121"/>
      <c r="Z792" s="20"/>
      <c r="AA792" s="20"/>
      <c r="AB792" s="20"/>
    </row>
    <row r="793">
      <c r="A793" s="20"/>
      <c r="B793" s="117"/>
      <c r="C793" s="20"/>
      <c r="D793" s="20"/>
      <c r="E793" s="20"/>
      <c r="F793" s="1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121"/>
      <c r="Z793" s="20"/>
      <c r="AA793" s="20"/>
      <c r="AB793" s="20"/>
    </row>
    <row r="794">
      <c r="A794" s="20"/>
      <c r="B794" s="117"/>
      <c r="C794" s="20"/>
      <c r="D794" s="20"/>
      <c r="E794" s="20"/>
      <c r="F794" s="1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121"/>
      <c r="Z794" s="20"/>
      <c r="AA794" s="20"/>
      <c r="AB794" s="20"/>
    </row>
    <row r="795">
      <c r="A795" s="20"/>
      <c r="B795" s="117"/>
      <c r="C795" s="20"/>
      <c r="D795" s="20"/>
      <c r="E795" s="20"/>
      <c r="F795" s="1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121"/>
      <c r="Z795" s="20"/>
      <c r="AA795" s="20"/>
      <c r="AB795" s="20"/>
    </row>
    <row r="796">
      <c r="A796" s="20"/>
      <c r="B796" s="117"/>
      <c r="C796" s="20"/>
      <c r="D796" s="20"/>
      <c r="E796" s="20"/>
      <c r="F796" s="1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121"/>
      <c r="Z796" s="20"/>
      <c r="AA796" s="20"/>
      <c r="AB796" s="20"/>
    </row>
    <row r="797">
      <c r="A797" s="20"/>
      <c r="B797" s="117"/>
      <c r="C797" s="20"/>
      <c r="D797" s="20"/>
      <c r="E797" s="20"/>
      <c r="F797" s="1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121"/>
      <c r="Z797" s="20"/>
      <c r="AA797" s="20"/>
      <c r="AB797" s="20"/>
    </row>
    <row r="798">
      <c r="A798" s="20"/>
      <c r="B798" s="117"/>
      <c r="C798" s="20"/>
      <c r="D798" s="20"/>
      <c r="E798" s="20"/>
      <c r="F798" s="1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121"/>
      <c r="Z798" s="20"/>
      <c r="AA798" s="20"/>
      <c r="AB798" s="20"/>
    </row>
    <row r="799">
      <c r="A799" s="20"/>
      <c r="B799" s="117"/>
      <c r="C799" s="20"/>
      <c r="D799" s="20"/>
      <c r="E799" s="20"/>
      <c r="F799" s="1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121"/>
      <c r="Z799" s="20"/>
      <c r="AA799" s="20"/>
      <c r="AB799" s="20"/>
    </row>
    <row r="800">
      <c r="A800" s="20"/>
      <c r="B800" s="117"/>
      <c r="C800" s="20"/>
      <c r="D800" s="20"/>
      <c r="E800" s="20"/>
      <c r="F800" s="1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121"/>
      <c r="Z800" s="20"/>
      <c r="AA800" s="20"/>
      <c r="AB800" s="20"/>
    </row>
    <row r="801">
      <c r="A801" s="20"/>
      <c r="B801" s="117"/>
      <c r="C801" s="20"/>
      <c r="D801" s="20"/>
      <c r="E801" s="20"/>
      <c r="F801" s="1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121"/>
      <c r="Z801" s="20"/>
      <c r="AA801" s="20"/>
      <c r="AB801" s="20"/>
    </row>
    <row r="802">
      <c r="A802" s="20"/>
      <c r="B802" s="117"/>
      <c r="C802" s="20"/>
      <c r="D802" s="20"/>
      <c r="E802" s="20"/>
      <c r="F802" s="1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121"/>
      <c r="Z802" s="20"/>
      <c r="AA802" s="20"/>
      <c r="AB802" s="20"/>
    </row>
    <row r="803">
      <c r="A803" s="20"/>
      <c r="B803" s="117"/>
      <c r="C803" s="20"/>
      <c r="D803" s="20"/>
      <c r="E803" s="20"/>
      <c r="F803" s="1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121"/>
      <c r="Z803" s="20"/>
      <c r="AA803" s="20"/>
      <c r="AB803" s="20"/>
    </row>
    <row r="804">
      <c r="A804" s="20"/>
      <c r="B804" s="117"/>
      <c r="C804" s="20"/>
      <c r="D804" s="20"/>
      <c r="E804" s="20"/>
      <c r="F804" s="1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121"/>
      <c r="Z804" s="20"/>
      <c r="AA804" s="20"/>
      <c r="AB804" s="20"/>
    </row>
    <row r="805">
      <c r="A805" s="20"/>
      <c r="B805" s="117"/>
      <c r="C805" s="20"/>
      <c r="D805" s="20"/>
      <c r="E805" s="20"/>
      <c r="F805" s="1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121"/>
      <c r="Z805" s="20"/>
      <c r="AA805" s="20"/>
      <c r="AB805" s="20"/>
    </row>
    <row r="806">
      <c r="A806" s="20"/>
      <c r="B806" s="117"/>
      <c r="C806" s="20"/>
      <c r="D806" s="20"/>
      <c r="E806" s="20"/>
      <c r="F806" s="1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121"/>
      <c r="Z806" s="20"/>
      <c r="AA806" s="20"/>
      <c r="AB806" s="20"/>
    </row>
    <row r="807">
      <c r="A807" s="20"/>
      <c r="B807" s="117"/>
      <c r="C807" s="20"/>
      <c r="D807" s="20"/>
      <c r="E807" s="20"/>
      <c r="F807" s="1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121"/>
      <c r="Z807" s="20"/>
      <c r="AA807" s="20"/>
      <c r="AB807" s="20"/>
    </row>
    <row r="808">
      <c r="A808" s="20"/>
      <c r="B808" s="117"/>
      <c r="C808" s="20"/>
      <c r="D808" s="20"/>
      <c r="E808" s="20"/>
      <c r="F808" s="1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121"/>
      <c r="Z808" s="20"/>
      <c r="AA808" s="20"/>
      <c r="AB808" s="20"/>
    </row>
    <row r="809">
      <c r="A809" s="20"/>
      <c r="B809" s="117"/>
      <c r="C809" s="20"/>
      <c r="D809" s="20"/>
      <c r="E809" s="20"/>
      <c r="F809" s="1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121"/>
      <c r="Z809" s="20"/>
      <c r="AA809" s="20"/>
      <c r="AB809" s="20"/>
    </row>
    <row r="810">
      <c r="A810" s="20"/>
      <c r="B810" s="117"/>
      <c r="C810" s="20"/>
      <c r="D810" s="20"/>
      <c r="E810" s="20"/>
      <c r="F810" s="1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121"/>
      <c r="Z810" s="20"/>
      <c r="AA810" s="20"/>
      <c r="AB810" s="20"/>
    </row>
    <row r="811">
      <c r="A811" s="20"/>
      <c r="B811" s="117"/>
      <c r="C811" s="20"/>
      <c r="D811" s="20"/>
      <c r="E811" s="20"/>
      <c r="F811" s="1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121"/>
      <c r="Z811" s="20"/>
      <c r="AA811" s="20"/>
      <c r="AB811" s="20"/>
    </row>
    <row r="812">
      <c r="A812" s="20"/>
      <c r="B812" s="117"/>
      <c r="C812" s="20"/>
      <c r="D812" s="20"/>
      <c r="E812" s="20"/>
      <c r="F812" s="1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121"/>
      <c r="Z812" s="20"/>
      <c r="AA812" s="20"/>
      <c r="AB812" s="20"/>
    </row>
    <row r="813">
      <c r="A813" s="20"/>
      <c r="B813" s="117"/>
      <c r="C813" s="20"/>
      <c r="D813" s="20"/>
      <c r="E813" s="20"/>
      <c r="F813" s="1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121"/>
      <c r="Z813" s="20"/>
      <c r="AA813" s="20"/>
      <c r="AB813" s="20"/>
    </row>
    <row r="814">
      <c r="A814" s="20"/>
      <c r="B814" s="117"/>
      <c r="C814" s="20"/>
      <c r="D814" s="20"/>
      <c r="E814" s="20"/>
      <c r="F814" s="1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121"/>
      <c r="Z814" s="20"/>
      <c r="AA814" s="20"/>
      <c r="AB814" s="20"/>
    </row>
    <row r="815">
      <c r="A815" s="20"/>
      <c r="B815" s="117"/>
      <c r="C815" s="20"/>
      <c r="D815" s="20"/>
      <c r="E815" s="20"/>
      <c r="F815" s="1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121"/>
      <c r="Z815" s="20"/>
      <c r="AA815" s="20"/>
      <c r="AB815" s="20"/>
    </row>
    <row r="816">
      <c r="A816" s="20"/>
      <c r="B816" s="117"/>
      <c r="C816" s="20"/>
      <c r="D816" s="20"/>
      <c r="E816" s="20"/>
      <c r="F816" s="1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121"/>
      <c r="Z816" s="20"/>
      <c r="AA816" s="20"/>
      <c r="AB816" s="20"/>
    </row>
    <row r="817">
      <c r="A817" s="20"/>
      <c r="B817" s="117"/>
      <c r="C817" s="20"/>
      <c r="D817" s="20"/>
      <c r="E817" s="20"/>
      <c r="F817" s="1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121"/>
      <c r="Z817" s="20"/>
      <c r="AA817" s="20"/>
      <c r="AB817" s="20"/>
    </row>
    <row r="818">
      <c r="A818" s="20"/>
      <c r="B818" s="117"/>
      <c r="C818" s="20"/>
      <c r="D818" s="20"/>
      <c r="E818" s="20"/>
      <c r="F818" s="1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121"/>
      <c r="Z818" s="20"/>
      <c r="AA818" s="20"/>
      <c r="AB818" s="20"/>
    </row>
    <row r="819">
      <c r="A819" s="20"/>
      <c r="B819" s="117"/>
      <c r="C819" s="20"/>
      <c r="D819" s="20"/>
      <c r="E819" s="20"/>
      <c r="F819" s="1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121"/>
      <c r="Z819" s="20"/>
      <c r="AA819" s="20"/>
      <c r="AB819" s="20"/>
    </row>
    <row r="820">
      <c r="A820" s="20"/>
      <c r="B820" s="117"/>
      <c r="C820" s="20"/>
      <c r="D820" s="20"/>
      <c r="E820" s="20"/>
      <c r="F820" s="1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121"/>
      <c r="Z820" s="20"/>
      <c r="AA820" s="20"/>
      <c r="AB820" s="20"/>
    </row>
    <row r="821">
      <c r="A821" s="20"/>
      <c r="B821" s="117"/>
      <c r="C821" s="20"/>
      <c r="D821" s="20"/>
      <c r="E821" s="20"/>
      <c r="F821" s="1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121"/>
      <c r="Z821" s="20"/>
      <c r="AA821" s="20"/>
      <c r="AB821" s="20"/>
    </row>
    <row r="822">
      <c r="A822" s="20"/>
      <c r="B822" s="117"/>
      <c r="C822" s="20"/>
      <c r="D822" s="20"/>
      <c r="E822" s="20"/>
      <c r="F822" s="1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121"/>
      <c r="Z822" s="20"/>
      <c r="AA822" s="20"/>
      <c r="AB822" s="20"/>
    </row>
    <row r="823">
      <c r="A823" s="20"/>
      <c r="B823" s="117"/>
      <c r="C823" s="20"/>
      <c r="D823" s="20"/>
      <c r="E823" s="20"/>
      <c r="F823" s="1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121"/>
      <c r="Z823" s="20"/>
      <c r="AA823" s="20"/>
      <c r="AB823" s="20"/>
    </row>
    <row r="824">
      <c r="A824" s="20"/>
      <c r="B824" s="117"/>
      <c r="C824" s="20"/>
      <c r="D824" s="20"/>
      <c r="E824" s="20"/>
      <c r="F824" s="1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121"/>
      <c r="Z824" s="20"/>
      <c r="AA824" s="20"/>
      <c r="AB824" s="20"/>
    </row>
    <row r="825">
      <c r="A825" s="20"/>
      <c r="B825" s="117"/>
      <c r="C825" s="20"/>
      <c r="D825" s="20"/>
      <c r="E825" s="20"/>
      <c r="F825" s="1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121"/>
      <c r="Z825" s="20"/>
      <c r="AA825" s="20"/>
      <c r="AB825" s="20"/>
    </row>
    <row r="826">
      <c r="A826" s="20"/>
      <c r="B826" s="117"/>
      <c r="C826" s="20"/>
      <c r="D826" s="20"/>
      <c r="E826" s="20"/>
      <c r="F826" s="1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121"/>
      <c r="Z826" s="20"/>
      <c r="AA826" s="20"/>
      <c r="AB826" s="20"/>
    </row>
    <row r="827">
      <c r="A827" s="20"/>
      <c r="B827" s="117"/>
      <c r="C827" s="20"/>
      <c r="D827" s="20"/>
      <c r="E827" s="20"/>
      <c r="F827" s="1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121"/>
      <c r="Z827" s="20"/>
      <c r="AA827" s="20"/>
      <c r="AB827" s="20"/>
    </row>
    <row r="828">
      <c r="A828" s="20"/>
      <c r="B828" s="117"/>
      <c r="C828" s="20"/>
      <c r="D828" s="20"/>
      <c r="E828" s="20"/>
      <c r="F828" s="1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121"/>
      <c r="Z828" s="20"/>
      <c r="AA828" s="20"/>
      <c r="AB828" s="20"/>
    </row>
    <row r="829">
      <c r="A829" s="20"/>
      <c r="B829" s="117"/>
      <c r="C829" s="20"/>
      <c r="D829" s="20"/>
      <c r="E829" s="20"/>
      <c r="F829" s="1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121"/>
      <c r="Z829" s="20"/>
      <c r="AA829" s="20"/>
      <c r="AB829" s="20"/>
    </row>
    <row r="830">
      <c r="A830" s="20"/>
      <c r="B830" s="117"/>
      <c r="C830" s="20"/>
      <c r="D830" s="20"/>
      <c r="E830" s="20"/>
      <c r="F830" s="1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121"/>
      <c r="Z830" s="20"/>
      <c r="AA830" s="20"/>
      <c r="AB830" s="20"/>
    </row>
    <row r="831">
      <c r="A831" s="20"/>
      <c r="B831" s="117"/>
      <c r="C831" s="20"/>
      <c r="D831" s="20"/>
      <c r="E831" s="20"/>
      <c r="F831" s="1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121"/>
      <c r="Z831" s="20"/>
      <c r="AA831" s="20"/>
      <c r="AB831" s="20"/>
    </row>
    <row r="832">
      <c r="A832" s="20"/>
      <c r="B832" s="117"/>
      <c r="C832" s="20"/>
      <c r="D832" s="20"/>
      <c r="E832" s="20"/>
      <c r="F832" s="1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121"/>
      <c r="Z832" s="20"/>
      <c r="AA832" s="20"/>
      <c r="AB832" s="20"/>
    </row>
    <row r="833">
      <c r="A833" s="20"/>
      <c r="B833" s="117"/>
      <c r="C833" s="20"/>
      <c r="D833" s="20"/>
      <c r="E833" s="20"/>
      <c r="F833" s="1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121"/>
      <c r="Z833" s="20"/>
      <c r="AA833" s="20"/>
      <c r="AB833" s="20"/>
    </row>
    <row r="834">
      <c r="A834" s="20"/>
      <c r="B834" s="117"/>
      <c r="C834" s="20"/>
      <c r="D834" s="20"/>
      <c r="E834" s="20"/>
      <c r="F834" s="1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121"/>
      <c r="Z834" s="20"/>
      <c r="AA834" s="20"/>
      <c r="AB834" s="20"/>
    </row>
    <row r="835">
      <c r="A835" s="20"/>
      <c r="B835" s="117"/>
      <c r="C835" s="20"/>
      <c r="D835" s="20"/>
      <c r="E835" s="20"/>
      <c r="F835" s="1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121"/>
      <c r="Z835" s="20"/>
      <c r="AA835" s="20"/>
      <c r="AB835" s="20"/>
    </row>
    <row r="836">
      <c r="A836" s="20"/>
      <c r="B836" s="117"/>
      <c r="C836" s="20"/>
      <c r="D836" s="20"/>
      <c r="E836" s="20"/>
      <c r="F836" s="1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121"/>
      <c r="Z836" s="20"/>
      <c r="AA836" s="20"/>
      <c r="AB836" s="20"/>
    </row>
    <row r="837">
      <c r="A837" s="20"/>
      <c r="B837" s="117"/>
      <c r="C837" s="20"/>
      <c r="D837" s="20"/>
      <c r="E837" s="20"/>
      <c r="F837" s="1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121"/>
      <c r="Z837" s="20"/>
      <c r="AA837" s="20"/>
      <c r="AB837" s="20"/>
    </row>
    <row r="838">
      <c r="A838" s="20"/>
      <c r="B838" s="117"/>
      <c r="C838" s="20"/>
      <c r="D838" s="20"/>
      <c r="E838" s="20"/>
      <c r="F838" s="1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121"/>
      <c r="Z838" s="20"/>
      <c r="AA838" s="20"/>
      <c r="AB838" s="20"/>
    </row>
    <row r="839">
      <c r="A839" s="20"/>
      <c r="B839" s="117"/>
      <c r="C839" s="20"/>
      <c r="D839" s="20"/>
      <c r="E839" s="20"/>
      <c r="F839" s="1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121"/>
      <c r="Z839" s="20"/>
      <c r="AA839" s="20"/>
      <c r="AB839" s="20"/>
    </row>
    <row r="840">
      <c r="A840" s="20"/>
      <c r="B840" s="117"/>
      <c r="C840" s="20"/>
      <c r="D840" s="20"/>
      <c r="E840" s="20"/>
      <c r="F840" s="1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121"/>
      <c r="Z840" s="20"/>
      <c r="AA840" s="20"/>
      <c r="AB840" s="20"/>
    </row>
    <row r="841">
      <c r="A841" s="20"/>
      <c r="B841" s="117"/>
      <c r="C841" s="20"/>
      <c r="D841" s="20"/>
      <c r="E841" s="20"/>
      <c r="F841" s="1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121"/>
      <c r="Z841" s="20"/>
      <c r="AA841" s="20"/>
      <c r="AB841" s="20"/>
    </row>
    <row r="842">
      <c r="A842" s="20"/>
      <c r="B842" s="117"/>
      <c r="C842" s="20"/>
      <c r="D842" s="20"/>
      <c r="E842" s="20"/>
      <c r="F842" s="1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121"/>
      <c r="Z842" s="20"/>
      <c r="AA842" s="20"/>
      <c r="AB842" s="20"/>
    </row>
    <row r="843">
      <c r="A843" s="20"/>
      <c r="B843" s="117"/>
      <c r="C843" s="20"/>
      <c r="D843" s="20"/>
      <c r="E843" s="20"/>
      <c r="F843" s="1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121"/>
      <c r="Z843" s="20"/>
      <c r="AA843" s="20"/>
      <c r="AB843" s="20"/>
    </row>
    <row r="844">
      <c r="A844" s="20"/>
      <c r="B844" s="117"/>
      <c r="C844" s="20"/>
      <c r="D844" s="20"/>
      <c r="E844" s="20"/>
      <c r="F844" s="1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121"/>
      <c r="Z844" s="20"/>
      <c r="AA844" s="20"/>
      <c r="AB844" s="20"/>
    </row>
    <row r="845">
      <c r="A845" s="20"/>
      <c r="B845" s="117"/>
      <c r="C845" s="20"/>
      <c r="D845" s="20"/>
      <c r="E845" s="20"/>
      <c r="F845" s="1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121"/>
      <c r="Z845" s="20"/>
      <c r="AA845" s="20"/>
      <c r="AB845" s="20"/>
    </row>
    <row r="846">
      <c r="A846" s="20"/>
      <c r="B846" s="117"/>
      <c r="C846" s="20"/>
      <c r="D846" s="20"/>
      <c r="E846" s="20"/>
      <c r="F846" s="1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121"/>
      <c r="Z846" s="20"/>
      <c r="AA846" s="20"/>
      <c r="AB846" s="20"/>
    </row>
    <row r="847">
      <c r="A847" s="20"/>
      <c r="B847" s="117"/>
      <c r="C847" s="20"/>
      <c r="D847" s="20"/>
      <c r="E847" s="20"/>
      <c r="F847" s="1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121"/>
      <c r="Z847" s="20"/>
      <c r="AA847" s="20"/>
      <c r="AB847" s="20"/>
    </row>
    <row r="848">
      <c r="A848" s="20"/>
      <c r="B848" s="117"/>
      <c r="C848" s="20"/>
      <c r="D848" s="20"/>
      <c r="E848" s="20"/>
      <c r="F848" s="1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121"/>
      <c r="Z848" s="20"/>
      <c r="AA848" s="20"/>
      <c r="AB848" s="20"/>
    </row>
    <row r="849">
      <c r="A849" s="20"/>
      <c r="B849" s="117"/>
      <c r="C849" s="20"/>
      <c r="D849" s="20"/>
      <c r="E849" s="20"/>
      <c r="F849" s="1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121"/>
      <c r="Z849" s="20"/>
      <c r="AA849" s="20"/>
      <c r="AB849" s="20"/>
    </row>
    <row r="850">
      <c r="A850" s="20"/>
      <c r="B850" s="117"/>
      <c r="C850" s="20"/>
      <c r="D850" s="20"/>
      <c r="E850" s="20"/>
      <c r="F850" s="1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121"/>
      <c r="Z850" s="20"/>
      <c r="AA850" s="20"/>
      <c r="AB850" s="20"/>
    </row>
    <row r="851">
      <c r="A851" s="20"/>
      <c r="B851" s="117"/>
      <c r="C851" s="20"/>
      <c r="D851" s="20"/>
      <c r="E851" s="20"/>
      <c r="F851" s="1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121"/>
      <c r="Z851" s="20"/>
      <c r="AA851" s="20"/>
      <c r="AB851" s="20"/>
    </row>
    <row r="852">
      <c r="A852" s="20"/>
      <c r="B852" s="117"/>
      <c r="C852" s="20"/>
      <c r="D852" s="20"/>
      <c r="E852" s="20"/>
      <c r="F852" s="1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121"/>
      <c r="Z852" s="20"/>
      <c r="AA852" s="20"/>
      <c r="AB852" s="20"/>
    </row>
    <row r="853">
      <c r="A853" s="20"/>
      <c r="B853" s="117"/>
      <c r="C853" s="20"/>
      <c r="D853" s="20"/>
      <c r="E853" s="20"/>
      <c r="F853" s="1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121"/>
      <c r="Z853" s="20"/>
      <c r="AA853" s="20"/>
      <c r="AB853" s="20"/>
    </row>
    <row r="854">
      <c r="A854" s="20"/>
      <c r="B854" s="117"/>
      <c r="C854" s="20"/>
      <c r="D854" s="20"/>
      <c r="E854" s="20"/>
      <c r="F854" s="1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121"/>
      <c r="Z854" s="20"/>
      <c r="AA854" s="20"/>
      <c r="AB854" s="20"/>
    </row>
    <row r="855">
      <c r="A855" s="20"/>
      <c r="B855" s="117"/>
      <c r="C855" s="20"/>
      <c r="D855" s="20"/>
      <c r="E855" s="20"/>
      <c r="F855" s="1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121"/>
      <c r="Z855" s="20"/>
      <c r="AA855" s="20"/>
      <c r="AB855" s="20"/>
    </row>
    <row r="856">
      <c r="A856" s="20"/>
      <c r="B856" s="117"/>
      <c r="C856" s="20"/>
      <c r="D856" s="20"/>
      <c r="E856" s="20"/>
      <c r="F856" s="1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121"/>
      <c r="Z856" s="20"/>
      <c r="AA856" s="20"/>
      <c r="AB856" s="20"/>
    </row>
    <row r="857">
      <c r="A857" s="20"/>
      <c r="B857" s="117"/>
      <c r="C857" s="20"/>
      <c r="D857" s="20"/>
      <c r="E857" s="20"/>
      <c r="F857" s="1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121"/>
      <c r="Z857" s="20"/>
      <c r="AA857" s="20"/>
      <c r="AB857" s="20"/>
    </row>
    <row r="858">
      <c r="A858" s="20"/>
      <c r="B858" s="117"/>
      <c r="C858" s="20"/>
      <c r="D858" s="20"/>
      <c r="E858" s="20"/>
      <c r="F858" s="1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121"/>
      <c r="Z858" s="20"/>
      <c r="AA858" s="20"/>
      <c r="AB858" s="20"/>
    </row>
    <row r="859">
      <c r="A859" s="20"/>
      <c r="B859" s="117"/>
      <c r="C859" s="20"/>
      <c r="D859" s="20"/>
      <c r="E859" s="20"/>
      <c r="F859" s="1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121"/>
      <c r="Z859" s="20"/>
      <c r="AA859" s="20"/>
      <c r="AB859" s="20"/>
    </row>
    <row r="860">
      <c r="A860" s="20"/>
      <c r="B860" s="117"/>
      <c r="C860" s="20"/>
      <c r="D860" s="20"/>
      <c r="E860" s="20"/>
      <c r="F860" s="1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121"/>
      <c r="Z860" s="20"/>
      <c r="AA860" s="20"/>
      <c r="AB860" s="20"/>
    </row>
    <row r="861">
      <c r="A861" s="20"/>
      <c r="B861" s="117"/>
      <c r="C861" s="20"/>
      <c r="D861" s="20"/>
      <c r="E861" s="20"/>
      <c r="F861" s="1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121"/>
      <c r="Z861" s="20"/>
      <c r="AA861" s="20"/>
      <c r="AB861" s="20"/>
    </row>
    <row r="862">
      <c r="A862" s="20"/>
      <c r="B862" s="117"/>
      <c r="C862" s="20"/>
      <c r="D862" s="20"/>
      <c r="E862" s="20"/>
      <c r="F862" s="1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121"/>
      <c r="Z862" s="20"/>
      <c r="AA862" s="20"/>
      <c r="AB862" s="20"/>
    </row>
    <row r="863">
      <c r="A863" s="20"/>
      <c r="B863" s="117"/>
      <c r="C863" s="20"/>
      <c r="D863" s="20"/>
      <c r="E863" s="20"/>
      <c r="F863" s="1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121"/>
      <c r="Z863" s="20"/>
      <c r="AA863" s="20"/>
      <c r="AB863" s="20"/>
    </row>
    <row r="864">
      <c r="A864" s="20"/>
      <c r="B864" s="117"/>
      <c r="C864" s="20"/>
      <c r="D864" s="20"/>
      <c r="E864" s="20"/>
      <c r="F864" s="1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121"/>
      <c r="Z864" s="20"/>
      <c r="AA864" s="20"/>
      <c r="AB864" s="20"/>
    </row>
    <row r="865">
      <c r="A865" s="20"/>
      <c r="B865" s="117"/>
      <c r="C865" s="20"/>
      <c r="D865" s="20"/>
      <c r="E865" s="20"/>
      <c r="F865" s="1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121"/>
      <c r="Z865" s="20"/>
      <c r="AA865" s="20"/>
      <c r="AB865" s="20"/>
    </row>
    <row r="866">
      <c r="A866" s="20"/>
      <c r="B866" s="117"/>
      <c r="C866" s="20"/>
      <c r="D866" s="20"/>
      <c r="E866" s="20"/>
      <c r="F866" s="1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121"/>
      <c r="Z866" s="20"/>
      <c r="AA866" s="20"/>
      <c r="AB866" s="20"/>
    </row>
    <row r="867">
      <c r="A867" s="20"/>
      <c r="B867" s="117"/>
      <c r="C867" s="20"/>
      <c r="D867" s="20"/>
      <c r="E867" s="20"/>
      <c r="F867" s="1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121"/>
      <c r="Z867" s="20"/>
      <c r="AA867" s="20"/>
      <c r="AB867" s="20"/>
    </row>
    <row r="868">
      <c r="A868" s="20"/>
      <c r="B868" s="117"/>
      <c r="C868" s="20"/>
      <c r="D868" s="20"/>
      <c r="E868" s="20"/>
      <c r="F868" s="1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121"/>
      <c r="Z868" s="20"/>
      <c r="AA868" s="20"/>
      <c r="AB868" s="20"/>
    </row>
    <row r="869">
      <c r="A869" s="20"/>
      <c r="B869" s="117"/>
      <c r="C869" s="20"/>
      <c r="D869" s="20"/>
      <c r="E869" s="20"/>
      <c r="F869" s="1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121"/>
      <c r="Z869" s="20"/>
      <c r="AA869" s="20"/>
      <c r="AB869" s="20"/>
    </row>
    <row r="870">
      <c r="A870" s="20"/>
      <c r="B870" s="117"/>
      <c r="C870" s="20"/>
      <c r="D870" s="20"/>
      <c r="E870" s="20"/>
      <c r="F870" s="1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121"/>
      <c r="Z870" s="20"/>
      <c r="AA870" s="20"/>
      <c r="AB870" s="20"/>
    </row>
    <row r="871">
      <c r="A871" s="20"/>
      <c r="B871" s="117"/>
      <c r="C871" s="20"/>
      <c r="D871" s="20"/>
      <c r="E871" s="20"/>
      <c r="F871" s="1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121"/>
      <c r="Z871" s="20"/>
      <c r="AA871" s="20"/>
      <c r="AB871" s="20"/>
    </row>
    <row r="872">
      <c r="A872" s="20"/>
      <c r="B872" s="117"/>
      <c r="C872" s="20"/>
      <c r="D872" s="20"/>
      <c r="E872" s="20"/>
      <c r="F872" s="1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121"/>
      <c r="Z872" s="20"/>
      <c r="AA872" s="20"/>
      <c r="AB872" s="20"/>
    </row>
    <row r="873">
      <c r="A873" s="20"/>
      <c r="B873" s="117"/>
      <c r="C873" s="20"/>
      <c r="D873" s="20"/>
      <c r="E873" s="20"/>
      <c r="F873" s="1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121"/>
      <c r="Z873" s="20"/>
      <c r="AA873" s="20"/>
      <c r="AB873" s="20"/>
    </row>
    <row r="874">
      <c r="A874" s="20"/>
      <c r="B874" s="117"/>
      <c r="C874" s="20"/>
      <c r="D874" s="20"/>
      <c r="E874" s="20"/>
      <c r="F874" s="1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121"/>
      <c r="Z874" s="20"/>
      <c r="AA874" s="20"/>
      <c r="AB874" s="20"/>
    </row>
    <row r="875">
      <c r="A875" s="20"/>
      <c r="B875" s="117"/>
      <c r="C875" s="20"/>
      <c r="D875" s="20"/>
      <c r="E875" s="20"/>
      <c r="F875" s="1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121"/>
      <c r="Z875" s="20"/>
      <c r="AA875" s="20"/>
      <c r="AB875" s="20"/>
    </row>
    <row r="876">
      <c r="A876" s="20"/>
      <c r="B876" s="117"/>
      <c r="C876" s="20"/>
      <c r="D876" s="20"/>
      <c r="E876" s="20"/>
      <c r="F876" s="1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121"/>
      <c r="Z876" s="20"/>
      <c r="AA876" s="20"/>
      <c r="AB876" s="20"/>
    </row>
    <row r="877">
      <c r="A877" s="20"/>
      <c r="B877" s="117"/>
      <c r="C877" s="20"/>
      <c r="D877" s="20"/>
      <c r="E877" s="20"/>
      <c r="F877" s="1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121"/>
      <c r="Z877" s="20"/>
      <c r="AA877" s="20"/>
      <c r="AB877" s="20"/>
    </row>
    <row r="878">
      <c r="A878" s="20"/>
      <c r="B878" s="117"/>
      <c r="C878" s="20"/>
      <c r="D878" s="20"/>
      <c r="E878" s="20"/>
      <c r="F878" s="1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121"/>
      <c r="Z878" s="20"/>
      <c r="AA878" s="20"/>
      <c r="AB878" s="20"/>
    </row>
    <row r="879">
      <c r="A879" s="20"/>
      <c r="B879" s="117"/>
      <c r="C879" s="20"/>
      <c r="D879" s="20"/>
      <c r="E879" s="20"/>
      <c r="F879" s="1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121"/>
      <c r="Z879" s="20"/>
      <c r="AA879" s="20"/>
      <c r="AB879" s="20"/>
    </row>
    <row r="880">
      <c r="A880" s="20"/>
      <c r="B880" s="117"/>
      <c r="C880" s="20"/>
      <c r="D880" s="20"/>
      <c r="E880" s="20"/>
      <c r="F880" s="1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121"/>
      <c r="Z880" s="20"/>
      <c r="AA880" s="20"/>
      <c r="AB880" s="20"/>
    </row>
    <row r="881">
      <c r="A881" s="20"/>
      <c r="B881" s="117"/>
      <c r="C881" s="20"/>
      <c r="D881" s="20"/>
      <c r="E881" s="20"/>
      <c r="F881" s="1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121"/>
      <c r="Z881" s="20"/>
      <c r="AA881" s="20"/>
      <c r="AB881" s="20"/>
    </row>
    <row r="882">
      <c r="A882" s="20"/>
      <c r="B882" s="117"/>
      <c r="C882" s="20"/>
      <c r="D882" s="20"/>
      <c r="E882" s="20"/>
      <c r="F882" s="1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121"/>
      <c r="Z882" s="20"/>
      <c r="AA882" s="20"/>
      <c r="AB882" s="20"/>
    </row>
    <row r="883">
      <c r="A883" s="20"/>
      <c r="B883" s="117"/>
      <c r="C883" s="20"/>
      <c r="D883" s="20"/>
      <c r="E883" s="20"/>
      <c r="F883" s="1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121"/>
      <c r="Z883" s="20"/>
      <c r="AA883" s="20"/>
      <c r="AB883" s="20"/>
    </row>
    <row r="884">
      <c r="A884" s="20"/>
      <c r="B884" s="117"/>
      <c r="C884" s="20"/>
      <c r="D884" s="20"/>
      <c r="E884" s="20"/>
      <c r="F884" s="1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121"/>
      <c r="Z884" s="20"/>
      <c r="AA884" s="20"/>
      <c r="AB884" s="20"/>
    </row>
    <row r="885">
      <c r="A885" s="20"/>
      <c r="B885" s="117"/>
      <c r="C885" s="20"/>
      <c r="D885" s="20"/>
      <c r="E885" s="20"/>
      <c r="F885" s="1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121"/>
      <c r="Z885" s="20"/>
      <c r="AA885" s="20"/>
      <c r="AB885" s="20"/>
    </row>
    <row r="886">
      <c r="A886" s="20"/>
      <c r="B886" s="117"/>
      <c r="C886" s="20"/>
      <c r="D886" s="20"/>
      <c r="E886" s="20"/>
      <c r="F886" s="1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121"/>
      <c r="Z886" s="20"/>
      <c r="AA886" s="20"/>
      <c r="AB886" s="20"/>
    </row>
    <row r="887">
      <c r="A887" s="20"/>
      <c r="B887" s="117"/>
      <c r="C887" s="20"/>
      <c r="D887" s="20"/>
      <c r="E887" s="20"/>
      <c r="F887" s="1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121"/>
      <c r="Z887" s="20"/>
      <c r="AA887" s="20"/>
      <c r="AB887" s="20"/>
    </row>
    <row r="888">
      <c r="A888" s="20"/>
      <c r="B888" s="117"/>
      <c r="C888" s="20"/>
      <c r="D888" s="20"/>
      <c r="E888" s="20"/>
      <c r="F888" s="1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121"/>
      <c r="Z888" s="20"/>
      <c r="AA888" s="20"/>
      <c r="AB888" s="20"/>
    </row>
    <row r="889">
      <c r="A889" s="20"/>
      <c r="B889" s="117"/>
      <c r="C889" s="20"/>
      <c r="D889" s="20"/>
      <c r="E889" s="20"/>
      <c r="F889" s="1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121"/>
      <c r="Z889" s="20"/>
      <c r="AA889" s="20"/>
      <c r="AB889" s="20"/>
    </row>
    <row r="890">
      <c r="A890" s="20"/>
      <c r="B890" s="117"/>
      <c r="C890" s="20"/>
      <c r="D890" s="20"/>
      <c r="E890" s="20"/>
      <c r="F890" s="1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121"/>
      <c r="Z890" s="20"/>
      <c r="AA890" s="20"/>
      <c r="AB890" s="20"/>
    </row>
    <row r="891">
      <c r="A891" s="20"/>
      <c r="B891" s="117"/>
      <c r="C891" s="20"/>
      <c r="D891" s="20"/>
      <c r="E891" s="20"/>
      <c r="F891" s="1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121"/>
      <c r="Z891" s="20"/>
      <c r="AA891" s="20"/>
      <c r="AB891" s="20"/>
    </row>
    <row r="892">
      <c r="A892" s="20"/>
      <c r="B892" s="117"/>
      <c r="C892" s="20"/>
      <c r="D892" s="20"/>
      <c r="E892" s="20"/>
      <c r="F892" s="1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121"/>
      <c r="Z892" s="20"/>
      <c r="AA892" s="20"/>
      <c r="AB892" s="20"/>
    </row>
    <row r="893">
      <c r="A893" s="20"/>
      <c r="B893" s="117"/>
      <c r="C893" s="20"/>
      <c r="D893" s="20"/>
      <c r="E893" s="20"/>
      <c r="F893" s="1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121"/>
      <c r="Z893" s="20"/>
      <c r="AA893" s="20"/>
      <c r="AB893" s="20"/>
    </row>
    <row r="894">
      <c r="A894" s="20"/>
      <c r="B894" s="117"/>
      <c r="C894" s="20"/>
      <c r="D894" s="20"/>
      <c r="E894" s="20"/>
      <c r="F894" s="1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121"/>
      <c r="Z894" s="20"/>
      <c r="AA894" s="20"/>
      <c r="AB894" s="20"/>
    </row>
    <row r="895">
      <c r="A895" s="20"/>
      <c r="B895" s="117"/>
      <c r="C895" s="20"/>
      <c r="D895" s="20"/>
      <c r="E895" s="20"/>
      <c r="F895" s="1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121"/>
      <c r="Z895" s="20"/>
      <c r="AA895" s="20"/>
      <c r="AB895" s="20"/>
    </row>
    <row r="896">
      <c r="A896" s="20"/>
      <c r="B896" s="117"/>
      <c r="C896" s="20"/>
      <c r="D896" s="20"/>
      <c r="E896" s="20"/>
      <c r="F896" s="1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121"/>
      <c r="Z896" s="20"/>
      <c r="AA896" s="20"/>
      <c r="AB896" s="20"/>
    </row>
    <row r="897">
      <c r="A897" s="20"/>
      <c r="B897" s="117"/>
      <c r="C897" s="20"/>
      <c r="D897" s="20"/>
      <c r="E897" s="20"/>
      <c r="F897" s="1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121"/>
      <c r="Z897" s="20"/>
      <c r="AA897" s="20"/>
      <c r="AB897" s="20"/>
    </row>
    <row r="898">
      <c r="A898" s="20"/>
      <c r="B898" s="117"/>
      <c r="C898" s="20"/>
      <c r="D898" s="20"/>
      <c r="E898" s="20"/>
      <c r="F898" s="1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121"/>
      <c r="Z898" s="20"/>
      <c r="AA898" s="20"/>
      <c r="AB898" s="20"/>
    </row>
    <row r="899">
      <c r="A899" s="20"/>
      <c r="B899" s="117"/>
      <c r="C899" s="20"/>
      <c r="D899" s="20"/>
      <c r="E899" s="20"/>
      <c r="F899" s="1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121"/>
      <c r="Z899" s="20"/>
      <c r="AA899" s="20"/>
      <c r="AB899" s="20"/>
    </row>
    <row r="900">
      <c r="A900" s="20"/>
      <c r="B900" s="117"/>
      <c r="C900" s="20"/>
      <c r="D900" s="20"/>
      <c r="E900" s="20"/>
      <c r="F900" s="1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121"/>
      <c r="Z900" s="20"/>
      <c r="AA900" s="20"/>
      <c r="AB900" s="20"/>
    </row>
    <row r="901">
      <c r="A901" s="20"/>
      <c r="B901" s="117"/>
      <c r="C901" s="20"/>
      <c r="D901" s="20"/>
      <c r="E901" s="20"/>
      <c r="F901" s="1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121"/>
      <c r="Z901" s="20"/>
      <c r="AA901" s="20"/>
      <c r="AB901" s="20"/>
    </row>
    <row r="902">
      <c r="A902" s="20"/>
      <c r="B902" s="117"/>
      <c r="C902" s="20"/>
      <c r="D902" s="20"/>
      <c r="E902" s="20"/>
      <c r="F902" s="1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121"/>
      <c r="Z902" s="20"/>
      <c r="AA902" s="20"/>
      <c r="AB902" s="20"/>
    </row>
    <row r="903">
      <c r="A903" s="20"/>
      <c r="B903" s="117"/>
      <c r="C903" s="20"/>
      <c r="D903" s="20"/>
      <c r="E903" s="20"/>
      <c r="F903" s="1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121"/>
      <c r="Z903" s="20"/>
      <c r="AA903" s="20"/>
      <c r="AB903" s="20"/>
    </row>
    <row r="904">
      <c r="A904" s="20"/>
      <c r="B904" s="117"/>
      <c r="C904" s="20"/>
      <c r="D904" s="20"/>
      <c r="E904" s="20"/>
      <c r="F904" s="1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121"/>
      <c r="Z904" s="20"/>
      <c r="AA904" s="20"/>
      <c r="AB904" s="20"/>
    </row>
    <row r="905">
      <c r="A905" s="20"/>
      <c r="B905" s="117"/>
      <c r="C905" s="20"/>
      <c r="D905" s="20"/>
      <c r="E905" s="20"/>
      <c r="F905" s="1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121"/>
      <c r="Z905" s="20"/>
      <c r="AA905" s="20"/>
      <c r="AB905" s="20"/>
    </row>
    <row r="906">
      <c r="A906" s="20"/>
      <c r="B906" s="117"/>
      <c r="C906" s="20"/>
      <c r="D906" s="20"/>
      <c r="E906" s="20"/>
      <c r="F906" s="1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121"/>
      <c r="Z906" s="20"/>
      <c r="AA906" s="20"/>
      <c r="AB906" s="20"/>
    </row>
    <row r="907">
      <c r="A907" s="20"/>
      <c r="B907" s="117"/>
      <c r="C907" s="20"/>
      <c r="D907" s="20"/>
      <c r="E907" s="20"/>
      <c r="F907" s="1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121"/>
      <c r="Z907" s="20"/>
      <c r="AA907" s="20"/>
      <c r="AB907" s="20"/>
    </row>
    <row r="908">
      <c r="A908" s="20"/>
      <c r="B908" s="117"/>
      <c r="C908" s="20"/>
      <c r="D908" s="20"/>
      <c r="E908" s="20"/>
      <c r="F908" s="1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121"/>
      <c r="Z908" s="20"/>
      <c r="AA908" s="20"/>
      <c r="AB908" s="20"/>
    </row>
    <row r="909">
      <c r="A909" s="20"/>
      <c r="B909" s="117"/>
      <c r="C909" s="20"/>
      <c r="D909" s="20"/>
      <c r="E909" s="20"/>
      <c r="F909" s="1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121"/>
      <c r="Z909" s="20"/>
      <c r="AA909" s="20"/>
      <c r="AB909" s="20"/>
    </row>
    <row r="910">
      <c r="A910" s="20"/>
      <c r="B910" s="117"/>
      <c r="C910" s="20"/>
      <c r="D910" s="20"/>
      <c r="E910" s="20"/>
      <c r="F910" s="1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121"/>
      <c r="Z910" s="20"/>
      <c r="AA910" s="20"/>
      <c r="AB910" s="20"/>
    </row>
    <row r="911">
      <c r="A911" s="20"/>
      <c r="B911" s="117"/>
      <c r="C911" s="20"/>
      <c r="D911" s="20"/>
      <c r="E911" s="20"/>
      <c r="F911" s="1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121"/>
      <c r="Z911" s="20"/>
      <c r="AA911" s="20"/>
      <c r="AB911" s="20"/>
    </row>
    <row r="912">
      <c r="A912" s="20"/>
      <c r="B912" s="117"/>
      <c r="C912" s="20"/>
      <c r="D912" s="20"/>
      <c r="E912" s="20"/>
      <c r="F912" s="1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121"/>
      <c r="Z912" s="20"/>
      <c r="AA912" s="20"/>
      <c r="AB912" s="20"/>
    </row>
    <row r="913">
      <c r="A913" s="20"/>
      <c r="B913" s="117"/>
      <c r="C913" s="20"/>
      <c r="D913" s="20"/>
      <c r="E913" s="20"/>
      <c r="F913" s="1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121"/>
      <c r="Z913" s="20"/>
      <c r="AA913" s="20"/>
      <c r="AB913" s="20"/>
    </row>
    <row r="914">
      <c r="A914" s="20"/>
      <c r="B914" s="117"/>
      <c r="C914" s="20"/>
      <c r="D914" s="20"/>
      <c r="E914" s="20"/>
      <c r="F914" s="1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121"/>
      <c r="Z914" s="20"/>
      <c r="AA914" s="20"/>
      <c r="AB914" s="20"/>
    </row>
    <row r="915">
      <c r="A915" s="20"/>
      <c r="B915" s="117"/>
      <c r="C915" s="20"/>
      <c r="D915" s="20"/>
      <c r="E915" s="20"/>
      <c r="F915" s="1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121"/>
      <c r="Z915" s="20"/>
      <c r="AA915" s="20"/>
      <c r="AB915" s="20"/>
    </row>
    <row r="916">
      <c r="A916" s="20"/>
      <c r="B916" s="117"/>
      <c r="C916" s="20"/>
      <c r="D916" s="20"/>
      <c r="E916" s="20"/>
      <c r="F916" s="1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121"/>
      <c r="Z916" s="20"/>
      <c r="AA916" s="20"/>
      <c r="AB916" s="20"/>
    </row>
    <row r="917">
      <c r="A917" s="20"/>
      <c r="B917" s="117"/>
      <c r="C917" s="20"/>
      <c r="D917" s="20"/>
      <c r="E917" s="20"/>
      <c r="F917" s="1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121"/>
      <c r="Z917" s="20"/>
      <c r="AA917" s="20"/>
      <c r="AB917" s="20"/>
    </row>
    <row r="918">
      <c r="A918" s="20"/>
      <c r="B918" s="117"/>
      <c r="C918" s="20"/>
      <c r="D918" s="20"/>
      <c r="E918" s="20"/>
      <c r="F918" s="1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121"/>
      <c r="Z918" s="20"/>
      <c r="AA918" s="20"/>
      <c r="AB918" s="20"/>
    </row>
    <row r="919">
      <c r="A919" s="20"/>
      <c r="B919" s="117"/>
      <c r="C919" s="20"/>
      <c r="D919" s="20"/>
      <c r="E919" s="20"/>
      <c r="F919" s="1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121"/>
      <c r="Z919" s="20"/>
      <c r="AA919" s="20"/>
      <c r="AB919" s="20"/>
    </row>
    <row r="920">
      <c r="A920" s="20"/>
      <c r="B920" s="117"/>
      <c r="C920" s="20"/>
      <c r="D920" s="20"/>
      <c r="E920" s="20"/>
      <c r="F920" s="1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121"/>
      <c r="Z920" s="20"/>
      <c r="AA920" s="20"/>
      <c r="AB920" s="20"/>
    </row>
    <row r="921">
      <c r="A921" s="20"/>
      <c r="B921" s="117"/>
      <c r="C921" s="20"/>
      <c r="D921" s="20"/>
      <c r="E921" s="20"/>
      <c r="F921" s="1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121"/>
      <c r="Z921" s="20"/>
      <c r="AA921" s="20"/>
      <c r="AB921" s="20"/>
    </row>
    <row r="922">
      <c r="A922" s="20"/>
      <c r="B922" s="117"/>
      <c r="C922" s="20"/>
      <c r="D922" s="20"/>
      <c r="E922" s="20"/>
      <c r="F922" s="1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121"/>
      <c r="Z922" s="20"/>
      <c r="AA922" s="20"/>
      <c r="AB922" s="20"/>
    </row>
    <row r="923">
      <c r="A923" s="20"/>
      <c r="B923" s="117"/>
      <c r="C923" s="20"/>
      <c r="D923" s="20"/>
      <c r="E923" s="20"/>
      <c r="F923" s="1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121"/>
      <c r="Z923" s="20"/>
      <c r="AA923" s="20"/>
      <c r="AB923" s="20"/>
    </row>
    <row r="924">
      <c r="A924" s="20"/>
      <c r="B924" s="117"/>
      <c r="C924" s="20"/>
      <c r="D924" s="20"/>
      <c r="E924" s="20"/>
      <c r="F924" s="1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121"/>
      <c r="Z924" s="20"/>
      <c r="AA924" s="20"/>
      <c r="AB924" s="20"/>
    </row>
    <row r="925">
      <c r="A925" s="20"/>
      <c r="B925" s="117"/>
      <c r="C925" s="20"/>
      <c r="D925" s="20"/>
      <c r="E925" s="20"/>
      <c r="F925" s="1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121"/>
      <c r="Z925" s="20"/>
      <c r="AA925" s="20"/>
      <c r="AB925" s="20"/>
    </row>
    <row r="926">
      <c r="A926" s="20"/>
      <c r="B926" s="117"/>
      <c r="C926" s="20"/>
      <c r="D926" s="20"/>
      <c r="E926" s="20"/>
      <c r="F926" s="1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121"/>
      <c r="Z926" s="20"/>
      <c r="AA926" s="20"/>
      <c r="AB926" s="20"/>
    </row>
    <row r="927">
      <c r="A927" s="20"/>
      <c r="B927" s="117"/>
      <c r="C927" s="20"/>
      <c r="D927" s="20"/>
      <c r="E927" s="20"/>
      <c r="F927" s="1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121"/>
      <c r="Z927" s="20"/>
      <c r="AA927" s="20"/>
      <c r="AB927" s="20"/>
    </row>
    <row r="928">
      <c r="A928" s="20"/>
      <c r="B928" s="117"/>
      <c r="C928" s="20"/>
      <c r="D928" s="20"/>
      <c r="E928" s="20"/>
      <c r="F928" s="1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121"/>
      <c r="Z928" s="20"/>
      <c r="AA928" s="20"/>
      <c r="AB928" s="20"/>
    </row>
    <row r="929">
      <c r="A929" s="20"/>
      <c r="B929" s="117"/>
      <c r="C929" s="20"/>
      <c r="D929" s="20"/>
      <c r="E929" s="20"/>
      <c r="F929" s="1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121"/>
      <c r="Z929" s="20"/>
      <c r="AA929" s="20"/>
      <c r="AB929" s="20"/>
    </row>
    <row r="930">
      <c r="A930" s="20"/>
      <c r="B930" s="117"/>
      <c r="C930" s="20"/>
      <c r="D930" s="20"/>
      <c r="E930" s="20"/>
      <c r="F930" s="1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121"/>
      <c r="Z930" s="20"/>
      <c r="AA930" s="20"/>
      <c r="AB930" s="20"/>
    </row>
    <row r="931">
      <c r="A931" s="20"/>
      <c r="B931" s="117"/>
      <c r="C931" s="20"/>
      <c r="D931" s="20"/>
      <c r="E931" s="20"/>
      <c r="F931" s="1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121"/>
      <c r="Z931" s="20"/>
      <c r="AA931" s="20"/>
      <c r="AB931" s="20"/>
    </row>
    <row r="932">
      <c r="A932" s="20"/>
      <c r="B932" s="117"/>
      <c r="C932" s="20"/>
      <c r="D932" s="20"/>
      <c r="E932" s="20"/>
      <c r="F932" s="1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121"/>
      <c r="Z932" s="20"/>
      <c r="AA932" s="20"/>
      <c r="AB932" s="20"/>
    </row>
    <row r="933">
      <c r="A933" s="20"/>
      <c r="B933" s="117"/>
      <c r="C933" s="20"/>
      <c r="D933" s="20"/>
      <c r="E933" s="20"/>
      <c r="F933" s="1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121"/>
      <c r="Z933" s="20"/>
      <c r="AA933" s="20"/>
      <c r="AB933" s="20"/>
    </row>
    <row r="934">
      <c r="A934" s="20"/>
      <c r="B934" s="117"/>
      <c r="C934" s="20"/>
      <c r="D934" s="20"/>
      <c r="E934" s="20"/>
      <c r="F934" s="1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121"/>
      <c r="Z934" s="20"/>
      <c r="AA934" s="20"/>
      <c r="AB934" s="20"/>
    </row>
    <row r="935">
      <c r="A935" s="20"/>
      <c r="B935" s="117"/>
      <c r="C935" s="20"/>
      <c r="D935" s="20"/>
      <c r="E935" s="20"/>
      <c r="F935" s="1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121"/>
      <c r="Z935" s="20"/>
      <c r="AA935" s="20"/>
      <c r="AB935" s="20"/>
    </row>
    <row r="936">
      <c r="A936" s="20"/>
      <c r="B936" s="117"/>
      <c r="C936" s="20"/>
      <c r="D936" s="20"/>
      <c r="E936" s="20"/>
      <c r="F936" s="1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121"/>
      <c r="Z936" s="20"/>
      <c r="AA936" s="20"/>
      <c r="AB936" s="20"/>
    </row>
    <row r="937">
      <c r="A937" s="20"/>
      <c r="B937" s="117"/>
      <c r="C937" s="20"/>
      <c r="D937" s="20"/>
      <c r="E937" s="20"/>
      <c r="F937" s="1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121"/>
      <c r="Z937" s="20"/>
      <c r="AA937" s="20"/>
      <c r="AB937" s="20"/>
    </row>
    <row r="938">
      <c r="A938" s="20"/>
      <c r="B938" s="117"/>
      <c r="C938" s="20"/>
      <c r="D938" s="20"/>
      <c r="E938" s="20"/>
      <c r="F938" s="1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121"/>
      <c r="Z938" s="20"/>
      <c r="AA938" s="20"/>
      <c r="AB938" s="20"/>
    </row>
    <row r="939">
      <c r="A939" s="20"/>
      <c r="B939" s="117"/>
      <c r="C939" s="20"/>
      <c r="D939" s="20"/>
      <c r="E939" s="20"/>
      <c r="F939" s="1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121"/>
      <c r="Z939" s="20"/>
      <c r="AA939" s="20"/>
      <c r="AB939" s="20"/>
    </row>
    <row r="940">
      <c r="A940" s="20"/>
      <c r="B940" s="117"/>
      <c r="C940" s="20"/>
      <c r="D940" s="20"/>
      <c r="E940" s="20"/>
      <c r="F940" s="1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121"/>
      <c r="Z940" s="20"/>
      <c r="AA940" s="20"/>
      <c r="AB940" s="20"/>
    </row>
    <row r="941">
      <c r="A941" s="20"/>
      <c r="B941" s="117"/>
      <c r="C941" s="20"/>
      <c r="D941" s="20"/>
      <c r="E941" s="20"/>
      <c r="F941" s="1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121"/>
      <c r="Z941" s="20"/>
      <c r="AA941" s="20"/>
      <c r="AB941" s="20"/>
    </row>
    <row r="942">
      <c r="A942" s="20"/>
      <c r="B942" s="117"/>
      <c r="C942" s="20"/>
      <c r="D942" s="20"/>
      <c r="E942" s="20"/>
      <c r="F942" s="1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121"/>
      <c r="Z942" s="20"/>
      <c r="AA942" s="20"/>
      <c r="AB942" s="20"/>
    </row>
    <row r="943">
      <c r="A943" s="20"/>
      <c r="B943" s="117"/>
      <c r="C943" s="20"/>
      <c r="D943" s="20"/>
      <c r="E943" s="20"/>
      <c r="F943" s="1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121"/>
      <c r="Z943" s="20"/>
      <c r="AA943" s="20"/>
      <c r="AB943" s="20"/>
    </row>
    <row r="944">
      <c r="A944" s="20"/>
      <c r="B944" s="117"/>
      <c r="C944" s="20"/>
      <c r="D944" s="20"/>
      <c r="E944" s="20"/>
      <c r="F944" s="1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121"/>
      <c r="Z944" s="20"/>
      <c r="AA944" s="20"/>
      <c r="AB944" s="20"/>
    </row>
    <row r="945">
      <c r="A945" s="20"/>
      <c r="B945" s="117"/>
      <c r="C945" s="20"/>
      <c r="D945" s="20"/>
      <c r="E945" s="20"/>
      <c r="F945" s="1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121"/>
      <c r="Z945" s="20"/>
      <c r="AA945" s="20"/>
      <c r="AB945" s="20"/>
    </row>
    <row r="946">
      <c r="A946" s="20"/>
      <c r="B946" s="117"/>
      <c r="C946" s="20"/>
      <c r="D946" s="20"/>
      <c r="E946" s="20"/>
      <c r="F946" s="1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121"/>
      <c r="Z946" s="20"/>
      <c r="AA946" s="20"/>
      <c r="AB946" s="20"/>
    </row>
    <row r="947">
      <c r="A947" s="20"/>
      <c r="B947" s="117"/>
      <c r="C947" s="20"/>
      <c r="D947" s="20"/>
      <c r="E947" s="20"/>
      <c r="F947" s="1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121"/>
      <c r="Z947" s="20"/>
      <c r="AA947" s="20"/>
      <c r="AB947" s="20"/>
    </row>
    <row r="948">
      <c r="A948" s="20"/>
      <c r="B948" s="117"/>
      <c r="C948" s="20"/>
      <c r="D948" s="20"/>
      <c r="E948" s="20"/>
      <c r="F948" s="1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121"/>
      <c r="Z948" s="20"/>
      <c r="AA948" s="20"/>
      <c r="AB948" s="20"/>
    </row>
    <row r="949">
      <c r="A949" s="20"/>
      <c r="B949" s="117"/>
      <c r="C949" s="20"/>
      <c r="D949" s="20"/>
      <c r="E949" s="20"/>
      <c r="F949" s="1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121"/>
      <c r="Z949" s="20"/>
      <c r="AA949" s="20"/>
      <c r="AB949" s="20"/>
    </row>
    <row r="950">
      <c r="A950" s="20"/>
      <c r="B950" s="117"/>
      <c r="C950" s="20"/>
      <c r="D950" s="20"/>
      <c r="E950" s="20"/>
      <c r="F950" s="1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121"/>
      <c r="Z950" s="20"/>
      <c r="AA950" s="20"/>
      <c r="AB950" s="20"/>
    </row>
    <row r="951">
      <c r="A951" s="20"/>
      <c r="B951" s="117"/>
      <c r="C951" s="20"/>
      <c r="D951" s="20"/>
      <c r="E951" s="20"/>
      <c r="F951" s="1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121"/>
      <c r="Z951" s="20"/>
      <c r="AA951" s="20"/>
      <c r="AB951" s="20"/>
    </row>
    <row r="952">
      <c r="A952" s="20"/>
      <c r="B952" s="117"/>
      <c r="C952" s="20"/>
      <c r="D952" s="20"/>
      <c r="E952" s="20"/>
      <c r="F952" s="1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121"/>
      <c r="Z952" s="20"/>
      <c r="AA952" s="20"/>
      <c r="AB952" s="20"/>
    </row>
    <row r="953">
      <c r="A953" s="20"/>
      <c r="B953" s="117"/>
      <c r="C953" s="20"/>
      <c r="D953" s="20"/>
      <c r="E953" s="20"/>
      <c r="F953" s="1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121"/>
      <c r="Z953" s="20"/>
      <c r="AA953" s="20"/>
      <c r="AB953" s="20"/>
    </row>
    <row r="954">
      <c r="A954" s="20"/>
      <c r="B954" s="117"/>
      <c r="C954" s="20"/>
      <c r="D954" s="20"/>
      <c r="E954" s="20"/>
      <c r="F954" s="1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121"/>
      <c r="Z954" s="20"/>
      <c r="AA954" s="20"/>
      <c r="AB954" s="20"/>
    </row>
    <row r="955">
      <c r="A955" s="20"/>
      <c r="B955" s="117"/>
      <c r="C955" s="20"/>
      <c r="D955" s="20"/>
      <c r="E955" s="20"/>
      <c r="F955" s="1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121"/>
      <c r="Z955" s="20"/>
      <c r="AA955" s="20"/>
      <c r="AB955" s="20"/>
    </row>
    <row r="956">
      <c r="A956" s="20"/>
      <c r="B956" s="117"/>
      <c r="C956" s="20"/>
      <c r="D956" s="20"/>
      <c r="E956" s="20"/>
      <c r="F956" s="1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121"/>
      <c r="Z956" s="20"/>
      <c r="AA956" s="20"/>
      <c r="AB956" s="20"/>
    </row>
    <row r="957">
      <c r="A957" s="20"/>
      <c r="B957" s="117"/>
      <c r="C957" s="20"/>
      <c r="D957" s="20"/>
      <c r="E957" s="20"/>
      <c r="F957" s="1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121"/>
      <c r="Z957" s="20"/>
      <c r="AA957" s="20"/>
      <c r="AB957" s="20"/>
    </row>
    <row r="958">
      <c r="A958" s="20"/>
      <c r="B958" s="117"/>
      <c r="C958" s="20"/>
      <c r="D958" s="20"/>
      <c r="E958" s="20"/>
      <c r="F958" s="1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121"/>
      <c r="Z958" s="20"/>
      <c r="AA958" s="20"/>
      <c r="AB958" s="20"/>
    </row>
    <row r="959">
      <c r="A959" s="20"/>
      <c r="B959" s="117"/>
      <c r="C959" s="20"/>
      <c r="D959" s="20"/>
      <c r="E959" s="20"/>
      <c r="F959" s="1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121"/>
      <c r="Z959" s="20"/>
      <c r="AA959" s="20"/>
      <c r="AB959" s="20"/>
    </row>
    <row r="960">
      <c r="A960" s="20"/>
      <c r="B960" s="117"/>
      <c r="C960" s="20"/>
      <c r="D960" s="20"/>
      <c r="E960" s="20"/>
      <c r="F960" s="1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121"/>
      <c r="Z960" s="20"/>
      <c r="AA960" s="20"/>
      <c r="AB960" s="20"/>
    </row>
    <row r="961">
      <c r="A961" s="20"/>
      <c r="B961" s="117"/>
      <c r="C961" s="20"/>
      <c r="D961" s="20"/>
      <c r="E961" s="20"/>
      <c r="F961" s="1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121"/>
      <c r="Z961" s="20"/>
      <c r="AA961" s="20"/>
      <c r="AB961" s="20"/>
    </row>
    <row r="962">
      <c r="A962" s="20"/>
      <c r="B962" s="117"/>
      <c r="C962" s="20"/>
      <c r="D962" s="20"/>
      <c r="E962" s="20"/>
      <c r="F962" s="1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121"/>
      <c r="Z962" s="20"/>
      <c r="AA962" s="20"/>
      <c r="AB962" s="20"/>
    </row>
    <row r="963">
      <c r="A963" s="20"/>
      <c r="B963" s="117"/>
      <c r="C963" s="20"/>
      <c r="D963" s="20"/>
      <c r="E963" s="20"/>
      <c r="F963" s="1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121"/>
      <c r="Z963" s="20"/>
      <c r="AA963" s="20"/>
      <c r="AB963" s="20"/>
    </row>
    <row r="964">
      <c r="A964" s="20"/>
      <c r="B964" s="117"/>
      <c r="C964" s="20"/>
      <c r="D964" s="20"/>
      <c r="E964" s="20"/>
      <c r="F964" s="1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121"/>
      <c r="Z964" s="20"/>
      <c r="AA964" s="20"/>
      <c r="AB964" s="20"/>
    </row>
    <row r="965">
      <c r="A965" s="20"/>
      <c r="B965" s="117"/>
      <c r="C965" s="20"/>
      <c r="D965" s="20"/>
      <c r="E965" s="20"/>
      <c r="F965" s="1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121"/>
      <c r="Z965" s="20"/>
      <c r="AA965" s="20"/>
      <c r="AB965" s="20"/>
    </row>
    <row r="966">
      <c r="A966" s="20"/>
      <c r="B966" s="117"/>
      <c r="C966" s="20"/>
      <c r="D966" s="20"/>
      <c r="E966" s="20"/>
      <c r="F966" s="1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121"/>
      <c r="Z966" s="20"/>
      <c r="AA966" s="20"/>
      <c r="AB966" s="20"/>
    </row>
    <row r="967">
      <c r="A967" s="20"/>
      <c r="B967" s="117"/>
      <c r="C967" s="20"/>
      <c r="D967" s="20"/>
      <c r="E967" s="20"/>
      <c r="F967" s="1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121"/>
      <c r="Z967" s="20"/>
      <c r="AA967" s="20"/>
      <c r="AB967" s="20"/>
    </row>
    <row r="968">
      <c r="A968" s="20"/>
      <c r="B968" s="117"/>
      <c r="C968" s="20"/>
      <c r="D968" s="20"/>
      <c r="E968" s="20"/>
      <c r="F968" s="1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121"/>
      <c r="Z968" s="20"/>
      <c r="AA968" s="20"/>
      <c r="AB968" s="20"/>
    </row>
    <row r="969">
      <c r="A969" s="20"/>
      <c r="B969" s="117"/>
      <c r="C969" s="20"/>
      <c r="D969" s="20"/>
      <c r="E969" s="20"/>
      <c r="F969" s="1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121"/>
      <c r="Z969" s="20"/>
      <c r="AA969" s="20"/>
      <c r="AB969" s="20"/>
    </row>
    <row r="970">
      <c r="A970" s="20"/>
      <c r="B970" s="117"/>
      <c r="C970" s="20"/>
      <c r="D970" s="20"/>
      <c r="E970" s="20"/>
      <c r="F970" s="1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121"/>
      <c r="Z970" s="20"/>
      <c r="AA970" s="20"/>
      <c r="AB970" s="20"/>
    </row>
    <row r="971">
      <c r="A971" s="20"/>
      <c r="B971" s="117"/>
      <c r="C971" s="20"/>
      <c r="D971" s="20"/>
      <c r="E971" s="20"/>
      <c r="F971" s="1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121"/>
      <c r="Z971" s="20"/>
      <c r="AA971" s="20"/>
      <c r="AB971" s="20"/>
    </row>
    <row r="972">
      <c r="A972" s="20"/>
      <c r="B972" s="117"/>
      <c r="C972" s="20"/>
      <c r="D972" s="20"/>
      <c r="E972" s="20"/>
      <c r="F972" s="1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121"/>
      <c r="Z972" s="20"/>
      <c r="AA972" s="20"/>
      <c r="AB972" s="20"/>
    </row>
    <row r="973">
      <c r="A973" s="20"/>
      <c r="B973" s="117"/>
      <c r="C973" s="20"/>
      <c r="D973" s="20"/>
      <c r="E973" s="20"/>
      <c r="F973" s="1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121"/>
      <c r="Z973" s="20"/>
      <c r="AA973" s="20"/>
      <c r="AB973" s="20"/>
    </row>
    <row r="974">
      <c r="A974" s="20"/>
      <c r="B974" s="117"/>
      <c r="C974" s="20"/>
      <c r="D974" s="20"/>
      <c r="E974" s="20"/>
      <c r="F974" s="1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121"/>
      <c r="Z974" s="20"/>
      <c r="AA974" s="20"/>
      <c r="AB974" s="20"/>
    </row>
    <row r="975">
      <c r="A975" s="20"/>
      <c r="B975" s="117"/>
      <c r="C975" s="20"/>
      <c r="D975" s="20"/>
      <c r="E975" s="20"/>
      <c r="F975" s="1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121"/>
      <c r="Z975" s="20"/>
      <c r="AA975" s="20"/>
      <c r="AB975" s="20"/>
    </row>
    <row r="976">
      <c r="A976" s="20"/>
      <c r="B976" s="117"/>
      <c r="C976" s="20"/>
      <c r="D976" s="20"/>
      <c r="E976" s="20"/>
      <c r="F976" s="1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121"/>
      <c r="Z976" s="20"/>
      <c r="AA976" s="20"/>
      <c r="AB976" s="20"/>
    </row>
    <row r="977">
      <c r="A977" s="20"/>
      <c r="B977" s="117"/>
      <c r="C977" s="20"/>
      <c r="D977" s="20"/>
      <c r="E977" s="20"/>
      <c r="F977" s="1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121"/>
      <c r="Z977" s="20"/>
      <c r="AA977" s="20"/>
      <c r="AB977" s="20"/>
    </row>
    <row r="978">
      <c r="A978" s="20"/>
      <c r="B978" s="117"/>
      <c r="C978" s="20"/>
      <c r="D978" s="20"/>
      <c r="E978" s="20"/>
      <c r="F978" s="1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121"/>
      <c r="Z978" s="20"/>
      <c r="AA978" s="20"/>
      <c r="AB978" s="20"/>
    </row>
    <row r="979">
      <c r="A979" s="20"/>
      <c r="B979" s="117"/>
      <c r="C979" s="20"/>
      <c r="D979" s="20"/>
      <c r="E979" s="20"/>
      <c r="F979" s="1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121"/>
      <c r="Z979" s="20"/>
      <c r="AA979" s="20"/>
      <c r="AB979" s="20"/>
    </row>
    <row r="980">
      <c r="A980" s="20"/>
      <c r="B980" s="117"/>
      <c r="C980" s="20"/>
      <c r="D980" s="20"/>
      <c r="E980" s="20"/>
      <c r="F980" s="1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121"/>
      <c r="Z980" s="20"/>
      <c r="AA980" s="20"/>
      <c r="AB980" s="20"/>
    </row>
    <row r="981">
      <c r="A981" s="20"/>
      <c r="B981" s="117"/>
      <c r="C981" s="20"/>
      <c r="D981" s="20"/>
      <c r="E981" s="20"/>
      <c r="F981" s="1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121"/>
      <c r="Z981" s="20"/>
      <c r="AA981" s="20"/>
      <c r="AB981" s="20"/>
    </row>
    <row r="982">
      <c r="A982" s="20"/>
      <c r="B982" s="117"/>
      <c r="C982" s="20"/>
      <c r="D982" s="20"/>
      <c r="E982" s="20"/>
      <c r="F982" s="1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121"/>
      <c r="Z982" s="20"/>
      <c r="AA982" s="20"/>
      <c r="AB982" s="20"/>
    </row>
    <row r="983">
      <c r="A983" s="20"/>
      <c r="B983" s="117"/>
      <c r="C983" s="20"/>
      <c r="D983" s="20"/>
      <c r="E983" s="20"/>
      <c r="F983" s="1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121"/>
      <c r="Z983" s="20"/>
      <c r="AA983" s="20"/>
      <c r="AB983" s="20"/>
    </row>
    <row r="984">
      <c r="A984" s="20"/>
      <c r="B984" s="117"/>
      <c r="C984" s="20"/>
      <c r="D984" s="20"/>
      <c r="E984" s="20"/>
      <c r="F984" s="1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121"/>
      <c r="Z984" s="20"/>
      <c r="AA984" s="20"/>
      <c r="AB984" s="20"/>
    </row>
    <row r="985">
      <c r="A985" s="20"/>
      <c r="B985" s="117"/>
      <c r="C985" s="20"/>
      <c r="D985" s="20"/>
      <c r="E985" s="20"/>
      <c r="F985" s="1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121"/>
      <c r="Z985" s="20"/>
      <c r="AA985" s="20"/>
      <c r="AB985" s="20"/>
    </row>
    <row r="986">
      <c r="A986" s="20"/>
      <c r="B986" s="117"/>
      <c r="C986" s="20"/>
      <c r="D986" s="20"/>
      <c r="E986" s="20"/>
      <c r="F986" s="1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121"/>
      <c r="Z986" s="20"/>
      <c r="AA986" s="20"/>
      <c r="AB986" s="20"/>
    </row>
    <row r="987">
      <c r="A987" s="20"/>
      <c r="B987" s="117"/>
      <c r="C987" s="20"/>
      <c r="D987" s="20"/>
      <c r="E987" s="20"/>
      <c r="F987" s="1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121"/>
      <c r="Z987" s="20"/>
      <c r="AA987" s="20"/>
      <c r="AB987" s="20"/>
    </row>
    <row r="988">
      <c r="A988" s="20"/>
      <c r="B988" s="117"/>
      <c r="C988" s="20"/>
      <c r="D988" s="20"/>
      <c r="E988" s="20"/>
      <c r="F988" s="1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121"/>
      <c r="Z988" s="20"/>
      <c r="AA988" s="20"/>
      <c r="AB988" s="20"/>
    </row>
    <row r="989">
      <c r="A989" s="20"/>
      <c r="B989" s="117"/>
      <c r="C989" s="20"/>
      <c r="D989" s="20"/>
      <c r="E989" s="20"/>
      <c r="F989" s="1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121"/>
      <c r="Z989" s="20"/>
      <c r="AA989" s="20"/>
      <c r="AB989" s="20"/>
    </row>
    <row r="990">
      <c r="A990" s="20"/>
      <c r="B990" s="117"/>
      <c r="C990" s="20"/>
      <c r="D990" s="20"/>
      <c r="E990" s="20"/>
      <c r="F990" s="1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121"/>
      <c r="Z990" s="20"/>
      <c r="AA990" s="20"/>
      <c r="AB990" s="20"/>
    </row>
    <row r="991">
      <c r="A991" s="20"/>
      <c r="B991" s="117"/>
      <c r="C991" s="20"/>
      <c r="D991" s="20"/>
      <c r="E991" s="20"/>
      <c r="F991" s="1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121"/>
      <c r="Z991" s="20"/>
      <c r="AA991" s="20"/>
      <c r="AB991" s="20"/>
    </row>
    <row r="992">
      <c r="A992" s="20"/>
      <c r="B992" s="117"/>
      <c r="C992" s="20"/>
      <c r="D992" s="20"/>
      <c r="E992" s="20"/>
      <c r="F992" s="1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121"/>
      <c r="Z992" s="20"/>
      <c r="AA992" s="20"/>
      <c r="AB992" s="20"/>
    </row>
    <row r="993">
      <c r="A993" s="20"/>
      <c r="B993" s="117"/>
      <c r="C993" s="20"/>
      <c r="D993" s="20"/>
      <c r="E993" s="20"/>
      <c r="F993" s="1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121"/>
      <c r="Z993" s="20"/>
      <c r="AA993" s="20"/>
      <c r="AB993" s="20"/>
    </row>
    <row r="994">
      <c r="A994" s="20"/>
      <c r="B994" s="117"/>
      <c r="C994" s="20"/>
      <c r="D994" s="20"/>
      <c r="E994" s="20"/>
      <c r="F994" s="1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121"/>
      <c r="Z994" s="20"/>
      <c r="AA994" s="20"/>
      <c r="AB994" s="20"/>
    </row>
    <row r="995">
      <c r="A995" s="20"/>
      <c r="B995" s="117"/>
      <c r="C995" s="20"/>
      <c r="D995" s="20"/>
      <c r="E995" s="20"/>
      <c r="F995" s="1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121"/>
      <c r="Z995" s="20"/>
      <c r="AA995" s="20"/>
      <c r="AB995" s="20"/>
    </row>
    <row r="996">
      <c r="A996" s="20"/>
      <c r="B996" s="117"/>
      <c r="C996" s="20"/>
      <c r="D996" s="20"/>
      <c r="E996" s="20"/>
      <c r="F996" s="1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121"/>
      <c r="Z996" s="20"/>
      <c r="AA996" s="20"/>
      <c r="AB996" s="20"/>
    </row>
    <row r="997">
      <c r="A997" s="20"/>
      <c r="B997" s="117"/>
      <c r="C997" s="20"/>
      <c r="D997" s="20"/>
      <c r="E997" s="20"/>
      <c r="F997" s="1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121"/>
      <c r="Z997" s="20"/>
      <c r="AA997" s="20"/>
      <c r="AB997" s="20"/>
    </row>
    <row r="998">
      <c r="A998" s="20"/>
      <c r="B998" s="117"/>
      <c r="C998" s="20"/>
      <c r="D998" s="20"/>
      <c r="E998" s="20"/>
      <c r="F998" s="1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121"/>
      <c r="Z998" s="20"/>
      <c r="AA998" s="20"/>
      <c r="AB998" s="20"/>
    </row>
    <row r="999">
      <c r="A999" s="20"/>
      <c r="B999" s="117"/>
      <c r="C999" s="20"/>
      <c r="D999" s="20"/>
      <c r="E999" s="20"/>
      <c r="F999" s="1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121"/>
      <c r="Z999" s="20"/>
      <c r="AA999" s="20"/>
      <c r="AB999" s="20"/>
    </row>
    <row r="1000">
      <c r="A1000" s="20"/>
      <c r="B1000" s="117"/>
      <c r="C1000" s="20"/>
      <c r="D1000" s="20"/>
      <c r="E1000" s="20"/>
      <c r="F1000" s="1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121"/>
      <c r="Z1000" s="20"/>
      <c r="AA1000" s="20"/>
      <c r="AB1000" s="20"/>
    </row>
    <row r="1001">
      <c r="A1001" s="20"/>
      <c r="B1001" s="117"/>
      <c r="C1001" s="20"/>
      <c r="D1001" s="20"/>
      <c r="E1001" s="20"/>
      <c r="F1001" s="1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121"/>
      <c r="Z1001" s="20"/>
      <c r="AA1001" s="20"/>
      <c r="AB1001" s="20"/>
    </row>
    <row r="1002">
      <c r="A1002" s="20"/>
      <c r="B1002" s="117"/>
      <c r="C1002" s="20"/>
      <c r="D1002" s="20"/>
      <c r="E1002" s="20"/>
      <c r="F1002" s="1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121"/>
      <c r="Z1002" s="20"/>
      <c r="AA1002" s="20"/>
      <c r="AB1002" s="20"/>
    </row>
    <row r="1003">
      <c r="A1003" s="20"/>
      <c r="B1003" s="117"/>
      <c r="C1003" s="20"/>
      <c r="D1003" s="20"/>
      <c r="E1003" s="20"/>
      <c r="F1003" s="1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121"/>
      <c r="Z1003" s="20"/>
      <c r="AA1003" s="20"/>
      <c r="AB1003" s="20"/>
    </row>
    <row r="1004">
      <c r="A1004" s="20"/>
      <c r="B1004" s="117"/>
      <c r="C1004" s="20"/>
      <c r="D1004" s="20"/>
      <c r="E1004" s="20"/>
      <c r="F1004" s="1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121"/>
      <c r="Z1004" s="20"/>
      <c r="AA1004" s="20"/>
      <c r="AB1004" s="20"/>
    </row>
    <row r="1005">
      <c r="A1005" s="20"/>
      <c r="B1005" s="117"/>
      <c r="C1005" s="20"/>
      <c r="D1005" s="20"/>
      <c r="E1005" s="20"/>
      <c r="F1005" s="1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121"/>
      <c r="Z1005" s="20"/>
      <c r="AA1005" s="20"/>
      <c r="AB1005" s="20"/>
    </row>
    <row r="1006">
      <c r="A1006" s="20"/>
      <c r="B1006" s="117"/>
      <c r="C1006" s="20"/>
      <c r="D1006" s="20"/>
      <c r="E1006" s="20"/>
      <c r="F1006" s="1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121"/>
      <c r="Z1006" s="20"/>
      <c r="AA1006" s="20"/>
      <c r="AB1006" s="20"/>
    </row>
    <row r="1007">
      <c r="A1007" s="20"/>
      <c r="B1007" s="117"/>
      <c r="C1007" s="20"/>
      <c r="D1007" s="20"/>
      <c r="E1007" s="20"/>
      <c r="F1007" s="1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121"/>
      <c r="Z1007" s="20"/>
      <c r="AA1007" s="20"/>
      <c r="AB1007" s="20"/>
    </row>
    <row r="1008">
      <c r="A1008" s="20"/>
      <c r="B1008" s="117"/>
      <c r="C1008" s="20"/>
      <c r="D1008" s="20"/>
      <c r="E1008" s="20"/>
      <c r="F1008" s="1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121"/>
      <c r="Z1008" s="20"/>
      <c r="AA1008" s="20"/>
      <c r="AB1008" s="20"/>
    </row>
    <row r="1009">
      <c r="A1009" s="20"/>
      <c r="B1009" s="117"/>
      <c r="C1009" s="20"/>
      <c r="D1009" s="20"/>
      <c r="E1009" s="20"/>
      <c r="F1009" s="1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121"/>
      <c r="Z1009" s="20"/>
      <c r="AA1009" s="20"/>
      <c r="AB1009" s="20"/>
    </row>
    <row r="1010">
      <c r="A1010" s="20"/>
      <c r="B1010" s="117"/>
      <c r="C1010" s="20"/>
      <c r="D1010" s="20"/>
      <c r="E1010" s="20"/>
      <c r="F1010" s="1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121"/>
      <c r="Z1010" s="20"/>
      <c r="AA1010" s="20"/>
      <c r="AB1010" s="20"/>
    </row>
    <row r="1011">
      <c r="A1011" s="20"/>
      <c r="B1011" s="117"/>
      <c r="C1011" s="20"/>
      <c r="D1011" s="20"/>
      <c r="E1011" s="20"/>
      <c r="F1011" s="1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121"/>
      <c r="Z1011" s="20"/>
      <c r="AA1011" s="20"/>
      <c r="AB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121"/>
      <c r="Z1012" s="20"/>
      <c r="AA1012" s="20"/>
      <c r="AB1012" s="20"/>
    </row>
    <row r="1013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121"/>
      <c r="Z1013" s="20"/>
      <c r="AA1013" s="20"/>
      <c r="AB1013" s="20"/>
    </row>
    <row r="1014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121"/>
      <c r="Z1014" s="20"/>
      <c r="AA1014" s="20"/>
      <c r="AB1014" s="20"/>
    </row>
    <row r="1015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121"/>
      <c r="Z1015" s="20"/>
      <c r="AA1015" s="20"/>
      <c r="AB1015" s="20"/>
    </row>
    <row r="1016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121"/>
      <c r="Z1016" s="20"/>
      <c r="AA1016" s="20"/>
      <c r="AB1016" s="20"/>
    </row>
    <row r="1017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121"/>
      <c r="Z1017" s="20"/>
      <c r="AA1017" s="20"/>
      <c r="AB1017" s="20"/>
    </row>
    <row r="1018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121"/>
      <c r="Z1018" s="20"/>
      <c r="AA1018" s="20"/>
      <c r="AB1018" s="20"/>
    </row>
    <row r="1019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121"/>
      <c r="Z1019" s="20"/>
      <c r="AA1019" s="20"/>
      <c r="AB1019" s="20"/>
    </row>
    <row r="1020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121"/>
      <c r="Z1020" s="20"/>
      <c r="AA1020" s="20"/>
      <c r="AB1020" s="20"/>
    </row>
    <row r="1021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121"/>
      <c r="Z1021" s="20"/>
      <c r="AA1021" s="20"/>
      <c r="AB1021" s="20"/>
    </row>
    <row r="1022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121"/>
      <c r="Z1022" s="20"/>
      <c r="AA1022" s="20"/>
      <c r="AB1022" s="20"/>
    </row>
    <row r="1023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121"/>
      <c r="Z1023" s="20"/>
      <c r="AA1023" s="20"/>
      <c r="AB1023" s="20"/>
    </row>
    <row r="1024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121"/>
      <c r="Z1024" s="20"/>
      <c r="AA1024" s="20"/>
      <c r="AB1024" s="20"/>
    </row>
    <row r="1025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121"/>
      <c r="Z1025" s="20"/>
      <c r="AA1025" s="20"/>
      <c r="AB1025" s="20"/>
    </row>
    <row r="1026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121"/>
      <c r="Z1026" s="20"/>
      <c r="AA1026" s="20"/>
      <c r="AB1026" s="20"/>
    </row>
    <row r="1027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121"/>
      <c r="Z1027" s="20"/>
      <c r="AA1027" s="20"/>
      <c r="AB1027" s="20"/>
    </row>
    <row r="1028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121"/>
      <c r="Z1028" s="20"/>
      <c r="AA1028" s="20"/>
      <c r="AB1028" s="20"/>
    </row>
    <row r="1029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121"/>
      <c r="Z1029" s="20"/>
      <c r="AA1029" s="20"/>
      <c r="AB1029" s="20"/>
    </row>
    <row r="1030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121"/>
      <c r="Z1030" s="20"/>
      <c r="AA1030" s="20"/>
      <c r="AB1030" s="20"/>
    </row>
    <row r="1031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121"/>
      <c r="Z1031" s="20"/>
      <c r="AA1031" s="20"/>
      <c r="AB1031" s="20"/>
    </row>
    <row r="1032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121"/>
      <c r="Z1032" s="20"/>
      <c r="AA1032" s="20"/>
      <c r="AB1032" s="20"/>
    </row>
    <row r="1033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121"/>
      <c r="Z1033" s="20"/>
      <c r="AA1033" s="20"/>
      <c r="AB1033" s="20"/>
    </row>
    <row r="1034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121"/>
      <c r="Z1034" s="20"/>
      <c r="AA1034" s="20"/>
      <c r="AB1034" s="20"/>
    </row>
    <row r="1035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121"/>
      <c r="Z1035" s="20"/>
      <c r="AA1035" s="20"/>
      <c r="AB1035" s="20"/>
    </row>
    <row r="1036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121"/>
      <c r="Z1036" s="20"/>
      <c r="AA1036" s="20"/>
      <c r="AB1036" s="20"/>
    </row>
    <row r="1037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121"/>
      <c r="Z1037" s="20"/>
      <c r="AA1037" s="20"/>
      <c r="AB1037" s="20"/>
    </row>
    <row r="1038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121"/>
      <c r="Z1038" s="20"/>
      <c r="AA1038" s="20"/>
      <c r="AB1038" s="20"/>
    </row>
    <row r="1039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121"/>
      <c r="Z1039" s="20"/>
      <c r="AA1039" s="20"/>
      <c r="AB1039" s="20"/>
    </row>
    <row r="1040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121"/>
      <c r="Z1040" s="20"/>
      <c r="AA1040" s="20"/>
      <c r="AB1040" s="20"/>
    </row>
    <row r="1041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121"/>
      <c r="Z1041" s="20"/>
      <c r="AA1041" s="20"/>
      <c r="AB1041" s="20"/>
    </row>
    <row r="1042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121"/>
      <c r="Z1042" s="20"/>
      <c r="AA1042" s="20"/>
      <c r="AB1042" s="20"/>
    </row>
    <row r="1043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121"/>
      <c r="Z1043" s="20"/>
      <c r="AA1043" s="20"/>
      <c r="AB1043" s="20"/>
    </row>
    <row r="1044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121"/>
      <c r="Z1044" s="20"/>
      <c r="AA1044" s="20"/>
      <c r="AB1044" s="20"/>
    </row>
    <row r="1045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121"/>
      <c r="Z1045" s="20"/>
      <c r="AA1045" s="20"/>
      <c r="AB1045" s="20"/>
    </row>
    <row r="1046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121"/>
      <c r="Z1046" s="20"/>
      <c r="AA1046" s="20"/>
      <c r="AB1046" s="20"/>
    </row>
    <row r="1047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121"/>
      <c r="Z1047" s="20"/>
      <c r="AA1047" s="20"/>
      <c r="AB1047" s="20"/>
    </row>
    <row r="1048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121"/>
      <c r="Z1048" s="20"/>
      <c r="AA1048" s="20"/>
      <c r="AB1048" s="20"/>
    </row>
    <row r="1049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121"/>
      <c r="Z1049" s="20"/>
      <c r="AA1049" s="20"/>
      <c r="AB1049" s="20"/>
    </row>
    <row r="1050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121"/>
      <c r="Z1050" s="20"/>
      <c r="AA1050" s="20"/>
      <c r="AB1050" s="20"/>
    </row>
    <row r="1051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121"/>
      <c r="Z1051" s="20"/>
      <c r="AA1051" s="20"/>
      <c r="AB1051" s="20"/>
    </row>
    <row r="1052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121"/>
      <c r="Z1052" s="20"/>
      <c r="AA1052" s="20"/>
      <c r="AB1052" s="20"/>
    </row>
    <row r="1053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121"/>
      <c r="Z1053" s="20"/>
      <c r="AA1053" s="20"/>
      <c r="AB1053" s="20"/>
    </row>
    <row r="1054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121"/>
      <c r="Z1054" s="20"/>
      <c r="AA1054" s="20"/>
      <c r="AB1054" s="20"/>
    </row>
    <row r="1055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121"/>
      <c r="Z1055" s="20"/>
      <c r="AA1055" s="20"/>
      <c r="AB1055" s="20"/>
    </row>
    <row r="1056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121"/>
      <c r="Z1056" s="20"/>
      <c r="AA1056" s="20"/>
      <c r="AB1056" s="20"/>
    </row>
    <row r="1057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121"/>
      <c r="Z1057" s="20"/>
      <c r="AA1057" s="20"/>
      <c r="AB1057" s="20"/>
    </row>
    <row r="1058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121"/>
      <c r="Z1058" s="20"/>
      <c r="AA1058" s="20"/>
      <c r="AB1058" s="20"/>
    </row>
    <row r="1059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121"/>
      <c r="Z1059" s="20"/>
      <c r="AA1059" s="20"/>
      <c r="AB1059" s="20"/>
    </row>
    <row r="1060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121"/>
      <c r="Z1060" s="20"/>
      <c r="AA1060" s="20"/>
      <c r="AB1060" s="20"/>
    </row>
    <row r="1061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121"/>
      <c r="Z1061" s="20"/>
      <c r="AA1061" s="20"/>
      <c r="AB1061" s="20"/>
    </row>
    <row r="1062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121"/>
      <c r="Z1062" s="20"/>
      <c r="AA1062" s="20"/>
      <c r="AB1062" s="20"/>
    </row>
    <row r="1063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121"/>
      <c r="Z1063" s="20"/>
      <c r="AA1063" s="20"/>
      <c r="AB1063" s="20"/>
    </row>
    <row r="1064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121"/>
      <c r="Z1064" s="20"/>
      <c r="AA1064" s="20"/>
      <c r="AB1064" s="20"/>
    </row>
    <row r="1065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121"/>
      <c r="Z1065" s="20"/>
      <c r="AA1065" s="20"/>
      <c r="AB1065" s="20"/>
    </row>
    <row r="1066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121"/>
      <c r="Z1066" s="20"/>
      <c r="AA1066" s="20"/>
      <c r="AB1066" s="20"/>
    </row>
    <row r="1067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121"/>
      <c r="Z1067" s="20"/>
      <c r="AA1067" s="20"/>
      <c r="AB1067" s="20"/>
    </row>
    <row r="1068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121"/>
      <c r="Z1068" s="20"/>
      <c r="AA1068" s="20"/>
      <c r="AB1068" s="20"/>
    </row>
    <row r="1069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121"/>
      <c r="Z1069" s="20"/>
      <c r="AA1069" s="20"/>
      <c r="AB1069" s="20"/>
    </row>
    <row r="1070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121"/>
      <c r="Z1070" s="20"/>
      <c r="AA1070" s="20"/>
      <c r="AB1070" s="20"/>
    </row>
    <row r="1071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121"/>
      <c r="Z1071" s="20"/>
      <c r="AA1071" s="20"/>
      <c r="AB1071" s="20"/>
    </row>
    <row r="1072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121"/>
      <c r="Z1072" s="20"/>
      <c r="AA1072" s="20"/>
      <c r="AB1072" s="20"/>
    </row>
    <row r="1073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121"/>
      <c r="Z1073" s="20"/>
      <c r="AA1073" s="20"/>
      <c r="AB1073" s="20"/>
    </row>
    <row r="1074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121"/>
      <c r="Z1074" s="20"/>
      <c r="AA1074" s="20"/>
      <c r="AB1074" s="20"/>
    </row>
    <row r="1075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121"/>
      <c r="Z1075" s="20"/>
      <c r="AA1075" s="20"/>
      <c r="AB1075" s="20"/>
    </row>
    <row r="1076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121"/>
      <c r="Z1076" s="20"/>
      <c r="AA1076" s="20"/>
      <c r="AB1076" s="20"/>
    </row>
    <row r="1077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121"/>
      <c r="Z1077" s="20"/>
      <c r="AA1077" s="20"/>
      <c r="AB1077" s="20"/>
    </row>
    <row r="1078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121"/>
      <c r="Z1078" s="20"/>
      <c r="AA1078" s="20"/>
      <c r="AB1078" s="20"/>
    </row>
    <row r="1079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121"/>
      <c r="Z1079" s="20"/>
      <c r="AA1079" s="20"/>
      <c r="AB1079" s="20"/>
    </row>
    <row r="1080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121"/>
      <c r="Z1080" s="20"/>
      <c r="AA1080" s="20"/>
      <c r="AB1080" s="20"/>
    </row>
    <row r="1081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121"/>
      <c r="Z1081" s="20"/>
      <c r="AA1081" s="20"/>
      <c r="AB1081" s="20"/>
    </row>
    <row r="1082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121"/>
      <c r="Z1082" s="20"/>
      <c r="AA1082" s="20"/>
      <c r="AB1082" s="20"/>
    </row>
    <row r="1083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121"/>
      <c r="Z1083" s="20"/>
      <c r="AA1083" s="20"/>
      <c r="AB1083" s="20"/>
    </row>
    <row r="1084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121"/>
      <c r="Z1084" s="20"/>
      <c r="AA1084" s="20"/>
      <c r="AB1084" s="20"/>
    </row>
    <row r="1085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121"/>
      <c r="Z1085" s="20"/>
      <c r="AA1085" s="20"/>
      <c r="AB1085" s="20"/>
    </row>
    <row r="1086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121"/>
      <c r="Z1086" s="20"/>
      <c r="AA1086" s="20"/>
      <c r="AB1086" s="20"/>
    </row>
    <row r="1087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121"/>
      <c r="Z1087" s="20"/>
      <c r="AA1087" s="20"/>
      <c r="AB1087" s="20"/>
    </row>
    <row r="1088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121"/>
      <c r="Z1088" s="20"/>
      <c r="AA1088" s="20"/>
      <c r="AB1088" s="20"/>
    </row>
    <row r="1089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121"/>
      <c r="Z1089" s="20"/>
      <c r="AA1089" s="20"/>
      <c r="AB1089" s="20"/>
    </row>
    <row r="1090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121"/>
      <c r="Z1090" s="20"/>
      <c r="AA1090" s="20"/>
      <c r="AB1090" s="20"/>
    </row>
    <row r="1091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121"/>
      <c r="Z1091" s="20"/>
      <c r="AA1091" s="20"/>
      <c r="AB1091" s="20"/>
    </row>
    <row r="1092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121"/>
      <c r="Z1092" s="20"/>
      <c r="AA1092" s="20"/>
      <c r="AB1092" s="20"/>
    </row>
    <row r="1093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121"/>
      <c r="Z1093" s="20"/>
      <c r="AA1093" s="20"/>
      <c r="AB1093" s="20"/>
    </row>
    <row r="1094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121"/>
      <c r="Z1094" s="20"/>
      <c r="AA1094" s="20"/>
      <c r="AB1094" s="20"/>
    </row>
    <row r="1095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121"/>
      <c r="Z1095" s="20"/>
      <c r="AA1095" s="20"/>
      <c r="AB1095" s="20"/>
    </row>
    <row r="1096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121"/>
      <c r="Z1096" s="20"/>
      <c r="AA1096" s="20"/>
      <c r="AB1096" s="20"/>
    </row>
    <row r="1097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121"/>
      <c r="Z1097" s="20"/>
      <c r="AA1097" s="20"/>
      <c r="AB1097" s="20"/>
    </row>
    <row r="1098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121"/>
      <c r="Z1098" s="20"/>
      <c r="AA1098" s="20"/>
      <c r="AB1098" s="20"/>
    </row>
    <row r="1099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121"/>
      <c r="Z1099" s="20"/>
      <c r="AA1099" s="20"/>
      <c r="AB1099" s="20"/>
    </row>
    <row r="1100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121"/>
      <c r="Z1100" s="20"/>
      <c r="AA1100" s="20"/>
      <c r="AB1100" s="20"/>
    </row>
    <row r="1101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121"/>
      <c r="Z1101" s="20"/>
      <c r="AA1101" s="20"/>
      <c r="AB1101" s="20"/>
    </row>
    <row r="1102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121"/>
      <c r="Z1102" s="20"/>
      <c r="AA1102" s="20"/>
      <c r="AB1102" s="20"/>
    </row>
    <row r="1103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121"/>
      <c r="Z1103" s="20"/>
      <c r="AA1103" s="20"/>
      <c r="AB1103" s="20"/>
    </row>
    <row r="1104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121"/>
      <c r="Z1104" s="20"/>
      <c r="AA1104" s="20"/>
      <c r="AB1104" s="20"/>
    </row>
    <row r="1105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121"/>
      <c r="Z1105" s="20"/>
      <c r="AA1105" s="20"/>
      <c r="AB1105" s="20"/>
    </row>
    <row r="1106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121"/>
      <c r="Z1106" s="20"/>
      <c r="AA1106" s="20"/>
      <c r="AB1106" s="20"/>
    </row>
    <row r="1107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121"/>
      <c r="Z1107" s="20"/>
      <c r="AA1107" s="20"/>
      <c r="AB1107" s="20"/>
    </row>
    <row r="1108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121"/>
      <c r="Z1108" s="20"/>
      <c r="AA1108" s="20"/>
      <c r="AB1108" s="20"/>
    </row>
    <row r="1109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121"/>
      <c r="Z1109" s="20"/>
      <c r="AA1109" s="20"/>
      <c r="AB1109" s="20"/>
    </row>
    <row r="1110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121"/>
      <c r="Z1110" s="20"/>
      <c r="AA1110" s="20"/>
      <c r="AB1110" s="20"/>
    </row>
    <row r="1111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121"/>
      <c r="Z1111" s="20"/>
      <c r="AA1111" s="20"/>
      <c r="AB1111" s="20"/>
    </row>
    <row r="1112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121"/>
      <c r="Z1112" s="20"/>
      <c r="AA1112" s="20"/>
      <c r="AB1112" s="20"/>
    </row>
    <row r="1113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121"/>
      <c r="Z1113" s="20"/>
      <c r="AA1113" s="20"/>
      <c r="AB1113" s="20"/>
    </row>
    <row r="1114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121"/>
      <c r="Z1114" s="20"/>
      <c r="AA1114" s="20"/>
      <c r="AB1114" s="20"/>
    </row>
    <row r="1115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121"/>
      <c r="Z1115" s="20"/>
      <c r="AA1115" s="20"/>
      <c r="AB1115" s="20"/>
    </row>
    <row r="1116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121"/>
      <c r="Z1116" s="20"/>
      <c r="AA1116" s="20"/>
      <c r="AB1116" s="20"/>
    </row>
    <row r="1117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121"/>
      <c r="Z1117" s="20"/>
      <c r="AA1117" s="20"/>
      <c r="AB1117" s="20"/>
    </row>
    <row r="1118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121"/>
      <c r="Z1118" s="20"/>
      <c r="AA1118" s="20"/>
      <c r="AB1118" s="20"/>
    </row>
    <row r="1119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121"/>
      <c r="Z1119" s="20"/>
      <c r="AA1119" s="20"/>
      <c r="AB1119" s="20"/>
    </row>
    <row r="1120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121"/>
      <c r="Z1120" s="20"/>
      <c r="AA1120" s="20"/>
      <c r="AB1120" s="20"/>
    </row>
    <row r="1121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121"/>
      <c r="Z1121" s="20"/>
      <c r="AA1121" s="20"/>
      <c r="AB1121" s="20"/>
    </row>
    <row r="1122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121"/>
      <c r="Z1122" s="20"/>
      <c r="AA1122" s="20"/>
      <c r="AB1122" s="20"/>
    </row>
    <row r="1123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121"/>
      <c r="Z1123" s="20"/>
      <c r="AA1123" s="20"/>
      <c r="AB1123" s="20"/>
    </row>
    <row r="1124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121"/>
      <c r="Z1124" s="20"/>
      <c r="AA1124" s="20"/>
      <c r="AB1124" s="20"/>
    </row>
    <row r="1125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121"/>
      <c r="Z1125" s="20"/>
      <c r="AA1125" s="20"/>
      <c r="AB1125" s="20"/>
    </row>
    <row r="1126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121"/>
      <c r="Z1126" s="20"/>
      <c r="AA1126" s="20"/>
      <c r="AB1126" s="20"/>
    </row>
    <row r="1127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121"/>
      <c r="Z1127" s="20"/>
      <c r="AA1127" s="20"/>
      <c r="AB1127" s="20"/>
    </row>
    <row r="1128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121"/>
      <c r="Z1128" s="20"/>
      <c r="AA1128" s="20"/>
      <c r="AB1128" s="20"/>
    </row>
    <row r="1129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121"/>
      <c r="Z1129" s="20"/>
      <c r="AA1129" s="20"/>
      <c r="AB1129" s="20"/>
    </row>
    <row r="1130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121"/>
      <c r="Z1130" s="20"/>
      <c r="AA1130" s="20"/>
      <c r="AB1130" s="20"/>
    </row>
    <row r="1131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121"/>
      <c r="Z1131" s="20"/>
      <c r="AA1131" s="20"/>
      <c r="AB1131" s="20"/>
    </row>
    <row r="1132">
      <c r="A1132" s="20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121"/>
      <c r="Z1132" s="20"/>
      <c r="AA1132" s="20"/>
      <c r="AB1132" s="20"/>
    </row>
    <row r="1133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121"/>
      <c r="Z1133" s="20"/>
      <c r="AA1133" s="20"/>
      <c r="AB1133" s="20"/>
    </row>
    <row r="1134">
      <c r="A1134" s="20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121"/>
      <c r="Z1134" s="20"/>
      <c r="AA1134" s="20"/>
      <c r="AB1134" s="20"/>
    </row>
    <row r="1135">
      <c r="A1135" s="20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121"/>
      <c r="Z1135" s="20"/>
      <c r="AA1135" s="20"/>
      <c r="AB1135" s="20"/>
    </row>
    <row r="1136">
      <c r="A1136" s="20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121"/>
      <c r="Z1136" s="20"/>
      <c r="AA1136" s="20"/>
      <c r="AB1136" s="20"/>
    </row>
    <row r="1137">
      <c r="A1137" s="20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121"/>
      <c r="Z1137" s="20"/>
      <c r="AA1137" s="20"/>
      <c r="AB1137" s="20"/>
    </row>
    <row r="1138">
      <c r="A1138" s="20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121"/>
      <c r="Z1138" s="20"/>
      <c r="AA1138" s="20"/>
      <c r="AB1138" s="20"/>
    </row>
    <row r="1139">
      <c r="A1139" s="20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121"/>
      <c r="Z1139" s="20"/>
      <c r="AA1139" s="20"/>
      <c r="AB1139" s="20"/>
    </row>
    <row r="1140">
      <c r="A1140" s="20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121"/>
      <c r="Z1140" s="20"/>
      <c r="AA1140" s="20"/>
      <c r="AB1140" s="20"/>
    </row>
    <row r="1141">
      <c r="A1141" s="20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121"/>
      <c r="Z1141" s="20"/>
      <c r="AA1141" s="20"/>
      <c r="AB1141" s="20"/>
    </row>
    <row r="1142">
      <c r="A1142" s="20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121"/>
      <c r="Z1142" s="20"/>
      <c r="AA1142" s="20"/>
      <c r="AB1142" s="20"/>
    </row>
    <row r="1143">
      <c r="A1143" s="20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121"/>
      <c r="Z1143" s="20"/>
      <c r="AA1143" s="20"/>
      <c r="AB1143" s="20"/>
    </row>
    <row r="1144">
      <c r="A1144" s="20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121"/>
      <c r="Z1144" s="20"/>
      <c r="AA1144" s="20"/>
      <c r="AB1144" s="20"/>
    </row>
    <row r="1145">
      <c r="A1145" s="20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121"/>
      <c r="Z1145" s="20"/>
      <c r="AA1145" s="20"/>
      <c r="AB1145" s="20"/>
    </row>
    <row r="1146">
      <c r="A1146" s="20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121"/>
      <c r="Z1146" s="20"/>
      <c r="AA1146" s="20"/>
      <c r="AB1146" s="20"/>
    </row>
    <row r="1147">
      <c r="A1147" s="20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121"/>
      <c r="Z1147" s="20"/>
      <c r="AA1147" s="20"/>
      <c r="AB1147" s="20"/>
    </row>
    <row r="1148">
      <c r="A1148" s="20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121"/>
      <c r="Z1148" s="20"/>
      <c r="AA1148" s="20"/>
      <c r="AB1148" s="20"/>
    </row>
    <row r="1149">
      <c r="A1149" s="20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121"/>
      <c r="Z1149" s="20"/>
      <c r="AA1149" s="20"/>
      <c r="AB1149" s="20"/>
    </row>
    <row r="1150">
      <c r="A1150" s="20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121"/>
      <c r="Z1150" s="20"/>
      <c r="AA1150" s="20"/>
      <c r="AB1150" s="20"/>
    </row>
    <row r="1151">
      <c r="A1151" s="20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121"/>
      <c r="Z1151" s="20"/>
      <c r="AA1151" s="20"/>
      <c r="AB1151" s="20"/>
    </row>
    <row r="1152">
      <c r="A1152" s="20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121"/>
      <c r="Z1152" s="20"/>
      <c r="AA1152" s="20"/>
      <c r="AB1152" s="20"/>
    </row>
    <row r="1153">
      <c r="A1153" s="20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121"/>
      <c r="Z1153" s="20"/>
      <c r="AA1153" s="20"/>
      <c r="AB1153" s="20"/>
    </row>
    <row r="1154">
      <c r="A1154" s="20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121"/>
      <c r="Z1154" s="20"/>
      <c r="AA1154" s="20"/>
      <c r="AB1154" s="20"/>
    </row>
    <row r="1155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121"/>
      <c r="Z1155" s="20"/>
      <c r="AA1155" s="20"/>
      <c r="AB1155" s="20"/>
    </row>
    <row r="1156">
      <c r="A1156" s="20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121"/>
      <c r="Z1156" s="20"/>
      <c r="AA1156" s="20"/>
      <c r="AB1156" s="20"/>
    </row>
    <row r="1157">
      <c r="A1157" s="20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121"/>
      <c r="Z1157" s="20"/>
      <c r="AA1157" s="20"/>
      <c r="AB1157" s="20"/>
    </row>
    <row r="1158">
      <c r="A1158" s="20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121"/>
      <c r="Z1158" s="20"/>
      <c r="AA1158" s="20"/>
      <c r="AB1158" s="20"/>
    </row>
    <row r="1159">
      <c r="A1159" s="20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121"/>
      <c r="Z1159" s="20"/>
      <c r="AA1159" s="20"/>
      <c r="AB1159" s="20"/>
    </row>
    <row r="1160">
      <c r="A1160" s="20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121"/>
      <c r="Z1160" s="20"/>
      <c r="AA1160" s="20"/>
      <c r="AB1160" s="20"/>
    </row>
    <row r="1161">
      <c r="A1161" s="20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121"/>
      <c r="Z1161" s="20"/>
      <c r="AA1161" s="20"/>
      <c r="AB1161" s="20"/>
    </row>
    <row r="1162">
      <c r="A1162" s="20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121"/>
      <c r="Z1162" s="20"/>
      <c r="AA1162" s="20"/>
      <c r="AB1162" s="20"/>
    </row>
    <row r="1163">
      <c r="A1163" s="20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121"/>
      <c r="Z1163" s="20"/>
      <c r="AA1163" s="20"/>
      <c r="AB1163" s="20"/>
    </row>
    <row r="1164">
      <c r="A1164" s="20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121"/>
      <c r="Z1164" s="20"/>
      <c r="AA1164" s="20"/>
      <c r="AB1164" s="20"/>
    </row>
    <row r="1165">
      <c r="A1165" s="20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121"/>
      <c r="Z1165" s="20"/>
      <c r="AA1165" s="20"/>
      <c r="AB1165" s="20"/>
    </row>
    <row r="1166">
      <c r="A1166" s="20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121"/>
      <c r="Z1166" s="20"/>
      <c r="AA1166" s="20"/>
      <c r="AB1166" s="20"/>
    </row>
    <row r="1167">
      <c r="A1167" s="20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121"/>
      <c r="Z1167" s="20"/>
      <c r="AA1167" s="20"/>
      <c r="AB1167" s="20"/>
    </row>
    <row r="1168">
      <c r="A1168" s="20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121"/>
      <c r="Z1168" s="20"/>
      <c r="AA1168" s="20"/>
      <c r="AB1168" s="20"/>
    </row>
    <row r="1169">
      <c r="A1169" s="20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121"/>
      <c r="Z1169" s="20"/>
      <c r="AA1169" s="20"/>
      <c r="AB1169" s="20"/>
    </row>
    <row r="1170">
      <c r="A1170" s="20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121"/>
      <c r="Z1170" s="20"/>
      <c r="AA1170" s="20"/>
      <c r="AB1170" s="20"/>
    </row>
    <row r="1171">
      <c r="A1171" s="20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121"/>
      <c r="Z1171" s="20"/>
      <c r="AA1171" s="20"/>
      <c r="AB1171" s="20"/>
    </row>
    <row r="1172">
      <c r="A1172" s="20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121"/>
      <c r="Z1172" s="20"/>
      <c r="AA1172" s="20"/>
      <c r="AB1172" s="20"/>
    </row>
    <row r="1173">
      <c r="A1173" s="20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121"/>
      <c r="Z1173" s="20"/>
      <c r="AA1173" s="20"/>
      <c r="AB1173" s="20"/>
    </row>
    <row r="1174">
      <c r="A1174" s="20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121"/>
      <c r="Z1174" s="20"/>
      <c r="AA1174" s="20"/>
      <c r="AB1174" s="20"/>
    </row>
    <row r="1175">
      <c r="A1175" s="20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121"/>
      <c r="Z1175" s="20"/>
      <c r="AA1175" s="20"/>
      <c r="AB1175" s="20"/>
    </row>
    <row r="1176">
      <c r="A1176" s="20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121"/>
      <c r="Z1176" s="20"/>
      <c r="AA1176" s="20"/>
      <c r="AB1176" s="20"/>
    </row>
    <row r="1177">
      <c r="A1177" s="20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121"/>
      <c r="Z1177" s="20"/>
      <c r="AA1177" s="20"/>
      <c r="AB1177" s="20"/>
    </row>
    <row r="1178">
      <c r="A1178" s="20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121"/>
      <c r="Z1178" s="20"/>
      <c r="AA1178" s="20"/>
      <c r="AB1178" s="20"/>
    </row>
    <row r="1179">
      <c r="A1179" s="20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121"/>
      <c r="Z1179" s="20"/>
      <c r="AA1179" s="20"/>
      <c r="AB1179" s="20"/>
    </row>
    <row r="1180">
      <c r="A1180" s="20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121"/>
      <c r="Z1180" s="20"/>
      <c r="AA1180" s="20"/>
      <c r="AB1180" s="20"/>
    </row>
    <row r="1181">
      <c r="A1181" s="20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121"/>
      <c r="Z1181" s="20"/>
      <c r="AA1181" s="20"/>
      <c r="AB1181" s="20"/>
    </row>
    <row r="1182">
      <c r="A1182" s="20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121"/>
      <c r="Z1182" s="20"/>
      <c r="AA1182" s="20"/>
      <c r="AB1182" s="20"/>
    </row>
    <row r="1183">
      <c r="A1183" s="20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121"/>
      <c r="Z1183" s="20"/>
      <c r="AA1183" s="20"/>
      <c r="AB1183" s="20"/>
    </row>
    <row r="1184">
      <c r="A1184" s="20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121"/>
      <c r="Z1184" s="20"/>
      <c r="AA1184" s="20"/>
      <c r="AB1184" s="20"/>
    </row>
    <row r="1185">
      <c r="A1185" s="20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121"/>
      <c r="Z1185" s="20"/>
      <c r="AA1185" s="20"/>
      <c r="AB1185" s="20"/>
    </row>
    <row r="1186">
      <c r="A1186" s="20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121"/>
      <c r="Z1186" s="20"/>
      <c r="AA1186" s="20"/>
      <c r="AB1186" s="20"/>
    </row>
    <row r="1187">
      <c r="A1187" s="20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121"/>
      <c r="Z1187" s="20"/>
      <c r="AA1187" s="20"/>
      <c r="AB1187" s="20"/>
    </row>
    <row r="1188">
      <c r="A1188" s="20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121"/>
      <c r="Z1188" s="20"/>
      <c r="AA1188" s="20"/>
      <c r="AB1188" s="20"/>
    </row>
    <row r="1189">
      <c r="A1189" s="20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121"/>
      <c r="Z1189" s="20"/>
      <c r="AA1189" s="20"/>
      <c r="AB1189" s="20"/>
    </row>
    <row r="1190">
      <c r="A1190" s="20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121"/>
      <c r="Z1190" s="20"/>
      <c r="AA1190" s="20"/>
      <c r="AB1190" s="20"/>
    </row>
    <row r="1191">
      <c r="A1191" s="20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121"/>
      <c r="Z1191" s="20"/>
      <c r="AA1191" s="20"/>
      <c r="AB1191" s="20"/>
    </row>
    <row r="1192">
      <c r="A1192" s="20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121"/>
      <c r="Z1192" s="20"/>
      <c r="AA1192" s="20"/>
      <c r="AB1192" s="20"/>
    </row>
    <row r="1193">
      <c r="A1193" s="20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121"/>
      <c r="Z1193" s="20"/>
      <c r="AA1193" s="20"/>
      <c r="AB1193" s="20"/>
    </row>
    <row r="1194">
      <c r="A1194" s="20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121"/>
      <c r="Z1194" s="20"/>
      <c r="AA1194" s="20"/>
      <c r="AB1194" s="20"/>
    </row>
    <row r="1195">
      <c r="A1195" s="20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121"/>
      <c r="Z1195" s="20"/>
      <c r="AA1195" s="20"/>
      <c r="AB1195" s="20"/>
    </row>
    <row r="1196">
      <c r="A1196" s="20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121"/>
      <c r="Z1196" s="20"/>
      <c r="AA1196" s="20"/>
      <c r="AB1196" s="20"/>
    </row>
    <row r="1197">
      <c r="A1197" s="20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121"/>
      <c r="Z1197" s="20"/>
      <c r="AA1197" s="20"/>
      <c r="AB1197" s="20"/>
    </row>
    <row r="1198">
      <c r="A1198" s="20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121"/>
      <c r="Z1198" s="20"/>
      <c r="AA1198" s="20"/>
      <c r="AB1198" s="20"/>
    </row>
    <row r="1199">
      <c r="A1199" s="20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121"/>
      <c r="Z1199" s="20"/>
      <c r="AA1199" s="20"/>
      <c r="AB1199" s="20"/>
    </row>
    <row r="1200">
      <c r="A1200" s="20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121"/>
      <c r="Z1200" s="20"/>
      <c r="AA1200" s="20"/>
      <c r="AB1200" s="20"/>
    </row>
    <row r="1201">
      <c r="A1201" s="20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121"/>
      <c r="Z1201" s="20"/>
      <c r="AA1201" s="20"/>
      <c r="AB1201" s="20"/>
    </row>
    <row r="1202">
      <c r="A1202" s="20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121"/>
      <c r="Z1202" s="20"/>
      <c r="AA1202" s="20"/>
      <c r="AB1202" s="20"/>
    </row>
    <row r="1203">
      <c r="A1203" s="20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121"/>
      <c r="Z1203" s="20"/>
      <c r="AA1203" s="20"/>
      <c r="AB1203" s="20"/>
    </row>
    <row r="1204">
      <c r="A1204" s="20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121"/>
      <c r="Z1204" s="20"/>
      <c r="AA1204" s="20"/>
      <c r="AB1204" s="20"/>
    </row>
    <row r="1205">
      <c r="A1205" s="20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121"/>
      <c r="Z1205" s="20"/>
      <c r="AA1205" s="20"/>
      <c r="AB1205" s="20"/>
    </row>
    <row r="1206">
      <c r="A1206" s="20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121"/>
      <c r="Z1206" s="20"/>
      <c r="AA1206" s="20"/>
      <c r="AB1206" s="20"/>
    </row>
    <row r="1207">
      <c r="A1207" s="20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121"/>
      <c r="Z1207" s="20"/>
      <c r="AA1207" s="20"/>
      <c r="AB1207" s="20"/>
    </row>
    <row r="1208">
      <c r="A1208" s="20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121"/>
      <c r="Z1208" s="20"/>
      <c r="AA1208" s="20"/>
      <c r="AB1208" s="20"/>
    </row>
    <row r="1209">
      <c r="A1209" s="20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121"/>
      <c r="Z1209" s="20"/>
      <c r="AA1209" s="20"/>
      <c r="AB1209" s="20"/>
    </row>
    <row r="1210">
      <c r="A1210" s="20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121"/>
      <c r="Z1210" s="20"/>
      <c r="AA1210" s="20"/>
      <c r="AB1210" s="20"/>
    </row>
    <row r="1211">
      <c r="A1211" s="20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121"/>
      <c r="Z1211" s="20"/>
      <c r="AA1211" s="20"/>
      <c r="AB1211" s="20"/>
    </row>
    <row r="1212">
      <c r="A1212" s="20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121"/>
      <c r="Z1212" s="20"/>
      <c r="AA1212" s="20"/>
      <c r="AB1212" s="20"/>
    </row>
    <row r="1213">
      <c r="A1213" s="20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121"/>
      <c r="Z1213" s="20"/>
      <c r="AA1213" s="20"/>
      <c r="AB1213" s="20"/>
    </row>
    <row r="1214">
      <c r="A1214" s="20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121"/>
      <c r="Z1214" s="20"/>
      <c r="AA1214" s="20"/>
      <c r="AB1214" s="20"/>
    </row>
    <row r="1215">
      <c r="A1215" s="20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121"/>
      <c r="Z1215" s="20"/>
      <c r="AA1215" s="20"/>
      <c r="AB1215" s="20"/>
    </row>
    <row r="1216">
      <c r="A1216" s="20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121"/>
      <c r="Z1216" s="20"/>
      <c r="AA1216" s="20"/>
      <c r="AB1216" s="20"/>
    </row>
    <row r="1217">
      <c r="A1217" s="20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121"/>
      <c r="Z1217" s="20"/>
      <c r="AA1217" s="20"/>
      <c r="AB1217" s="20"/>
    </row>
    <row r="1218">
      <c r="A1218" s="20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121"/>
      <c r="Z1218" s="20"/>
      <c r="AA1218" s="20"/>
      <c r="AB1218" s="20"/>
    </row>
    <row r="1219">
      <c r="A1219" s="20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121"/>
      <c r="Z1219" s="20"/>
      <c r="AA1219" s="20"/>
      <c r="AB1219" s="20"/>
    </row>
    <row r="1220">
      <c r="A1220" s="20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121"/>
      <c r="Z1220" s="20"/>
      <c r="AA1220" s="20"/>
      <c r="AB1220" s="20"/>
    </row>
    <row r="1221">
      <c r="A1221" s="20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121"/>
      <c r="Z1221" s="20"/>
      <c r="AA1221" s="20"/>
      <c r="AB1221" s="20"/>
    </row>
    <row r="1222">
      <c r="A1222" s="20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121"/>
      <c r="Z1222" s="20"/>
      <c r="AA1222" s="20"/>
      <c r="AB1222" s="20"/>
    </row>
    <row r="1223">
      <c r="A1223" s="20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121"/>
      <c r="Z1223" s="20"/>
      <c r="AA1223" s="20"/>
      <c r="AB1223" s="20"/>
    </row>
    <row r="1224">
      <c r="A1224" s="20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121"/>
      <c r="Z1224" s="20"/>
      <c r="AA1224" s="20"/>
      <c r="AB1224" s="20"/>
    </row>
    <row r="1225">
      <c r="A1225" s="20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121"/>
      <c r="Z1225" s="20"/>
      <c r="AA1225" s="20"/>
      <c r="AB1225" s="20"/>
    </row>
    <row r="1226">
      <c r="A1226" s="20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121"/>
      <c r="Z1226" s="20"/>
      <c r="AA1226" s="20"/>
      <c r="AB1226" s="20"/>
    </row>
    <row r="1227">
      <c r="A1227" s="20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121"/>
      <c r="Z1227" s="20"/>
      <c r="AA1227" s="20"/>
      <c r="AB1227" s="20"/>
    </row>
    <row r="1228">
      <c r="A1228" s="20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121"/>
      <c r="Z1228" s="20"/>
      <c r="AA1228" s="20"/>
      <c r="AB1228" s="20"/>
    </row>
    <row r="1229">
      <c r="A1229" s="20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121"/>
      <c r="Z1229" s="20"/>
      <c r="AA1229" s="20"/>
      <c r="AB1229" s="20"/>
    </row>
    <row r="1230">
      <c r="A1230" s="20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121"/>
      <c r="Z1230" s="20"/>
      <c r="AA1230" s="20"/>
      <c r="AB1230" s="20"/>
    </row>
    <row r="1231">
      <c r="A1231" s="20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121"/>
      <c r="Z1231" s="20"/>
      <c r="AA1231" s="20"/>
      <c r="AB1231" s="20"/>
    </row>
    <row r="1232">
      <c r="A1232" s="20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121"/>
      <c r="Z1232" s="20"/>
      <c r="AA1232" s="20"/>
      <c r="AB1232" s="20"/>
    </row>
    <row r="1233">
      <c r="A1233" s="20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121"/>
      <c r="Z1233" s="20"/>
      <c r="AA1233" s="20"/>
      <c r="AB1233" s="20"/>
    </row>
    <row r="1234">
      <c r="A1234" s="20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121"/>
      <c r="Z1234" s="20"/>
      <c r="AA1234" s="20"/>
      <c r="AB1234" s="20"/>
    </row>
    <row r="1235">
      <c r="A1235" s="20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121"/>
      <c r="Z1235" s="20"/>
      <c r="AA1235" s="20"/>
      <c r="AB1235" s="20"/>
    </row>
    <row r="1236">
      <c r="A1236" s="20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121"/>
      <c r="Z1236" s="20"/>
      <c r="AA1236" s="20"/>
      <c r="AB1236" s="20"/>
    </row>
    <row r="1237">
      <c r="A1237" s="20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121"/>
      <c r="Z1237" s="20"/>
      <c r="AA1237" s="20"/>
      <c r="AB1237" s="20"/>
    </row>
    <row r="1238">
      <c r="A1238" s="20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121"/>
      <c r="Z1238" s="20"/>
      <c r="AA1238" s="20"/>
      <c r="AB1238" s="20"/>
    </row>
    <row r="1239">
      <c r="A1239" s="20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121"/>
      <c r="Z1239" s="20"/>
      <c r="AA1239" s="20"/>
      <c r="AB1239" s="20"/>
    </row>
    <row r="1240">
      <c r="A1240" s="20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121"/>
      <c r="Z1240" s="20"/>
      <c r="AA1240" s="20"/>
      <c r="AB1240" s="20"/>
    </row>
    <row r="1241">
      <c r="A1241" s="20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121"/>
      <c r="Z1241" s="20"/>
      <c r="AA1241" s="20"/>
      <c r="AB1241" s="20"/>
    </row>
    <row r="1242">
      <c r="A1242" s="20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121"/>
      <c r="Z1242" s="20"/>
      <c r="AA1242" s="20"/>
      <c r="AB1242" s="20"/>
    </row>
    <row r="1243">
      <c r="A1243" s="20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121"/>
      <c r="Z1243" s="20"/>
      <c r="AA1243" s="20"/>
      <c r="AB1243" s="20"/>
    </row>
    <row r="1244">
      <c r="A1244" s="20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121"/>
      <c r="Z1244" s="20"/>
      <c r="AA1244" s="20"/>
      <c r="AB1244" s="20"/>
    </row>
    <row r="1245">
      <c r="A1245" s="20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121"/>
      <c r="Z1245" s="20"/>
      <c r="AA1245" s="20"/>
      <c r="AB1245" s="20"/>
    </row>
    <row r="1246">
      <c r="A1246" s="20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121"/>
      <c r="Z1246" s="20"/>
      <c r="AA1246" s="20"/>
      <c r="AB1246" s="20"/>
    </row>
    <row r="1247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121"/>
      <c r="Z1247" s="20"/>
      <c r="AA1247" s="20"/>
      <c r="AB1247" s="20"/>
    </row>
    <row r="1248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121"/>
      <c r="Z1248" s="20"/>
      <c r="AA1248" s="20"/>
      <c r="AB1248" s="20"/>
    </row>
    <row r="1249">
      <c r="A1249" s="20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121"/>
      <c r="Z1249" s="20"/>
      <c r="AA1249" s="20"/>
      <c r="AB1249" s="20"/>
    </row>
    <row r="1250">
      <c r="A1250" s="20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121"/>
      <c r="Z1250" s="20"/>
      <c r="AA1250" s="20"/>
      <c r="AB1250" s="20"/>
    </row>
    <row r="1251">
      <c r="A1251" s="20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121"/>
      <c r="Z1251" s="20"/>
      <c r="AA1251" s="20"/>
      <c r="AB1251" s="20"/>
    </row>
    <row r="1252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121"/>
      <c r="Z1252" s="20"/>
      <c r="AA1252" s="20"/>
      <c r="AB1252" s="20"/>
    </row>
    <row r="1253">
      <c r="A1253" s="20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121"/>
      <c r="Z1253" s="20"/>
      <c r="AA1253" s="20"/>
      <c r="AB1253" s="20"/>
    </row>
    <row r="1254">
      <c r="A1254" s="20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121"/>
      <c r="Z1254" s="20"/>
      <c r="AA1254" s="20"/>
      <c r="AB1254" s="20"/>
    </row>
    <row r="1255">
      <c r="A1255" s="20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121"/>
      <c r="Z1255" s="20"/>
      <c r="AA1255" s="20"/>
      <c r="AB1255" s="20"/>
    </row>
    <row r="1256">
      <c r="A1256" s="20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121"/>
      <c r="Z1256" s="20"/>
      <c r="AA1256" s="20"/>
      <c r="AB1256" s="20"/>
    </row>
    <row r="1257">
      <c r="A1257" s="20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121"/>
      <c r="Z1257" s="20"/>
      <c r="AA1257" s="20"/>
      <c r="AB1257" s="20"/>
    </row>
    <row r="1258">
      <c r="A1258" s="20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121"/>
      <c r="Z1258" s="20"/>
      <c r="AA1258" s="20"/>
      <c r="AB1258" s="20"/>
    </row>
    <row r="1259">
      <c r="A1259" s="20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121"/>
      <c r="Z1259" s="20"/>
      <c r="AA1259" s="20"/>
      <c r="AB1259" s="20"/>
    </row>
    <row r="1260">
      <c r="A1260" s="20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121"/>
      <c r="Z1260" s="20"/>
      <c r="AA1260" s="20"/>
      <c r="AB1260" s="20"/>
    </row>
    <row r="1261">
      <c r="A1261" s="20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121"/>
      <c r="Z1261" s="20"/>
      <c r="AA1261" s="20"/>
      <c r="AB1261" s="20"/>
    </row>
    <row r="1262">
      <c r="A1262" s="20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121"/>
      <c r="Z1262" s="20"/>
      <c r="AA1262" s="20"/>
      <c r="AB1262" s="20"/>
    </row>
    <row r="1263">
      <c r="A1263" s="20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121"/>
      <c r="Z1263" s="20"/>
      <c r="AA1263" s="20"/>
      <c r="AB1263" s="20"/>
    </row>
    <row r="1264">
      <c r="A1264" s="20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121"/>
      <c r="Z1264" s="20"/>
      <c r="AA1264" s="20"/>
      <c r="AB1264" s="20"/>
    </row>
    <row r="1265">
      <c r="A1265" s="20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121"/>
      <c r="Z1265" s="20"/>
      <c r="AA1265" s="20"/>
      <c r="AB1265" s="20"/>
    </row>
    <row r="1266">
      <c r="A1266" s="20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121"/>
      <c r="Z1266" s="20"/>
      <c r="AA1266" s="20"/>
      <c r="AB1266" s="20"/>
    </row>
    <row r="1267">
      <c r="A1267" s="20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121"/>
      <c r="Z1267" s="20"/>
      <c r="AA1267" s="20"/>
      <c r="AB1267" s="20"/>
    </row>
    <row r="1268">
      <c r="A1268" s="20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121"/>
      <c r="Z1268" s="20"/>
      <c r="AA1268" s="20"/>
      <c r="AB1268" s="20"/>
    </row>
    <row r="1269">
      <c r="A1269" s="20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121"/>
      <c r="Z1269" s="20"/>
      <c r="AA1269" s="20"/>
      <c r="AB1269" s="20"/>
    </row>
    <row r="1270">
      <c r="A1270" s="20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121"/>
      <c r="Z1270" s="20"/>
      <c r="AA1270" s="20"/>
      <c r="AB1270" s="20"/>
    </row>
    <row r="1271">
      <c r="A1271" s="20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121"/>
      <c r="Z1271" s="20"/>
      <c r="AA1271" s="20"/>
      <c r="AB1271" s="20"/>
    </row>
    <row r="1272">
      <c r="A1272" s="20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121"/>
      <c r="Z1272" s="20"/>
      <c r="AA1272" s="20"/>
      <c r="AB1272" s="20"/>
    </row>
    <row r="1273">
      <c r="A1273" s="20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121"/>
      <c r="Z1273" s="20"/>
      <c r="AA1273" s="20"/>
      <c r="AB1273" s="20"/>
    </row>
    <row r="1274">
      <c r="A1274" s="20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121"/>
      <c r="Z1274" s="20"/>
      <c r="AA1274" s="20"/>
      <c r="AB1274" s="20"/>
    </row>
    <row r="1275">
      <c r="A1275" s="20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121"/>
      <c r="Z1275" s="20"/>
      <c r="AA1275" s="20"/>
      <c r="AB1275" s="20"/>
    </row>
    <row r="1276">
      <c r="A1276" s="20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121"/>
      <c r="Z1276" s="20"/>
      <c r="AA1276" s="20"/>
      <c r="AB1276" s="20"/>
    </row>
    <row r="1277">
      <c r="A1277" s="20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121"/>
      <c r="Z1277" s="20"/>
      <c r="AA1277" s="20"/>
      <c r="AB1277" s="20"/>
    </row>
    <row r="1278">
      <c r="A1278" s="20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121"/>
      <c r="Z1278" s="20"/>
      <c r="AA1278" s="20"/>
      <c r="AB1278" s="20"/>
    </row>
    <row r="1279">
      <c r="A1279" s="20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121"/>
      <c r="Z1279" s="20"/>
      <c r="AA1279" s="20"/>
      <c r="AB1279" s="20"/>
    </row>
    <row r="1280">
      <c r="A1280" s="20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121"/>
      <c r="Z1280" s="20"/>
      <c r="AA1280" s="20"/>
      <c r="AB1280" s="20"/>
    </row>
    <row r="1281">
      <c r="A1281" s="20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121"/>
      <c r="Z1281" s="20"/>
      <c r="AA1281" s="20"/>
      <c r="AB1281" s="20"/>
    </row>
    <row r="1282">
      <c r="A1282" s="20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121"/>
      <c r="Z1282" s="20"/>
      <c r="AA1282" s="20"/>
      <c r="AB1282" s="20"/>
    </row>
    <row r="1283">
      <c r="A1283" s="20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121"/>
      <c r="Z1283" s="20"/>
      <c r="AA1283" s="20"/>
      <c r="AB1283" s="20"/>
    </row>
    <row r="1284">
      <c r="A1284" s="20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121"/>
      <c r="Z1284" s="20"/>
      <c r="AA1284" s="20"/>
      <c r="AB1284" s="20"/>
    </row>
    <row r="1285">
      <c r="A1285" s="20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121"/>
      <c r="Z1285" s="20"/>
      <c r="AA1285" s="20"/>
      <c r="AB1285" s="20"/>
    </row>
    <row r="1286">
      <c r="A1286" s="20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121"/>
      <c r="Z1286" s="20"/>
      <c r="AA1286" s="20"/>
      <c r="AB1286" s="20"/>
    </row>
    <row r="1287">
      <c r="A1287" s="20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121"/>
      <c r="Z1287" s="20"/>
      <c r="AA1287" s="20"/>
      <c r="AB1287" s="20"/>
    </row>
    <row r="1288">
      <c r="A1288" s="20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121"/>
      <c r="Z1288" s="20"/>
      <c r="AA1288" s="20"/>
      <c r="AB1288" s="20"/>
    </row>
    <row r="1289">
      <c r="A1289" s="20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121"/>
      <c r="Z1289" s="20"/>
      <c r="AA1289" s="20"/>
      <c r="AB1289" s="20"/>
    </row>
    <row r="1290">
      <c r="A1290" s="20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121"/>
      <c r="Z1290" s="20"/>
      <c r="AA1290" s="20"/>
      <c r="AB1290" s="20"/>
    </row>
    <row r="1291">
      <c r="A1291" s="20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121"/>
      <c r="Z1291" s="20"/>
      <c r="AA1291" s="20"/>
      <c r="AB1291" s="20"/>
    </row>
    <row r="1292">
      <c r="A1292" s="20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121"/>
      <c r="Z1292" s="20"/>
      <c r="AA1292" s="20"/>
      <c r="AB1292" s="20"/>
    </row>
    <row r="1293">
      <c r="A1293" s="20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121"/>
      <c r="Z1293" s="20"/>
      <c r="AA1293" s="20"/>
      <c r="AB1293" s="20"/>
    </row>
    <row r="1294">
      <c r="A1294" s="20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121"/>
      <c r="Z1294" s="20"/>
      <c r="AA1294" s="20"/>
      <c r="AB1294" s="20"/>
    </row>
    <row r="1295">
      <c r="A1295" s="20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121"/>
      <c r="Z1295" s="20"/>
      <c r="AA1295" s="20"/>
      <c r="AB1295" s="20"/>
    </row>
    <row r="1296">
      <c r="A1296" s="20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121"/>
      <c r="Z1296" s="20"/>
      <c r="AA1296" s="20"/>
      <c r="AB1296" s="20"/>
    </row>
    <row r="1297">
      <c r="A1297" s="20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121"/>
      <c r="Z1297" s="20"/>
      <c r="AA1297" s="20"/>
      <c r="AB1297" s="20"/>
    </row>
    <row r="1298">
      <c r="A1298" s="20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121"/>
      <c r="Z1298" s="20"/>
      <c r="AA1298" s="20"/>
      <c r="AB1298" s="20"/>
    </row>
    <row r="1299">
      <c r="A1299" s="20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121"/>
      <c r="Z1299" s="20"/>
      <c r="AA1299" s="20"/>
      <c r="AB1299" s="20"/>
    </row>
    <row r="1300">
      <c r="A1300" s="20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121"/>
      <c r="Z1300" s="20"/>
      <c r="AA1300" s="20"/>
      <c r="AB1300" s="20"/>
    </row>
    <row r="1301">
      <c r="A1301" s="20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121"/>
      <c r="Z1301" s="20"/>
      <c r="AA1301" s="20"/>
      <c r="AB1301" s="20"/>
    </row>
    <row r="1302">
      <c r="A1302" s="20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121"/>
      <c r="Z1302" s="20"/>
      <c r="AA1302" s="20"/>
      <c r="AB1302" s="20"/>
    </row>
    <row r="1303">
      <c r="A1303" s="20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121"/>
      <c r="Z1303" s="20"/>
      <c r="AA1303" s="20"/>
      <c r="AB1303" s="20"/>
    </row>
    <row r="1304">
      <c r="A1304" s="20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121"/>
      <c r="Z1304" s="20"/>
      <c r="AA1304" s="20"/>
      <c r="AB1304" s="20"/>
    </row>
    <row r="1305">
      <c r="A1305" s="20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121"/>
      <c r="Z1305" s="20"/>
      <c r="AA1305" s="20"/>
      <c r="AB1305" s="20"/>
    </row>
    <row r="1306">
      <c r="A1306" s="20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121"/>
      <c r="Z1306" s="20"/>
      <c r="AA1306" s="20"/>
      <c r="AB1306" s="20"/>
    </row>
    <row r="1307">
      <c r="A1307" s="20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121"/>
      <c r="Z1307" s="20"/>
      <c r="AA1307" s="20"/>
      <c r="AB1307" s="20"/>
    </row>
    <row r="1308">
      <c r="A1308" s="20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121"/>
      <c r="Z1308" s="20"/>
      <c r="AA1308" s="20"/>
      <c r="AB1308" s="20"/>
    </row>
    <row r="1309">
      <c r="A1309" s="20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121"/>
      <c r="Z1309" s="20"/>
      <c r="AA1309" s="20"/>
      <c r="AB1309" s="20"/>
    </row>
    <row r="1310">
      <c r="A1310" s="20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121"/>
      <c r="Z1310" s="20"/>
      <c r="AA1310" s="20"/>
      <c r="AB1310" s="20"/>
    </row>
    <row r="1311">
      <c r="A1311" s="20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121"/>
      <c r="Z1311" s="20"/>
      <c r="AA1311" s="20"/>
      <c r="AB1311" s="20"/>
    </row>
    <row r="1312">
      <c r="A1312" s="20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121"/>
      <c r="Z1312" s="20"/>
      <c r="AA1312" s="20"/>
      <c r="AB1312" s="20"/>
    </row>
    <row r="1313">
      <c r="A1313" s="20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121"/>
      <c r="Z1313" s="20"/>
      <c r="AA1313" s="20"/>
      <c r="AB1313" s="20"/>
    </row>
    <row r="1314">
      <c r="A1314" s="20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121"/>
      <c r="Z1314" s="20"/>
      <c r="AA1314" s="20"/>
      <c r="AB1314" s="20"/>
    </row>
    <row r="1315">
      <c r="A1315" s="20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121"/>
      <c r="Z1315" s="20"/>
      <c r="AA1315" s="20"/>
      <c r="AB1315" s="20"/>
    </row>
    <row r="1316">
      <c r="A1316" s="20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121"/>
      <c r="Z1316" s="20"/>
      <c r="AA1316" s="20"/>
      <c r="AB1316" s="20"/>
    </row>
    <row r="1317">
      <c r="A1317" s="20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121"/>
      <c r="Z1317" s="20"/>
      <c r="AA1317" s="20"/>
      <c r="AB1317" s="20"/>
    </row>
    <row r="1318">
      <c r="A1318" s="20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121"/>
      <c r="Z1318" s="20"/>
      <c r="AA1318" s="20"/>
      <c r="AB1318" s="20"/>
    </row>
    <row r="1319">
      <c r="A1319" s="20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121"/>
      <c r="Z1319" s="20"/>
      <c r="AA1319" s="20"/>
      <c r="AB1319" s="20"/>
    </row>
    <row r="1320">
      <c r="A1320" s="20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121"/>
      <c r="Z1320" s="20"/>
      <c r="AA1320" s="20"/>
      <c r="AB1320" s="20"/>
    </row>
    <row r="1321">
      <c r="A1321" s="20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121"/>
      <c r="Z1321" s="20"/>
      <c r="AA1321" s="20"/>
      <c r="AB1321" s="20"/>
    </row>
    <row r="1322">
      <c r="A1322" s="20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121"/>
      <c r="Z1322" s="20"/>
      <c r="AA1322" s="20"/>
      <c r="AB1322" s="20"/>
    </row>
    <row r="1323">
      <c r="A1323" s="20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121"/>
      <c r="Z1323" s="20"/>
      <c r="AA1323" s="20"/>
      <c r="AB1323" s="20"/>
    </row>
    <row r="1324">
      <c r="A1324" s="20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121"/>
      <c r="Z1324" s="20"/>
      <c r="AA1324" s="20"/>
      <c r="AB1324" s="20"/>
    </row>
    <row r="1325">
      <c r="A1325" s="20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121"/>
      <c r="Z1325" s="20"/>
      <c r="AA1325" s="20"/>
      <c r="AB1325" s="20"/>
    </row>
    <row r="1326">
      <c r="A1326" s="20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121"/>
      <c r="Z1326" s="20"/>
      <c r="AA1326" s="20"/>
      <c r="AB1326" s="20"/>
    </row>
    <row r="1327">
      <c r="A1327" s="20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121"/>
      <c r="Z1327" s="20"/>
      <c r="AA1327" s="20"/>
      <c r="AB1327" s="20"/>
    </row>
    <row r="1328">
      <c r="A1328" s="20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121"/>
      <c r="Z1328" s="20"/>
      <c r="AA1328" s="20"/>
      <c r="AB1328" s="20"/>
    </row>
    <row r="1329">
      <c r="A1329" s="20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121"/>
      <c r="Z1329" s="20"/>
      <c r="AA1329" s="20"/>
      <c r="AB1329" s="20"/>
    </row>
    <row r="1330">
      <c r="A1330" s="20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121"/>
      <c r="Z1330" s="20"/>
      <c r="AA1330" s="20"/>
      <c r="AB1330" s="20"/>
    </row>
    <row r="1331">
      <c r="A1331" s="20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121"/>
      <c r="Z1331" s="20"/>
      <c r="AA1331" s="20"/>
      <c r="AB1331" s="20"/>
    </row>
    <row r="1332">
      <c r="A1332" s="20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121"/>
      <c r="Z1332" s="20"/>
      <c r="AA1332" s="20"/>
      <c r="AB1332" s="20"/>
    </row>
    <row r="1333">
      <c r="A1333" s="20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121"/>
      <c r="Z1333" s="20"/>
      <c r="AA1333" s="20"/>
      <c r="AB1333" s="20"/>
    </row>
    <row r="1334">
      <c r="A1334" s="20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121"/>
      <c r="Z1334" s="20"/>
      <c r="AA1334" s="20"/>
      <c r="AB1334" s="20"/>
    </row>
    <row r="1335">
      <c r="A1335" s="20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121"/>
      <c r="Z1335" s="20"/>
      <c r="AA1335" s="20"/>
      <c r="AB1335" s="20"/>
    </row>
    <row r="1336">
      <c r="A1336" s="20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121"/>
      <c r="Z1336" s="20"/>
      <c r="AA1336" s="20"/>
      <c r="AB1336" s="20"/>
    </row>
    <row r="1337">
      <c r="A1337" s="20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121"/>
      <c r="Z1337" s="20"/>
      <c r="AA1337" s="20"/>
      <c r="AB1337" s="20"/>
    </row>
    <row r="1338">
      <c r="A1338" s="20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121"/>
      <c r="Z1338" s="20"/>
      <c r="AA1338" s="20"/>
      <c r="AB1338" s="20"/>
    </row>
    <row r="1339">
      <c r="A1339" s="20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121"/>
      <c r="Z1339" s="20"/>
      <c r="AA1339" s="20"/>
      <c r="AB1339" s="20"/>
    </row>
    <row r="1340">
      <c r="A1340" s="20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121"/>
      <c r="Z1340" s="20"/>
      <c r="AA1340" s="20"/>
      <c r="AB1340" s="20"/>
    </row>
    <row r="1341">
      <c r="A1341" s="20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121"/>
      <c r="Z1341" s="20"/>
      <c r="AA1341" s="20"/>
      <c r="AB1341" s="20"/>
    </row>
    <row r="1342">
      <c r="A1342" s="20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121"/>
      <c r="Z1342" s="20"/>
      <c r="AA1342" s="20"/>
      <c r="AB1342" s="20"/>
    </row>
    <row r="1343">
      <c r="A1343" s="20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121"/>
      <c r="Z1343" s="20"/>
      <c r="AA1343" s="20"/>
      <c r="AB1343" s="20"/>
    </row>
    <row r="1344">
      <c r="A1344" s="20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121"/>
      <c r="Z1344" s="20"/>
      <c r="AA1344" s="20"/>
      <c r="AB1344" s="20"/>
    </row>
    <row r="1345">
      <c r="A1345" s="20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121"/>
      <c r="Z1345" s="20"/>
      <c r="AA1345" s="20"/>
      <c r="AB1345" s="20"/>
    </row>
    <row r="1346">
      <c r="A1346" s="20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121"/>
      <c r="Z1346" s="20"/>
      <c r="AA1346" s="20"/>
      <c r="AB1346" s="20"/>
    </row>
    <row r="1347">
      <c r="A1347" s="20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121"/>
      <c r="Z1347" s="20"/>
      <c r="AA1347" s="20"/>
      <c r="AB1347" s="20"/>
    </row>
    <row r="1348">
      <c r="A1348" s="20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121"/>
      <c r="Z1348" s="20"/>
      <c r="AA1348" s="20"/>
      <c r="AB1348" s="20"/>
    </row>
    <row r="1349">
      <c r="A1349" s="20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121"/>
      <c r="Z1349" s="20"/>
      <c r="AA1349" s="20"/>
      <c r="AB1349" s="20"/>
    </row>
    <row r="1350">
      <c r="A1350" s="20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121"/>
      <c r="Z1350" s="20"/>
      <c r="AA1350" s="20"/>
      <c r="AB1350" s="20"/>
    </row>
    <row r="1351">
      <c r="A1351" s="20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121"/>
      <c r="Z1351" s="20"/>
      <c r="AA1351" s="20"/>
      <c r="AB1351" s="20"/>
    </row>
    <row r="1352">
      <c r="A1352" s="20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121"/>
      <c r="Z1352" s="20"/>
      <c r="AA1352" s="20"/>
      <c r="AB1352" s="20"/>
    </row>
    <row r="1353">
      <c r="A1353" s="20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121"/>
      <c r="Z1353" s="20"/>
      <c r="AA1353" s="20"/>
      <c r="AB1353" s="20"/>
    </row>
    <row r="1354">
      <c r="A1354" s="20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121"/>
      <c r="Z1354" s="20"/>
      <c r="AA1354" s="20"/>
      <c r="AB1354" s="20"/>
    </row>
    <row r="1355">
      <c r="A1355" s="20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121"/>
      <c r="Z1355" s="20"/>
      <c r="AA1355" s="20"/>
      <c r="AB1355" s="20"/>
    </row>
    <row r="1356">
      <c r="A1356" s="20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121"/>
      <c r="Z1356" s="20"/>
      <c r="AA1356" s="20"/>
      <c r="AB1356" s="20"/>
    </row>
    <row r="1357">
      <c r="A1357" s="20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121"/>
      <c r="Z1357" s="20"/>
      <c r="AA1357" s="20"/>
      <c r="AB1357" s="20"/>
    </row>
    <row r="1358">
      <c r="A1358" s="20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121"/>
      <c r="Z1358" s="20"/>
      <c r="AA1358" s="20"/>
      <c r="AB1358" s="20"/>
    </row>
    <row r="1359">
      <c r="A1359" s="20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121"/>
      <c r="Z1359" s="20"/>
      <c r="AA1359" s="20"/>
      <c r="AB1359" s="20"/>
    </row>
    <row r="1360">
      <c r="A1360" s="20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121"/>
      <c r="Z1360" s="20"/>
      <c r="AA1360" s="20"/>
      <c r="AB1360" s="20"/>
    </row>
    <row r="1361">
      <c r="A1361" s="20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121"/>
      <c r="Z1361" s="20"/>
      <c r="AA1361" s="20"/>
      <c r="AB1361" s="20"/>
    </row>
    <row r="1362">
      <c r="A1362" s="20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121"/>
      <c r="Z1362" s="20"/>
      <c r="AA1362" s="20"/>
      <c r="AB1362" s="20"/>
    </row>
    <row r="1363">
      <c r="A1363" s="20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121"/>
      <c r="Z1363" s="20"/>
      <c r="AA1363" s="20"/>
      <c r="AB1363" s="20"/>
    </row>
    <row r="1364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121"/>
      <c r="Z1364" s="20"/>
      <c r="AA1364" s="20"/>
      <c r="AB1364" s="20"/>
    </row>
    <row r="1365">
      <c r="A1365" s="20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121"/>
      <c r="Z1365" s="20"/>
      <c r="AA1365" s="20"/>
      <c r="AB1365" s="20"/>
    </row>
    <row r="1366">
      <c r="A1366" s="20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121"/>
      <c r="Z1366" s="20"/>
      <c r="AA1366" s="20"/>
      <c r="AB1366" s="20"/>
    </row>
    <row r="1367">
      <c r="A1367" s="20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121"/>
      <c r="Z1367" s="20"/>
      <c r="AA1367" s="20"/>
      <c r="AB1367" s="20"/>
    </row>
    <row r="1368">
      <c r="A1368" s="20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121"/>
      <c r="Z1368" s="20"/>
      <c r="AA1368" s="20"/>
      <c r="AB1368" s="20"/>
    </row>
    <row r="1369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121"/>
      <c r="Z1369" s="20"/>
      <c r="AA1369" s="20"/>
      <c r="AB1369" s="20"/>
    </row>
    <row r="1370">
      <c r="A1370" s="20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121"/>
      <c r="Z1370" s="20"/>
      <c r="AA1370" s="20"/>
      <c r="AB1370" s="20"/>
    </row>
    <row r="1371">
      <c r="A1371" s="20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121"/>
      <c r="Z1371" s="20"/>
      <c r="AA1371" s="20"/>
      <c r="AB1371" s="20"/>
    </row>
    <row r="1372">
      <c r="A1372" s="20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121"/>
      <c r="Z1372" s="20"/>
      <c r="AA1372" s="20"/>
      <c r="AB1372" s="20"/>
    </row>
    <row r="1373">
      <c r="A1373" s="20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121"/>
      <c r="Z1373" s="20"/>
      <c r="AA1373" s="20"/>
      <c r="AB1373" s="20"/>
    </row>
    <row r="1374">
      <c r="A1374" s="20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121"/>
      <c r="Z1374" s="20"/>
      <c r="AA1374" s="20"/>
      <c r="AB1374" s="20"/>
    </row>
    <row r="1375">
      <c r="A1375" s="20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121"/>
      <c r="Z1375" s="20"/>
      <c r="AA1375" s="20"/>
      <c r="AB1375" s="20"/>
    </row>
    <row r="1376">
      <c r="A1376" s="20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121"/>
      <c r="Z1376" s="20"/>
      <c r="AA1376" s="20"/>
      <c r="AB1376" s="20"/>
    </row>
    <row r="1377">
      <c r="A1377" s="20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121"/>
      <c r="Z1377" s="20"/>
      <c r="AA1377" s="20"/>
      <c r="AB1377" s="20"/>
    </row>
    <row r="1378">
      <c r="A1378" s="20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121"/>
      <c r="Z1378" s="20"/>
      <c r="AA1378" s="20"/>
      <c r="AB1378" s="20"/>
    </row>
    <row r="1379">
      <c r="A1379" s="20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121"/>
      <c r="Z1379" s="20"/>
      <c r="AA1379" s="20"/>
      <c r="AB1379" s="20"/>
    </row>
    <row r="1380">
      <c r="A1380" s="20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121"/>
      <c r="Z1380" s="20"/>
      <c r="AA1380" s="20"/>
      <c r="AB1380" s="20"/>
    </row>
    <row r="1381">
      <c r="A1381" s="20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121"/>
      <c r="Z1381" s="20"/>
      <c r="AA1381" s="20"/>
      <c r="AB1381" s="20"/>
    </row>
    <row r="1382">
      <c r="A1382" s="20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121"/>
      <c r="Z1382" s="20"/>
      <c r="AA1382" s="20"/>
      <c r="AB1382" s="20"/>
    </row>
    <row r="1383">
      <c r="A1383" s="20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121"/>
      <c r="Z1383" s="20"/>
      <c r="AA1383" s="20"/>
      <c r="AB1383" s="20"/>
    </row>
    <row r="1384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121"/>
      <c r="Z1384" s="20"/>
      <c r="AA1384" s="20"/>
      <c r="AB1384" s="20"/>
    </row>
    <row r="1385">
      <c r="A1385" s="20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121"/>
      <c r="Z1385" s="20"/>
      <c r="AA1385" s="20"/>
      <c r="AB1385" s="20"/>
    </row>
    <row r="1386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121"/>
      <c r="Z1386" s="20"/>
      <c r="AA1386" s="20"/>
      <c r="AB1386" s="20"/>
    </row>
    <row r="1387">
      <c r="A1387" s="20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121"/>
      <c r="Z1387" s="20"/>
      <c r="AA1387" s="20"/>
      <c r="AB1387" s="20"/>
    </row>
    <row r="1388">
      <c r="A1388" s="20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121"/>
      <c r="Z1388" s="20"/>
      <c r="AA1388" s="20"/>
      <c r="AB1388" s="20"/>
    </row>
    <row r="1389">
      <c r="A1389" s="20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121"/>
      <c r="Z1389" s="20"/>
      <c r="AA1389" s="20"/>
      <c r="AB1389" s="20"/>
    </row>
    <row r="1390">
      <c r="A1390" s="20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121"/>
      <c r="Z1390" s="20"/>
      <c r="AA1390" s="20"/>
      <c r="AB1390" s="20"/>
    </row>
    <row r="1391">
      <c r="A1391" s="20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121"/>
      <c r="Z1391" s="20"/>
      <c r="AA1391" s="20"/>
      <c r="AB1391" s="20"/>
    </row>
    <row r="1392">
      <c r="A1392" s="20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121"/>
      <c r="Z1392" s="20"/>
      <c r="AA1392" s="20"/>
      <c r="AB1392" s="20"/>
    </row>
    <row r="1393">
      <c r="A1393" s="20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121"/>
      <c r="Z1393" s="20"/>
      <c r="AA1393" s="20"/>
      <c r="AB1393" s="20"/>
    </row>
    <row r="1394">
      <c r="A1394" s="20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121"/>
      <c r="Z1394" s="20"/>
      <c r="AA1394" s="20"/>
      <c r="AB1394" s="20"/>
    </row>
    <row r="1395">
      <c r="A1395" s="20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121"/>
      <c r="Z1395" s="20"/>
      <c r="AA1395" s="20"/>
      <c r="AB1395" s="20"/>
    </row>
    <row r="1396">
      <c r="A1396" s="20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121"/>
      <c r="Z1396" s="20"/>
      <c r="AA1396" s="20"/>
      <c r="AB1396" s="20"/>
    </row>
    <row r="1397">
      <c r="A1397" s="20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121"/>
      <c r="Z1397" s="20"/>
      <c r="AA1397" s="20"/>
      <c r="AB1397" s="20"/>
    </row>
    <row r="1398">
      <c r="A1398" s="20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121"/>
      <c r="Z1398" s="20"/>
      <c r="AA1398" s="20"/>
      <c r="AB1398" s="20"/>
    </row>
    <row r="1399">
      <c r="A1399" s="20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121"/>
      <c r="Z1399" s="20"/>
      <c r="AA1399" s="20"/>
      <c r="AB1399" s="20"/>
    </row>
    <row r="1400">
      <c r="A1400" s="20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121"/>
      <c r="Z1400" s="20"/>
      <c r="AA1400" s="20"/>
      <c r="AB1400" s="20"/>
    </row>
    <row r="1401">
      <c r="A1401" s="20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121"/>
      <c r="Z1401" s="20"/>
      <c r="AA1401" s="20"/>
      <c r="AB1401" s="20"/>
    </row>
    <row r="1402">
      <c r="A1402" s="20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121"/>
      <c r="Z1402" s="20"/>
      <c r="AA1402" s="20"/>
      <c r="AB1402" s="20"/>
    </row>
    <row r="1403">
      <c r="A1403" s="20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121"/>
      <c r="Z1403" s="20"/>
      <c r="AA1403" s="20"/>
      <c r="AB1403" s="20"/>
    </row>
    <row r="1404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121"/>
      <c r="Z1404" s="20"/>
      <c r="AA1404" s="20"/>
      <c r="AB1404" s="20"/>
    </row>
    <row r="1405">
      <c r="A1405" s="20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121"/>
      <c r="Z1405" s="20"/>
      <c r="AA1405" s="20"/>
      <c r="AB1405" s="20"/>
    </row>
    <row r="1406">
      <c r="A1406" s="20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121"/>
      <c r="Z1406" s="20"/>
      <c r="AA1406" s="20"/>
      <c r="AB1406" s="20"/>
    </row>
    <row r="1407">
      <c r="A1407" s="20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121"/>
      <c r="Z1407" s="20"/>
      <c r="AA1407" s="20"/>
      <c r="AB1407" s="20"/>
    </row>
    <row r="1408">
      <c r="A1408" s="20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121"/>
      <c r="Z1408" s="20"/>
      <c r="AA1408" s="20"/>
      <c r="AB1408" s="20"/>
    </row>
    <row r="1409">
      <c r="A1409" s="20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121"/>
      <c r="Z1409" s="20"/>
      <c r="AA1409" s="20"/>
      <c r="AB1409" s="20"/>
    </row>
    <row r="1410">
      <c r="A1410" s="20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121"/>
      <c r="Z1410" s="20"/>
      <c r="AA1410" s="20"/>
      <c r="AB1410" s="20"/>
    </row>
    <row r="1411">
      <c r="A1411" s="20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121"/>
      <c r="Z1411" s="20"/>
      <c r="AA1411" s="20"/>
      <c r="AB1411" s="20"/>
    </row>
    <row r="1412">
      <c r="A1412" s="20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121"/>
      <c r="Z1412" s="20"/>
      <c r="AA1412" s="20"/>
      <c r="AB1412" s="20"/>
    </row>
    <row r="1413">
      <c r="A1413" s="20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121"/>
      <c r="Z1413" s="20"/>
      <c r="AA1413" s="20"/>
      <c r="AB1413" s="20"/>
    </row>
    <row r="1414">
      <c r="A1414" s="20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121"/>
      <c r="Z1414" s="20"/>
      <c r="AA1414" s="20"/>
      <c r="AB1414" s="20"/>
    </row>
    <row r="1415">
      <c r="A1415" s="20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121"/>
      <c r="Z1415" s="20"/>
      <c r="AA1415" s="20"/>
      <c r="AB1415" s="20"/>
    </row>
    <row r="1416">
      <c r="A1416" s="20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121"/>
      <c r="Z1416" s="20"/>
      <c r="AA1416" s="20"/>
      <c r="AB1416" s="20"/>
    </row>
    <row r="1417">
      <c r="A1417" s="20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121"/>
      <c r="Z1417" s="20"/>
      <c r="AA1417" s="20"/>
      <c r="AB1417" s="20"/>
    </row>
    <row r="1418">
      <c r="A1418" s="20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121"/>
      <c r="Z1418" s="20"/>
      <c r="AA1418" s="20"/>
      <c r="AB1418" s="20"/>
    </row>
    <row r="1419">
      <c r="A1419" s="20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121"/>
      <c r="Z1419" s="20"/>
      <c r="AA1419" s="20"/>
      <c r="AB1419" s="20"/>
    </row>
    <row r="1420">
      <c r="A1420" s="20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121"/>
      <c r="Z1420" s="20"/>
      <c r="AA1420" s="20"/>
      <c r="AB1420" s="20"/>
    </row>
    <row r="1421">
      <c r="A1421" s="20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121"/>
      <c r="Z1421" s="20"/>
      <c r="AA1421" s="20"/>
      <c r="AB1421" s="20"/>
    </row>
    <row r="1422">
      <c r="A1422" s="20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121"/>
      <c r="Z1422" s="20"/>
      <c r="AA1422" s="20"/>
      <c r="AB1422" s="20"/>
    </row>
    <row r="1423">
      <c r="A1423" s="20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121"/>
      <c r="Z1423" s="20"/>
      <c r="AA1423" s="20"/>
      <c r="AB1423" s="20"/>
    </row>
    <row r="1424">
      <c r="A1424" s="20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121"/>
      <c r="Z1424" s="20"/>
      <c r="AA1424" s="20"/>
      <c r="AB1424" s="20"/>
    </row>
    <row r="1425">
      <c r="A1425" s="20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121"/>
      <c r="Z1425" s="20"/>
      <c r="AA1425" s="20"/>
      <c r="AB1425" s="20"/>
    </row>
    <row r="1426">
      <c r="A1426" s="20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121"/>
      <c r="Z1426" s="20"/>
      <c r="AA1426" s="20"/>
      <c r="AB1426" s="20"/>
    </row>
    <row r="1427">
      <c r="A1427" s="20"/>
      <c r="B1427" s="20"/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121"/>
      <c r="Z1427" s="20"/>
      <c r="AA1427" s="20"/>
      <c r="AB1427" s="20"/>
    </row>
    <row r="1428">
      <c r="A1428" s="20"/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121"/>
      <c r="Z1428" s="20"/>
      <c r="AA1428" s="20"/>
      <c r="AB1428" s="20"/>
    </row>
    <row r="1429">
      <c r="A1429" s="20"/>
      <c r="B1429" s="20"/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121"/>
      <c r="Z1429" s="20"/>
      <c r="AA1429" s="20"/>
      <c r="AB1429" s="20"/>
    </row>
    <row r="1430">
      <c r="A1430" s="20"/>
      <c r="B1430" s="20"/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121"/>
      <c r="Z1430" s="20"/>
      <c r="AA1430" s="20"/>
      <c r="AB1430" s="20"/>
    </row>
    <row r="1431">
      <c r="A1431" s="20"/>
      <c r="B1431" s="20"/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121"/>
      <c r="Z1431" s="20"/>
      <c r="AA1431" s="20"/>
      <c r="AB1431" s="20"/>
    </row>
    <row r="1432">
      <c r="A1432" s="20"/>
      <c r="B1432" s="20"/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121"/>
      <c r="Z1432" s="20"/>
      <c r="AA1432" s="20"/>
      <c r="AB1432" s="20"/>
    </row>
    <row r="1433">
      <c r="A1433" s="20"/>
      <c r="B1433" s="20"/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121"/>
      <c r="Z1433" s="20"/>
      <c r="AA1433" s="20"/>
      <c r="AB1433" s="20"/>
    </row>
    <row r="1434">
      <c r="A1434" s="20"/>
      <c r="B1434" s="20"/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121"/>
      <c r="Z1434" s="20"/>
      <c r="AA1434" s="20"/>
      <c r="AB1434" s="20"/>
    </row>
    <row r="1435">
      <c r="A1435" s="20"/>
      <c r="B1435" s="20"/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121"/>
      <c r="Z1435" s="20"/>
      <c r="AA1435" s="20"/>
      <c r="AB1435" s="20"/>
    </row>
    <row r="1436">
      <c r="A1436" s="20"/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121"/>
      <c r="Z1436" s="20"/>
      <c r="AA1436" s="20"/>
      <c r="AB1436" s="20"/>
    </row>
    <row r="1437">
      <c r="A1437" s="20"/>
      <c r="B1437" s="20"/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121"/>
      <c r="Z1437" s="20"/>
      <c r="AA1437" s="20"/>
      <c r="AB1437" s="20"/>
    </row>
    <row r="1438">
      <c r="A1438" s="20"/>
      <c r="B1438" s="20"/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121"/>
      <c r="Z1438" s="20"/>
      <c r="AA1438" s="20"/>
      <c r="AB1438" s="20"/>
    </row>
    <row r="1439">
      <c r="A1439" s="20"/>
      <c r="B1439" s="20"/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121"/>
      <c r="Z1439" s="20"/>
      <c r="AA1439" s="20"/>
      <c r="AB1439" s="20"/>
    </row>
    <row r="1440">
      <c r="A1440" s="20"/>
      <c r="B1440" s="20"/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121"/>
      <c r="Z1440" s="20"/>
      <c r="AA1440" s="20"/>
      <c r="AB1440" s="20"/>
    </row>
    <row r="1441">
      <c r="A1441" s="20"/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121"/>
      <c r="Z1441" s="20"/>
      <c r="AA1441" s="20"/>
      <c r="AB1441" s="20"/>
    </row>
    <row r="1442">
      <c r="A1442" s="20"/>
      <c r="B1442" s="20"/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121"/>
      <c r="Z1442" s="20"/>
      <c r="AA1442" s="20"/>
      <c r="AB1442" s="20"/>
    </row>
    <row r="1443">
      <c r="A1443" s="20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121"/>
      <c r="Z1443" s="20"/>
      <c r="AA1443" s="20"/>
      <c r="AB1443" s="20"/>
    </row>
    <row r="1444">
      <c r="A1444" s="20"/>
      <c r="B1444" s="20"/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121"/>
      <c r="Z1444" s="20"/>
      <c r="AA1444" s="20"/>
      <c r="AB1444" s="20"/>
    </row>
    <row r="1445">
      <c r="A1445" s="20"/>
      <c r="B1445" s="20"/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121"/>
      <c r="Z1445" s="20"/>
      <c r="AA1445" s="20"/>
      <c r="AB1445" s="20"/>
    </row>
    <row r="1446">
      <c r="A1446" s="20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121"/>
      <c r="Z1446" s="20"/>
      <c r="AA1446" s="20"/>
      <c r="AB1446" s="20"/>
    </row>
    <row r="1447">
      <c r="A1447" s="20"/>
      <c r="B1447" s="20"/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121"/>
      <c r="Z1447" s="20"/>
      <c r="AA1447" s="20"/>
      <c r="AB1447" s="20"/>
    </row>
    <row r="1448">
      <c r="A1448" s="20"/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121"/>
      <c r="Z1448" s="20"/>
      <c r="AA1448" s="20"/>
      <c r="AB1448" s="20"/>
    </row>
    <row r="1449">
      <c r="A1449" s="20"/>
      <c r="B1449" s="20"/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121"/>
      <c r="Z1449" s="20"/>
      <c r="AA1449" s="20"/>
      <c r="AB1449" s="20"/>
    </row>
    <row r="1450">
      <c r="A1450" s="20"/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121"/>
      <c r="Z1450" s="20"/>
      <c r="AA1450" s="20"/>
      <c r="AB1450" s="20"/>
    </row>
    <row r="1451">
      <c r="A1451" s="20"/>
      <c r="B1451" s="20"/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121"/>
      <c r="Z1451" s="20"/>
      <c r="AA1451" s="20"/>
      <c r="AB1451" s="20"/>
    </row>
    <row r="1452">
      <c r="A1452" s="20"/>
      <c r="B1452" s="20"/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121"/>
      <c r="Z1452" s="20"/>
      <c r="AA1452" s="20"/>
      <c r="AB1452" s="20"/>
    </row>
    <row r="1453">
      <c r="A1453" s="20"/>
      <c r="B1453" s="20"/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121"/>
      <c r="Z1453" s="20"/>
      <c r="AA1453" s="20"/>
      <c r="AB1453" s="20"/>
    </row>
    <row r="1454">
      <c r="A1454" s="20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121"/>
      <c r="Z1454" s="20"/>
      <c r="AA1454" s="20"/>
      <c r="AB1454" s="20"/>
    </row>
    <row r="1455">
      <c r="A1455" s="20"/>
      <c r="B1455" s="20"/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121"/>
      <c r="Z1455" s="20"/>
      <c r="AA1455" s="20"/>
      <c r="AB1455" s="20"/>
    </row>
    <row r="1456">
      <c r="A1456" s="20"/>
      <c r="B1456" s="20"/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121"/>
      <c r="Z1456" s="20"/>
      <c r="AA1456" s="20"/>
      <c r="AB1456" s="20"/>
    </row>
    <row r="1457">
      <c r="A1457" s="20"/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121"/>
      <c r="Z1457" s="20"/>
      <c r="AA1457" s="20"/>
      <c r="AB1457" s="20"/>
    </row>
    <row r="1458">
      <c r="A1458" s="20"/>
      <c r="B1458" s="20"/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121"/>
      <c r="Z1458" s="20"/>
      <c r="AA1458" s="20"/>
      <c r="AB1458" s="20"/>
    </row>
    <row r="1459">
      <c r="A1459" s="20"/>
      <c r="B1459" s="20"/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121"/>
      <c r="Z1459" s="20"/>
      <c r="AA1459" s="20"/>
      <c r="AB1459" s="20"/>
    </row>
    <row r="1460">
      <c r="A1460" s="20"/>
      <c r="B1460" s="20"/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121"/>
      <c r="Z1460" s="20"/>
      <c r="AA1460" s="20"/>
      <c r="AB1460" s="20"/>
    </row>
    <row r="1461">
      <c r="A1461" s="20"/>
      <c r="B1461" s="20"/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121"/>
      <c r="Z1461" s="20"/>
      <c r="AA1461" s="20"/>
      <c r="AB1461" s="20"/>
    </row>
    <row r="1462">
      <c r="A1462" s="20"/>
      <c r="B1462" s="20"/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121"/>
      <c r="Z1462" s="20"/>
      <c r="AA1462" s="20"/>
      <c r="AB1462" s="20"/>
    </row>
    <row r="1463">
      <c r="A1463" s="20"/>
      <c r="B1463" s="20"/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121"/>
      <c r="Z1463" s="20"/>
      <c r="AA1463" s="20"/>
      <c r="AB1463" s="20"/>
    </row>
    <row r="1464">
      <c r="A1464" s="20"/>
      <c r="B1464" s="20"/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121"/>
      <c r="Z1464" s="20"/>
      <c r="AA1464" s="20"/>
      <c r="AB1464" s="20"/>
    </row>
    <row r="1465">
      <c r="A1465" s="20"/>
      <c r="B1465" s="20"/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121"/>
      <c r="Z1465" s="20"/>
      <c r="AA1465" s="20"/>
      <c r="AB1465" s="20"/>
    </row>
    <row r="1466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121"/>
      <c r="Z1466" s="20"/>
      <c r="AA1466" s="20"/>
      <c r="AB1466" s="20"/>
    </row>
    <row r="1467">
      <c r="A1467" s="20"/>
      <c r="B1467" s="20"/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121"/>
      <c r="Z1467" s="20"/>
      <c r="AA1467" s="20"/>
      <c r="AB1467" s="20"/>
    </row>
    <row r="1468">
      <c r="A1468" s="20"/>
      <c r="B1468" s="20"/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121"/>
      <c r="Z1468" s="20"/>
      <c r="AA1468" s="20"/>
      <c r="AB1468" s="20"/>
    </row>
    <row r="1469">
      <c r="A1469" s="20"/>
      <c r="B1469" s="20"/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121"/>
      <c r="Z1469" s="20"/>
      <c r="AA1469" s="20"/>
      <c r="AB1469" s="20"/>
    </row>
    <row r="1470">
      <c r="A1470" s="20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121"/>
      <c r="Z1470" s="20"/>
      <c r="AA1470" s="20"/>
      <c r="AB1470" s="20"/>
    </row>
    <row r="1471">
      <c r="A1471" s="20"/>
      <c r="B1471" s="20"/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121"/>
      <c r="Z1471" s="20"/>
      <c r="AA1471" s="20"/>
      <c r="AB1471" s="20"/>
    </row>
    <row r="1472">
      <c r="A1472" s="20"/>
      <c r="B1472" s="20"/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121"/>
      <c r="Z1472" s="20"/>
      <c r="AA1472" s="20"/>
      <c r="AB1472" s="20"/>
    </row>
    <row r="1473">
      <c r="A1473" s="20"/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121"/>
      <c r="Z1473" s="20"/>
      <c r="AA1473" s="20"/>
      <c r="AB1473" s="20"/>
    </row>
    <row r="1474">
      <c r="A1474" s="20"/>
      <c r="B1474" s="20"/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121"/>
      <c r="Z1474" s="20"/>
      <c r="AA1474" s="20"/>
      <c r="AB1474" s="20"/>
    </row>
    <row r="1475">
      <c r="A1475" s="20"/>
      <c r="B1475" s="20"/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121"/>
      <c r="Z1475" s="20"/>
      <c r="AA1475" s="20"/>
      <c r="AB1475" s="20"/>
    </row>
    <row r="1476">
      <c r="A1476" s="20"/>
      <c r="B1476" s="20"/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121"/>
      <c r="Z1476" s="20"/>
      <c r="AA1476" s="20"/>
      <c r="AB1476" s="20"/>
    </row>
    <row r="1477">
      <c r="A1477" s="20"/>
      <c r="B1477" s="20"/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121"/>
      <c r="Z1477" s="20"/>
      <c r="AA1477" s="20"/>
      <c r="AB1477" s="20"/>
    </row>
    <row r="1478">
      <c r="A1478" s="20"/>
      <c r="B1478" s="20"/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121"/>
      <c r="Z1478" s="20"/>
      <c r="AA1478" s="20"/>
      <c r="AB1478" s="20"/>
    </row>
    <row r="1479">
      <c r="A1479" s="20"/>
      <c r="B1479" s="20"/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121"/>
      <c r="Z1479" s="20"/>
      <c r="AA1479" s="20"/>
      <c r="AB1479" s="20"/>
    </row>
    <row r="1480">
      <c r="A1480" s="20"/>
      <c r="B1480" s="20"/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121"/>
      <c r="Z1480" s="20"/>
      <c r="AA1480" s="20"/>
      <c r="AB1480" s="20"/>
    </row>
    <row r="1481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121"/>
      <c r="Z1481" s="20"/>
      <c r="AA1481" s="20"/>
      <c r="AB1481" s="20"/>
    </row>
    <row r="1482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121"/>
      <c r="Z1482" s="20"/>
      <c r="AA1482" s="20"/>
      <c r="AB1482" s="20"/>
    </row>
    <row r="1483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121"/>
      <c r="Z1483" s="20"/>
      <c r="AA1483" s="20"/>
      <c r="AB1483" s="20"/>
    </row>
    <row r="1484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121"/>
      <c r="Z1484" s="20"/>
      <c r="AA1484" s="20"/>
      <c r="AB1484" s="20"/>
    </row>
    <row r="1485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121"/>
      <c r="Z1485" s="20"/>
      <c r="AA1485" s="20"/>
      <c r="AB1485" s="20"/>
    </row>
    <row r="1486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121"/>
      <c r="Z1486" s="20"/>
      <c r="AA1486" s="20"/>
      <c r="AB1486" s="20"/>
    </row>
    <row r="1487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121"/>
      <c r="Z1487" s="20"/>
      <c r="AA1487" s="20"/>
      <c r="AB1487" s="20"/>
    </row>
    <row r="1488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121"/>
      <c r="Z1488" s="20"/>
      <c r="AA1488" s="20"/>
      <c r="AB1488" s="20"/>
    </row>
    <row r="1489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121"/>
      <c r="Z1489" s="20"/>
      <c r="AA1489" s="20"/>
      <c r="AB1489" s="20"/>
    </row>
    <row r="1490">
      <c r="A1490" s="20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121"/>
      <c r="Z1490" s="20"/>
      <c r="AA1490" s="20"/>
      <c r="AB1490" s="20"/>
    </row>
    <row r="1491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121"/>
      <c r="Z1491" s="20"/>
      <c r="AA1491" s="20"/>
      <c r="AB1491" s="20"/>
    </row>
    <row r="1492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121"/>
      <c r="Z1492" s="20"/>
      <c r="AA1492" s="20"/>
      <c r="AB1492" s="20"/>
    </row>
    <row r="149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121"/>
      <c r="Z1493" s="20"/>
      <c r="AA1493" s="20"/>
      <c r="AB1493" s="20"/>
    </row>
    <row r="1494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121"/>
      <c r="Z1494" s="20"/>
      <c r="AA1494" s="20"/>
      <c r="AB1494" s="20"/>
    </row>
    <row r="1495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121"/>
      <c r="Z1495" s="20"/>
      <c r="AA1495" s="20"/>
      <c r="AB1495" s="20"/>
    </row>
    <row r="1496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121"/>
      <c r="Z1496" s="20"/>
      <c r="AA1496" s="20"/>
      <c r="AB1496" s="20"/>
    </row>
    <row r="1497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121"/>
      <c r="Z1497" s="20"/>
      <c r="AA1497" s="20"/>
      <c r="AB1497" s="20"/>
    </row>
    <row r="1498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121"/>
      <c r="Z1498" s="20"/>
      <c r="AA1498" s="20"/>
      <c r="AB1498" s="20"/>
    </row>
    <row r="1499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121"/>
      <c r="Z1499" s="20"/>
      <c r="AA1499" s="20"/>
      <c r="AB1499" s="20"/>
    </row>
    <row r="1500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121"/>
      <c r="Z1500" s="20"/>
      <c r="AA1500" s="20"/>
      <c r="AB1500" s="20"/>
    </row>
    <row r="1501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121"/>
      <c r="Z1501" s="20"/>
      <c r="AA1501" s="20"/>
      <c r="AB1501" s="20"/>
    </row>
    <row r="1502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121"/>
      <c r="Z1502" s="20"/>
      <c r="AA1502" s="20"/>
      <c r="AB1502" s="20"/>
    </row>
    <row r="150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121"/>
      <c r="Z1503" s="20"/>
      <c r="AA1503" s="20"/>
      <c r="AB1503" s="20"/>
    </row>
    <row r="1504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121"/>
      <c r="Z1504" s="20"/>
      <c r="AA1504" s="20"/>
      <c r="AB1504" s="20"/>
    </row>
    <row r="1505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121"/>
      <c r="Z1505" s="20"/>
      <c r="AA1505" s="20"/>
      <c r="AB1505" s="20"/>
    </row>
    <row r="1506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121"/>
      <c r="Z1506" s="20"/>
      <c r="AA1506" s="20"/>
      <c r="AB1506" s="20"/>
    </row>
    <row r="1507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121"/>
      <c r="Z1507" s="20"/>
      <c r="AA1507" s="20"/>
      <c r="AB1507" s="20"/>
    </row>
    <row r="1508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121"/>
      <c r="Z1508" s="20"/>
      <c r="AA1508" s="20"/>
      <c r="AB1508" s="20"/>
    </row>
    <row r="1509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121"/>
      <c r="Z1509" s="20"/>
      <c r="AA1509" s="20"/>
      <c r="AB1509" s="20"/>
    </row>
    <row r="1510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121"/>
      <c r="Z1510" s="20"/>
      <c r="AA1510" s="20"/>
      <c r="AB1510" s="20"/>
    </row>
    <row r="1511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121"/>
      <c r="Z1511" s="20"/>
      <c r="AA1511" s="20"/>
      <c r="AB1511" s="20"/>
    </row>
  </sheetData>
  <dataValidations>
    <dataValidation type="list" allowBlank="1" showErrorMessage="1" sqref="C9">
      <formula1>'Activity Analyze An Expense Dat'!$AB$12:$AB1511</formula1>
    </dataValidation>
    <dataValidation type="list" allowBlank="1" showErrorMessage="1" sqref="B9">
      <formula1>'Activity Analyze An Expense Dat'!$AA$12:$AA$1000</formula1>
    </dataValidation>
  </dataValidations>
  <hyperlinks>
    <hyperlink r:id="rId1" location="gid=1641919753" ref="J3"/>
  </hyperlinks>
  <drawing r:id="rId2"/>
</worksheet>
</file>